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harts/chart37.xml" ContentType="application/vnd.openxmlformats-officedocument.drawingml.chart+xml"/>
  <Override PartName="/xl/drawings/drawing14.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5.xml" ContentType="application/vnd.openxmlformats-officedocument.drawing+xml"/>
  <Override PartName="/xl/comments1.xml" ContentType="application/vnd.openxmlformats-officedocument.spreadsheetml.comments+xml"/>
  <Override PartName="/xl/charts/chart44.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omments2.xml" ContentType="application/vnd.openxmlformats-officedocument.spreadsheetml.comments+xml"/>
  <Override PartName="/xl/charts/chart45.xml" ContentType="application/vnd.openxmlformats-officedocument.drawingml.chart+xml"/>
  <Override PartName="/xl/drawings/drawing18.xml" ContentType="application/vnd.openxmlformats-officedocument.drawing+xml"/>
  <Override PartName="/xl/comments3.xml" ContentType="application/vnd.openxmlformats-officedocument.spreadsheetml.comments+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style4.xml" ContentType="application/vnd.ms-office.chartstyle+xml"/>
  <Override PartName="/xl/charts/colors4.xml" ContentType="application/vnd.ms-office.chartcolorstyle+xml"/>
  <Override PartName="/xl/charts/chart4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9.xml" ContentType="application/vnd.openxmlformats-officedocument.drawing+xml"/>
  <Override PartName="/xl/comments4.xml" ContentType="application/vnd.openxmlformats-officedocument.spreadsheetml.comments+xml"/>
  <Override PartName="/xl/charts/chart50.xml" ContentType="application/vnd.openxmlformats-officedocument.drawingml.chart+xml"/>
  <Override PartName="/xl/charts/style6.xml" ContentType="application/vnd.ms-office.chartstyle+xml"/>
  <Override PartName="/xl/charts/colors6.xml" ContentType="application/vnd.ms-office.chartcolorstyle+xml"/>
  <Override PartName="/xl/charts/chart5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style8.xml" ContentType="application/vnd.ms-office.chartstyle+xml"/>
  <Override PartName="/xl/charts/colors8.xml" ContentType="application/vnd.ms-office.chartcolorsty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1.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9.xml" ContentType="application/vnd.ms-office.chartstyle+xml"/>
  <Override PartName="/xl/charts/colors9.xml" ContentType="application/vnd.ms-office.chartcolorstyle+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xr:revisionPtr revIDLastSave="3" documentId="8_{3FB0C1EB-C810-4CBE-ABB5-AF3726E7193C}" xr6:coauthVersionLast="47" xr6:coauthVersionMax="47" xr10:uidLastSave="{C0CC9AE6-C34D-4FDA-8E39-D53282735988}"/>
  <bookViews>
    <workbookView xWindow="-28920" yWindow="-120" windowWidth="29040" windowHeight="15840" tabRatio="869" firstSheet="2" activeTab="2" xr2:uid="{00000000-000D-0000-FFFF-FFFF00000000}"/>
  </bookViews>
  <sheets>
    <sheet name="1990-2021 Total" sheetId="38" r:id="rId1"/>
    <sheet name="1990-2021 Sectors" sheetId="52" r:id="rId2"/>
    <sheet name="Summary" sheetId="50" r:id="rId3"/>
    <sheet name="Summary by Gas" sheetId="49" r:id="rId4"/>
    <sheet name="Process" sheetId="45" r:id="rId5"/>
    <sheet name="Sector Sublimits" sheetId="54" r:id="rId6"/>
    <sheet name="Sublimit Graphs" sheetId="55" r:id="rId7"/>
    <sheet name="CO2_FFC" sheetId="24" r:id="rId8"/>
    <sheet name="Stationary" sheetId="25" r:id="rId9"/>
    <sheet name="Mobile" sheetId="26" r:id="rId10"/>
    <sheet name="NG Sum&amp;Distribution&amp;PostMeter" sheetId="27" r:id="rId11"/>
    <sheet name="NG Transmission &amp; Storage" sheetId="53" r:id="rId12"/>
    <sheet name="Indust. Proc." sheetId="28" r:id="rId13"/>
    <sheet name="Agriculture" sheetId="29" r:id="rId14"/>
    <sheet name="Solid Waste" sheetId="31" r:id="rId15"/>
    <sheet name="Wastewater" sheetId="32" r:id="rId16"/>
    <sheet name="ElecImport" sheetId="17" r:id="rId17"/>
    <sheet name="EIA Adjust" sheetId="18" r:id="rId18"/>
    <sheet name="Biogenic Summary" sheetId="47" r:id="rId19"/>
    <sheet name="Biogenic Graphs" sheetId="48" r:id="rId20"/>
    <sheet name="Biogenic Combustion" sheetId="44" r:id="rId21"/>
    <sheet name="NWL" sheetId="56" r:id="rId22"/>
  </sheets>
  <externalReferences>
    <externalReference r:id="rId23"/>
    <externalReference r:id="rId24"/>
    <externalReference r:id="rId25"/>
    <externalReference r:id="rId26"/>
    <externalReference r:id="rId27"/>
    <externalReference r:id="rId28"/>
    <externalReference r:id="rId29"/>
  </externalReferences>
  <definedNames>
    <definedName name="_xlnm._FilterDatabase" localSheetId="3" hidden="1">'Summary by Gas'!$C$9:$C$13</definedName>
    <definedName name="C_CO2">[1]Lookups!$G$21</definedName>
    <definedName name="CH4GWP">[2]constants!$B$12</definedName>
    <definedName name="CO2_C">[3]Control!$C$89</definedName>
    <definedName name="CO2_Carbon">[4]Lookups!$B$28</definedName>
    <definedName name="ConsumeBlock">'[5]FF Consumption'!$E$4:$AJ$3488</definedName>
    <definedName name="ConsumeBlock1">'[6]Default State Energy Data Table'!$A$6:$AH$67</definedName>
    <definedName name="lbs_shortt">'[6]List Data'!$K$5</definedName>
    <definedName name="MAX_IF_ISNUMBER_E61_V61__E_60_V_60">Process!#REF!</definedName>
    <definedName name="N20GWP">[2]constants!$B$13</definedName>
    <definedName name="N2OGWP">[2]constants!$B$13</definedName>
    <definedName name="_xlnm.Print_Area" localSheetId="9">Mobile!$A$1:$AF$156</definedName>
    <definedName name="_xlnm.Print_Area" localSheetId="10">'NG Sum&amp;Distribution&amp;PostMeter'!$A$1:$AI$314</definedName>
    <definedName name="_xlnm.Print_Area" localSheetId="11">'NG Transmission &amp; Storage'!$B$1:$AH$308</definedName>
    <definedName name="_xlnm.Print_Area" localSheetId="4">Process!$A$1:$AO$43</definedName>
    <definedName name="_xlnm.Print_Area" localSheetId="14">'Solid Waste'!$A$1:$AG$82</definedName>
    <definedName name="_xlnm.Print_Area" localSheetId="2">Summary!$A$1:$BF$75</definedName>
    <definedName name="_xlnm.Print_Area" localSheetId="15">Wastewater!$A$1:$AG$39</definedName>
    <definedName name="Short_Metric">'[6]List Data'!$K$4</definedName>
    <definedName name="StateID">'[5]List Data'!$F$3</definedName>
    <definedName name="ttt">'[6]List Data'!$K$6</definedName>
    <definedName name="WoodCEFutil">[7]Control!$J$45</definedName>
    <definedName name="Year">Process!#REF!</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1" i="31" l="1"/>
  <c r="AI14" i="47" l="1"/>
  <c r="AK45" i="50"/>
  <c r="AK48" i="50"/>
  <c r="AJ24" i="25"/>
  <c r="AJ23" i="25" s="1"/>
  <c r="AJ35" i="25" s="1"/>
  <c r="AJ25" i="25"/>
  <c r="AJ27" i="25"/>
  <c r="AJ26" i="25" s="1"/>
  <c r="AJ28" i="25"/>
  <c r="AJ30" i="25"/>
  <c r="AJ29" i="25" s="1"/>
  <c r="AJ31" i="25"/>
  <c r="AJ32" i="25"/>
  <c r="AJ33" i="25"/>
  <c r="AJ34" i="25"/>
  <c r="AJ6" i="47"/>
  <c r="AJ7" i="47"/>
  <c r="AJ8" i="47"/>
  <c r="AJ9" i="47"/>
  <c r="AJ5" i="47" s="1"/>
  <c r="AJ20" i="47" s="1"/>
  <c r="AJ11" i="47"/>
  <c r="AJ12" i="47"/>
  <c r="AJ13" i="47"/>
  <c r="AJ10" i="47" s="1"/>
  <c r="AJ14" i="47"/>
  <c r="AJ16" i="47"/>
  <c r="AJ17" i="47"/>
  <c r="AJ15" i="47" s="1"/>
  <c r="AJ18" i="47"/>
  <c r="AJ19" i="47"/>
  <c r="AJ256" i="44"/>
  <c r="AJ257" i="44" s="1"/>
  <c r="AJ259" i="44"/>
  <c r="AJ260" i="44" s="1"/>
  <c r="AJ261" i="44" s="1"/>
  <c r="AJ263" i="44"/>
  <c r="AJ264" i="44" s="1"/>
  <c r="AJ265" i="44" s="1"/>
  <c r="AJ67" i="44"/>
  <c r="AJ68" i="44" s="1"/>
  <c r="AJ70" i="44"/>
  <c r="AJ71" i="44" s="1"/>
  <c r="AJ72" i="44" s="1"/>
  <c r="AJ74" i="44"/>
  <c r="AJ75" i="44" s="1"/>
  <c r="AJ76" i="44" s="1"/>
  <c r="AJ26" i="45"/>
  <c r="AJ37" i="45"/>
  <c r="AJ38" i="45"/>
  <c r="AJ266" i="44" l="1"/>
  <c r="AJ77" i="44"/>
  <c r="AJ28" i="32"/>
  <c r="AJ29" i="32"/>
  <c r="AJ31" i="32" s="1"/>
  <c r="AJ30" i="32"/>
  <c r="AJ32" i="32" s="1"/>
  <c r="AJ33" i="32" l="1"/>
  <c r="AJ34" i="32" s="1"/>
  <c r="AK323" i="27" l="1"/>
  <c r="AK327" i="27" s="1"/>
  <c r="AK324" i="27"/>
  <c r="AK325" i="27"/>
  <c r="AK329" i="27" s="1"/>
  <c r="AK326" i="27"/>
  <c r="AK285" i="27"/>
  <c r="AK286" i="27"/>
  <c r="AK287" i="27"/>
  <c r="AK288" i="27"/>
  <c r="AK289" i="27"/>
  <c r="AK290" i="27"/>
  <c r="AK291" i="27"/>
  <c r="AK292" i="27"/>
  <c r="AK294" i="27"/>
  <c r="AK295" i="27"/>
  <c r="AK296" i="27"/>
  <c r="AK297" i="27"/>
  <c r="AK298" i="27"/>
  <c r="AK299" i="27"/>
  <c r="AK300" i="27"/>
  <c r="AK301" i="27"/>
  <c r="AK302" i="27"/>
  <c r="AK303" i="27"/>
  <c r="AK305" i="27"/>
  <c r="AK306" i="27"/>
  <c r="AK307" i="27"/>
  <c r="AK309" i="27"/>
  <c r="AK310" i="27"/>
  <c r="AK312" i="27"/>
  <c r="AK253" i="27"/>
  <c r="AK254" i="27"/>
  <c r="AK255" i="27"/>
  <c r="AK256" i="27"/>
  <c r="AK257" i="27"/>
  <c r="AK258" i="27"/>
  <c r="AK259" i="27"/>
  <c r="AK260" i="27"/>
  <c r="AK262" i="27"/>
  <c r="AK263" i="27"/>
  <c r="AK264" i="27"/>
  <c r="AK265" i="27"/>
  <c r="AK266" i="27"/>
  <c r="AK267" i="27"/>
  <c r="AK268" i="27"/>
  <c r="AK269" i="27"/>
  <c r="AK270" i="27"/>
  <c r="AK271" i="27"/>
  <c r="AK273" i="27"/>
  <c r="AK274" i="27"/>
  <c r="AK275" i="27"/>
  <c r="AK277" i="27"/>
  <c r="AK278" i="27"/>
  <c r="AK280" i="27"/>
  <c r="AK73" i="27"/>
  <c r="AK74" i="27" s="1"/>
  <c r="AK207" i="27" s="1"/>
  <c r="AK201" i="27"/>
  <c r="AK202" i="27"/>
  <c r="AK203" i="27"/>
  <c r="AK204" i="27"/>
  <c r="AK205" i="27"/>
  <c r="AK206" i="27"/>
  <c r="AK208" i="27"/>
  <c r="AK330" i="27" s="1"/>
  <c r="AK211" i="27"/>
  <c r="AK148" i="27"/>
  <c r="AK149" i="27"/>
  <c r="AK150" i="27"/>
  <c r="AK151" i="27"/>
  <c r="AK152" i="27"/>
  <c r="AK153" i="27"/>
  <c r="AK157" i="27" s="1"/>
  <c r="AK154" i="27"/>
  <c r="AK155" i="27"/>
  <c r="AK156" i="27"/>
  <c r="AK159" i="27"/>
  <c r="AK160" i="27"/>
  <c r="AK161" i="27"/>
  <c r="AK168" i="27" s="1"/>
  <c r="AK162" i="27"/>
  <c r="AK163" i="27"/>
  <c r="AK164" i="27"/>
  <c r="AK165" i="27"/>
  <c r="AK166" i="27"/>
  <c r="AK167" i="27"/>
  <c r="AK170" i="27"/>
  <c r="AK171" i="27"/>
  <c r="AK172" i="27"/>
  <c r="AK173" i="27"/>
  <c r="AK180" i="27" s="1"/>
  <c r="AK174" i="27"/>
  <c r="AK175" i="27"/>
  <c r="AK176" i="27"/>
  <c r="AK177" i="27"/>
  <c r="AK178" i="27"/>
  <c r="AK179" i="27"/>
  <c r="AK182" i="27"/>
  <c r="AK183" i="27"/>
  <c r="AK184" i="27"/>
  <c r="AK187" i="27"/>
  <c r="AK189" i="27" s="1"/>
  <c r="AK188" i="27"/>
  <c r="AK191" i="27"/>
  <c r="AK116" i="27"/>
  <c r="AK117" i="27"/>
  <c r="AK118" i="27"/>
  <c r="AK119" i="27"/>
  <c r="AK120" i="27"/>
  <c r="AK121" i="27"/>
  <c r="AK122" i="27"/>
  <c r="AK123" i="27"/>
  <c r="AK125" i="27"/>
  <c r="AK126" i="27"/>
  <c r="AK127" i="27"/>
  <c r="AK128" i="27"/>
  <c r="AK129" i="27"/>
  <c r="AK130" i="27"/>
  <c r="AK131" i="27"/>
  <c r="AK132" i="27"/>
  <c r="AK133" i="27"/>
  <c r="AK134" i="27"/>
  <c r="AK136" i="27"/>
  <c r="AK137" i="27"/>
  <c r="AK138" i="27"/>
  <c r="AK140" i="27"/>
  <c r="AK141" i="27"/>
  <c r="AK143" i="27"/>
  <c r="AK313" i="27" l="1"/>
  <c r="AK328" i="27"/>
  <c r="AK331" i="27" s="1"/>
  <c r="AK333" i="27" s="1"/>
  <c r="AK185" i="27"/>
  <c r="AK209" i="27"/>
  <c r="AK212" i="27" s="1"/>
  <c r="AK213" i="27" s="1"/>
  <c r="D6" i="49"/>
  <c r="E6" i="49" s="1"/>
  <c r="F6" i="49" s="1"/>
  <c r="AJ27" i="54"/>
  <c r="AJ28" i="54" s="1"/>
  <c r="AJ29" i="54"/>
  <c r="AJ12" i="54"/>
  <c r="AJ13" i="54" s="1"/>
  <c r="AJ14" i="54"/>
  <c r="AH30" i="24"/>
  <c r="AI30" i="24"/>
  <c r="AI237" i="44" l="1"/>
  <c r="AI238" i="44" s="1"/>
  <c r="AI239" i="44" s="1"/>
  <c r="AI199" i="44"/>
  <c r="AI203" i="44" s="1"/>
  <c r="AI204" i="44" s="1"/>
  <c r="AI205" i="44" s="1"/>
  <c r="AI180" i="44"/>
  <c r="AI181" i="44" s="1"/>
  <c r="AI182" i="44" s="1"/>
  <c r="AI141" i="44"/>
  <c r="AI142" i="44" s="1"/>
  <c r="AI143" i="44" s="1"/>
  <c r="AI85" i="44"/>
  <c r="AI86" i="44" s="1"/>
  <c r="AI87" i="44" s="1"/>
  <c r="AI14" i="44"/>
  <c r="AI15" i="44" s="1"/>
  <c r="AJ56" i="54"/>
  <c r="AJ57" i="54" s="1"/>
  <c r="AJ280" i="53"/>
  <c r="AJ281" i="53"/>
  <c r="AJ282" i="53"/>
  <c r="AJ283" i="53"/>
  <c r="AJ284" i="53"/>
  <c r="AJ285" i="53"/>
  <c r="AJ286" i="53"/>
  <c r="AJ287" i="53"/>
  <c r="AJ288" i="53"/>
  <c r="AJ289" i="53"/>
  <c r="AJ290" i="53"/>
  <c r="AJ291" i="53"/>
  <c r="AJ292" i="53"/>
  <c r="AJ293" i="53"/>
  <c r="AK23" i="53"/>
  <c r="AI200" i="44" l="1"/>
  <c r="AI201" i="44" s="1"/>
  <c r="AI207" i="44"/>
  <c r="AI208" i="44" s="1"/>
  <c r="AI209" i="44" s="1"/>
  <c r="AI210" i="44" s="1"/>
  <c r="AJ58" i="54"/>
  <c r="AJ301" i="53"/>
  <c r="AI323" i="27" l="1"/>
  <c r="AJ323" i="27"/>
  <c r="AG154" i="27"/>
  <c r="AJ187" i="53"/>
  <c r="AJ188" i="53"/>
  <c r="AJ189" i="53"/>
  <c r="AK189" i="53"/>
  <c r="AJ190" i="53"/>
  <c r="AJ191" i="53"/>
  <c r="AK191" i="53"/>
  <c r="AJ193" i="53"/>
  <c r="AJ194" i="53"/>
  <c r="AK194" i="53"/>
  <c r="AJ196" i="53"/>
  <c r="AJ197" i="53"/>
  <c r="AJ198" i="53"/>
  <c r="AJ199" i="53"/>
  <c r="AK199" i="53"/>
  <c r="AJ203" i="53"/>
  <c r="AK203" i="53"/>
  <c r="AJ205" i="53"/>
  <c r="AJ206" i="53"/>
  <c r="AK206" i="53"/>
  <c r="AJ208" i="53"/>
  <c r="AJ209" i="53"/>
  <c r="AK159" i="53"/>
  <c r="AK187" i="53" s="1"/>
  <c r="AK160" i="53"/>
  <c r="AK188" i="53" s="1"/>
  <c r="AK161" i="53"/>
  <c r="AK162" i="53"/>
  <c r="AK190" i="53" s="1"/>
  <c r="AK163" i="53"/>
  <c r="AK165" i="53"/>
  <c r="AK193" i="53" s="1"/>
  <c r="AK166" i="53"/>
  <c r="AK168" i="53"/>
  <c r="AK196" i="53" s="1"/>
  <c r="AK169" i="53"/>
  <c r="AK197" i="53" s="1"/>
  <c r="AK170" i="53"/>
  <c r="AK198" i="53" s="1"/>
  <c r="AK171" i="53"/>
  <c r="AK173" i="53"/>
  <c r="AK201" i="53" s="1"/>
  <c r="AK175" i="53"/>
  <c r="AK177" i="53"/>
  <c r="AK205" i="53" s="1"/>
  <c r="AK178" i="53"/>
  <c r="AK180" i="53"/>
  <c r="AK208" i="53" s="1"/>
  <c r="AK181" i="53"/>
  <c r="AK209" i="53" s="1"/>
  <c r="AJ159" i="53"/>
  <c r="AJ160" i="53"/>
  <c r="AJ161" i="53"/>
  <c r="AJ162" i="53"/>
  <c r="AJ163" i="53"/>
  <c r="AJ165" i="53"/>
  <c r="AJ166" i="53"/>
  <c r="AJ168" i="53"/>
  <c r="AJ169" i="53"/>
  <c r="AJ170" i="53"/>
  <c r="AJ171" i="53"/>
  <c r="AJ173" i="53"/>
  <c r="AJ175" i="53"/>
  <c r="AJ177" i="53"/>
  <c r="AJ178" i="53"/>
  <c r="AJ180" i="53"/>
  <c r="AJ181" i="53"/>
  <c r="AJ94" i="53"/>
  <c r="AJ96" i="53"/>
  <c r="AJ97" i="53"/>
  <c r="AJ98" i="53"/>
  <c r="AJ99" i="53"/>
  <c r="AJ100" i="53"/>
  <c r="AJ103" i="53"/>
  <c r="AJ104" i="53"/>
  <c r="AJ106" i="53"/>
  <c r="AJ107" i="53"/>
  <c r="AJ110" i="53" s="1"/>
  <c r="AJ108" i="53"/>
  <c r="AJ109" i="53"/>
  <c r="AJ114" i="53"/>
  <c r="AJ116" i="53"/>
  <c r="AJ117" i="53"/>
  <c r="AJ119" i="53"/>
  <c r="AJ120" i="53"/>
  <c r="AJ66" i="53"/>
  <c r="AJ68" i="53"/>
  <c r="AJ69" i="53"/>
  <c r="AJ70" i="53"/>
  <c r="AJ71" i="53"/>
  <c r="AJ72" i="53"/>
  <c r="AJ74" i="53"/>
  <c r="AJ75" i="53"/>
  <c r="AJ77" i="53"/>
  <c r="AJ78" i="53"/>
  <c r="AJ79" i="53"/>
  <c r="AJ80" i="53"/>
  <c r="AJ82" i="53"/>
  <c r="AJ83" i="53"/>
  <c r="AJ84" i="53"/>
  <c r="AJ86" i="53"/>
  <c r="AJ87" i="53"/>
  <c r="AJ89" i="53"/>
  <c r="AJ90" i="53"/>
  <c r="M16" i="32"/>
  <c r="N16" i="32"/>
  <c r="O16" i="32"/>
  <c r="P16" i="32"/>
  <c r="Q16" i="32"/>
  <c r="R16" i="32"/>
  <c r="S16" i="32"/>
  <c r="T16" i="32"/>
  <c r="U16" i="32"/>
  <c r="V16" i="32"/>
  <c r="M17" i="32"/>
  <c r="N17" i="32"/>
  <c r="O17" i="32"/>
  <c r="P17" i="32"/>
  <c r="Q17" i="32"/>
  <c r="R17" i="32"/>
  <c r="S17" i="32"/>
  <c r="T17" i="32"/>
  <c r="U17" i="32"/>
  <c r="V17" i="32"/>
  <c r="M10" i="32"/>
  <c r="N10" i="32"/>
  <c r="O10" i="32"/>
  <c r="P10" i="32"/>
  <c r="Q10" i="32"/>
  <c r="R10" i="32"/>
  <c r="S10" i="32"/>
  <c r="M11" i="32"/>
  <c r="N11" i="32"/>
  <c r="O11" i="32"/>
  <c r="P11" i="32"/>
  <c r="Q11" i="32"/>
  <c r="R11" i="32"/>
  <c r="S11" i="32"/>
  <c r="M12" i="32"/>
  <c r="N12" i="32"/>
  <c r="O12" i="32"/>
  <c r="P12" i="32"/>
  <c r="Q12" i="32"/>
  <c r="R12" i="32"/>
  <c r="S12" i="32"/>
  <c r="M13" i="32"/>
  <c r="N13" i="32"/>
  <c r="O13" i="32"/>
  <c r="P13" i="32"/>
  <c r="Q13" i="32"/>
  <c r="R13" i="32"/>
  <c r="S13" i="32"/>
  <c r="T10" i="32"/>
  <c r="U10" i="32"/>
  <c r="V10" i="32"/>
  <c r="T11" i="32"/>
  <c r="U11" i="32"/>
  <c r="V11" i="32"/>
  <c r="T12" i="32"/>
  <c r="U12" i="32"/>
  <c r="V12" i="32"/>
  <c r="T13" i="32"/>
  <c r="U13" i="32"/>
  <c r="V13" i="32"/>
  <c r="AJ101" i="53" l="1"/>
  <c r="AK210" i="53"/>
  <c r="AK211" i="53" s="1"/>
  <c r="M29" i="32"/>
  <c r="N29" i="32"/>
  <c r="O29" i="32"/>
  <c r="P29" i="32"/>
  <c r="P30" i="32" s="1"/>
  <c r="P33" i="32" s="1"/>
  <c r="P34" i="32" s="1"/>
  <c r="Q29" i="32"/>
  <c r="Q30" i="32" s="1"/>
  <c r="R29" i="32"/>
  <c r="S29" i="32"/>
  <c r="S30" i="32" s="1"/>
  <c r="T29" i="32"/>
  <c r="T30" i="32" s="1"/>
  <c r="U29" i="32"/>
  <c r="V29" i="32"/>
  <c r="M30" i="32"/>
  <c r="N30" i="32"/>
  <c r="N33" i="32" s="1"/>
  <c r="N34" i="32" s="1"/>
  <c r="O30" i="32"/>
  <c r="O33" i="32" s="1"/>
  <c r="O34" i="32" s="1"/>
  <c r="R30" i="32"/>
  <c r="U30" i="32"/>
  <c r="V30" i="32"/>
  <c r="V33" i="32" s="1"/>
  <c r="V34" i="32" s="1"/>
  <c r="M33" i="32"/>
  <c r="M34" i="32" s="1"/>
  <c r="U33" i="32"/>
  <c r="U34" i="32" s="1"/>
  <c r="AK33" i="45"/>
  <c r="AK13" i="27"/>
  <c r="AK14" i="27"/>
  <c r="AK18" i="27"/>
  <c r="AK19" i="27"/>
  <c r="AK9" i="27" s="1"/>
  <c r="AK185" i="53"/>
  <c r="AJ157" i="53"/>
  <c r="AJ185" i="53" s="1"/>
  <c r="AK157" i="53"/>
  <c r="AK121" i="53"/>
  <c r="AK122" i="53" s="1"/>
  <c r="AK94" i="53"/>
  <c r="AK66" i="53"/>
  <c r="AK46" i="27"/>
  <c r="AK34" i="27"/>
  <c r="AK51" i="27"/>
  <c r="AK36" i="27"/>
  <c r="AK24" i="27"/>
  <c r="AK17" i="27" l="1"/>
  <c r="AK8" i="27"/>
  <c r="AK34" i="45" s="1"/>
  <c r="AK32" i="45" s="1"/>
  <c r="AK10" i="50" s="1"/>
  <c r="S33" i="32"/>
  <c r="S34" i="32" s="1"/>
  <c r="Q33" i="32"/>
  <c r="Q34" i="32" s="1"/>
  <c r="T33" i="32"/>
  <c r="T34" i="32" s="1"/>
  <c r="R33" i="32"/>
  <c r="R34" i="32" s="1"/>
  <c r="AK12" i="27"/>
  <c r="AK7" i="27" l="1"/>
  <c r="AJ46" i="54"/>
  <c r="AI164" i="44"/>
  <c r="AI51" i="44" l="1"/>
  <c r="AI31" i="44"/>
  <c r="AI32" i="44"/>
  <c r="AI34" i="44"/>
  <c r="AI35" i="44" s="1"/>
  <c r="AI36" i="44" s="1"/>
  <c r="AI41" i="44" s="1"/>
  <c r="AI38" i="44"/>
  <c r="AI39" i="44" s="1"/>
  <c r="AI40" i="44" s="1"/>
  <c r="AI218" i="44" l="1"/>
  <c r="AI219" i="44" s="1"/>
  <c r="AI220" i="44" s="1"/>
  <c r="AI123" i="44"/>
  <c r="AI124" i="44" s="1"/>
  <c r="AI125" i="44" s="1"/>
  <c r="AI104" i="44"/>
  <c r="AI108" i="44" s="1"/>
  <c r="AI109" i="44" s="1"/>
  <c r="AI110" i="44" s="1"/>
  <c r="AI131" i="44" l="1"/>
  <c r="AI132" i="44" s="1"/>
  <c r="AI133" i="44" s="1"/>
  <c r="AI127" i="44"/>
  <c r="AI128" i="44" s="1"/>
  <c r="AI129" i="44" s="1"/>
  <c r="AI105" i="44"/>
  <c r="AI106" i="44" s="1"/>
  <c r="AI112" i="44"/>
  <c r="AI113" i="44" s="1"/>
  <c r="AI114" i="44" s="1"/>
  <c r="AI115" i="44" s="1"/>
  <c r="AI134" i="44" l="1"/>
  <c r="AI25" i="31" l="1"/>
  <c r="AI23" i="31" s="1"/>
  <c r="AI30" i="31" s="1"/>
  <c r="AI29" i="31" s="1"/>
  <c r="AK43" i="54"/>
  <c r="AK42" i="54" s="1"/>
  <c r="AI7" i="31" l="1"/>
  <c r="AI8" i="31"/>
  <c r="AI9" i="31"/>
  <c r="AI45" i="31"/>
  <c r="AI46" i="31" s="1"/>
  <c r="AI56" i="31"/>
  <c r="AI57" i="31"/>
  <c r="AI55" i="31"/>
  <c r="AI10" i="31" l="1"/>
  <c r="AI11" i="31" s="1"/>
  <c r="AK28" i="45"/>
  <c r="AK27" i="45" s="1"/>
  <c r="AI51" i="24"/>
  <c r="AI52" i="24" s="1"/>
  <c r="AK40" i="50" l="1"/>
  <c r="AK8" i="50"/>
  <c r="AI53" i="24"/>
  <c r="AH53" i="29" l="1"/>
  <c r="AH54" i="29"/>
  <c r="AH56" i="29" s="1"/>
  <c r="AH55" i="29"/>
  <c r="AH47" i="29"/>
  <c r="AH48" i="29"/>
  <c r="AH130" i="26"/>
  <c r="AI130" i="26"/>
  <c r="AH131" i="26"/>
  <c r="AI59" i="25"/>
  <c r="AI57" i="25" s="1"/>
  <c r="AI24" i="25"/>
  <c r="AI23" i="25" s="1"/>
  <c r="AI40" i="25" s="1"/>
  <c r="AI25" i="25"/>
  <c r="AI42" i="25" s="1"/>
  <c r="AI27" i="25"/>
  <c r="AI28" i="25"/>
  <c r="AI45" i="25" s="1"/>
  <c r="AI30" i="25"/>
  <c r="AI31" i="25"/>
  <c r="AI48" i="25" s="1"/>
  <c r="AI33" i="25"/>
  <c r="AI50" i="25" s="1"/>
  <c r="AI34" i="25"/>
  <c r="AI51" i="25" s="1"/>
  <c r="AI41" i="25" l="1"/>
  <c r="AH132" i="26"/>
  <c r="AI32" i="25"/>
  <c r="AI49" i="25" s="1"/>
  <c r="AI29" i="25"/>
  <c r="AI46" i="25" s="1"/>
  <c r="AI47" i="25"/>
  <c r="AI26" i="25"/>
  <c r="AI43" i="25" s="1"/>
  <c r="AI44" i="25"/>
  <c r="AI58" i="25"/>
  <c r="AI56" i="25" s="1"/>
  <c r="AI35" i="25" l="1"/>
  <c r="AI52" i="25" s="1"/>
  <c r="D25" i="47"/>
  <c r="E25" i="47"/>
  <c r="F25" i="47"/>
  <c r="G25" i="47"/>
  <c r="H25" i="47"/>
  <c r="I25" i="47"/>
  <c r="J25" i="47"/>
  <c r="K25" i="47"/>
  <c r="L25" i="47"/>
  <c r="M25" i="47"/>
  <c r="N25" i="47"/>
  <c r="O25" i="47"/>
  <c r="P25" i="47"/>
  <c r="Q25" i="47"/>
  <c r="R25" i="47"/>
  <c r="S25" i="47"/>
  <c r="T25" i="47"/>
  <c r="U25" i="47"/>
  <c r="V25" i="47"/>
  <c r="W25" i="47"/>
  <c r="X25" i="47"/>
  <c r="Y25" i="47"/>
  <c r="Z25" i="47"/>
  <c r="AA25" i="47"/>
  <c r="AB25" i="47"/>
  <c r="AC25" i="47"/>
  <c r="AD25" i="47"/>
  <c r="AE25" i="47"/>
  <c r="AF25" i="47"/>
  <c r="AG25" i="47"/>
  <c r="AH25" i="47"/>
  <c r="D26" i="47"/>
  <c r="E26" i="47"/>
  <c r="F26" i="47"/>
  <c r="G26" i="47"/>
  <c r="H26" i="47"/>
  <c r="I26" i="47"/>
  <c r="J26" i="47"/>
  <c r="K26" i="47"/>
  <c r="L26" i="47"/>
  <c r="M26" i="47"/>
  <c r="N26" i="47"/>
  <c r="O26" i="47"/>
  <c r="P26" i="47"/>
  <c r="Q26" i="47"/>
  <c r="R26" i="47"/>
  <c r="S26" i="47"/>
  <c r="T26" i="47"/>
  <c r="U26" i="47"/>
  <c r="V26" i="47"/>
  <c r="W26" i="47"/>
  <c r="X26" i="47"/>
  <c r="Y26" i="47"/>
  <c r="Z26" i="47"/>
  <c r="AA26" i="47"/>
  <c r="AB26" i="47"/>
  <c r="AC26" i="47"/>
  <c r="AD26" i="47"/>
  <c r="AE26" i="47"/>
  <c r="AF26" i="47"/>
  <c r="AG26" i="47"/>
  <c r="AH26" i="47"/>
  <c r="D27" i="47"/>
  <c r="E27" i="47"/>
  <c r="F27" i="47"/>
  <c r="G27" i="47"/>
  <c r="H27" i="47"/>
  <c r="I27" i="47"/>
  <c r="J27" i="47"/>
  <c r="K27" i="47"/>
  <c r="L27" i="47"/>
  <c r="M27" i="47"/>
  <c r="N27" i="47"/>
  <c r="O27" i="47"/>
  <c r="P27" i="47"/>
  <c r="Q27" i="47"/>
  <c r="R27" i="47"/>
  <c r="S27" i="47"/>
  <c r="T27" i="47"/>
  <c r="U27" i="47"/>
  <c r="V27" i="47"/>
  <c r="W27" i="47"/>
  <c r="X27" i="47"/>
  <c r="Y27" i="47"/>
  <c r="Z27" i="47"/>
  <c r="AA27" i="47"/>
  <c r="AB27" i="47"/>
  <c r="AC27" i="47"/>
  <c r="AD27" i="47"/>
  <c r="AE27" i="47"/>
  <c r="AF27" i="47"/>
  <c r="AG27" i="47"/>
  <c r="AH27" i="47"/>
  <c r="D28" i="47"/>
  <c r="E28" i="47"/>
  <c r="F28" i="47"/>
  <c r="G28" i="47"/>
  <c r="H28" i="47"/>
  <c r="I28" i="47"/>
  <c r="J28" i="47"/>
  <c r="K28" i="47"/>
  <c r="L28" i="47"/>
  <c r="M28" i="47"/>
  <c r="N28" i="47"/>
  <c r="O28" i="47"/>
  <c r="P28" i="47"/>
  <c r="Q28" i="47"/>
  <c r="R28" i="47"/>
  <c r="S28" i="47"/>
  <c r="T28" i="47"/>
  <c r="U28" i="47"/>
  <c r="V28" i="47"/>
  <c r="W28" i="47"/>
  <c r="X28" i="47"/>
  <c r="Y28" i="47"/>
  <c r="Z28" i="47"/>
  <c r="AA28" i="47"/>
  <c r="AB28" i="47"/>
  <c r="AC28" i="47"/>
  <c r="AD28" i="47"/>
  <c r="AE28" i="47"/>
  <c r="AF28" i="47"/>
  <c r="AG28" i="47"/>
  <c r="AH28" i="47"/>
  <c r="D29" i="47"/>
  <c r="E29" i="47"/>
  <c r="F29" i="47"/>
  <c r="G29" i="47"/>
  <c r="H29" i="47"/>
  <c r="I29" i="47"/>
  <c r="J29" i="47"/>
  <c r="K29" i="47"/>
  <c r="L29" i="47"/>
  <c r="M29" i="47"/>
  <c r="N29" i="47"/>
  <c r="O29" i="47"/>
  <c r="P29" i="47"/>
  <c r="Q29" i="47"/>
  <c r="R29" i="47"/>
  <c r="S29" i="47"/>
  <c r="T29" i="47"/>
  <c r="U29" i="47"/>
  <c r="V29" i="47"/>
  <c r="W29" i="47"/>
  <c r="X29" i="47"/>
  <c r="Y29" i="47"/>
  <c r="Z29" i="47"/>
  <c r="AA29" i="47"/>
  <c r="AB29" i="47"/>
  <c r="AC29" i="47"/>
  <c r="AD29" i="47"/>
  <c r="AE29" i="47"/>
  <c r="AF29" i="47"/>
  <c r="AG29" i="47"/>
  <c r="AH29" i="47"/>
  <c r="D30" i="47"/>
  <c r="E30" i="47"/>
  <c r="F30" i="47"/>
  <c r="G30" i="47"/>
  <c r="H30" i="47"/>
  <c r="I30" i="47"/>
  <c r="J30" i="47"/>
  <c r="K30" i="47"/>
  <c r="L30" i="47"/>
  <c r="M30" i="47"/>
  <c r="N30" i="47"/>
  <c r="O30" i="47"/>
  <c r="P30" i="47"/>
  <c r="Q30" i="47"/>
  <c r="R30" i="47"/>
  <c r="S30" i="47"/>
  <c r="T30" i="47"/>
  <c r="U30" i="47"/>
  <c r="V30" i="47"/>
  <c r="W30" i="47"/>
  <c r="X30" i="47"/>
  <c r="Y30" i="47"/>
  <c r="Z30" i="47"/>
  <c r="AA30" i="47"/>
  <c r="AB30" i="47"/>
  <c r="AC30" i="47"/>
  <c r="AD30" i="47"/>
  <c r="AE30" i="47"/>
  <c r="AF30" i="47"/>
  <c r="AG30" i="47"/>
  <c r="AH30" i="47"/>
  <c r="C30" i="47"/>
  <c r="C29" i="47"/>
  <c r="C28" i="47"/>
  <c r="C27" i="47"/>
  <c r="C26" i="47"/>
  <c r="C25" i="47"/>
  <c r="AI42" i="24"/>
  <c r="AI43" i="24" s="1"/>
  <c r="AJ70" i="27"/>
  <c r="V5" i="28"/>
  <c r="D8" i="28"/>
  <c r="O7" i="28"/>
  <c r="O5" i="28" s="1"/>
  <c r="P7" i="28"/>
  <c r="P5" i="28" s="1"/>
  <c r="Q7" i="28"/>
  <c r="Q5" i="28" s="1"/>
  <c r="R7" i="28"/>
  <c r="R5" i="28" s="1"/>
  <c r="S7" i="28"/>
  <c r="S5" i="28" s="1"/>
  <c r="T7" i="28"/>
  <c r="T5" i="28" s="1"/>
  <c r="U7" i="28"/>
  <c r="U5" i="28" s="1"/>
  <c r="N7" i="28"/>
  <c r="N5" i="28" s="1"/>
  <c r="AI5" i="28" l="1"/>
  <c r="AI24" i="28" s="1"/>
  <c r="AJ35" i="45" s="1"/>
  <c r="F8" i="28"/>
  <c r="AJ226" i="53"/>
  <c r="AJ227" i="53"/>
  <c r="AJ228" i="53"/>
  <c r="AJ229" i="53"/>
  <c r="AJ112" i="53" l="1"/>
  <c r="AJ201" i="53"/>
  <c r="AJ210" i="53" s="1"/>
  <c r="AJ211" i="53" s="1"/>
  <c r="D110" i="53"/>
  <c r="AI28" i="32"/>
  <c r="AI29" i="32"/>
  <c r="AI30" i="32"/>
  <c r="AI33" i="32" l="1"/>
  <c r="AI34" i="32" s="1"/>
  <c r="AI13" i="32" s="1"/>
  <c r="AJ10" i="32"/>
  <c r="AK10" i="32"/>
  <c r="AL10" i="32"/>
  <c r="AJ11" i="32"/>
  <c r="AK11" i="32"/>
  <c r="AL11" i="32"/>
  <c r="AJ12" i="32"/>
  <c r="AK12" i="32"/>
  <c r="AL12" i="32"/>
  <c r="AJ13" i="32"/>
  <c r="AK13" i="32"/>
  <c r="AL13" i="32"/>
  <c r="AI14" i="32"/>
  <c r="AJ14" i="32"/>
  <c r="AK14" i="32"/>
  <c r="AL14" i="32"/>
  <c r="AI15" i="32"/>
  <c r="AJ15" i="32"/>
  <c r="AK15" i="32"/>
  <c r="AL15" i="32"/>
  <c r="AJ16" i="32" l="1"/>
  <c r="AJ17" i="32"/>
  <c r="AK16" i="32"/>
  <c r="AK17" i="32"/>
  <c r="AL16" i="32"/>
  <c r="AL17" i="32"/>
  <c r="AL18" i="32" s="1"/>
  <c r="AI12" i="32"/>
  <c r="AI17" i="32" s="1"/>
  <c r="AK18" i="32" l="1"/>
  <c r="AJ18" i="32"/>
  <c r="AK40" i="45" s="1"/>
  <c r="AK39" i="45" s="1"/>
  <c r="AK13" i="50" s="1"/>
  <c r="AI116" i="27"/>
  <c r="AI153" i="27" s="1"/>
  <c r="AH14" i="44" l="1"/>
  <c r="AH180" i="44"/>
  <c r="AH181" i="44" s="1"/>
  <c r="AH182" i="44" s="1"/>
  <c r="AH141" i="44"/>
  <c r="AH142" i="44" s="1"/>
  <c r="AH143" i="44" s="1"/>
  <c r="AH85" i="44"/>
  <c r="AH86" i="44" s="1"/>
  <c r="AH87" i="44" s="1"/>
  <c r="AJ31" i="45"/>
  <c r="AI11" i="17"/>
  <c r="AI8" i="17"/>
  <c r="AJ46" i="27"/>
  <c r="AJ34" i="27"/>
  <c r="AJ327" i="27" l="1"/>
  <c r="AJ324" i="27"/>
  <c r="AJ325" i="27"/>
  <c r="AJ326" i="27"/>
  <c r="AJ286" i="27"/>
  <c r="AJ290" i="27"/>
  <c r="AJ273" i="27"/>
  <c r="AJ305" i="27" s="1"/>
  <c r="AJ274" i="27"/>
  <c r="AJ306" i="27" s="1"/>
  <c r="AJ275" i="27"/>
  <c r="AJ307" i="27" s="1"/>
  <c r="AJ277" i="27"/>
  <c r="AJ309" i="27" s="1"/>
  <c r="AJ278" i="27"/>
  <c r="AJ310" i="27" s="1"/>
  <c r="AJ280" i="27"/>
  <c r="AJ312" i="27" s="1"/>
  <c r="AJ253" i="27"/>
  <c r="AJ285" i="27" s="1"/>
  <c r="AJ254" i="27"/>
  <c r="AJ255" i="27"/>
  <c r="AJ287" i="27" s="1"/>
  <c r="AJ256" i="27"/>
  <c r="AJ288" i="27" s="1"/>
  <c r="AJ257" i="27"/>
  <c r="AJ289" i="27" s="1"/>
  <c r="AJ258" i="27"/>
  <c r="AJ259" i="27"/>
  <c r="AJ291" i="27" s="1"/>
  <c r="AJ260" i="27"/>
  <c r="AJ292" i="27" s="1"/>
  <c r="AJ201" i="27"/>
  <c r="AJ202" i="27"/>
  <c r="AJ206" i="27" s="1"/>
  <c r="AJ328" i="27" s="1"/>
  <c r="AJ203" i="27"/>
  <c r="AJ204" i="27"/>
  <c r="AJ208" i="27" s="1"/>
  <c r="AJ330" i="27" s="1"/>
  <c r="AJ150" i="27"/>
  <c r="AJ136" i="27"/>
  <c r="AJ182" i="27" s="1"/>
  <c r="AJ137" i="27"/>
  <c r="AJ183" i="27" s="1"/>
  <c r="AJ138" i="27"/>
  <c r="AJ184" i="27" s="1"/>
  <c r="AJ140" i="27"/>
  <c r="AJ187" i="27" s="1"/>
  <c r="AJ141" i="27"/>
  <c r="AJ188" i="27" s="1"/>
  <c r="AJ143" i="27"/>
  <c r="AJ191" i="27" s="1"/>
  <c r="AJ116" i="27"/>
  <c r="AJ155" i="27" s="1"/>
  <c r="AJ117" i="27"/>
  <c r="AJ148" i="27" s="1"/>
  <c r="AJ118" i="27"/>
  <c r="AJ151" i="27" s="1"/>
  <c r="AJ119" i="27"/>
  <c r="AJ152" i="27" s="1"/>
  <c r="AJ120" i="27"/>
  <c r="AJ159" i="27" s="1"/>
  <c r="AJ121" i="27"/>
  <c r="AJ161" i="27" s="1"/>
  <c r="AJ122" i="27"/>
  <c r="AJ163" i="27" s="1"/>
  <c r="AJ123" i="27"/>
  <c r="AJ166" i="27" s="1"/>
  <c r="AJ73" i="27"/>
  <c r="AJ74" i="27" s="1"/>
  <c r="AJ20" i="53"/>
  <c r="AI20" i="53"/>
  <c r="AH237" i="44"/>
  <c r="AH238" i="44" s="1"/>
  <c r="AH239" i="44" s="1"/>
  <c r="AH200" i="44"/>
  <c r="AH199" i="44"/>
  <c r="AH203" i="44"/>
  <c r="AH204" i="44" s="1"/>
  <c r="AH205" i="44" s="1"/>
  <c r="AI6" i="47"/>
  <c r="AI7" i="47"/>
  <c r="AI8" i="47"/>
  <c r="AI9" i="47"/>
  <c r="AI11" i="47"/>
  <c r="AI12" i="47"/>
  <c r="AI13" i="47"/>
  <c r="AI16" i="47"/>
  <c r="AI15" i="47" s="1"/>
  <c r="AI17" i="47"/>
  <c r="AI19" i="47"/>
  <c r="AI18" i="47" s="1"/>
  <c r="AJ207" i="27" l="1"/>
  <c r="AJ154" i="27"/>
  <c r="AJ153" i="27"/>
  <c r="AJ160" i="27"/>
  <c r="AI10" i="47"/>
  <c r="AI5" i="47" s="1"/>
  <c r="AI20" i="47" s="1"/>
  <c r="AJ165" i="27"/>
  <c r="AJ164" i="27"/>
  <c r="AJ162" i="27"/>
  <c r="AJ168" i="27" s="1"/>
  <c r="AJ167" i="27"/>
  <c r="AJ149" i="27"/>
  <c r="AJ157" i="27" s="1"/>
  <c r="AJ156" i="27"/>
  <c r="AJ329" i="27"/>
  <c r="AJ331" i="27" s="1"/>
  <c r="AJ185" i="27"/>
  <c r="AJ189" i="27"/>
  <c r="AH207" i="44"/>
  <c r="AH208" i="44" s="1"/>
  <c r="AH209" i="44" s="1"/>
  <c r="AH210" i="44" s="1"/>
  <c r="AH201" i="44"/>
  <c r="AR54" i="50"/>
  <c r="AJ34" i="49" l="1"/>
  <c r="AJ35" i="49"/>
  <c r="AJ37" i="49"/>
  <c r="AJ38" i="49"/>
  <c r="AJ40" i="49"/>
  <c r="AJ41" i="49"/>
  <c r="AJ42" i="49"/>
  <c r="AJ44" i="49"/>
  <c r="AJ45" i="49"/>
  <c r="AJ46" i="49"/>
  <c r="AJ47" i="49"/>
  <c r="AJ48" i="49"/>
  <c r="AJ49" i="49"/>
  <c r="AJ51" i="49"/>
  <c r="AJ52" i="49"/>
  <c r="AJ55" i="49"/>
  <c r="AJ56" i="49"/>
  <c r="AJ57" i="49"/>
  <c r="AJ58" i="49"/>
  <c r="AJ59" i="49"/>
  <c r="AJ60" i="49"/>
  <c r="AJ61" i="49"/>
  <c r="AJ62" i="49"/>
  <c r="AJ65" i="49"/>
  <c r="AJ66" i="49"/>
  <c r="AJ67" i="49"/>
  <c r="AJ69" i="49"/>
  <c r="AJ27" i="49" s="1"/>
  <c r="AJ68" i="49" l="1"/>
  <c r="AJ121" i="53"/>
  <c r="AJ122" i="53" s="1"/>
  <c r="AJ23" i="53"/>
  <c r="AG131" i="26" l="1"/>
  <c r="C5" i="28" l="1"/>
  <c r="AJ62" i="54"/>
  <c r="AJ63" i="54"/>
  <c r="AJ64" i="54"/>
  <c r="AJ65" i="54"/>
  <c r="AJ66" i="54"/>
  <c r="AJ67" i="54"/>
  <c r="AJ43" i="54"/>
  <c r="AJ44" i="54"/>
  <c r="AJ45" i="54"/>
  <c r="AJ34" i="54"/>
  <c r="AJ35" i="54"/>
  <c r="AJ19" i="54"/>
  <c r="AJ20" i="54"/>
  <c r="AJ21" i="54"/>
  <c r="AJ23" i="54"/>
  <c r="AJ24" i="54"/>
  <c r="AJ25" i="54"/>
  <c r="AJ26" i="54"/>
  <c r="AJ10" i="54"/>
  <c r="AJ11" i="54"/>
  <c r="AJ9" i="54" l="1"/>
  <c r="AJ18" i="54"/>
  <c r="AJ42" i="54"/>
  <c r="AJ22" i="54"/>
  <c r="AJ33" i="54"/>
  <c r="AJ28" i="45"/>
  <c r="AJ13" i="45"/>
  <c r="AJ14" i="45"/>
  <c r="AJ16" i="45"/>
  <c r="AJ17" i="45"/>
  <c r="AJ18" i="45"/>
  <c r="AJ20" i="45"/>
  <c r="AJ36" i="49" s="1"/>
  <c r="AJ21" i="45"/>
  <c r="AJ22" i="45"/>
  <c r="AJ23" i="45"/>
  <c r="AJ25" i="45"/>
  <c r="AJ29" i="45"/>
  <c r="AJ30" i="45"/>
  <c r="AJ44" i="50"/>
  <c r="AJ36" i="45"/>
  <c r="AJ47" i="50"/>
  <c r="AJ41" i="45"/>
  <c r="AJ262" i="27"/>
  <c r="AJ294" i="27" s="1"/>
  <c r="AJ263" i="27"/>
  <c r="AJ295" i="27" s="1"/>
  <c r="AJ264" i="27"/>
  <c r="AJ296" i="27" s="1"/>
  <c r="AJ265" i="27"/>
  <c r="AJ297" i="27" s="1"/>
  <c r="AJ266" i="27"/>
  <c r="AJ298" i="27" s="1"/>
  <c r="AJ267" i="27"/>
  <c r="AJ299" i="27" s="1"/>
  <c r="AJ268" i="27"/>
  <c r="AJ300" i="27" s="1"/>
  <c r="AJ269" i="27"/>
  <c r="AJ301" i="27" s="1"/>
  <c r="AJ270" i="27"/>
  <c r="AJ302" i="27" s="1"/>
  <c r="AJ271" i="27"/>
  <c r="AJ303" i="27" s="1"/>
  <c r="AJ125" i="27"/>
  <c r="AJ170" i="27" s="1"/>
  <c r="AJ126" i="27"/>
  <c r="AJ171" i="27" s="1"/>
  <c r="AJ127" i="27"/>
  <c r="AJ172" i="27" s="1"/>
  <c r="AJ128" i="27"/>
  <c r="AJ173" i="27" s="1"/>
  <c r="AJ129" i="27"/>
  <c r="AJ174" i="27" s="1"/>
  <c r="AJ130" i="27"/>
  <c r="AJ175" i="27" s="1"/>
  <c r="AJ131" i="27"/>
  <c r="AJ176" i="27" s="1"/>
  <c r="AJ132" i="27"/>
  <c r="AJ177" i="27" s="1"/>
  <c r="AJ133" i="27"/>
  <c r="AJ178" i="27" s="1"/>
  <c r="AJ134" i="27"/>
  <c r="AJ179" i="27" s="1"/>
  <c r="AJ13" i="27"/>
  <c r="AJ18" i="27"/>
  <c r="AJ8" i="27" l="1"/>
  <c r="AJ55" i="54" s="1"/>
  <c r="AJ12" i="50"/>
  <c r="AJ27" i="45"/>
  <c r="AJ40" i="50" s="1"/>
  <c r="AJ11" i="50"/>
  <c r="AJ180" i="27"/>
  <c r="AJ313" i="27"/>
  <c r="AJ333" i="27" s="1"/>
  <c r="AJ19" i="27" s="1"/>
  <c r="AJ17" i="27" s="1"/>
  <c r="AJ39" i="49" s="1"/>
  <c r="AJ43" i="49" s="1"/>
  <c r="AJ72" i="49" s="1"/>
  <c r="AJ22" i="49" s="1"/>
  <c r="AJ12" i="45"/>
  <c r="AJ43" i="50" s="1"/>
  <c r="AJ24" i="45"/>
  <c r="AJ9" i="50" s="1"/>
  <c r="AJ15" i="45"/>
  <c r="AJ19" i="45"/>
  <c r="AJ18" i="53"/>
  <c r="AH256" i="44"/>
  <c r="AH257" i="44" s="1"/>
  <c r="AI256" i="44"/>
  <c r="AI257" i="44" s="1"/>
  <c r="AH259" i="44"/>
  <c r="AH260" i="44" s="1"/>
  <c r="AH261" i="44" s="1"/>
  <c r="AI259" i="44"/>
  <c r="AI260" i="44" s="1"/>
  <c r="AI261" i="44" s="1"/>
  <c r="AH263" i="44"/>
  <c r="AH264" i="44" s="1"/>
  <c r="AH265" i="44" s="1"/>
  <c r="AI263" i="44"/>
  <c r="AI264" i="44" s="1"/>
  <c r="AI265" i="44" s="1"/>
  <c r="AH218" i="44"/>
  <c r="AH219" i="44" s="1"/>
  <c r="AH220" i="44" s="1"/>
  <c r="AH123" i="44"/>
  <c r="AH127" i="44" s="1"/>
  <c r="AH128" i="44" s="1"/>
  <c r="AH129" i="44" s="1"/>
  <c r="AH104" i="44"/>
  <c r="AH108" i="44" s="1"/>
  <c r="AH109" i="44" s="1"/>
  <c r="AH110" i="44" s="1"/>
  <c r="AH67" i="44"/>
  <c r="AH68" i="44" s="1"/>
  <c r="AI67" i="44"/>
  <c r="AI68" i="44" s="1"/>
  <c r="AH70" i="44"/>
  <c r="AH71" i="44" s="1"/>
  <c r="AH72" i="44" s="1"/>
  <c r="AI70" i="44"/>
  <c r="AI71" i="44"/>
  <c r="AI72" i="44" s="1"/>
  <c r="AH74" i="44"/>
  <c r="AH75" i="44" s="1"/>
  <c r="AH76" i="44" s="1"/>
  <c r="AI74" i="44"/>
  <c r="AI75" i="44" s="1"/>
  <c r="AI76" i="44" s="1"/>
  <c r="AE18" i="47"/>
  <c r="AF18" i="47"/>
  <c r="AG18" i="47"/>
  <c r="AH18" i="47"/>
  <c r="AB19" i="47"/>
  <c r="AB18" i="47" s="1"/>
  <c r="AC19" i="47"/>
  <c r="AC18" i="47" s="1"/>
  <c r="AD19" i="47"/>
  <c r="AD18" i="47" s="1"/>
  <c r="AE19" i="47"/>
  <c r="AF19" i="47"/>
  <c r="AG19" i="47"/>
  <c r="AH19" i="47"/>
  <c r="AC23" i="31"/>
  <c r="AD23" i="31"/>
  <c r="AE23" i="31"/>
  <c r="AF23" i="31"/>
  <c r="AG23" i="31"/>
  <c r="AG30" i="31" s="1"/>
  <c r="AH23" i="31"/>
  <c r="AH30" i="31" s="1"/>
  <c r="AB23" i="31"/>
  <c r="AB30" i="31" s="1"/>
  <c r="AF30" i="31"/>
  <c r="AC30" i="31"/>
  <c r="AE30" i="31"/>
  <c r="AD30" i="31"/>
  <c r="AJ34" i="45" l="1"/>
  <c r="AJ46" i="50" s="1"/>
  <c r="AJ8" i="50"/>
  <c r="AJ42" i="50"/>
  <c r="AJ41" i="50"/>
  <c r="AJ7" i="50"/>
  <c r="AJ11" i="45"/>
  <c r="AI266" i="44"/>
  <c r="AH266" i="44"/>
  <c r="AH124" i="44"/>
  <c r="AH125" i="44" s="1"/>
  <c r="AH131" i="44"/>
  <c r="AH132" i="44" s="1"/>
  <c r="AH133" i="44" s="1"/>
  <c r="AH134" i="44" s="1"/>
  <c r="AH112" i="44"/>
  <c r="AH113" i="44" s="1"/>
  <c r="AH114" i="44" s="1"/>
  <c r="AH115" i="44" s="1"/>
  <c r="AH105" i="44"/>
  <c r="AH106" i="44" s="1"/>
  <c r="AI77" i="44"/>
  <c r="AH77" i="44"/>
  <c r="AI159" i="53"/>
  <c r="AI187" i="53" s="1"/>
  <c r="AI160" i="53"/>
  <c r="AI161" i="53"/>
  <c r="AI162" i="53"/>
  <c r="AI163" i="53"/>
  <c r="AI191" i="53" s="1"/>
  <c r="AI165" i="53"/>
  <c r="AI193" i="53" s="1"/>
  <c r="AI166" i="53"/>
  <c r="AI194" i="53" s="1"/>
  <c r="AI168" i="53"/>
  <c r="AI169" i="53"/>
  <c r="AI197" i="53" s="1"/>
  <c r="AI170" i="53"/>
  <c r="AI198" i="53" s="1"/>
  <c r="AI171" i="53"/>
  <c r="AI199" i="53" s="1"/>
  <c r="AI173" i="53"/>
  <c r="AI175" i="53"/>
  <c r="AI177" i="53"/>
  <c r="AI205" i="53" s="1"/>
  <c r="AI178" i="53"/>
  <c r="AI206" i="53" s="1"/>
  <c r="AI180" i="53"/>
  <c r="AI208" i="53" s="1"/>
  <c r="AI181" i="53"/>
  <c r="AI209" i="53" s="1"/>
  <c r="AI68" i="53"/>
  <c r="AI69" i="53"/>
  <c r="AI70" i="53"/>
  <c r="AI71" i="53"/>
  <c r="AI72" i="53"/>
  <c r="AI74" i="53"/>
  <c r="AI103" i="53" s="1"/>
  <c r="AI75" i="53"/>
  <c r="AI104" i="53" s="1"/>
  <c r="AI77" i="53"/>
  <c r="AI78" i="53"/>
  <c r="AI107" i="53" s="1"/>
  <c r="AI110" i="53" s="1"/>
  <c r="AI79" i="53"/>
  <c r="AI108" i="53" s="1"/>
  <c r="AI80" i="53"/>
  <c r="AI109" i="53" s="1"/>
  <c r="AI82" i="53"/>
  <c r="AI83" i="53"/>
  <c r="AI84" i="53"/>
  <c r="AI114" i="53" s="1"/>
  <c r="AI86" i="53"/>
  <c r="AI116" i="53" s="1"/>
  <c r="AI87" i="53"/>
  <c r="AI117" i="53" s="1"/>
  <c r="AI89" i="53"/>
  <c r="AI119" i="53" s="1"/>
  <c r="AI90" i="53"/>
  <c r="AI120" i="53" s="1"/>
  <c r="AI226" i="53"/>
  <c r="AI227" i="53"/>
  <c r="AI228" i="53"/>
  <c r="AI229" i="53"/>
  <c r="AI280" i="53"/>
  <c r="AI281" i="53"/>
  <c r="AI282" i="53"/>
  <c r="AI189" i="53" s="1"/>
  <c r="AI283" i="53"/>
  <c r="AI284" i="53"/>
  <c r="AI285" i="53"/>
  <c r="AI286" i="53"/>
  <c r="AI287" i="53"/>
  <c r="AI288" i="53"/>
  <c r="AI289" i="53"/>
  <c r="AI290" i="53"/>
  <c r="AI291" i="53"/>
  <c r="AI292" i="53"/>
  <c r="AI293" i="53"/>
  <c r="AI23" i="53"/>
  <c r="AI18" i="53"/>
  <c r="D54" i="50"/>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D9" i="31"/>
  <c r="C9" i="31"/>
  <c r="AH7" i="31"/>
  <c r="E7" i="31"/>
  <c r="F7" i="31"/>
  <c r="G7" i="31"/>
  <c r="H7" i="31"/>
  <c r="I7" i="31"/>
  <c r="J7" i="31"/>
  <c r="K7" i="31"/>
  <c r="L7" i="31"/>
  <c r="M7" i="31"/>
  <c r="N7" i="31"/>
  <c r="O7" i="31"/>
  <c r="P7" i="31"/>
  <c r="Q7" i="31"/>
  <c r="R7" i="31"/>
  <c r="S7" i="31"/>
  <c r="T7" i="31"/>
  <c r="U7" i="31"/>
  <c r="V7" i="31"/>
  <c r="W7" i="31"/>
  <c r="X7" i="31"/>
  <c r="Y7" i="31"/>
  <c r="Z7" i="31"/>
  <c r="AA7" i="31"/>
  <c r="AB7" i="31"/>
  <c r="AC7" i="31"/>
  <c r="AD7" i="31"/>
  <c r="AE7" i="31"/>
  <c r="AF7" i="31"/>
  <c r="AG7" i="31"/>
  <c r="D7" i="31"/>
  <c r="C7" i="31"/>
  <c r="C29" i="31"/>
  <c r="C19" i="47"/>
  <c r="W19" i="47"/>
  <c r="X19" i="47"/>
  <c r="Y19" i="47"/>
  <c r="Z19" i="47"/>
  <c r="F30" i="31"/>
  <c r="F29" i="31" s="1"/>
  <c r="G30" i="31"/>
  <c r="G29" i="31" s="1"/>
  <c r="H30" i="31"/>
  <c r="H29" i="31" s="1"/>
  <c r="I30" i="31"/>
  <c r="I19" i="47" s="1"/>
  <c r="J30" i="31"/>
  <c r="J29" i="31" s="1"/>
  <c r="K30" i="31"/>
  <c r="K29" i="31" s="1"/>
  <c r="L30" i="31"/>
  <c r="L19" i="47" s="1"/>
  <c r="M30" i="31"/>
  <c r="M29" i="31" s="1"/>
  <c r="N30" i="31"/>
  <c r="N29" i="31" s="1"/>
  <c r="O30" i="31"/>
  <c r="O29" i="31" s="1"/>
  <c r="P30" i="31"/>
  <c r="P29" i="31" s="1"/>
  <c r="Q30" i="31"/>
  <c r="Q19" i="47" s="1"/>
  <c r="R30" i="31"/>
  <c r="R19" i="47" s="1"/>
  <c r="S30" i="31"/>
  <c r="S19" i="47" s="1"/>
  <c r="T30" i="31"/>
  <c r="T19" i="47" s="1"/>
  <c r="U30" i="31"/>
  <c r="U29" i="31" s="1"/>
  <c r="V30" i="31"/>
  <c r="V29" i="31" s="1"/>
  <c r="E30" i="31"/>
  <c r="E29" i="31" s="1"/>
  <c r="D30" i="31"/>
  <c r="D19" i="47" s="1"/>
  <c r="C30" i="31"/>
  <c r="AG52" i="49"/>
  <c r="AH51" i="25"/>
  <c r="AH24" i="25"/>
  <c r="AH41" i="25" s="1"/>
  <c r="AH25" i="25"/>
  <c r="AH27" i="25"/>
  <c r="AH44" i="25" s="1"/>
  <c r="AH28" i="25"/>
  <c r="AH31" i="25"/>
  <c r="AH48" i="25" s="1"/>
  <c r="AH33" i="25"/>
  <c r="AH34" i="25"/>
  <c r="AH42" i="25"/>
  <c r="AH45" i="25"/>
  <c r="AH50" i="25"/>
  <c r="AG59" i="25"/>
  <c r="AG57" i="25" s="1"/>
  <c r="AG42" i="24"/>
  <c r="AH31" i="44"/>
  <c r="AH32" i="44" s="1"/>
  <c r="AH34" i="44"/>
  <c r="AH35" i="44" s="1"/>
  <c r="AH36" i="44" s="1"/>
  <c r="AH38" i="44"/>
  <c r="AH39" i="44" s="1"/>
  <c r="AH40" i="44" s="1"/>
  <c r="AH15" i="44"/>
  <c r="AJ6" i="50" l="1"/>
  <c r="AI190" i="53"/>
  <c r="AI100" i="53"/>
  <c r="AI196" i="53"/>
  <c r="AI99" i="53"/>
  <c r="AI98" i="53"/>
  <c r="AI97" i="53"/>
  <c r="AI203" i="53"/>
  <c r="AI96" i="53"/>
  <c r="AI106" i="53"/>
  <c r="AI188" i="53"/>
  <c r="AI112" i="53"/>
  <c r="AI201" i="53"/>
  <c r="D29" i="31"/>
  <c r="N19" i="47"/>
  <c r="H19" i="47"/>
  <c r="G19" i="47"/>
  <c r="F19" i="47"/>
  <c r="V19" i="47"/>
  <c r="T29" i="31"/>
  <c r="O19" i="47"/>
  <c r="P19" i="47"/>
  <c r="L29" i="31"/>
  <c r="S29" i="31"/>
  <c r="R29" i="31"/>
  <c r="U19" i="47"/>
  <c r="M19" i="47"/>
  <c r="E19" i="47"/>
  <c r="Q29" i="31"/>
  <c r="I29" i="31"/>
  <c r="K19" i="47"/>
  <c r="J19" i="47"/>
  <c r="AH30" i="25"/>
  <c r="AH47" i="25" s="1"/>
  <c r="AH32" i="25"/>
  <c r="AH49" i="25" s="1"/>
  <c r="AH26" i="25"/>
  <c r="AH43" i="25" s="1"/>
  <c r="AH23" i="25"/>
  <c r="AH41" i="44"/>
  <c r="AI210" i="53" l="1"/>
  <c r="AI211" i="53" s="1"/>
  <c r="AI101" i="53"/>
  <c r="AH29" i="25"/>
  <c r="AH46" i="25" s="1"/>
  <c r="AH35" i="25"/>
  <c r="AH52" i="25" s="1"/>
  <c r="AH40" i="25"/>
  <c r="E30" i="24" l="1"/>
  <c r="F30" i="24"/>
  <c r="G30" i="24"/>
  <c r="H30" i="24"/>
  <c r="I30" i="24"/>
  <c r="J30" i="24"/>
  <c r="K30" i="24"/>
  <c r="L30" i="24"/>
  <c r="M30" i="24"/>
  <c r="N30" i="24"/>
  <c r="O30" i="24"/>
  <c r="P30" i="24"/>
  <c r="Q30" i="24"/>
  <c r="R30" i="24"/>
  <c r="S30" i="24"/>
  <c r="T30" i="24"/>
  <c r="U30" i="24"/>
  <c r="V30" i="24"/>
  <c r="W30" i="24"/>
  <c r="X30" i="24"/>
  <c r="Y30" i="24"/>
  <c r="Z30" i="24"/>
  <c r="AA30" i="24"/>
  <c r="AB30" i="24"/>
  <c r="AC30" i="24"/>
  <c r="AD30" i="24"/>
  <c r="AE30" i="24"/>
  <c r="AF30" i="24"/>
  <c r="AG30" i="24"/>
  <c r="D30" i="24"/>
  <c r="C30" i="24"/>
  <c r="AH6" i="47" l="1"/>
  <c r="AH7" i="47"/>
  <c r="AH8" i="47"/>
  <c r="AH9" i="47"/>
  <c r="AH11" i="47"/>
  <c r="AH12" i="47"/>
  <c r="AH13" i="47"/>
  <c r="AH14" i="47"/>
  <c r="AH16" i="47"/>
  <c r="AH17" i="47"/>
  <c r="D53" i="50"/>
  <c r="AM53" i="50" s="1"/>
  <c r="AH10" i="31"/>
  <c r="AH11" i="31" s="1"/>
  <c r="AH8" i="31"/>
  <c r="AH164" i="44"/>
  <c r="AH51" i="44"/>
  <c r="AH25" i="31"/>
  <c r="AH29" i="31"/>
  <c r="AH45" i="31"/>
  <c r="AH46" i="31" s="1"/>
  <c r="AH55" i="31"/>
  <c r="AH56" i="31" s="1"/>
  <c r="AH57" i="31"/>
  <c r="AH10" i="47" l="1"/>
  <c r="AH15" i="47"/>
  <c r="AH5" i="28"/>
  <c r="AI327" i="27"/>
  <c r="AI324" i="27"/>
  <c r="AI325" i="27"/>
  <c r="AI326" i="27"/>
  <c r="AI290" i="27"/>
  <c r="AI253" i="27"/>
  <c r="AI285" i="27" s="1"/>
  <c r="AI254" i="27"/>
  <c r="AI286" i="27" s="1"/>
  <c r="AI255" i="27"/>
  <c r="AI287" i="27" s="1"/>
  <c r="AI256" i="27"/>
  <c r="AI288" i="27" s="1"/>
  <c r="AI257" i="27"/>
  <c r="AI289" i="27" s="1"/>
  <c r="AI258" i="27"/>
  <c r="AI259" i="27"/>
  <c r="AI291" i="27" s="1"/>
  <c r="AI260" i="27"/>
  <c r="AI292" i="27" s="1"/>
  <c r="AI262" i="27"/>
  <c r="AI294" i="27" s="1"/>
  <c r="AI263" i="27"/>
  <c r="AI295" i="27" s="1"/>
  <c r="AI264" i="27"/>
  <c r="AI296" i="27" s="1"/>
  <c r="AI265" i="27"/>
  <c r="AI297" i="27" s="1"/>
  <c r="AI266" i="27"/>
  <c r="AI298" i="27" s="1"/>
  <c r="AI267" i="27"/>
  <c r="AI299" i="27" s="1"/>
  <c r="AI268" i="27"/>
  <c r="AI300" i="27" s="1"/>
  <c r="AI269" i="27"/>
  <c r="AI301" i="27" s="1"/>
  <c r="AI270" i="27"/>
  <c r="AI302" i="27" s="1"/>
  <c r="AI271" i="27"/>
  <c r="AI303" i="27" s="1"/>
  <c r="AI273" i="27"/>
  <c r="AI305" i="27" s="1"/>
  <c r="AI274" i="27"/>
  <c r="AI306" i="27" s="1"/>
  <c r="AI275" i="27"/>
  <c r="AI307" i="27" s="1"/>
  <c r="AI277" i="27"/>
  <c r="AI278" i="27"/>
  <c r="AI280" i="27"/>
  <c r="AH70" i="27"/>
  <c r="AJ205" i="27" s="1"/>
  <c r="AJ209" i="27" s="1"/>
  <c r="AJ212" i="27" s="1"/>
  <c r="AF70" i="27"/>
  <c r="AI201" i="27"/>
  <c r="AI205" i="27" s="1"/>
  <c r="AI202" i="27"/>
  <c r="AI206" i="27" s="1"/>
  <c r="AI203" i="27"/>
  <c r="AI149" i="27"/>
  <c r="AI156" i="27"/>
  <c r="AI159" i="27"/>
  <c r="AI117" i="27"/>
  <c r="AI148" i="27" s="1"/>
  <c r="AI118" i="27"/>
  <c r="AI119" i="27"/>
  <c r="AI152" i="27" s="1"/>
  <c r="AI120" i="27"/>
  <c r="AI164" i="27" s="1"/>
  <c r="AI121" i="27"/>
  <c r="AI161" i="27" s="1"/>
  <c r="AI122" i="27"/>
  <c r="AI163" i="27" s="1"/>
  <c r="AI123" i="27"/>
  <c r="AI166" i="27" s="1"/>
  <c r="AI125" i="27"/>
  <c r="AI170" i="27" s="1"/>
  <c r="AI126" i="27"/>
  <c r="AI171" i="27" s="1"/>
  <c r="AI127" i="27"/>
  <c r="AI172" i="27" s="1"/>
  <c r="AI128" i="27"/>
  <c r="AI173" i="27" s="1"/>
  <c r="AI129" i="27"/>
  <c r="AI174" i="27" s="1"/>
  <c r="AI130" i="27"/>
  <c r="AI175" i="27" s="1"/>
  <c r="AI131" i="27"/>
  <c r="AI176" i="27" s="1"/>
  <c r="AI132" i="27"/>
  <c r="AI177" i="27" s="1"/>
  <c r="AI133" i="27"/>
  <c r="AI178" i="27" s="1"/>
  <c r="AI134" i="27"/>
  <c r="AI179" i="27" s="1"/>
  <c r="AI136" i="27"/>
  <c r="AI182" i="27" s="1"/>
  <c r="AI137" i="27"/>
  <c r="AI183" i="27" s="1"/>
  <c r="AI138" i="27"/>
  <c r="AI184" i="27" s="1"/>
  <c r="AI140" i="27"/>
  <c r="AI141" i="27"/>
  <c r="AI188" i="27" s="1"/>
  <c r="AI143" i="27"/>
  <c r="AI191" i="27" s="1"/>
  <c r="AI160" i="27" l="1"/>
  <c r="AI180" i="27"/>
  <c r="AJ213" i="27"/>
  <c r="AJ9" i="27" s="1"/>
  <c r="AJ14" i="27"/>
  <c r="AJ12" i="27" s="1"/>
  <c r="AJ50" i="49" s="1"/>
  <c r="AI151" i="27"/>
  <c r="AI150" i="27"/>
  <c r="AI167" i="27"/>
  <c r="AI165" i="27"/>
  <c r="AI328" i="27"/>
  <c r="AI162" i="27"/>
  <c r="AI155" i="27"/>
  <c r="AI154" i="27"/>
  <c r="AH5" i="47"/>
  <c r="AH20" i="47" s="1"/>
  <c r="AH24" i="28"/>
  <c r="AI40" i="49"/>
  <c r="AI185" i="27"/>
  <c r="AI157" i="27" l="1"/>
  <c r="AI168" i="27"/>
  <c r="AJ54" i="54"/>
  <c r="AJ53" i="54" s="1"/>
  <c r="AJ33" i="45"/>
  <c r="AJ7" i="27"/>
  <c r="AH28" i="32"/>
  <c r="AH29" i="32"/>
  <c r="AH30" i="32" l="1"/>
  <c r="AJ45" i="50"/>
  <c r="AJ32" i="45"/>
  <c r="AJ10" i="50" s="1"/>
  <c r="AH42" i="24"/>
  <c r="E324" i="27"/>
  <c r="F324" i="27"/>
  <c r="G324" i="27"/>
  <c r="H324" i="27"/>
  <c r="I324" i="27"/>
  <c r="J324" i="27"/>
  <c r="K324" i="27"/>
  <c r="L324" i="27"/>
  <c r="M324" i="27"/>
  <c r="N324" i="27"/>
  <c r="O324" i="27"/>
  <c r="P324" i="27"/>
  <c r="Q324" i="27"/>
  <c r="R324" i="27"/>
  <c r="S324" i="27"/>
  <c r="T324" i="27"/>
  <c r="U324" i="27"/>
  <c r="V324" i="27"/>
  <c r="W324" i="27"/>
  <c r="X324" i="27"/>
  <c r="Y324" i="27"/>
  <c r="Z324" i="27"/>
  <c r="AA324" i="27"/>
  <c r="AB324" i="27"/>
  <c r="AC324" i="27"/>
  <c r="AD324" i="27"/>
  <c r="AE324" i="27"/>
  <c r="AF324" i="27"/>
  <c r="AG324" i="27"/>
  <c r="AH324" i="27"/>
  <c r="E325" i="27"/>
  <c r="F325" i="27"/>
  <c r="G325" i="27"/>
  <c r="H325" i="27"/>
  <c r="I325" i="27"/>
  <c r="J325" i="27"/>
  <c r="K325" i="27"/>
  <c r="L325" i="27"/>
  <c r="M325" i="27"/>
  <c r="N325" i="27"/>
  <c r="O325" i="27"/>
  <c r="P325" i="27"/>
  <c r="Q325" i="27"/>
  <c r="R325" i="27"/>
  <c r="S325" i="27"/>
  <c r="T325" i="27"/>
  <c r="U325" i="27"/>
  <c r="V325" i="27"/>
  <c r="W325" i="27"/>
  <c r="X325" i="27"/>
  <c r="Y325" i="27"/>
  <c r="Z325" i="27"/>
  <c r="AA325" i="27"/>
  <c r="AB325" i="27"/>
  <c r="AC325" i="27"/>
  <c r="AD325" i="27"/>
  <c r="AE325" i="27"/>
  <c r="AF325" i="27"/>
  <c r="AG325" i="27"/>
  <c r="AH325" i="27"/>
  <c r="E326" i="27"/>
  <c r="E330" i="27" s="1"/>
  <c r="F326" i="27"/>
  <c r="F330" i="27" s="1"/>
  <c r="G326" i="27"/>
  <c r="G330" i="27" s="1"/>
  <c r="H326" i="27"/>
  <c r="H330" i="27" s="1"/>
  <c r="I326" i="27"/>
  <c r="I330" i="27" s="1"/>
  <c r="J326" i="27"/>
  <c r="J330" i="27" s="1"/>
  <c r="K326" i="27"/>
  <c r="K330" i="27" s="1"/>
  <c r="L326" i="27"/>
  <c r="L330" i="27" s="1"/>
  <c r="M326" i="27"/>
  <c r="M330" i="27" s="1"/>
  <c r="N326" i="27"/>
  <c r="N330" i="27" s="1"/>
  <c r="O326" i="27"/>
  <c r="O330" i="27" s="1"/>
  <c r="P326" i="27"/>
  <c r="P330" i="27" s="1"/>
  <c r="Q326" i="27"/>
  <c r="Q330" i="27" s="1"/>
  <c r="R326" i="27"/>
  <c r="R330" i="27" s="1"/>
  <c r="S326" i="27"/>
  <c r="S330" i="27" s="1"/>
  <c r="T326" i="27"/>
  <c r="T330" i="27" s="1"/>
  <c r="U326" i="27"/>
  <c r="U330" i="27" s="1"/>
  <c r="V326" i="27"/>
  <c r="V330" i="27" s="1"/>
  <c r="W326" i="27"/>
  <c r="W330" i="27" s="1"/>
  <c r="X326" i="27"/>
  <c r="X330" i="27" s="1"/>
  <c r="Y326" i="27"/>
  <c r="Y330" i="27" s="1"/>
  <c r="Z326" i="27"/>
  <c r="Z330" i="27" s="1"/>
  <c r="AA326" i="27"/>
  <c r="AA330" i="27" s="1"/>
  <c r="AB326" i="27"/>
  <c r="AB330" i="27" s="1"/>
  <c r="AC326" i="27"/>
  <c r="AC330" i="27" s="1"/>
  <c r="AD326" i="27"/>
  <c r="AD330" i="27" s="1"/>
  <c r="AE326" i="27"/>
  <c r="AE330" i="27" s="1"/>
  <c r="AF326" i="27"/>
  <c r="AG326" i="27"/>
  <c r="AH326" i="27"/>
  <c r="D325" i="27"/>
  <c r="D326" i="27"/>
  <c r="D324" i="27"/>
  <c r="AH59" i="25" l="1"/>
  <c r="AA125" i="27"/>
  <c r="AA126" i="27"/>
  <c r="AA127" i="27"/>
  <c r="AA128" i="27"/>
  <c r="AA129" i="27"/>
  <c r="AA130" i="27"/>
  <c r="AA131" i="27"/>
  <c r="AA132" i="27"/>
  <c r="AA133" i="27"/>
  <c r="AA134" i="27"/>
  <c r="E125" i="27"/>
  <c r="F125" i="27"/>
  <c r="G125" i="27"/>
  <c r="H125" i="27"/>
  <c r="I125" i="27"/>
  <c r="J125" i="27"/>
  <c r="K125" i="27"/>
  <c r="L125" i="27"/>
  <c r="M125" i="27"/>
  <c r="N125" i="27"/>
  <c r="O125" i="27"/>
  <c r="P125" i="27"/>
  <c r="Q125" i="27"/>
  <c r="R125" i="27"/>
  <c r="S125" i="27"/>
  <c r="T125" i="27"/>
  <c r="U125" i="27"/>
  <c r="V125" i="27"/>
  <c r="W125" i="27"/>
  <c r="X125" i="27"/>
  <c r="Y125" i="27"/>
  <c r="Z125" i="27"/>
  <c r="E126" i="27"/>
  <c r="F126" i="27"/>
  <c r="G126" i="27"/>
  <c r="H126" i="27"/>
  <c r="I126" i="27"/>
  <c r="J126" i="27"/>
  <c r="K126" i="27"/>
  <c r="L126" i="27"/>
  <c r="M126" i="27"/>
  <c r="N126" i="27"/>
  <c r="O126" i="27"/>
  <c r="P126" i="27"/>
  <c r="Q126" i="27"/>
  <c r="R126" i="27"/>
  <c r="S126" i="27"/>
  <c r="T126" i="27"/>
  <c r="U126" i="27"/>
  <c r="V126" i="27"/>
  <c r="W126" i="27"/>
  <c r="X126" i="27"/>
  <c r="Y126" i="27"/>
  <c r="Z126" i="27"/>
  <c r="E127" i="27"/>
  <c r="F127" i="27"/>
  <c r="G127" i="27"/>
  <c r="H127" i="27"/>
  <c r="I127" i="27"/>
  <c r="J127" i="27"/>
  <c r="K127" i="27"/>
  <c r="L127" i="27"/>
  <c r="M127" i="27"/>
  <c r="N127" i="27"/>
  <c r="O127" i="27"/>
  <c r="P127" i="27"/>
  <c r="Q127" i="27"/>
  <c r="R127" i="27"/>
  <c r="S127" i="27"/>
  <c r="T127" i="27"/>
  <c r="U127" i="27"/>
  <c r="V127" i="27"/>
  <c r="W127" i="27"/>
  <c r="X127" i="27"/>
  <c r="Y127" i="27"/>
  <c r="Z127" i="27"/>
  <c r="E128" i="27"/>
  <c r="F128" i="27"/>
  <c r="G128" i="27"/>
  <c r="H128" i="27"/>
  <c r="I128" i="27"/>
  <c r="J128" i="27"/>
  <c r="K128" i="27"/>
  <c r="L128" i="27"/>
  <c r="M128" i="27"/>
  <c r="N128" i="27"/>
  <c r="O128" i="27"/>
  <c r="P128" i="27"/>
  <c r="Q128" i="27"/>
  <c r="R128" i="27"/>
  <c r="S128" i="27"/>
  <c r="T128" i="27"/>
  <c r="U128" i="27"/>
  <c r="V128" i="27"/>
  <c r="W128" i="27"/>
  <c r="X128" i="27"/>
  <c r="Y128" i="27"/>
  <c r="Z128" i="27"/>
  <c r="E129" i="27"/>
  <c r="F129" i="27"/>
  <c r="G129" i="27"/>
  <c r="H129" i="27"/>
  <c r="I129" i="27"/>
  <c r="J129" i="27"/>
  <c r="K129" i="27"/>
  <c r="L129" i="27"/>
  <c r="M129" i="27"/>
  <c r="N129" i="27"/>
  <c r="O129" i="27"/>
  <c r="P129" i="27"/>
  <c r="Q129" i="27"/>
  <c r="R129" i="27"/>
  <c r="S129" i="27"/>
  <c r="T129" i="27"/>
  <c r="U129" i="27"/>
  <c r="V129" i="27"/>
  <c r="W129" i="27"/>
  <c r="X129" i="27"/>
  <c r="Y129" i="27"/>
  <c r="Z129" i="27"/>
  <c r="E130" i="27"/>
  <c r="F130" i="27"/>
  <c r="G130" i="27"/>
  <c r="H130" i="27"/>
  <c r="I130" i="27"/>
  <c r="J130" i="27"/>
  <c r="K130" i="27"/>
  <c r="L130" i="27"/>
  <c r="M130" i="27"/>
  <c r="N130" i="27"/>
  <c r="O130" i="27"/>
  <c r="P130" i="27"/>
  <c r="Q130" i="27"/>
  <c r="R130" i="27"/>
  <c r="S130" i="27"/>
  <c r="T130" i="27"/>
  <c r="U130" i="27"/>
  <c r="V130" i="27"/>
  <c r="W130" i="27"/>
  <c r="X130" i="27"/>
  <c r="Y130" i="27"/>
  <c r="Z130" i="27"/>
  <c r="E131" i="27"/>
  <c r="F131" i="27"/>
  <c r="G131" i="27"/>
  <c r="H131" i="27"/>
  <c r="I131" i="27"/>
  <c r="J131" i="27"/>
  <c r="K131" i="27"/>
  <c r="L131" i="27"/>
  <c r="M131" i="27"/>
  <c r="N131" i="27"/>
  <c r="O131" i="27"/>
  <c r="P131" i="27"/>
  <c r="Q131" i="27"/>
  <c r="R131" i="27"/>
  <c r="S131" i="27"/>
  <c r="T131" i="27"/>
  <c r="U131" i="27"/>
  <c r="V131" i="27"/>
  <c r="W131" i="27"/>
  <c r="X131" i="27"/>
  <c r="Y131" i="27"/>
  <c r="Z131" i="27"/>
  <c r="E132" i="27"/>
  <c r="F132" i="27"/>
  <c r="G132" i="27"/>
  <c r="H132" i="27"/>
  <c r="I132" i="27"/>
  <c r="J132" i="27"/>
  <c r="K132" i="27"/>
  <c r="L132" i="27"/>
  <c r="M132" i="27"/>
  <c r="N132" i="27"/>
  <c r="O132" i="27"/>
  <c r="P132" i="27"/>
  <c r="Q132" i="27"/>
  <c r="R132" i="27"/>
  <c r="S132" i="27"/>
  <c r="T132" i="27"/>
  <c r="U132" i="27"/>
  <c r="V132" i="27"/>
  <c r="W132" i="27"/>
  <c r="X132" i="27"/>
  <c r="Y132" i="27"/>
  <c r="Z132" i="27"/>
  <c r="E133" i="27"/>
  <c r="F133" i="27"/>
  <c r="G133" i="27"/>
  <c r="H133" i="27"/>
  <c r="I133" i="27"/>
  <c r="J133" i="27"/>
  <c r="K133" i="27"/>
  <c r="L133" i="27"/>
  <c r="M133" i="27"/>
  <c r="N133" i="27"/>
  <c r="O133" i="27"/>
  <c r="P133" i="27"/>
  <c r="Q133" i="27"/>
  <c r="R133" i="27"/>
  <c r="S133" i="27"/>
  <c r="T133" i="27"/>
  <c r="U133" i="27"/>
  <c r="V133" i="27"/>
  <c r="W133" i="27"/>
  <c r="X133" i="27"/>
  <c r="Y133" i="27"/>
  <c r="Z133" i="27"/>
  <c r="E134" i="27"/>
  <c r="F134" i="27"/>
  <c r="G134" i="27"/>
  <c r="H134" i="27"/>
  <c r="I134" i="27"/>
  <c r="J134" i="27"/>
  <c r="K134" i="27"/>
  <c r="L134" i="27"/>
  <c r="M134" i="27"/>
  <c r="N134" i="27"/>
  <c r="O134" i="27"/>
  <c r="P134" i="27"/>
  <c r="Q134" i="27"/>
  <c r="R134" i="27"/>
  <c r="S134" i="27"/>
  <c r="T134" i="27"/>
  <c r="U134" i="27"/>
  <c r="V134" i="27"/>
  <c r="W134" i="27"/>
  <c r="X134" i="27"/>
  <c r="Y134" i="27"/>
  <c r="Z134" i="27"/>
  <c r="AH57" i="25" l="1"/>
  <c r="AH58" i="25"/>
  <c r="AH116" i="27"/>
  <c r="AH155" i="27" s="1"/>
  <c r="AH117" i="27"/>
  <c r="AH156" i="27" s="1"/>
  <c r="AH118" i="27"/>
  <c r="AH151" i="27" s="1"/>
  <c r="AH119" i="27"/>
  <c r="AH152" i="27" s="1"/>
  <c r="AH120" i="27"/>
  <c r="AH121" i="27"/>
  <c r="AH122" i="27"/>
  <c r="AH163" i="27" s="1"/>
  <c r="AH123" i="27"/>
  <c r="AH166" i="27" s="1"/>
  <c r="AH125" i="27"/>
  <c r="AH170" i="27" s="1"/>
  <c r="AH126" i="27"/>
  <c r="AH171" i="27" s="1"/>
  <c r="AH127" i="27"/>
  <c r="AH172" i="27" s="1"/>
  <c r="AH128" i="27"/>
  <c r="AH173" i="27" s="1"/>
  <c r="AH129" i="27"/>
  <c r="AH174" i="27" s="1"/>
  <c r="AH130" i="27"/>
  <c r="AH175" i="27" s="1"/>
  <c r="AH131" i="27"/>
  <c r="AH176" i="27" s="1"/>
  <c r="AH132" i="27"/>
  <c r="AH177" i="27" s="1"/>
  <c r="AH133" i="27"/>
  <c r="AH178" i="27" s="1"/>
  <c r="AH134" i="27"/>
  <c r="AH179" i="27" s="1"/>
  <c r="AH136" i="27"/>
  <c r="AH182" i="27" s="1"/>
  <c r="AH137" i="27"/>
  <c r="AH183" i="27" s="1"/>
  <c r="AH138" i="27"/>
  <c r="AH184" i="27" s="1"/>
  <c r="AH140" i="27"/>
  <c r="AH141" i="27"/>
  <c r="AH188" i="27" s="1"/>
  <c r="AH143" i="27"/>
  <c r="AH191" i="27" s="1"/>
  <c r="E116" i="27"/>
  <c r="E155" i="27" s="1"/>
  <c r="F116" i="27"/>
  <c r="F155" i="27" s="1"/>
  <c r="G116" i="27"/>
  <c r="G155" i="27" s="1"/>
  <c r="H116" i="27"/>
  <c r="H155" i="27" s="1"/>
  <c r="I116" i="27"/>
  <c r="I155" i="27" s="1"/>
  <c r="J116" i="27"/>
  <c r="J155" i="27" s="1"/>
  <c r="K116" i="27"/>
  <c r="K155" i="27" s="1"/>
  <c r="L116" i="27"/>
  <c r="L155" i="27" s="1"/>
  <c r="M116" i="27"/>
  <c r="M155" i="27" s="1"/>
  <c r="N116" i="27"/>
  <c r="N155" i="27" s="1"/>
  <c r="O116" i="27"/>
  <c r="O155" i="27" s="1"/>
  <c r="P116" i="27"/>
  <c r="P155" i="27" s="1"/>
  <c r="Q116" i="27"/>
  <c r="Q155" i="27" s="1"/>
  <c r="R116" i="27"/>
  <c r="R155" i="27" s="1"/>
  <c r="S116" i="27"/>
  <c r="S155" i="27" s="1"/>
  <c r="T116" i="27"/>
  <c r="T155" i="27" s="1"/>
  <c r="U116" i="27"/>
  <c r="U155" i="27" s="1"/>
  <c r="V116" i="27"/>
  <c r="V155" i="27" s="1"/>
  <c r="W116" i="27"/>
  <c r="W155" i="27" s="1"/>
  <c r="X116" i="27"/>
  <c r="X155" i="27" s="1"/>
  <c r="Y116" i="27"/>
  <c r="Y155" i="27" s="1"/>
  <c r="Z116" i="27"/>
  <c r="Z155" i="27" s="1"/>
  <c r="AA116" i="27"/>
  <c r="AA155" i="27" s="1"/>
  <c r="AB116" i="27"/>
  <c r="AB155" i="27" s="1"/>
  <c r="AC116" i="27"/>
  <c r="AC155" i="27" s="1"/>
  <c r="AD116" i="27"/>
  <c r="AD155" i="27" s="1"/>
  <c r="AE116" i="27"/>
  <c r="AE155" i="27" s="1"/>
  <c r="AF116" i="27"/>
  <c r="AF155" i="27" s="1"/>
  <c r="AG116" i="27"/>
  <c r="AG155" i="27" s="1"/>
  <c r="E117" i="27"/>
  <c r="E156" i="27" s="1"/>
  <c r="F117" i="27"/>
  <c r="F156" i="27" s="1"/>
  <c r="G117" i="27"/>
  <c r="G156" i="27" s="1"/>
  <c r="H117" i="27"/>
  <c r="H156" i="27" s="1"/>
  <c r="I117" i="27"/>
  <c r="I156" i="27" s="1"/>
  <c r="J117" i="27"/>
  <c r="J156" i="27" s="1"/>
  <c r="K117" i="27"/>
  <c r="K156" i="27" s="1"/>
  <c r="L117" i="27"/>
  <c r="L156" i="27" s="1"/>
  <c r="M117" i="27"/>
  <c r="M156" i="27" s="1"/>
  <c r="N117" i="27"/>
  <c r="N156" i="27" s="1"/>
  <c r="O117" i="27"/>
  <c r="O156" i="27" s="1"/>
  <c r="P117" i="27"/>
  <c r="P156" i="27" s="1"/>
  <c r="Q117" i="27"/>
  <c r="Q156" i="27" s="1"/>
  <c r="R117" i="27"/>
  <c r="R156" i="27" s="1"/>
  <c r="S117" i="27"/>
  <c r="S156" i="27" s="1"/>
  <c r="T117" i="27"/>
  <c r="T156" i="27" s="1"/>
  <c r="U117" i="27"/>
  <c r="U156" i="27" s="1"/>
  <c r="V117" i="27"/>
  <c r="V156" i="27" s="1"/>
  <c r="W117" i="27"/>
  <c r="W156" i="27" s="1"/>
  <c r="X117" i="27"/>
  <c r="X156" i="27" s="1"/>
  <c r="Y117" i="27"/>
  <c r="Y156" i="27" s="1"/>
  <c r="Z117" i="27"/>
  <c r="Z156" i="27" s="1"/>
  <c r="AA117" i="27"/>
  <c r="AA156" i="27" s="1"/>
  <c r="AB117" i="27"/>
  <c r="AB156" i="27" s="1"/>
  <c r="AC117" i="27"/>
  <c r="AC156" i="27" s="1"/>
  <c r="AD117" i="27"/>
  <c r="AD156" i="27" s="1"/>
  <c r="AE117" i="27"/>
  <c r="AE156" i="27" s="1"/>
  <c r="AF117" i="27"/>
  <c r="AF156" i="27" s="1"/>
  <c r="AG117" i="27"/>
  <c r="AG156" i="27" s="1"/>
  <c r="E118" i="27"/>
  <c r="E150" i="27" s="1"/>
  <c r="F118" i="27"/>
  <c r="F150" i="27" s="1"/>
  <c r="G118" i="27"/>
  <c r="G151" i="27" s="1"/>
  <c r="H118" i="27"/>
  <c r="H151" i="27" s="1"/>
  <c r="I118" i="27"/>
  <c r="I151" i="27" s="1"/>
  <c r="J118" i="27"/>
  <c r="J151" i="27" s="1"/>
  <c r="K118" i="27"/>
  <c r="K151" i="27" s="1"/>
  <c r="L118" i="27"/>
  <c r="L151" i="27" s="1"/>
  <c r="M118" i="27"/>
  <c r="M150" i="27" s="1"/>
  <c r="N118" i="27"/>
  <c r="N150" i="27" s="1"/>
  <c r="O118" i="27"/>
  <c r="O151" i="27" s="1"/>
  <c r="P118" i="27"/>
  <c r="P151" i="27" s="1"/>
  <c r="Q118" i="27"/>
  <c r="Q151" i="27" s="1"/>
  <c r="R118" i="27"/>
  <c r="R151" i="27" s="1"/>
  <c r="S118" i="27"/>
  <c r="S151" i="27" s="1"/>
  <c r="T118" i="27"/>
  <c r="T151" i="27" s="1"/>
  <c r="U118" i="27"/>
  <c r="U150" i="27" s="1"/>
  <c r="V118" i="27"/>
  <c r="V150" i="27" s="1"/>
  <c r="W118" i="27"/>
  <c r="W151" i="27" s="1"/>
  <c r="X118" i="27"/>
  <c r="X151" i="27" s="1"/>
  <c r="Y118" i="27"/>
  <c r="Y151" i="27" s="1"/>
  <c r="Z118" i="27"/>
  <c r="Z151" i="27" s="1"/>
  <c r="AA118" i="27"/>
  <c r="AA151" i="27" s="1"/>
  <c r="AB118" i="27"/>
  <c r="AB151" i="27" s="1"/>
  <c r="AC118" i="27"/>
  <c r="AC150" i="27" s="1"/>
  <c r="AD118" i="27"/>
  <c r="AD150" i="27" s="1"/>
  <c r="AE118" i="27"/>
  <c r="AE151" i="27" s="1"/>
  <c r="AF118" i="27"/>
  <c r="AF151" i="27" s="1"/>
  <c r="AG118" i="27"/>
  <c r="AG151" i="27" s="1"/>
  <c r="E119" i="27"/>
  <c r="E152" i="27" s="1"/>
  <c r="F119" i="27"/>
  <c r="F152" i="27" s="1"/>
  <c r="G119" i="27"/>
  <c r="G152" i="27" s="1"/>
  <c r="H119" i="27"/>
  <c r="H152" i="27" s="1"/>
  <c r="I119" i="27"/>
  <c r="I152" i="27" s="1"/>
  <c r="J119" i="27"/>
  <c r="J152" i="27" s="1"/>
  <c r="K119" i="27"/>
  <c r="K152" i="27" s="1"/>
  <c r="L119" i="27"/>
  <c r="L152" i="27" s="1"/>
  <c r="M119" i="27"/>
  <c r="M152" i="27" s="1"/>
  <c r="N119" i="27"/>
  <c r="N152" i="27" s="1"/>
  <c r="O119" i="27"/>
  <c r="O152" i="27" s="1"/>
  <c r="P119" i="27"/>
  <c r="P152" i="27" s="1"/>
  <c r="Q119" i="27"/>
  <c r="Q152" i="27" s="1"/>
  <c r="R119" i="27"/>
  <c r="R152" i="27" s="1"/>
  <c r="S119" i="27"/>
  <c r="S152" i="27" s="1"/>
  <c r="T119" i="27"/>
  <c r="T152" i="27" s="1"/>
  <c r="U119" i="27"/>
  <c r="U152" i="27" s="1"/>
  <c r="V119" i="27"/>
  <c r="V152" i="27" s="1"/>
  <c r="W119" i="27"/>
  <c r="W152" i="27" s="1"/>
  <c r="X119" i="27"/>
  <c r="X152" i="27" s="1"/>
  <c r="Y119" i="27"/>
  <c r="Y152" i="27" s="1"/>
  <c r="Z119" i="27"/>
  <c r="Z152" i="27" s="1"/>
  <c r="AA119" i="27"/>
  <c r="AA152" i="27" s="1"/>
  <c r="AB119" i="27"/>
  <c r="AB152" i="27" s="1"/>
  <c r="AC119" i="27"/>
  <c r="AC152" i="27" s="1"/>
  <c r="AD119" i="27"/>
  <c r="AD152" i="27" s="1"/>
  <c r="AE119" i="27"/>
  <c r="AE152" i="27" s="1"/>
  <c r="AF119" i="27"/>
  <c r="AF152" i="27" s="1"/>
  <c r="AG119" i="27"/>
  <c r="AG152" i="27" s="1"/>
  <c r="E120" i="27"/>
  <c r="F120" i="27"/>
  <c r="G120" i="27"/>
  <c r="H120" i="27"/>
  <c r="I120" i="27"/>
  <c r="J120" i="27"/>
  <c r="K120" i="27"/>
  <c r="L120" i="27"/>
  <c r="M120" i="27"/>
  <c r="N120" i="27"/>
  <c r="O120" i="27"/>
  <c r="P120" i="27"/>
  <c r="Q120" i="27"/>
  <c r="R120" i="27"/>
  <c r="S120" i="27"/>
  <c r="T120" i="27"/>
  <c r="U120" i="27"/>
  <c r="V120" i="27"/>
  <c r="W120" i="27"/>
  <c r="X120" i="27"/>
  <c r="Y120" i="27"/>
  <c r="Z120" i="27"/>
  <c r="AA120" i="27"/>
  <c r="AB120" i="27"/>
  <c r="AC120" i="27"/>
  <c r="AD120" i="27"/>
  <c r="AE120" i="27"/>
  <c r="AF120" i="27"/>
  <c r="AG120" i="27"/>
  <c r="E121" i="27"/>
  <c r="F121" i="27"/>
  <c r="G121" i="27"/>
  <c r="H121" i="27"/>
  <c r="I121" i="27"/>
  <c r="J121" i="27"/>
  <c r="K121" i="27"/>
  <c r="L121" i="27"/>
  <c r="M121" i="27"/>
  <c r="N121" i="27"/>
  <c r="O121" i="27"/>
  <c r="P121" i="27"/>
  <c r="Q121" i="27"/>
  <c r="R121" i="27"/>
  <c r="S121" i="27"/>
  <c r="T121" i="27"/>
  <c r="U121" i="27"/>
  <c r="V121" i="27"/>
  <c r="W121" i="27"/>
  <c r="X121" i="27"/>
  <c r="Y121" i="27"/>
  <c r="Z121" i="27"/>
  <c r="AA121" i="27"/>
  <c r="AB121" i="27"/>
  <c r="AC121" i="27"/>
  <c r="AD121" i="27"/>
  <c r="AE121" i="27"/>
  <c r="AF121" i="27"/>
  <c r="AG121" i="27"/>
  <c r="E122" i="27"/>
  <c r="E163" i="27" s="1"/>
  <c r="F122" i="27"/>
  <c r="F163" i="27" s="1"/>
  <c r="G122" i="27"/>
  <c r="G163" i="27" s="1"/>
  <c r="H122" i="27"/>
  <c r="H163" i="27" s="1"/>
  <c r="I122" i="27"/>
  <c r="I163" i="27" s="1"/>
  <c r="J122" i="27"/>
  <c r="J163" i="27" s="1"/>
  <c r="K122" i="27"/>
  <c r="K163" i="27" s="1"/>
  <c r="L122" i="27"/>
  <c r="L163" i="27" s="1"/>
  <c r="M122" i="27"/>
  <c r="M163" i="27" s="1"/>
  <c r="N122" i="27"/>
  <c r="N163" i="27" s="1"/>
  <c r="O122" i="27"/>
  <c r="O163" i="27" s="1"/>
  <c r="P122" i="27"/>
  <c r="P163" i="27" s="1"/>
  <c r="Q122" i="27"/>
  <c r="Q163" i="27" s="1"/>
  <c r="R122" i="27"/>
  <c r="R163" i="27" s="1"/>
  <c r="S122" i="27"/>
  <c r="S163" i="27" s="1"/>
  <c r="T122" i="27"/>
  <c r="T163" i="27" s="1"/>
  <c r="U122" i="27"/>
  <c r="U163" i="27" s="1"/>
  <c r="V122" i="27"/>
  <c r="V163" i="27" s="1"/>
  <c r="W122" i="27"/>
  <c r="W163" i="27" s="1"/>
  <c r="X122" i="27"/>
  <c r="X163" i="27" s="1"/>
  <c r="Y122" i="27"/>
  <c r="Y163" i="27" s="1"/>
  <c r="Z122" i="27"/>
  <c r="Z163" i="27" s="1"/>
  <c r="AA122" i="27"/>
  <c r="AA163" i="27" s="1"/>
  <c r="AB122" i="27"/>
  <c r="AB163" i="27" s="1"/>
  <c r="AC122" i="27"/>
  <c r="AC163" i="27" s="1"/>
  <c r="AD122" i="27"/>
  <c r="AD163" i="27" s="1"/>
  <c r="AE122" i="27"/>
  <c r="AE163" i="27" s="1"/>
  <c r="AF122" i="27"/>
  <c r="AF163" i="27" s="1"/>
  <c r="AG122" i="27"/>
  <c r="AG163" i="27" s="1"/>
  <c r="E123" i="27"/>
  <c r="E166" i="27" s="1"/>
  <c r="F123" i="27"/>
  <c r="F166" i="27" s="1"/>
  <c r="G123" i="27"/>
  <c r="G166" i="27" s="1"/>
  <c r="H123" i="27"/>
  <c r="H166" i="27" s="1"/>
  <c r="I123" i="27"/>
  <c r="I166" i="27" s="1"/>
  <c r="J123" i="27"/>
  <c r="J166" i="27" s="1"/>
  <c r="K123" i="27"/>
  <c r="K166" i="27" s="1"/>
  <c r="L123" i="27"/>
  <c r="L166" i="27" s="1"/>
  <c r="M123" i="27"/>
  <c r="M166" i="27" s="1"/>
  <c r="N123" i="27"/>
  <c r="N166" i="27" s="1"/>
  <c r="O123" i="27"/>
  <c r="O166" i="27" s="1"/>
  <c r="P123" i="27"/>
  <c r="P166" i="27" s="1"/>
  <c r="Q123" i="27"/>
  <c r="Q166" i="27" s="1"/>
  <c r="R123" i="27"/>
  <c r="R166" i="27" s="1"/>
  <c r="S123" i="27"/>
  <c r="S166" i="27" s="1"/>
  <c r="T123" i="27"/>
  <c r="T166" i="27" s="1"/>
  <c r="U123" i="27"/>
  <c r="U166" i="27" s="1"/>
  <c r="V123" i="27"/>
  <c r="V166" i="27" s="1"/>
  <c r="W123" i="27"/>
  <c r="W166" i="27" s="1"/>
  <c r="X123" i="27"/>
  <c r="X166" i="27" s="1"/>
  <c r="Y123" i="27"/>
  <c r="Y166" i="27" s="1"/>
  <c r="Z123" i="27"/>
  <c r="Z166" i="27" s="1"/>
  <c r="AA123" i="27"/>
  <c r="AA166" i="27" s="1"/>
  <c r="AB123" i="27"/>
  <c r="AB166" i="27" s="1"/>
  <c r="AC123" i="27"/>
  <c r="AC166" i="27" s="1"/>
  <c r="AD123" i="27"/>
  <c r="AD166" i="27" s="1"/>
  <c r="AE123" i="27"/>
  <c r="AE166" i="27" s="1"/>
  <c r="AF123" i="27"/>
  <c r="AF166" i="27" s="1"/>
  <c r="AG123" i="27"/>
  <c r="AG166" i="27" s="1"/>
  <c r="AB125" i="27"/>
  <c r="AB170" i="27" s="1"/>
  <c r="AC125" i="27"/>
  <c r="AC170" i="27" s="1"/>
  <c r="AD125" i="27"/>
  <c r="AD170" i="27" s="1"/>
  <c r="AE125" i="27"/>
  <c r="AE170" i="27" s="1"/>
  <c r="AF125" i="27"/>
  <c r="AF170" i="27" s="1"/>
  <c r="AG125" i="27"/>
  <c r="AG170" i="27" s="1"/>
  <c r="AB126" i="27"/>
  <c r="AB171" i="27" s="1"/>
  <c r="AC126" i="27"/>
  <c r="AC171" i="27" s="1"/>
  <c r="AD126" i="27"/>
  <c r="AD171" i="27" s="1"/>
  <c r="AE126" i="27"/>
  <c r="AE171" i="27" s="1"/>
  <c r="AF126" i="27"/>
  <c r="AF171" i="27" s="1"/>
  <c r="AG126" i="27"/>
  <c r="AG171" i="27" s="1"/>
  <c r="AB127" i="27"/>
  <c r="AB172" i="27" s="1"/>
  <c r="AC127" i="27"/>
  <c r="AC172" i="27" s="1"/>
  <c r="AD127" i="27"/>
  <c r="AD172" i="27" s="1"/>
  <c r="AE127" i="27"/>
  <c r="AE172" i="27" s="1"/>
  <c r="AF127" i="27"/>
  <c r="AF172" i="27" s="1"/>
  <c r="AG127" i="27"/>
  <c r="AG172" i="27" s="1"/>
  <c r="AB128" i="27"/>
  <c r="AB173" i="27" s="1"/>
  <c r="AC128" i="27"/>
  <c r="AC173" i="27" s="1"/>
  <c r="AD128" i="27"/>
  <c r="AD173" i="27" s="1"/>
  <c r="AE128" i="27"/>
  <c r="AE173" i="27" s="1"/>
  <c r="AF128" i="27"/>
  <c r="AF173" i="27" s="1"/>
  <c r="AG128" i="27"/>
  <c r="AG173" i="27" s="1"/>
  <c r="AB129" i="27"/>
  <c r="AB174" i="27" s="1"/>
  <c r="AC129" i="27"/>
  <c r="AC174" i="27" s="1"/>
  <c r="AD129" i="27"/>
  <c r="AD174" i="27" s="1"/>
  <c r="AE129" i="27"/>
  <c r="AE174" i="27" s="1"/>
  <c r="AF129" i="27"/>
  <c r="AF174" i="27" s="1"/>
  <c r="AG129" i="27"/>
  <c r="AG174" i="27" s="1"/>
  <c r="AB130" i="27"/>
  <c r="AB175" i="27" s="1"/>
  <c r="AC130" i="27"/>
  <c r="AC175" i="27" s="1"/>
  <c r="AD130" i="27"/>
  <c r="AD175" i="27" s="1"/>
  <c r="AE130" i="27"/>
  <c r="AE175" i="27" s="1"/>
  <c r="AF130" i="27"/>
  <c r="AF175" i="27" s="1"/>
  <c r="AG130" i="27"/>
  <c r="AG175" i="27" s="1"/>
  <c r="AB131" i="27"/>
  <c r="AB176" i="27" s="1"/>
  <c r="AC131" i="27"/>
  <c r="AC176" i="27" s="1"/>
  <c r="AD131" i="27"/>
  <c r="AD176" i="27" s="1"/>
  <c r="AE131" i="27"/>
  <c r="AE176" i="27" s="1"/>
  <c r="AF131" i="27"/>
  <c r="AF176" i="27" s="1"/>
  <c r="AG131" i="27"/>
  <c r="AG176" i="27" s="1"/>
  <c r="AB132" i="27"/>
  <c r="AB177" i="27" s="1"/>
  <c r="AC132" i="27"/>
  <c r="AC177" i="27" s="1"/>
  <c r="AD132" i="27"/>
  <c r="AD177" i="27" s="1"/>
  <c r="AE132" i="27"/>
  <c r="AE177" i="27" s="1"/>
  <c r="AF132" i="27"/>
  <c r="AF177" i="27" s="1"/>
  <c r="AG132" i="27"/>
  <c r="AG177" i="27" s="1"/>
  <c r="AB133" i="27"/>
  <c r="AB178" i="27" s="1"/>
  <c r="AC133" i="27"/>
  <c r="AC178" i="27" s="1"/>
  <c r="AD133" i="27"/>
  <c r="AD178" i="27" s="1"/>
  <c r="AE133" i="27"/>
  <c r="AE178" i="27" s="1"/>
  <c r="AF133" i="27"/>
  <c r="AF178" i="27" s="1"/>
  <c r="AG133" i="27"/>
  <c r="AG178" i="27" s="1"/>
  <c r="AB134" i="27"/>
  <c r="AB179" i="27" s="1"/>
  <c r="AC134" i="27"/>
  <c r="AC179" i="27" s="1"/>
  <c r="AD134" i="27"/>
  <c r="AD179" i="27" s="1"/>
  <c r="AE134" i="27"/>
  <c r="AE179" i="27" s="1"/>
  <c r="AF134" i="27"/>
  <c r="AF179" i="27" s="1"/>
  <c r="AG134" i="27"/>
  <c r="AG179" i="27" s="1"/>
  <c r="E136" i="27"/>
  <c r="E182" i="27" s="1"/>
  <c r="F136" i="27"/>
  <c r="F182" i="27" s="1"/>
  <c r="G136" i="27"/>
  <c r="G182" i="27" s="1"/>
  <c r="H136" i="27"/>
  <c r="H182" i="27" s="1"/>
  <c r="I136" i="27"/>
  <c r="I182" i="27" s="1"/>
  <c r="J136" i="27"/>
  <c r="J182" i="27" s="1"/>
  <c r="K136" i="27"/>
  <c r="K182" i="27" s="1"/>
  <c r="L136" i="27"/>
  <c r="L182" i="27" s="1"/>
  <c r="M136" i="27"/>
  <c r="M182" i="27" s="1"/>
  <c r="N136" i="27"/>
  <c r="N182" i="27" s="1"/>
  <c r="O136" i="27"/>
  <c r="O182" i="27" s="1"/>
  <c r="P136" i="27"/>
  <c r="P182" i="27" s="1"/>
  <c r="Q136" i="27"/>
  <c r="Q182" i="27" s="1"/>
  <c r="R136" i="27"/>
  <c r="R182" i="27" s="1"/>
  <c r="S136" i="27"/>
  <c r="S182" i="27" s="1"/>
  <c r="T136" i="27"/>
  <c r="T182" i="27" s="1"/>
  <c r="U136" i="27"/>
  <c r="U182" i="27" s="1"/>
  <c r="V136" i="27"/>
  <c r="W136" i="27"/>
  <c r="W182" i="27" s="1"/>
  <c r="X136" i="27"/>
  <c r="X182" i="27" s="1"/>
  <c r="Y136" i="27"/>
  <c r="Y182" i="27" s="1"/>
  <c r="Z136" i="27"/>
  <c r="Z182" i="27" s="1"/>
  <c r="AA136" i="27"/>
  <c r="AA182" i="27" s="1"/>
  <c r="AB136" i="27"/>
  <c r="AB182" i="27" s="1"/>
  <c r="AC136" i="27"/>
  <c r="AC182" i="27" s="1"/>
  <c r="AD136" i="27"/>
  <c r="AD182" i="27" s="1"/>
  <c r="AE136" i="27"/>
  <c r="AE182" i="27" s="1"/>
  <c r="AF136" i="27"/>
  <c r="AF182" i="27" s="1"/>
  <c r="AG136" i="27"/>
  <c r="AG182" i="27" s="1"/>
  <c r="E137" i="27"/>
  <c r="E183" i="27" s="1"/>
  <c r="F137" i="27"/>
  <c r="F183" i="27" s="1"/>
  <c r="G137" i="27"/>
  <c r="G183" i="27" s="1"/>
  <c r="H137" i="27"/>
  <c r="H183" i="27" s="1"/>
  <c r="I137" i="27"/>
  <c r="I183" i="27" s="1"/>
  <c r="J137" i="27"/>
  <c r="J183" i="27" s="1"/>
  <c r="K137" i="27"/>
  <c r="K183" i="27" s="1"/>
  <c r="L137" i="27"/>
  <c r="L183" i="27" s="1"/>
  <c r="M137" i="27"/>
  <c r="M183" i="27" s="1"/>
  <c r="N137" i="27"/>
  <c r="N183" i="27" s="1"/>
  <c r="O137" i="27"/>
  <c r="O183" i="27" s="1"/>
  <c r="P137" i="27"/>
  <c r="P183" i="27" s="1"/>
  <c r="Q137" i="27"/>
  <c r="Q183" i="27" s="1"/>
  <c r="R137" i="27"/>
  <c r="R183" i="27" s="1"/>
  <c r="S137" i="27"/>
  <c r="S183" i="27" s="1"/>
  <c r="T137" i="27"/>
  <c r="T183" i="27" s="1"/>
  <c r="U137" i="27"/>
  <c r="U183" i="27" s="1"/>
  <c r="V137" i="27"/>
  <c r="W137" i="27"/>
  <c r="X137" i="27"/>
  <c r="X183" i="27" s="1"/>
  <c r="Y137" i="27"/>
  <c r="Y183" i="27" s="1"/>
  <c r="Z137" i="27"/>
  <c r="Z183" i="27" s="1"/>
  <c r="AA137" i="27"/>
  <c r="AA183" i="27" s="1"/>
  <c r="AB137" i="27"/>
  <c r="AB183" i="27" s="1"/>
  <c r="AC137" i="27"/>
  <c r="AC183" i="27" s="1"/>
  <c r="AD137" i="27"/>
  <c r="AD183" i="27" s="1"/>
  <c r="AE137" i="27"/>
  <c r="AE183" i="27" s="1"/>
  <c r="AF137" i="27"/>
  <c r="AF183" i="27" s="1"/>
  <c r="AG137" i="27"/>
  <c r="AG183" i="27" s="1"/>
  <c r="E138" i="27"/>
  <c r="E184" i="27" s="1"/>
  <c r="F138" i="27"/>
  <c r="F184" i="27" s="1"/>
  <c r="G138" i="27"/>
  <c r="G184" i="27" s="1"/>
  <c r="H138" i="27"/>
  <c r="H184" i="27" s="1"/>
  <c r="I138" i="27"/>
  <c r="I184" i="27" s="1"/>
  <c r="J138" i="27"/>
  <c r="J184" i="27" s="1"/>
  <c r="K138" i="27"/>
  <c r="K184" i="27" s="1"/>
  <c r="L138" i="27"/>
  <c r="L184" i="27" s="1"/>
  <c r="M138" i="27"/>
  <c r="M184" i="27" s="1"/>
  <c r="N138" i="27"/>
  <c r="N184" i="27" s="1"/>
  <c r="O138" i="27"/>
  <c r="O184" i="27" s="1"/>
  <c r="P138" i="27"/>
  <c r="P184" i="27" s="1"/>
  <c r="Q138" i="27"/>
  <c r="Q184" i="27" s="1"/>
  <c r="R138" i="27"/>
  <c r="R184" i="27" s="1"/>
  <c r="S138" i="27"/>
  <c r="S184" i="27" s="1"/>
  <c r="T138" i="27"/>
  <c r="T184" i="27" s="1"/>
  <c r="U138" i="27"/>
  <c r="U184" i="27" s="1"/>
  <c r="V138" i="27"/>
  <c r="W138" i="27"/>
  <c r="X138" i="27"/>
  <c r="X184" i="27" s="1"/>
  <c r="Y138" i="27"/>
  <c r="Y184" i="27" s="1"/>
  <c r="Z138" i="27"/>
  <c r="Z184" i="27" s="1"/>
  <c r="AA138" i="27"/>
  <c r="AA184" i="27" s="1"/>
  <c r="AB138" i="27"/>
  <c r="AB184" i="27" s="1"/>
  <c r="AC138" i="27"/>
  <c r="AC184" i="27" s="1"/>
  <c r="AD138" i="27"/>
  <c r="AD184" i="27" s="1"/>
  <c r="AE138" i="27"/>
  <c r="AE184" i="27" s="1"/>
  <c r="AF138" i="27"/>
  <c r="AF184" i="27" s="1"/>
  <c r="AG138" i="27"/>
  <c r="AG184" i="27" s="1"/>
  <c r="E140" i="27"/>
  <c r="F140" i="27"/>
  <c r="G140" i="27"/>
  <c r="H140" i="27"/>
  <c r="I140" i="27"/>
  <c r="J140" i="27"/>
  <c r="K140" i="27"/>
  <c r="L140" i="27"/>
  <c r="M140" i="27"/>
  <c r="N140" i="27"/>
  <c r="O140" i="27"/>
  <c r="P140" i="27"/>
  <c r="Q140" i="27"/>
  <c r="R140" i="27"/>
  <c r="S140" i="27"/>
  <c r="T140" i="27"/>
  <c r="U140" i="27"/>
  <c r="V140" i="27"/>
  <c r="W140" i="27"/>
  <c r="X140" i="27"/>
  <c r="Y140" i="27"/>
  <c r="Z140" i="27"/>
  <c r="AA140" i="27"/>
  <c r="AB140" i="27"/>
  <c r="AC140" i="27"/>
  <c r="AD140" i="27"/>
  <c r="AE140" i="27"/>
  <c r="AF140" i="27"/>
  <c r="AG140" i="27"/>
  <c r="E141" i="27"/>
  <c r="F141" i="27"/>
  <c r="G141" i="27"/>
  <c r="H141" i="27"/>
  <c r="I141" i="27"/>
  <c r="J141" i="27"/>
  <c r="K141" i="27"/>
  <c r="L141" i="27"/>
  <c r="M141" i="27"/>
  <c r="N141" i="27"/>
  <c r="O141" i="27"/>
  <c r="P141" i="27"/>
  <c r="Q141" i="27"/>
  <c r="R141" i="27"/>
  <c r="S141" i="27"/>
  <c r="T141" i="27"/>
  <c r="U141" i="27"/>
  <c r="V141" i="27"/>
  <c r="W141" i="27"/>
  <c r="X141" i="27"/>
  <c r="X188" i="27" s="1"/>
  <c r="Y141" i="27"/>
  <c r="Y188" i="27" s="1"/>
  <c r="Z141" i="27"/>
  <c r="Z188" i="27" s="1"/>
  <c r="AA141" i="27"/>
  <c r="AA188" i="27" s="1"/>
  <c r="AB141" i="27"/>
  <c r="AB188" i="27" s="1"/>
  <c r="AC141" i="27"/>
  <c r="AC188" i="27" s="1"/>
  <c r="AD141" i="27"/>
  <c r="AD188" i="27" s="1"/>
  <c r="AE141" i="27"/>
  <c r="AE188" i="27" s="1"/>
  <c r="AF141" i="27"/>
  <c r="AF188" i="27" s="1"/>
  <c r="AG141" i="27"/>
  <c r="AG188" i="27" s="1"/>
  <c r="E143" i="27"/>
  <c r="F143" i="27"/>
  <c r="G143" i="27"/>
  <c r="H143" i="27"/>
  <c r="I143" i="27"/>
  <c r="J143" i="27"/>
  <c r="K143" i="27"/>
  <c r="L143" i="27"/>
  <c r="M143" i="27"/>
  <c r="N143" i="27"/>
  <c r="O143" i="27"/>
  <c r="P143" i="27"/>
  <c r="Q143" i="27"/>
  <c r="R143" i="27"/>
  <c r="S143" i="27"/>
  <c r="T143" i="27"/>
  <c r="U143" i="27"/>
  <c r="V143" i="27"/>
  <c r="W143" i="27"/>
  <c r="X143" i="27"/>
  <c r="X191" i="27" s="1"/>
  <c r="Y143" i="27"/>
  <c r="Y191" i="27" s="1"/>
  <c r="Z143" i="27"/>
  <c r="Z191" i="27" s="1"/>
  <c r="AA143" i="27"/>
  <c r="AA191" i="27" s="1"/>
  <c r="AB143" i="27"/>
  <c r="AB191" i="27" s="1"/>
  <c r="AC143" i="27"/>
  <c r="AC191" i="27" s="1"/>
  <c r="AD143" i="27"/>
  <c r="AD191" i="27" s="1"/>
  <c r="AE143" i="27"/>
  <c r="AE191" i="27" s="1"/>
  <c r="AF143" i="27"/>
  <c r="AF191" i="27" s="1"/>
  <c r="AG143" i="27"/>
  <c r="AG191" i="27" s="1"/>
  <c r="D117" i="27"/>
  <c r="D156" i="27" s="1"/>
  <c r="D118" i="27"/>
  <c r="D151" i="27" s="1"/>
  <c r="D119" i="27"/>
  <c r="D152" i="27" s="1"/>
  <c r="D120" i="27"/>
  <c r="D121" i="27"/>
  <c r="D122" i="27"/>
  <c r="D163" i="27" s="1"/>
  <c r="D123" i="27"/>
  <c r="D166" i="27" s="1"/>
  <c r="D125" i="27"/>
  <c r="D170" i="27" s="1"/>
  <c r="D126" i="27"/>
  <c r="D171" i="27" s="1"/>
  <c r="D127" i="27"/>
  <c r="D172" i="27" s="1"/>
  <c r="D128" i="27"/>
  <c r="D173" i="27" s="1"/>
  <c r="D129" i="27"/>
  <c r="D174" i="27" s="1"/>
  <c r="D130" i="27"/>
  <c r="D175" i="27" s="1"/>
  <c r="D131" i="27"/>
  <c r="D176" i="27" s="1"/>
  <c r="D132" i="27"/>
  <c r="D177" i="27" s="1"/>
  <c r="D133" i="27"/>
  <c r="D178" i="27" s="1"/>
  <c r="D134" i="27"/>
  <c r="D179" i="27" s="1"/>
  <c r="D136" i="27"/>
  <c r="D182" i="27" s="1"/>
  <c r="D137" i="27"/>
  <c r="D183" i="27" s="1"/>
  <c r="D138" i="27"/>
  <c r="D184" i="27" s="1"/>
  <c r="D140" i="27"/>
  <c r="D141" i="27"/>
  <c r="D143" i="27"/>
  <c r="D116" i="27"/>
  <c r="D155" i="27" s="1"/>
  <c r="G176" i="27" l="1"/>
  <c r="O176" i="27"/>
  <c r="W176" i="27"/>
  <c r="AA176" i="27"/>
  <c r="H176" i="27"/>
  <c r="P176" i="27"/>
  <c r="X176" i="27"/>
  <c r="I176" i="27"/>
  <c r="Q176" i="27"/>
  <c r="Y176" i="27"/>
  <c r="E176" i="27"/>
  <c r="T176" i="27"/>
  <c r="J176" i="27"/>
  <c r="R176" i="27"/>
  <c r="Z176" i="27"/>
  <c r="S176" i="27"/>
  <c r="M176" i="27"/>
  <c r="U176" i="27"/>
  <c r="L176" i="27"/>
  <c r="F176" i="27"/>
  <c r="N176" i="27"/>
  <c r="V176" i="27"/>
  <c r="K176" i="27"/>
  <c r="G172" i="27"/>
  <c r="O172" i="27"/>
  <c r="W172" i="27"/>
  <c r="AA172" i="27"/>
  <c r="L172" i="27"/>
  <c r="H172" i="27"/>
  <c r="P172" i="27"/>
  <c r="X172" i="27"/>
  <c r="T172" i="27"/>
  <c r="I172" i="27"/>
  <c r="Q172" i="27"/>
  <c r="Y172" i="27"/>
  <c r="J172" i="27"/>
  <c r="R172" i="27"/>
  <c r="Z172" i="27"/>
  <c r="S172" i="27"/>
  <c r="M172" i="27"/>
  <c r="U172" i="27"/>
  <c r="E172" i="27"/>
  <c r="F172" i="27"/>
  <c r="N172" i="27"/>
  <c r="V172" i="27"/>
  <c r="K172" i="27"/>
  <c r="I177" i="27"/>
  <c r="Q177" i="27"/>
  <c r="Y177" i="27"/>
  <c r="N177" i="27"/>
  <c r="J177" i="27"/>
  <c r="R177" i="27"/>
  <c r="Z177" i="27"/>
  <c r="AA177" i="27"/>
  <c r="M177" i="27"/>
  <c r="F177" i="27"/>
  <c r="K177" i="27"/>
  <c r="S177" i="27"/>
  <c r="U177" i="27"/>
  <c r="L177" i="27"/>
  <c r="T177" i="27"/>
  <c r="E177" i="27"/>
  <c r="G177" i="27"/>
  <c r="O177" i="27"/>
  <c r="W177" i="27"/>
  <c r="V177" i="27"/>
  <c r="H177" i="27"/>
  <c r="P177" i="27"/>
  <c r="X177" i="27"/>
  <c r="I173" i="27"/>
  <c r="Q173" i="27"/>
  <c r="Y173" i="27"/>
  <c r="J173" i="27"/>
  <c r="R173" i="27"/>
  <c r="Z173" i="27"/>
  <c r="U173" i="27"/>
  <c r="K173" i="27"/>
  <c r="S173" i="27"/>
  <c r="AA173" i="27"/>
  <c r="M173" i="27"/>
  <c r="V173" i="27"/>
  <c r="L173" i="27"/>
  <c r="T173" i="27"/>
  <c r="N173" i="27"/>
  <c r="G173" i="27"/>
  <c r="O173" i="27"/>
  <c r="W173" i="27"/>
  <c r="H173" i="27"/>
  <c r="P173" i="27"/>
  <c r="X173" i="27"/>
  <c r="E173" i="27"/>
  <c r="F173" i="27"/>
  <c r="K178" i="27"/>
  <c r="S178" i="27"/>
  <c r="AA178" i="27"/>
  <c r="M178" i="27"/>
  <c r="E178" i="27"/>
  <c r="L178" i="27"/>
  <c r="T178" i="27"/>
  <c r="U178" i="27"/>
  <c r="X178" i="27"/>
  <c r="F178" i="27"/>
  <c r="N178" i="27"/>
  <c r="V178" i="27"/>
  <c r="W178" i="27"/>
  <c r="P178" i="27"/>
  <c r="I178" i="27"/>
  <c r="Q178" i="27"/>
  <c r="Y178" i="27"/>
  <c r="G178" i="27"/>
  <c r="J178" i="27"/>
  <c r="R178" i="27"/>
  <c r="Z178" i="27"/>
  <c r="O178" i="27"/>
  <c r="H178" i="27"/>
  <c r="K174" i="27"/>
  <c r="S174" i="27"/>
  <c r="AA174" i="27"/>
  <c r="E174" i="27"/>
  <c r="W174" i="27"/>
  <c r="P174" i="27"/>
  <c r="L174" i="27"/>
  <c r="T174" i="27"/>
  <c r="X174" i="27"/>
  <c r="M174" i="27"/>
  <c r="U174" i="27"/>
  <c r="F174" i="27"/>
  <c r="N174" i="27"/>
  <c r="V174" i="27"/>
  <c r="O174" i="27"/>
  <c r="I174" i="27"/>
  <c r="Q174" i="27"/>
  <c r="Y174" i="27"/>
  <c r="H174" i="27"/>
  <c r="J174" i="27"/>
  <c r="R174" i="27"/>
  <c r="Z174" i="27"/>
  <c r="G174" i="27"/>
  <c r="K170" i="27"/>
  <c r="S170" i="27"/>
  <c r="AA170" i="27"/>
  <c r="H170" i="27"/>
  <c r="L170" i="27"/>
  <c r="T170" i="27"/>
  <c r="P170" i="27"/>
  <c r="M170" i="27"/>
  <c r="U170" i="27"/>
  <c r="G170" i="27"/>
  <c r="F170" i="27"/>
  <c r="N170" i="27"/>
  <c r="V170" i="27"/>
  <c r="W170" i="27"/>
  <c r="I170" i="27"/>
  <c r="Q170" i="27"/>
  <c r="Y170" i="27"/>
  <c r="J170" i="27"/>
  <c r="R170" i="27"/>
  <c r="Z170" i="27"/>
  <c r="E170" i="27"/>
  <c r="O170" i="27"/>
  <c r="X170" i="27"/>
  <c r="M179" i="27"/>
  <c r="U179" i="27"/>
  <c r="O179" i="27"/>
  <c r="Q179" i="27"/>
  <c r="Z179" i="27"/>
  <c r="F179" i="27"/>
  <c r="N179" i="27"/>
  <c r="V179" i="27"/>
  <c r="W179" i="27"/>
  <c r="I179" i="27"/>
  <c r="R179" i="27"/>
  <c r="G179" i="27"/>
  <c r="H179" i="27"/>
  <c r="P179" i="27"/>
  <c r="X179" i="27"/>
  <c r="K179" i="27"/>
  <c r="S179" i="27"/>
  <c r="AA179" i="27"/>
  <c r="Y179" i="27"/>
  <c r="J179" i="27"/>
  <c r="E179" i="27"/>
  <c r="L179" i="27"/>
  <c r="T179" i="27"/>
  <c r="M175" i="27"/>
  <c r="U175" i="27"/>
  <c r="F175" i="27"/>
  <c r="N175" i="27"/>
  <c r="V175" i="27"/>
  <c r="E175" i="27"/>
  <c r="I175" i="27"/>
  <c r="G175" i="27"/>
  <c r="O175" i="27"/>
  <c r="W175" i="27"/>
  <c r="Q175" i="27"/>
  <c r="J175" i="27"/>
  <c r="H175" i="27"/>
  <c r="P175" i="27"/>
  <c r="X175" i="27"/>
  <c r="Z175" i="27"/>
  <c r="K175" i="27"/>
  <c r="S175" i="27"/>
  <c r="AA175" i="27"/>
  <c r="Y175" i="27"/>
  <c r="L175" i="27"/>
  <c r="T175" i="27"/>
  <c r="R175" i="27"/>
  <c r="M171" i="27"/>
  <c r="U171" i="27"/>
  <c r="Q171" i="27"/>
  <c r="F171" i="27"/>
  <c r="N171" i="27"/>
  <c r="V171" i="27"/>
  <c r="I171" i="27"/>
  <c r="G171" i="27"/>
  <c r="O171" i="27"/>
  <c r="W171" i="27"/>
  <c r="R171" i="27"/>
  <c r="E171" i="27"/>
  <c r="H171" i="27"/>
  <c r="P171" i="27"/>
  <c r="X171" i="27"/>
  <c r="J171" i="27"/>
  <c r="K171" i="27"/>
  <c r="S171" i="27"/>
  <c r="AA171" i="27"/>
  <c r="Y171" i="27"/>
  <c r="Z171" i="27"/>
  <c r="L171" i="27"/>
  <c r="T171" i="27"/>
  <c r="AH56" i="25"/>
  <c r="AC185" i="27"/>
  <c r="U185" i="27"/>
  <c r="AH185" i="27"/>
  <c r="X185" i="27"/>
  <c r="P185" i="27"/>
  <c r="M185" i="27"/>
  <c r="AF185" i="27"/>
  <c r="H185" i="27"/>
  <c r="K185" i="27"/>
  <c r="AA185" i="27"/>
  <c r="S185" i="27"/>
  <c r="D180" i="27"/>
  <c r="Z185" i="27"/>
  <c r="R185" i="27"/>
  <c r="J185" i="27"/>
  <c r="AC180" i="27"/>
  <c r="AD180" i="27"/>
  <c r="AB180" i="27"/>
  <c r="AH180" i="27"/>
  <c r="N149" i="27"/>
  <c r="AE185" i="27"/>
  <c r="O185" i="27"/>
  <c r="G185" i="27"/>
  <c r="M154" i="27"/>
  <c r="AG185" i="27"/>
  <c r="Y185" i="27"/>
  <c r="Q185" i="27"/>
  <c r="I185" i="27"/>
  <c r="AD185" i="27"/>
  <c r="N185" i="27"/>
  <c r="F185" i="27"/>
  <c r="AG180" i="27"/>
  <c r="E185" i="27"/>
  <c r="AF180" i="27"/>
  <c r="D185" i="27"/>
  <c r="AB185" i="27"/>
  <c r="T185" i="27"/>
  <c r="L185" i="27"/>
  <c r="AE180" i="27"/>
  <c r="F149" i="27"/>
  <c r="E154" i="27"/>
  <c r="AE148" i="27"/>
  <c r="AB150" i="27"/>
  <c r="AA153" i="27"/>
  <c r="W148" i="27"/>
  <c r="T150" i="27"/>
  <c r="S153" i="27"/>
  <c r="O148" i="27"/>
  <c r="L150" i="27"/>
  <c r="K153" i="27"/>
  <c r="G148" i="27"/>
  <c r="AD149" i="27"/>
  <c r="AC154" i="27"/>
  <c r="V149" i="27"/>
  <c r="U154" i="27"/>
  <c r="AD151" i="27"/>
  <c r="N151" i="27"/>
  <c r="AD161" i="27"/>
  <c r="AD162" i="27"/>
  <c r="V161" i="27"/>
  <c r="V162" i="27"/>
  <c r="N161" i="27"/>
  <c r="N162" i="27"/>
  <c r="F161" i="27"/>
  <c r="F162" i="27"/>
  <c r="AA159" i="27"/>
  <c r="AA165" i="27"/>
  <c r="AA164" i="27"/>
  <c r="AA167" i="27"/>
  <c r="AA160" i="27"/>
  <c r="S159" i="27"/>
  <c r="S165" i="27"/>
  <c r="S164" i="27"/>
  <c r="S167" i="27"/>
  <c r="S160" i="27"/>
  <c r="K159" i="27"/>
  <c r="K165" i="27"/>
  <c r="K164" i="27"/>
  <c r="K167" i="27"/>
  <c r="K160" i="27"/>
  <c r="AD148" i="27"/>
  <c r="V148" i="27"/>
  <c r="N148" i="27"/>
  <c r="F148" i="27"/>
  <c r="AC149" i="27"/>
  <c r="U149" i="27"/>
  <c r="M149" i="27"/>
  <c r="E149" i="27"/>
  <c r="AC151" i="27"/>
  <c r="U151" i="27"/>
  <c r="M151" i="27"/>
  <c r="E151" i="27"/>
  <c r="AA150" i="27"/>
  <c r="S150" i="27"/>
  <c r="K150" i="27"/>
  <c r="D153" i="27"/>
  <c r="AB154" i="27"/>
  <c r="T154" i="27"/>
  <c r="L154" i="27"/>
  <c r="AH153" i="27"/>
  <c r="Z153" i="27"/>
  <c r="R153" i="27"/>
  <c r="J153" i="27"/>
  <c r="AB159" i="27"/>
  <c r="AB165" i="27"/>
  <c r="AB164" i="27"/>
  <c r="AB167" i="27"/>
  <c r="AB160" i="27"/>
  <c r="AC162" i="27"/>
  <c r="AC161" i="27"/>
  <c r="U162" i="27"/>
  <c r="U161" i="27"/>
  <c r="M162" i="27"/>
  <c r="M161" i="27"/>
  <c r="E162" i="27"/>
  <c r="E161" i="27"/>
  <c r="Z165" i="27"/>
  <c r="Z159" i="27"/>
  <c r="Z164" i="27"/>
  <c r="Z167" i="27"/>
  <c r="Z160" i="27"/>
  <c r="R165" i="27"/>
  <c r="R164" i="27"/>
  <c r="R159" i="27"/>
  <c r="R167" i="27"/>
  <c r="R160" i="27"/>
  <c r="J165" i="27"/>
  <c r="J164" i="27"/>
  <c r="J167" i="27"/>
  <c r="J159" i="27"/>
  <c r="J160" i="27"/>
  <c r="AC148" i="27"/>
  <c r="U148" i="27"/>
  <c r="M148" i="27"/>
  <c r="E148" i="27"/>
  <c r="AB149" i="27"/>
  <c r="T149" i="27"/>
  <c r="L149" i="27"/>
  <c r="D150" i="27"/>
  <c r="AH150" i="27"/>
  <c r="Z150" i="27"/>
  <c r="R150" i="27"/>
  <c r="J150" i="27"/>
  <c r="D154" i="27"/>
  <c r="AA154" i="27"/>
  <c r="S154" i="27"/>
  <c r="K154" i="27"/>
  <c r="AG153" i="27"/>
  <c r="Y153" i="27"/>
  <c r="Q153" i="27"/>
  <c r="I153" i="27"/>
  <c r="O161" i="27"/>
  <c r="O162" i="27"/>
  <c r="V151" i="27"/>
  <c r="AB162" i="27"/>
  <c r="AB161" i="27"/>
  <c r="T162" i="27"/>
  <c r="T161" i="27"/>
  <c r="L162" i="27"/>
  <c r="L161" i="27"/>
  <c r="AG164" i="27"/>
  <c r="AG167" i="27"/>
  <c r="AG160" i="27"/>
  <c r="AG165" i="27"/>
  <c r="AG159" i="27"/>
  <c r="Y165" i="27"/>
  <c r="Y164" i="27"/>
  <c r="Y167" i="27"/>
  <c r="Y160" i="27"/>
  <c r="Y159" i="27"/>
  <c r="Q164" i="27"/>
  <c r="Q167" i="27"/>
  <c r="Q165" i="27"/>
  <c r="Q160" i="27"/>
  <c r="Q159" i="27"/>
  <c r="I164" i="27"/>
  <c r="I165" i="27"/>
  <c r="I167" i="27"/>
  <c r="I160" i="27"/>
  <c r="I159" i="27"/>
  <c r="AB148" i="27"/>
  <c r="T148" i="27"/>
  <c r="L148" i="27"/>
  <c r="D149" i="27"/>
  <c r="AA149" i="27"/>
  <c r="S149" i="27"/>
  <c r="K149" i="27"/>
  <c r="AG150" i="27"/>
  <c r="Y150" i="27"/>
  <c r="Q150" i="27"/>
  <c r="I150" i="27"/>
  <c r="AH154" i="27"/>
  <c r="Z154" i="27"/>
  <c r="R154" i="27"/>
  <c r="J154" i="27"/>
  <c r="AF153" i="27"/>
  <c r="X153" i="27"/>
  <c r="P153" i="27"/>
  <c r="H153" i="27"/>
  <c r="W161" i="27"/>
  <c r="W162" i="27"/>
  <c r="F151" i="27"/>
  <c r="AA162" i="27"/>
  <c r="AA161" i="27"/>
  <c r="S162" i="27"/>
  <c r="S161" i="27"/>
  <c r="K162" i="27"/>
  <c r="K161" i="27"/>
  <c r="AF164" i="27"/>
  <c r="AF167" i="27"/>
  <c r="AF160" i="27"/>
  <c r="AF159" i="27"/>
  <c r="AF165" i="27"/>
  <c r="X164" i="27"/>
  <c r="X167" i="27"/>
  <c r="X160" i="27"/>
  <c r="X159" i="27"/>
  <c r="X165" i="27"/>
  <c r="P164" i="27"/>
  <c r="P167" i="27"/>
  <c r="P160" i="27"/>
  <c r="P159" i="27"/>
  <c r="P165" i="27"/>
  <c r="H164" i="27"/>
  <c r="H167" i="27"/>
  <c r="H160" i="27"/>
  <c r="H159" i="27"/>
  <c r="H165" i="27"/>
  <c r="D148" i="27"/>
  <c r="AA148" i="27"/>
  <c r="S148" i="27"/>
  <c r="K148" i="27"/>
  <c r="AH149" i="27"/>
  <c r="Z149" i="27"/>
  <c r="R149" i="27"/>
  <c r="J149" i="27"/>
  <c r="AF150" i="27"/>
  <c r="X150" i="27"/>
  <c r="P150" i="27"/>
  <c r="H150" i="27"/>
  <c r="Y154" i="27"/>
  <c r="Q154" i="27"/>
  <c r="I154" i="27"/>
  <c r="AE153" i="27"/>
  <c r="W153" i="27"/>
  <c r="O153" i="27"/>
  <c r="G153" i="27"/>
  <c r="T159" i="27"/>
  <c r="T165" i="27"/>
  <c r="T160" i="27"/>
  <c r="T164" i="27"/>
  <c r="T167" i="27"/>
  <c r="Z162" i="27"/>
  <c r="Z161" i="27"/>
  <c r="R162" i="27"/>
  <c r="R161" i="27"/>
  <c r="J162" i="27"/>
  <c r="J161" i="27"/>
  <c r="AE167" i="27"/>
  <c r="AE160" i="27"/>
  <c r="AE159" i="27"/>
  <c r="AE165" i="27"/>
  <c r="AE164" i="27"/>
  <c r="W167" i="27"/>
  <c r="W160" i="27"/>
  <c r="W164" i="27"/>
  <c r="W159" i="27"/>
  <c r="W165" i="27"/>
  <c r="O167" i="27"/>
  <c r="O160" i="27"/>
  <c r="O159" i="27"/>
  <c r="O165" i="27"/>
  <c r="O164" i="27"/>
  <c r="G167" i="27"/>
  <c r="G160" i="27"/>
  <c r="G164" i="27"/>
  <c r="G159" i="27"/>
  <c r="G165" i="27"/>
  <c r="AH148" i="27"/>
  <c r="Z148" i="27"/>
  <c r="R148" i="27"/>
  <c r="J148" i="27"/>
  <c r="AG149" i="27"/>
  <c r="Y149" i="27"/>
  <c r="Q149" i="27"/>
  <c r="I149" i="27"/>
  <c r="AE150" i="27"/>
  <c r="W150" i="27"/>
  <c r="O150" i="27"/>
  <c r="G150" i="27"/>
  <c r="AF154" i="27"/>
  <c r="X154" i="27"/>
  <c r="P154" i="27"/>
  <c r="H154" i="27"/>
  <c r="AD153" i="27"/>
  <c r="V153" i="27"/>
  <c r="N153" i="27"/>
  <c r="F153" i="27"/>
  <c r="G161" i="27"/>
  <c r="G162" i="27"/>
  <c r="AG162" i="27"/>
  <c r="AG161" i="27"/>
  <c r="Y162" i="27"/>
  <c r="Y161" i="27"/>
  <c r="Q162" i="27"/>
  <c r="Q161" i="27"/>
  <c r="I162" i="27"/>
  <c r="I161" i="27"/>
  <c r="AD167" i="27"/>
  <c r="AD160" i="27"/>
  <c r="AD159" i="27"/>
  <c r="AD165" i="27"/>
  <c r="AD164" i="27"/>
  <c r="V167" i="27"/>
  <c r="V160" i="27"/>
  <c r="V159" i="27"/>
  <c r="V165" i="27"/>
  <c r="V164" i="27"/>
  <c r="N167" i="27"/>
  <c r="N160" i="27"/>
  <c r="N159" i="27"/>
  <c r="N165" i="27"/>
  <c r="N164" i="27"/>
  <c r="F167" i="27"/>
  <c r="F160" i="27"/>
  <c r="F159" i="27"/>
  <c r="F165" i="27"/>
  <c r="F164" i="27"/>
  <c r="AH162" i="27"/>
  <c r="AH161" i="27"/>
  <c r="AG148" i="27"/>
  <c r="Y148" i="27"/>
  <c r="Q148" i="27"/>
  <c r="I148" i="27"/>
  <c r="AF149" i="27"/>
  <c r="X149" i="27"/>
  <c r="P149" i="27"/>
  <c r="H149" i="27"/>
  <c r="AE154" i="27"/>
  <c r="W154" i="27"/>
  <c r="O154" i="27"/>
  <c r="G154" i="27"/>
  <c r="AC153" i="27"/>
  <c r="U153" i="27"/>
  <c r="M153" i="27"/>
  <c r="E153" i="27"/>
  <c r="D164" i="27"/>
  <c r="D165" i="27"/>
  <c r="D160" i="27"/>
  <c r="D159" i="27"/>
  <c r="D167" i="27"/>
  <c r="AE161" i="27"/>
  <c r="AE162" i="27"/>
  <c r="L159" i="27"/>
  <c r="L165" i="27"/>
  <c r="L164" i="27"/>
  <c r="L160" i="27"/>
  <c r="L167" i="27"/>
  <c r="D162" i="27"/>
  <c r="D161" i="27"/>
  <c r="AF161" i="27"/>
  <c r="AF162" i="27"/>
  <c r="X162" i="27"/>
  <c r="X161" i="27"/>
  <c r="P161" i="27"/>
  <c r="P162" i="27"/>
  <c r="H161" i="27"/>
  <c r="H162" i="27"/>
  <c r="AC160" i="27"/>
  <c r="AC159" i="27"/>
  <c r="AC165" i="27"/>
  <c r="AC164" i="27"/>
  <c r="AC167" i="27"/>
  <c r="U160" i="27"/>
  <c r="U159" i="27"/>
  <c r="U165" i="27"/>
  <c r="U164" i="27"/>
  <c r="U167" i="27"/>
  <c r="M160" i="27"/>
  <c r="M167" i="27"/>
  <c r="M159" i="27"/>
  <c r="M165" i="27"/>
  <c r="M164" i="27"/>
  <c r="E160" i="27"/>
  <c r="E167" i="27"/>
  <c r="E159" i="27"/>
  <c r="E165" i="27"/>
  <c r="E164" i="27"/>
  <c r="AH165" i="27"/>
  <c r="AH159" i="27"/>
  <c r="AH164" i="27"/>
  <c r="AH167" i="27"/>
  <c r="AH160" i="27"/>
  <c r="AF148" i="27"/>
  <c r="X148" i="27"/>
  <c r="P148" i="27"/>
  <c r="H148" i="27"/>
  <c r="AE149" i="27"/>
  <c r="W149" i="27"/>
  <c r="O149" i="27"/>
  <c r="G149" i="27"/>
  <c r="AD154" i="27"/>
  <c r="V154" i="27"/>
  <c r="N154" i="27"/>
  <c r="F154" i="27"/>
  <c r="AB153" i="27"/>
  <c r="T153" i="27"/>
  <c r="L153" i="27"/>
  <c r="G180" i="27" l="1"/>
  <c r="O180" i="27"/>
  <c r="W180" i="27"/>
  <c r="Q180" i="27"/>
  <c r="H180" i="27"/>
  <c r="P180" i="27"/>
  <c r="X180" i="27"/>
  <c r="Y180" i="27"/>
  <c r="I180" i="27"/>
  <c r="K180" i="27"/>
  <c r="J180" i="27"/>
  <c r="R180" i="27"/>
  <c r="Z180" i="27"/>
  <c r="AA180" i="27"/>
  <c r="T180" i="27"/>
  <c r="M180" i="27"/>
  <c r="U180" i="27"/>
  <c r="E180" i="27"/>
  <c r="F180" i="27"/>
  <c r="N180" i="27"/>
  <c r="V180" i="27"/>
  <c r="S180" i="27"/>
  <c r="L180" i="27"/>
  <c r="AG157" i="27"/>
  <c r="AA157" i="27"/>
  <c r="D157" i="27"/>
  <c r="AE157" i="27"/>
  <c r="T157" i="27"/>
  <c r="M157" i="27"/>
  <c r="Z168" i="27"/>
  <c r="AC168" i="27"/>
  <c r="J157" i="27"/>
  <c r="AF157" i="27"/>
  <c r="G157" i="27"/>
  <c r="O157" i="27"/>
  <c r="E168" i="27"/>
  <c r="W157" i="27"/>
  <c r="L168" i="27"/>
  <c r="W168" i="27"/>
  <c r="AF168" i="27"/>
  <c r="AB157" i="27"/>
  <c r="AG168" i="27"/>
  <c r="U157" i="27"/>
  <c r="N168" i="27"/>
  <c r="H168" i="27"/>
  <c r="I168" i="27"/>
  <c r="AC157" i="27"/>
  <c r="R168" i="27"/>
  <c r="F157" i="27"/>
  <c r="K168" i="27"/>
  <c r="R157" i="27"/>
  <c r="N157" i="27"/>
  <c r="AD168" i="27"/>
  <c r="Z157" i="27"/>
  <c r="T168" i="27"/>
  <c r="X168" i="27"/>
  <c r="Y168" i="27"/>
  <c r="J168" i="27"/>
  <c r="V157" i="27"/>
  <c r="AA168" i="27"/>
  <c r="AH168" i="27"/>
  <c r="H157" i="27"/>
  <c r="M168" i="27"/>
  <c r="D168" i="27"/>
  <c r="I157" i="27"/>
  <c r="F168" i="27"/>
  <c r="AH157" i="27"/>
  <c r="O168" i="27"/>
  <c r="K157" i="27"/>
  <c r="AD157" i="27"/>
  <c r="U168" i="27"/>
  <c r="P157" i="27"/>
  <c r="Q157" i="27"/>
  <c r="S157" i="27"/>
  <c r="AB168" i="27"/>
  <c r="X157" i="27"/>
  <c r="Y157" i="27"/>
  <c r="V168" i="27"/>
  <c r="G168" i="27"/>
  <c r="AE168" i="27"/>
  <c r="P168" i="27"/>
  <c r="L157" i="27"/>
  <c r="Q168" i="27"/>
  <c r="E157" i="27"/>
  <c r="S168" i="27"/>
  <c r="AH33" i="32" l="1"/>
  <c r="AH12" i="32" s="1"/>
  <c r="AH14" i="32"/>
  <c r="AH15" i="32"/>
  <c r="AI34" i="49"/>
  <c r="AI37" i="49"/>
  <c r="AI38" i="49"/>
  <c r="AI41" i="49"/>
  <c r="AI42" i="49"/>
  <c r="AI44" i="49"/>
  <c r="AI45" i="49"/>
  <c r="AI46" i="49"/>
  <c r="AI47" i="49"/>
  <c r="AI48" i="49"/>
  <c r="AI49" i="49"/>
  <c r="AI51" i="49"/>
  <c r="AC114" i="49" s="1"/>
  <c r="AI52" i="49"/>
  <c r="AI55" i="49"/>
  <c r="AI56" i="49"/>
  <c r="AI57" i="49"/>
  <c r="AI58" i="49"/>
  <c r="AI59" i="49"/>
  <c r="AI60" i="49"/>
  <c r="AI61" i="49"/>
  <c r="AI62" i="49"/>
  <c r="AI65" i="49"/>
  <c r="AI66" i="49"/>
  <c r="AI67" i="49"/>
  <c r="AI69" i="49"/>
  <c r="AI27" i="49" l="1"/>
  <c r="AR7" i="49" s="1"/>
  <c r="AN38" i="49"/>
  <c r="AC112" i="49"/>
  <c r="AI68" i="49"/>
  <c r="AN37" i="49" s="1"/>
  <c r="AH34" i="32"/>
  <c r="AH13" i="32" s="1"/>
  <c r="AH17" i="32" s="1"/>
  <c r="AI63" i="49" s="1"/>
  <c r="AJ63" i="49"/>
  <c r="AJ64" i="49" s="1"/>
  <c r="AJ74" i="49" s="1"/>
  <c r="AI73" i="27"/>
  <c r="AI74" i="27" s="1"/>
  <c r="AI207" i="27" s="1"/>
  <c r="AI329" i="27" s="1"/>
  <c r="E65" i="54"/>
  <c r="F65" i="54"/>
  <c r="G65" i="54"/>
  <c r="H65" i="54"/>
  <c r="I65" i="54"/>
  <c r="J65" i="54"/>
  <c r="K65" i="54"/>
  <c r="L65" i="54"/>
  <c r="M65" i="54"/>
  <c r="N65" i="54"/>
  <c r="O65" i="54"/>
  <c r="P65" i="54"/>
  <c r="Q65" i="54"/>
  <c r="R65" i="54"/>
  <c r="S65" i="54"/>
  <c r="T65" i="54"/>
  <c r="U65" i="54"/>
  <c r="V65" i="54"/>
  <c r="W65" i="54"/>
  <c r="X65" i="54"/>
  <c r="Y65" i="54"/>
  <c r="Z65" i="54"/>
  <c r="AA65" i="54"/>
  <c r="AB65" i="54"/>
  <c r="AC65" i="54"/>
  <c r="AD65" i="54"/>
  <c r="AE65" i="54"/>
  <c r="AF65" i="54"/>
  <c r="AG65" i="54"/>
  <c r="AH65" i="54"/>
  <c r="AI65" i="54"/>
  <c r="E66" i="54"/>
  <c r="F66" i="54"/>
  <c r="G66" i="54"/>
  <c r="H66" i="54"/>
  <c r="I66" i="54"/>
  <c r="J66" i="54"/>
  <c r="K66" i="54"/>
  <c r="L66" i="54"/>
  <c r="M66" i="54"/>
  <c r="N66" i="54"/>
  <c r="O66" i="54"/>
  <c r="P66" i="54"/>
  <c r="Q66" i="54"/>
  <c r="R66" i="54"/>
  <c r="S66" i="54"/>
  <c r="T66" i="54"/>
  <c r="U66" i="54"/>
  <c r="V66" i="54"/>
  <c r="W66" i="54"/>
  <c r="X66" i="54"/>
  <c r="Y66" i="54"/>
  <c r="Z66" i="54"/>
  <c r="AA66" i="54"/>
  <c r="AB66" i="54"/>
  <c r="AC66" i="54"/>
  <c r="AD66" i="54"/>
  <c r="AE66" i="54"/>
  <c r="AF66" i="54"/>
  <c r="AG66" i="54"/>
  <c r="AH66" i="54"/>
  <c r="AI66" i="54"/>
  <c r="E67" i="54"/>
  <c r="F67" i="54"/>
  <c r="G67" i="54"/>
  <c r="H67" i="54"/>
  <c r="I67" i="54"/>
  <c r="J67" i="54"/>
  <c r="K67" i="54"/>
  <c r="L67" i="54"/>
  <c r="M67" i="54"/>
  <c r="N67" i="54"/>
  <c r="O67" i="54"/>
  <c r="P67" i="54"/>
  <c r="Q67" i="54"/>
  <c r="R67" i="54"/>
  <c r="S67" i="54"/>
  <c r="T67" i="54"/>
  <c r="U67" i="54"/>
  <c r="V67" i="54"/>
  <c r="W67" i="54"/>
  <c r="X67" i="54"/>
  <c r="Y67" i="54"/>
  <c r="Z67" i="54"/>
  <c r="AA67" i="54"/>
  <c r="AB67" i="54"/>
  <c r="AC67" i="54"/>
  <c r="AD67" i="54"/>
  <c r="AE67" i="54"/>
  <c r="AF67" i="54"/>
  <c r="AG67" i="54"/>
  <c r="AH67" i="54"/>
  <c r="AI67" i="54"/>
  <c r="D67" i="54"/>
  <c r="D66" i="54"/>
  <c r="D65" i="54"/>
  <c r="AI64" i="49" l="1"/>
  <c r="AI64" i="54"/>
  <c r="AH64" i="54"/>
  <c r="AG64" i="54"/>
  <c r="AF64" i="54"/>
  <c r="AE64" i="54"/>
  <c r="AD64" i="54"/>
  <c r="AC64" i="54"/>
  <c r="AB64" i="54"/>
  <c r="AA64" i="54"/>
  <c r="Z64" i="54"/>
  <c r="Y64" i="54"/>
  <c r="X64" i="54"/>
  <c r="W64" i="54"/>
  <c r="V64" i="54"/>
  <c r="U64" i="54"/>
  <c r="T64" i="54"/>
  <c r="S64" i="54"/>
  <c r="R64" i="54"/>
  <c r="Q64" i="54"/>
  <c r="P64" i="54"/>
  <c r="O64" i="54"/>
  <c r="N64" i="54"/>
  <c r="M64" i="54"/>
  <c r="L64" i="54"/>
  <c r="K64" i="54"/>
  <c r="J64" i="54"/>
  <c r="I64" i="54"/>
  <c r="H64" i="54"/>
  <c r="G64" i="54"/>
  <c r="F64" i="54"/>
  <c r="E64" i="54"/>
  <c r="D64" i="54"/>
  <c r="AI63" i="54"/>
  <c r="AI62" i="54"/>
  <c r="AI68" i="54" s="1"/>
  <c r="AI46" i="54"/>
  <c r="AF46" i="54"/>
  <c r="AE46" i="54"/>
  <c r="AD46" i="54"/>
  <c r="AC46" i="54"/>
  <c r="AB46" i="54"/>
  <c r="AA46" i="54"/>
  <c r="Z46" i="54"/>
  <c r="Y46" i="54"/>
  <c r="X46" i="54"/>
  <c r="W46" i="54"/>
  <c r="V46" i="54"/>
  <c r="U46" i="54"/>
  <c r="T46" i="54"/>
  <c r="S46" i="54"/>
  <c r="R46" i="54"/>
  <c r="Q46" i="54"/>
  <c r="P46" i="54"/>
  <c r="O46" i="54"/>
  <c r="N46" i="54"/>
  <c r="M46" i="54"/>
  <c r="L46" i="54"/>
  <c r="K46" i="54"/>
  <c r="J46" i="54"/>
  <c r="I46" i="54"/>
  <c r="H46" i="54"/>
  <c r="G46" i="54"/>
  <c r="F46" i="54"/>
  <c r="E46" i="54"/>
  <c r="D46" i="54"/>
  <c r="AI45" i="54"/>
  <c r="AH45" i="54"/>
  <c r="AG45" i="54"/>
  <c r="AF45" i="54"/>
  <c r="AE45" i="54"/>
  <c r="AD45" i="54"/>
  <c r="AC45" i="54"/>
  <c r="AB45" i="54"/>
  <c r="AA45" i="54"/>
  <c r="Z45" i="54"/>
  <c r="Y45" i="54"/>
  <c r="X45" i="54"/>
  <c r="D45" i="54"/>
  <c r="AI44" i="54"/>
  <c r="AI43" i="54"/>
  <c r="AH43" i="54"/>
  <c r="AG43" i="54"/>
  <c r="AF43" i="54"/>
  <c r="AE43" i="54"/>
  <c r="AD43" i="54"/>
  <c r="AC43" i="54"/>
  <c r="AB43" i="54"/>
  <c r="AA43" i="54"/>
  <c r="Z43" i="54"/>
  <c r="Y43" i="54"/>
  <c r="X43" i="54"/>
  <c r="W43" i="54"/>
  <c r="V43" i="54"/>
  <c r="U43" i="54"/>
  <c r="T43" i="54"/>
  <c r="S43" i="54"/>
  <c r="R43" i="54"/>
  <c r="Q43" i="54"/>
  <c r="P43" i="54"/>
  <c r="O43" i="54"/>
  <c r="N43" i="54"/>
  <c r="M43" i="54"/>
  <c r="L43" i="54"/>
  <c r="K43" i="54"/>
  <c r="J43" i="54"/>
  <c r="I43" i="54"/>
  <c r="H43" i="54"/>
  <c r="G43" i="54"/>
  <c r="F43" i="54"/>
  <c r="E43" i="54"/>
  <c r="D43" i="54"/>
  <c r="AI35" i="54"/>
  <c r="AH35" i="54"/>
  <c r="AG35" i="54"/>
  <c r="AF35" i="54"/>
  <c r="AE35" i="54"/>
  <c r="AD35" i="54"/>
  <c r="AC35" i="54"/>
  <c r="AB35" i="54"/>
  <c r="AA35" i="54"/>
  <c r="Z35" i="54"/>
  <c r="Y35" i="54"/>
  <c r="X35" i="54"/>
  <c r="W35" i="54"/>
  <c r="V35" i="54"/>
  <c r="U35" i="54"/>
  <c r="T35" i="54"/>
  <c r="S35" i="54"/>
  <c r="R35" i="54"/>
  <c r="Q35" i="54"/>
  <c r="P35" i="54"/>
  <c r="O35" i="54"/>
  <c r="N35" i="54"/>
  <c r="M35" i="54"/>
  <c r="L35" i="54"/>
  <c r="K35" i="54"/>
  <c r="J35" i="54"/>
  <c r="I35" i="54"/>
  <c r="H35" i="54"/>
  <c r="G35" i="54"/>
  <c r="F35" i="54"/>
  <c r="E35" i="54"/>
  <c r="D35" i="54"/>
  <c r="AI34" i="54"/>
  <c r="AI33" i="54" s="1"/>
  <c r="AI36" i="54" s="1"/>
  <c r="AH34" i="54"/>
  <c r="AH33" i="54" s="1"/>
  <c r="AH36" i="54" s="1"/>
  <c r="AG34" i="54"/>
  <c r="AF34" i="54"/>
  <c r="AE34" i="54"/>
  <c r="AD34" i="54"/>
  <c r="AD33" i="54" s="1"/>
  <c r="AD36" i="54" s="1"/>
  <c r="AC34" i="54"/>
  <c r="AB34" i="54"/>
  <c r="AA34" i="54"/>
  <c r="AA33" i="54" s="1"/>
  <c r="AA36" i="54" s="1"/>
  <c r="Z34" i="54"/>
  <c r="Y34" i="54"/>
  <c r="Y33" i="54" s="1"/>
  <c r="Y36" i="54" s="1"/>
  <c r="X34" i="54"/>
  <c r="X33" i="54" s="1"/>
  <c r="X36" i="54" s="1"/>
  <c r="W34" i="54"/>
  <c r="V34" i="54"/>
  <c r="V33" i="54" s="1"/>
  <c r="V36" i="54" s="1"/>
  <c r="U34" i="54"/>
  <c r="T34" i="54"/>
  <c r="S34" i="54"/>
  <c r="S33" i="54" s="1"/>
  <c r="S36" i="54" s="1"/>
  <c r="R34" i="54"/>
  <c r="Q34" i="54"/>
  <c r="Q33" i="54" s="1"/>
  <c r="Q36" i="54" s="1"/>
  <c r="P34" i="54"/>
  <c r="O34" i="54"/>
  <c r="N34" i="54"/>
  <c r="M34" i="54"/>
  <c r="L34" i="54"/>
  <c r="L33" i="54" s="1"/>
  <c r="L36" i="54" s="1"/>
  <c r="K34" i="54"/>
  <c r="K33" i="54" s="1"/>
  <c r="K36" i="54" s="1"/>
  <c r="J34" i="54"/>
  <c r="J33" i="54" s="1"/>
  <c r="J36" i="54" s="1"/>
  <c r="I34" i="54"/>
  <c r="I33" i="54" s="1"/>
  <c r="I36" i="54" s="1"/>
  <c r="H34" i="54"/>
  <c r="G34" i="54"/>
  <c r="F34" i="54"/>
  <c r="E34" i="54"/>
  <c r="E33" i="54" s="1"/>
  <c r="E36" i="54" s="1"/>
  <c r="D34" i="54"/>
  <c r="AI25" i="54"/>
  <c r="AH25" i="54"/>
  <c r="AG25" i="54"/>
  <c r="AF25" i="54"/>
  <c r="AE25" i="54"/>
  <c r="AD25" i="54"/>
  <c r="AC25" i="54"/>
  <c r="AB25" i="54"/>
  <c r="AA25" i="54"/>
  <c r="Z25" i="54"/>
  <c r="Y25" i="54"/>
  <c r="X25" i="54"/>
  <c r="AI24" i="54"/>
  <c r="AI23" i="54"/>
  <c r="AH23" i="54"/>
  <c r="AG23" i="54"/>
  <c r="AF23" i="54"/>
  <c r="AE23" i="54"/>
  <c r="AD23" i="54"/>
  <c r="AC23" i="54"/>
  <c r="AB23" i="54"/>
  <c r="AA23" i="54"/>
  <c r="Z23" i="54"/>
  <c r="Y23" i="54"/>
  <c r="X23" i="54"/>
  <c r="W23" i="54"/>
  <c r="V23" i="54"/>
  <c r="U23" i="54"/>
  <c r="T23" i="54"/>
  <c r="S23" i="54"/>
  <c r="R23" i="54"/>
  <c r="Q23" i="54"/>
  <c r="P23" i="54"/>
  <c r="O23" i="54"/>
  <c r="N23" i="54"/>
  <c r="M23" i="54"/>
  <c r="L23" i="54"/>
  <c r="K23" i="54"/>
  <c r="J23" i="54"/>
  <c r="I23" i="54"/>
  <c r="H23" i="54"/>
  <c r="G23" i="54"/>
  <c r="F23" i="54"/>
  <c r="E23" i="54"/>
  <c r="D23" i="54"/>
  <c r="AE21" i="54"/>
  <c r="AD21" i="54"/>
  <c r="AC21" i="54"/>
  <c r="AB21" i="54"/>
  <c r="AA21" i="54"/>
  <c r="Z21" i="54"/>
  <c r="Y21" i="54"/>
  <c r="X21" i="54"/>
  <c r="W21" i="54"/>
  <c r="V21" i="54"/>
  <c r="U21" i="54"/>
  <c r="T21" i="54"/>
  <c r="S21" i="54"/>
  <c r="R21" i="54"/>
  <c r="Q21" i="54"/>
  <c r="P21" i="54"/>
  <c r="O21" i="54"/>
  <c r="N21" i="54"/>
  <c r="M21" i="54"/>
  <c r="L21" i="54"/>
  <c r="K21" i="54"/>
  <c r="J21" i="54"/>
  <c r="I21" i="54"/>
  <c r="H21" i="54"/>
  <c r="G21" i="54"/>
  <c r="F21" i="54"/>
  <c r="E21" i="54"/>
  <c r="D21" i="54"/>
  <c r="AI20" i="54"/>
  <c r="AI19" i="54"/>
  <c r="AH19" i="54"/>
  <c r="AG19" i="54"/>
  <c r="AF19" i="54"/>
  <c r="AE19" i="54"/>
  <c r="AD19" i="54"/>
  <c r="AC19" i="54"/>
  <c r="AB19" i="54"/>
  <c r="AA19" i="54"/>
  <c r="Z19" i="54"/>
  <c r="Y19" i="54"/>
  <c r="X19" i="54"/>
  <c r="W19" i="54"/>
  <c r="V19" i="54"/>
  <c r="U19" i="54"/>
  <c r="T19" i="54"/>
  <c r="S19" i="54"/>
  <c r="R19" i="54"/>
  <c r="Q19" i="54"/>
  <c r="P19" i="54"/>
  <c r="O19" i="54"/>
  <c r="N19" i="54"/>
  <c r="M19" i="54"/>
  <c r="L19" i="54"/>
  <c r="K19" i="54"/>
  <c r="J19" i="54"/>
  <c r="I19" i="54"/>
  <c r="H19" i="54"/>
  <c r="G19" i="54"/>
  <c r="F19" i="54"/>
  <c r="E19" i="54"/>
  <c r="D19" i="54"/>
  <c r="AI11" i="54"/>
  <c r="AI10" i="54"/>
  <c r="AH10" i="54"/>
  <c r="AG10" i="54"/>
  <c r="AF10" i="54"/>
  <c r="AE10" i="54"/>
  <c r="AD10" i="54"/>
  <c r="AC10" i="54"/>
  <c r="AB10" i="54"/>
  <c r="AA10" i="54"/>
  <c r="Z10" i="54"/>
  <c r="Y10" i="54"/>
  <c r="X10" i="54"/>
  <c r="W10" i="54"/>
  <c r="V10" i="54"/>
  <c r="U10" i="54"/>
  <c r="T10" i="54"/>
  <c r="S10" i="54"/>
  <c r="R10" i="54"/>
  <c r="Q10" i="54"/>
  <c r="P10" i="54"/>
  <c r="O10" i="54"/>
  <c r="N10" i="54"/>
  <c r="M10" i="54"/>
  <c r="L10" i="54"/>
  <c r="K10" i="54"/>
  <c r="J10" i="54"/>
  <c r="I10" i="54"/>
  <c r="H10" i="54"/>
  <c r="G10" i="54"/>
  <c r="F10" i="54"/>
  <c r="E10" i="54"/>
  <c r="D10" i="54"/>
  <c r="AI62" i="27"/>
  <c r="AI74" i="49" l="1"/>
  <c r="AN36" i="49"/>
  <c r="AI37" i="54"/>
  <c r="D33" i="54"/>
  <c r="D36" i="54" s="1"/>
  <c r="D41" i="54" s="1"/>
  <c r="Z33" i="54"/>
  <c r="Z36" i="54" s="1"/>
  <c r="AE33" i="54"/>
  <c r="AE36" i="54" s="1"/>
  <c r="AE37" i="54" s="1"/>
  <c r="P33" i="54"/>
  <c r="P36" i="54" s="1"/>
  <c r="Q37" i="54" s="1"/>
  <c r="O33" i="54"/>
  <c r="O36" i="54" s="1"/>
  <c r="G33" i="54"/>
  <c r="G36" i="54" s="1"/>
  <c r="W33" i="54"/>
  <c r="W36" i="54" s="1"/>
  <c r="X37" i="54" s="1"/>
  <c r="H33" i="54"/>
  <c r="H36" i="54" s="1"/>
  <c r="I37" i="54" s="1"/>
  <c r="AF33" i="54"/>
  <c r="AF36" i="54" s="1"/>
  <c r="AF38" i="54" s="1"/>
  <c r="AC33" i="54"/>
  <c r="AC36" i="54" s="1"/>
  <c r="AD37" i="54" s="1"/>
  <c r="U33" i="54"/>
  <c r="U36" i="54" s="1"/>
  <c r="V37" i="54" s="1"/>
  <c r="F33" i="54"/>
  <c r="F36" i="54" s="1"/>
  <c r="AB33" i="54"/>
  <c r="AB36" i="54" s="1"/>
  <c r="AI9" i="54"/>
  <c r="AI12" i="54" s="1"/>
  <c r="AG33" i="54"/>
  <c r="AG36" i="54" s="1"/>
  <c r="T33" i="54"/>
  <c r="T36" i="54" s="1"/>
  <c r="D13" i="54"/>
  <c r="AI42" i="54"/>
  <c r="AI47" i="54" s="1"/>
  <c r="M33" i="54"/>
  <c r="M36" i="54" s="1"/>
  <c r="M37" i="54" s="1"/>
  <c r="L37" i="54"/>
  <c r="Y37" i="54"/>
  <c r="J37" i="54"/>
  <c r="K37" i="54"/>
  <c r="N33" i="54"/>
  <c r="N36" i="54" s="1"/>
  <c r="R33" i="54"/>
  <c r="R36" i="54" s="1"/>
  <c r="S37" i="54" s="1"/>
  <c r="AI13" i="45"/>
  <c r="AI14" i="45"/>
  <c r="AI16" i="45"/>
  <c r="AI17" i="45"/>
  <c r="AI20" i="45"/>
  <c r="AI21" i="45"/>
  <c r="AI22" i="45"/>
  <c r="AI25" i="45"/>
  <c r="AI26" i="45"/>
  <c r="AI28" i="45"/>
  <c r="AI29" i="45"/>
  <c r="AI30" i="45"/>
  <c r="AI31" i="45"/>
  <c r="AI35" i="45"/>
  <c r="AI36" i="45"/>
  <c r="AI37" i="45"/>
  <c r="AI38" i="45"/>
  <c r="AI47" i="50" s="1"/>
  <c r="BC45" i="50" s="1"/>
  <c r="AI41" i="45"/>
  <c r="D199" i="44"/>
  <c r="E199" i="44"/>
  <c r="F199" i="44"/>
  <c r="G199" i="44"/>
  <c r="H199" i="44"/>
  <c r="I199" i="44"/>
  <c r="J199" i="44"/>
  <c r="K199" i="44"/>
  <c r="L199" i="44"/>
  <c r="M199" i="44"/>
  <c r="N199" i="44"/>
  <c r="O199" i="44"/>
  <c r="P199" i="44"/>
  <c r="Q199" i="44"/>
  <c r="R199" i="44"/>
  <c r="S199" i="44"/>
  <c r="T199" i="44"/>
  <c r="U199" i="44"/>
  <c r="V199" i="44"/>
  <c r="W199" i="44"/>
  <c r="X199" i="44"/>
  <c r="Y199" i="44"/>
  <c r="Z199" i="44"/>
  <c r="AA199" i="44"/>
  <c r="AB199" i="44"/>
  <c r="AC199" i="44"/>
  <c r="AD199" i="44"/>
  <c r="AE199" i="44"/>
  <c r="AF199" i="44"/>
  <c r="AG199" i="44"/>
  <c r="C199" i="44"/>
  <c r="D237" i="44"/>
  <c r="E237" i="44"/>
  <c r="F237" i="44"/>
  <c r="G237" i="44"/>
  <c r="H237" i="44"/>
  <c r="I237" i="44"/>
  <c r="J237" i="44"/>
  <c r="K237" i="44"/>
  <c r="L237" i="44"/>
  <c r="M237" i="44"/>
  <c r="N237" i="44"/>
  <c r="O237" i="44"/>
  <c r="P237" i="44"/>
  <c r="Q237" i="44"/>
  <c r="R237" i="44"/>
  <c r="S237" i="44"/>
  <c r="T237" i="44"/>
  <c r="U237" i="44"/>
  <c r="V237" i="44"/>
  <c r="W237" i="44"/>
  <c r="X237" i="44"/>
  <c r="Y237" i="44"/>
  <c r="Z237" i="44"/>
  <c r="AA237" i="44"/>
  <c r="AB237" i="44"/>
  <c r="AC237" i="44"/>
  <c r="AD237" i="44"/>
  <c r="AE237" i="44"/>
  <c r="AF237" i="44"/>
  <c r="AG237" i="44"/>
  <c r="C237" i="44"/>
  <c r="AI204" i="27"/>
  <c r="AI208" i="27" s="1"/>
  <c r="AI330" i="27" s="1"/>
  <c r="AI331" i="27" s="1"/>
  <c r="E35" i="49"/>
  <c r="F35" i="49"/>
  <c r="G35" i="49"/>
  <c r="H35" i="49"/>
  <c r="I35" i="49"/>
  <c r="J35" i="49"/>
  <c r="K35" i="49"/>
  <c r="L35" i="49"/>
  <c r="M35" i="49"/>
  <c r="N35" i="49"/>
  <c r="O35" i="49"/>
  <c r="P35" i="49"/>
  <c r="Q35" i="49"/>
  <c r="R35" i="49"/>
  <c r="S35" i="49"/>
  <c r="T35" i="49"/>
  <c r="U35" i="49"/>
  <c r="V35" i="49"/>
  <c r="W35" i="49"/>
  <c r="X35" i="49"/>
  <c r="Y35" i="49"/>
  <c r="Z35" i="49"/>
  <c r="AA35" i="49"/>
  <c r="AB35" i="49"/>
  <c r="AC35" i="49"/>
  <c r="AD35" i="49"/>
  <c r="AE35" i="49"/>
  <c r="D35" i="49"/>
  <c r="E323" i="27"/>
  <c r="E327" i="27" s="1"/>
  <c r="F323" i="27"/>
  <c r="F327" i="27" s="1"/>
  <c r="G323" i="27"/>
  <c r="G327" i="27" s="1"/>
  <c r="H323" i="27"/>
  <c r="H327" i="27" s="1"/>
  <c r="I323" i="27"/>
  <c r="I327" i="27" s="1"/>
  <c r="J323" i="27"/>
  <c r="J327" i="27" s="1"/>
  <c r="K323" i="27"/>
  <c r="K327" i="27" s="1"/>
  <c r="L323" i="27"/>
  <c r="L327" i="27" s="1"/>
  <c r="M323" i="27"/>
  <c r="M327" i="27" s="1"/>
  <c r="N323" i="27"/>
  <c r="N327" i="27" s="1"/>
  <c r="O323" i="27"/>
  <c r="O327" i="27" s="1"/>
  <c r="P323" i="27"/>
  <c r="P327" i="27" s="1"/>
  <c r="Q323" i="27"/>
  <c r="Q327" i="27" s="1"/>
  <c r="R323" i="27"/>
  <c r="R327" i="27" s="1"/>
  <c r="S323" i="27"/>
  <c r="S327" i="27" s="1"/>
  <c r="T323" i="27"/>
  <c r="T327" i="27" s="1"/>
  <c r="U323" i="27"/>
  <c r="U327" i="27" s="1"/>
  <c r="V323" i="27"/>
  <c r="V327" i="27" s="1"/>
  <c r="W323" i="27"/>
  <c r="W327" i="27" s="1"/>
  <c r="X323" i="27"/>
  <c r="X327" i="27" s="1"/>
  <c r="Y323" i="27"/>
  <c r="Y327" i="27" s="1"/>
  <c r="Z323" i="27"/>
  <c r="Z327" i="27" s="1"/>
  <c r="AA323" i="27"/>
  <c r="AA327" i="27" s="1"/>
  <c r="AB323" i="27"/>
  <c r="AB327" i="27" s="1"/>
  <c r="AC323" i="27"/>
  <c r="AC327" i="27" s="1"/>
  <c r="AD323" i="27"/>
  <c r="AD327" i="27" s="1"/>
  <c r="AE323" i="27"/>
  <c r="AE327" i="27" s="1"/>
  <c r="AF323" i="27"/>
  <c r="AF327" i="27" s="1"/>
  <c r="AG323" i="27"/>
  <c r="AG327" i="27" s="1"/>
  <c r="AH323" i="27"/>
  <c r="AH327" i="27" s="1"/>
  <c r="D323" i="27"/>
  <c r="D327" i="27" s="1"/>
  <c r="AI18" i="27"/>
  <c r="AI66" i="53"/>
  <c r="AI94" i="53" s="1"/>
  <c r="AI121" i="53" s="1"/>
  <c r="AI46" i="27"/>
  <c r="AI34" i="27"/>
  <c r="AI44" i="50" l="1"/>
  <c r="BC42" i="50" s="1"/>
  <c r="AI38" i="54"/>
  <c r="E37" i="54"/>
  <c r="AI309" i="27"/>
  <c r="AI312" i="27"/>
  <c r="AI187" i="27"/>
  <c r="AI189" i="27" s="1"/>
  <c r="AI310" i="27"/>
  <c r="P37" i="54"/>
  <c r="W37" i="54"/>
  <c r="AA38" i="54"/>
  <c r="Q38" i="54"/>
  <c r="AG38" i="54"/>
  <c r="S38" i="54"/>
  <c r="I38" i="54"/>
  <c r="AH38" i="54"/>
  <c r="G38" i="54"/>
  <c r="X38" i="54"/>
  <c r="E38" i="54"/>
  <c r="AD38" i="54"/>
  <c r="Y38" i="54"/>
  <c r="V38" i="54"/>
  <c r="Z38" i="54"/>
  <c r="Z37" i="54"/>
  <c r="P38" i="54"/>
  <c r="AA37" i="54"/>
  <c r="J38" i="54"/>
  <c r="AE38" i="54"/>
  <c r="O38" i="54"/>
  <c r="K38" i="54"/>
  <c r="F38" i="54"/>
  <c r="W38" i="54"/>
  <c r="L38" i="54"/>
  <c r="AF37" i="54"/>
  <c r="H38" i="54"/>
  <c r="AC38" i="54"/>
  <c r="H37" i="54"/>
  <c r="AC37" i="54"/>
  <c r="AB38" i="54"/>
  <c r="U37" i="54"/>
  <c r="AB37" i="54"/>
  <c r="U38" i="54"/>
  <c r="F37" i="54"/>
  <c r="G37" i="54"/>
  <c r="T37" i="54"/>
  <c r="AG37" i="54"/>
  <c r="AH37" i="54"/>
  <c r="T38" i="54"/>
  <c r="AI12" i="50"/>
  <c r="BC9" i="50" s="1"/>
  <c r="AI12" i="45"/>
  <c r="AI43" i="50" s="1"/>
  <c r="BC41" i="50" s="1"/>
  <c r="AI24" i="45"/>
  <c r="AI11" i="50"/>
  <c r="BC8" i="50" s="1"/>
  <c r="AI13" i="27"/>
  <c r="AI8" i="27" s="1"/>
  <c r="AI122" i="53"/>
  <c r="AI27" i="45"/>
  <c r="AI15" i="45"/>
  <c r="M38" i="54"/>
  <c r="N37" i="54"/>
  <c r="N38" i="54"/>
  <c r="O37" i="54"/>
  <c r="R38" i="54"/>
  <c r="R37" i="54"/>
  <c r="AI209" i="27"/>
  <c r="AI212" i="27" s="1"/>
  <c r="E73" i="27"/>
  <c r="E74" i="27" s="1"/>
  <c r="F73" i="27"/>
  <c r="F74" i="27" s="1"/>
  <c r="G73" i="27"/>
  <c r="G74" i="27" s="1"/>
  <c r="H73" i="27"/>
  <c r="H74" i="27" s="1"/>
  <c r="I73" i="27"/>
  <c r="I74" i="27" s="1"/>
  <c r="J73" i="27"/>
  <c r="J74" i="27" s="1"/>
  <c r="K73" i="27"/>
  <c r="K74" i="27" s="1"/>
  <c r="L73" i="27"/>
  <c r="L74" i="27" s="1"/>
  <c r="M73" i="27"/>
  <c r="M74" i="27" s="1"/>
  <c r="N73" i="27"/>
  <c r="N74" i="27" s="1"/>
  <c r="O73" i="27"/>
  <c r="O74" i="27" s="1"/>
  <c r="P73" i="27"/>
  <c r="P74" i="27" s="1"/>
  <c r="Q73" i="27"/>
  <c r="Q74" i="27" s="1"/>
  <c r="R73" i="27"/>
  <c r="R74" i="27" s="1"/>
  <c r="S73" i="27"/>
  <c r="S74" i="27" s="1"/>
  <c r="T73" i="27"/>
  <c r="T74" i="27" s="1"/>
  <c r="U73" i="27"/>
  <c r="U74" i="27" s="1"/>
  <c r="V73" i="27"/>
  <c r="V74" i="27" s="1"/>
  <c r="W73" i="27"/>
  <c r="W74" i="27" s="1"/>
  <c r="X73" i="27"/>
  <c r="X74" i="27" s="1"/>
  <c r="Y73" i="27"/>
  <c r="Y74" i="27" s="1"/>
  <c r="Z73" i="27"/>
  <c r="Z74" i="27" s="1"/>
  <c r="AA73" i="27"/>
  <c r="AA74" i="27" s="1"/>
  <c r="AB73" i="27"/>
  <c r="AB74" i="27" s="1"/>
  <c r="AC73" i="27"/>
  <c r="AC74" i="27" s="1"/>
  <c r="AD73" i="27"/>
  <c r="AD74" i="27" s="1"/>
  <c r="AE73" i="27"/>
  <c r="AE74" i="27" s="1"/>
  <c r="AF73" i="27"/>
  <c r="AF74" i="27" s="1"/>
  <c r="AG73" i="27"/>
  <c r="AG74" i="27" s="1"/>
  <c r="AH73" i="27"/>
  <c r="AH74" i="27" s="1"/>
  <c r="D73" i="27"/>
  <c r="D74" i="27" s="1"/>
  <c r="AI313" i="27" l="1"/>
  <c r="AI333" i="27" s="1"/>
  <c r="AI19" i="27" s="1"/>
  <c r="AI17" i="27" s="1"/>
  <c r="AI39" i="49" s="1"/>
  <c r="AI9" i="50"/>
  <c r="BC6" i="50" s="1"/>
  <c r="AI41" i="50"/>
  <c r="BC39" i="50" s="1"/>
  <c r="AI8" i="50"/>
  <c r="BC5" i="50" s="1"/>
  <c r="AI40" i="50"/>
  <c r="BC38" i="50" s="1"/>
  <c r="AI213" i="27"/>
  <c r="AI14" i="27"/>
  <c r="AI55" i="54"/>
  <c r="AI34" i="45"/>
  <c r="AI46" i="50" s="1"/>
  <c r="E201" i="27"/>
  <c r="E205" i="27" s="1"/>
  <c r="F201" i="27"/>
  <c r="F205" i="27" s="1"/>
  <c r="G201" i="27"/>
  <c r="G205" i="27" s="1"/>
  <c r="H201" i="27"/>
  <c r="H205" i="27" s="1"/>
  <c r="I201" i="27"/>
  <c r="I205" i="27" s="1"/>
  <c r="J201" i="27"/>
  <c r="J205" i="27" s="1"/>
  <c r="K201" i="27"/>
  <c r="K205" i="27" s="1"/>
  <c r="L201" i="27"/>
  <c r="L205" i="27" s="1"/>
  <c r="M201" i="27"/>
  <c r="M205" i="27" s="1"/>
  <c r="N201" i="27"/>
  <c r="N205" i="27" s="1"/>
  <c r="O201" i="27"/>
  <c r="O205" i="27" s="1"/>
  <c r="P201" i="27"/>
  <c r="P205" i="27" s="1"/>
  <c r="Q201" i="27"/>
  <c r="Q205" i="27" s="1"/>
  <c r="R201" i="27"/>
  <c r="R205" i="27" s="1"/>
  <c r="S201" i="27"/>
  <c r="S205" i="27" s="1"/>
  <c r="T201" i="27"/>
  <c r="T205" i="27" s="1"/>
  <c r="U201" i="27"/>
  <c r="U205" i="27" s="1"/>
  <c r="V201" i="27"/>
  <c r="W201" i="27"/>
  <c r="W205" i="27" s="1"/>
  <c r="X201" i="27"/>
  <c r="X205" i="27" s="1"/>
  <c r="Y201" i="27"/>
  <c r="Y205" i="27" s="1"/>
  <c r="Z201" i="27"/>
  <c r="Z205" i="27" s="1"/>
  <c r="AA201" i="27"/>
  <c r="AA205" i="27" s="1"/>
  <c r="AB201" i="27"/>
  <c r="AB205" i="27" s="1"/>
  <c r="AC201" i="27"/>
  <c r="AC205" i="27" s="1"/>
  <c r="AD201" i="27"/>
  <c r="AD205" i="27" s="1"/>
  <c r="AE201" i="27"/>
  <c r="AE205" i="27" s="1"/>
  <c r="AF201" i="27"/>
  <c r="AF205" i="27" s="1"/>
  <c r="AG201" i="27"/>
  <c r="AG205" i="27" s="1"/>
  <c r="AH201" i="27"/>
  <c r="AH205" i="27" s="1"/>
  <c r="E202" i="27"/>
  <c r="E206" i="27" s="1"/>
  <c r="E328" i="27" s="1"/>
  <c r="F202" i="27"/>
  <c r="F206" i="27" s="1"/>
  <c r="F328" i="27" s="1"/>
  <c r="G202" i="27"/>
  <c r="G206" i="27" s="1"/>
  <c r="G328" i="27" s="1"/>
  <c r="H202" i="27"/>
  <c r="H206" i="27" s="1"/>
  <c r="H328" i="27" s="1"/>
  <c r="I202" i="27"/>
  <c r="I206" i="27" s="1"/>
  <c r="I328" i="27" s="1"/>
  <c r="J202" i="27"/>
  <c r="J206" i="27" s="1"/>
  <c r="J328" i="27" s="1"/>
  <c r="K202" i="27"/>
  <c r="K206" i="27" s="1"/>
  <c r="K328" i="27" s="1"/>
  <c r="L202" i="27"/>
  <c r="L206" i="27" s="1"/>
  <c r="L328" i="27" s="1"/>
  <c r="M202" i="27"/>
  <c r="M206" i="27" s="1"/>
  <c r="M328" i="27" s="1"/>
  <c r="N202" i="27"/>
  <c r="N206" i="27" s="1"/>
  <c r="N328" i="27" s="1"/>
  <c r="O202" i="27"/>
  <c r="O206" i="27" s="1"/>
  <c r="O328" i="27" s="1"/>
  <c r="P202" i="27"/>
  <c r="P206" i="27" s="1"/>
  <c r="P328" i="27" s="1"/>
  <c r="Q202" i="27"/>
  <c r="Q206" i="27" s="1"/>
  <c r="Q328" i="27" s="1"/>
  <c r="R202" i="27"/>
  <c r="R206" i="27" s="1"/>
  <c r="R328" i="27" s="1"/>
  <c r="S202" i="27"/>
  <c r="S206" i="27" s="1"/>
  <c r="S328" i="27" s="1"/>
  <c r="T202" i="27"/>
  <c r="T206" i="27" s="1"/>
  <c r="T328" i="27" s="1"/>
  <c r="U202" i="27"/>
  <c r="U206" i="27" s="1"/>
  <c r="U328" i="27" s="1"/>
  <c r="V202" i="27"/>
  <c r="W202" i="27"/>
  <c r="X202" i="27"/>
  <c r="X206" i="27" s="1"/>
  <c r="X328" i="27" s="1"/>
  <c r="Y202" i="27"/>
  <c r="Y206" i="27" s="1"/>
  <c r="Y328" i="27" s="1"/>
  <c r="Z202" i="27"/>
  <c r="Z206" i="27" s="1"/>
  <c r="Z328" i="27" s="1"/>
  <c r="AA202" i="27"/>
  <c r="AA206" i="27" s="1"/>
  <c r="AA328" i="27" s="1"/>
  <c r="AB202" i="27"/>
  <c r="AB206" i="27" s="1"/>
  <c r="AB328" i="27" s="1"/>
  <c r="AC202" i="27"/>
  <c r="AC206" i="27" s="1"/>
  <c r="AC328" i="27" s="1"/>
  <c r="AD202" i="27"/>
  <c r="AD206" i="27" s="1"/>
  <c r="AD328" i="27" s="1"/>
  <c r="AE202" i="27"/>
  <c r="AE206" i="27" s="1"/>
  <c r="AE328" i="27" s="1"/>
  <c r="AF202" i="27"/>
  <c r="AF206" i="27" s="1"/>
  <c r="AF328" i="27" s="1"/>
  <c r="AG202" i="27"/>
  <c r="AG206" i="27" s="1"/>
  <c r="AG328" i="27" s="1"/>
  <c r="AH202" i="27"/>
  <c r="AH206" i="27" s="1"/>
  <c r="AH328" i="27" s="1"/>
  <c r="E203" i="27"/>
  <c r="E207" i="27" s="1"/>
  <c r="E329" i="27" s="1"/>
  <c r="F203" i="27"/>
  <c r="F207" i="27" s="1"/>
  <c r="F329" i="27" s="1"/>
  <c r="G203" i="27"/>
  <c r="G207" i="27" s="1"/>
  <c r="G329" i="27" s="1"/>
  <c r="H203" i="27"/>
  <c r="H207" i="27" s="1"/>
  <c r="H329" i="27" s="1"/>
  <c r="I203" i="27"/>
  <c r="I207" i="27" s="1"/>
  <c r="I329" i="27" s="1"/>
  <c r="J203" i="27"/>
  <c r="J207" i="27" s="1"/>
  <c r="J329" i="27" s="1"/>
  <c r="K203" i="27"/>
  <c r="K207" i="27" s="1"/>
  <c r="K329" i="27" s="1"/>
  <c r="L203" i="27"/>
  <c r="L207" i="27" s="1"/>
  <c r="L329" i="27" s="1"/>
  <c r="M203" i="27"/>
  <c r="M207" i="27" s="1"/>
  <c r="M329" i="27" s="1"/>
  <c r="N203" i="27"/>
  <c r="N207" i="27" s="1"/>
  <c r="N329" i="27" s="1"/>
  <c r="O203" i="27"/>
  <c r="O207" i="27" s="1"/>
  <c r="O329" i="27" s="1"/>
  <c r="P203" i="27"/>
  <c r="P207" i="27" s="1"/>
  <c r="P329" i="27" s="1"/>
  <c r="Q203" i="27"/>
  <c r="Q207" i="27" s="1"/>
  <c r="Q329" i="27" s="1"/>
  <c r="R203" i="27"/>
  <c r="R207" i="27" s="1"/>
  <c r="R329" i="27" s="1"/>
  <c r="S203" i="27"/>
  <c r="S207" i="27" s="1"/>
  <c r="S329" i="27" s="1"/>
  <c r="T203" i="27"/>
  <c r="T207" i="27" s="1"/>
  <c r="T329" i="27" s="1"/>
  <c r="U203" i="27"/>
  <c r="U207" i="27" s="1"/>
  <c r="U329" i="27" s="1"/>
  <c r="V203" i="27"/>
  <c r="V207" i="27" s="1"/>
  <c r="V329" i="27" s="1"/>
  <c r="W203" i="27"/>
  <c r="W207" i="27" s="1"/>
  <c r="W329" i="27" s="1"/>
  <c r="X203" i="27"/>
  <c r="X207" i="27" s="1"/>
  <c r="X329" i="27" s="1"/>
  <c r="Y203" i="27"/>
  <c r="Y207" i="27" s="1"/>
  <c r="Y329" i="27" s="1"/>
  <c r="Z203" i="27"/>
  <c r="Z207" i="27" s="1"/>
  <c r="Z329" i="27" s="1"/>
  <c r="AA203" i="27"/>
  <c r="AA207" i="27" s="1"/>
  <c r="AA329" i="27" s="1"/>
  <c r="AB203" i="27"/>
  <c r="AB207" i="27" s="1"/>
  <c r="AB329" i="27" s="1"/>
  <c r="AC203" i="27"/>
  <c r="AC207" i="27" s="1"/>
  <c r="AC329" i="27" s="1"/>
  <c r="AD203" i="27"/>
  <c r="AD207" i="27" s="1"/>
  <c r="AD329" i="27" s="1"/>
  <c r="AE203" i="27"/>
  <c r="AE207" i="27" s="1"/>
  <c r="AE329" i="27" s="1"/>
  <c r="AF203" i="27"/>
  <c r="AF207" i="27" s="1"/>
  <c r="AF329" i="27" s="1"/>
  <c r="AG203" i="27"/>
  <c r="AG207" i="27" s="1"/>
  <c r="AG329" i="27" s="1"/>
  <c r="AH203" i="27"/>
  <c r="AH207" i="27" s="1"/>
  <c r="AH329" i="27" s="1"/>
  <c r="E204" i="27"/>
  <c r="F204" i="27"/>
  <c r="G204" i="27"/>
  <c r="H204" i="27"/>
  <c r="I204" i="27"/>
  <c r="J204" i="27"/>
  <c r="K204" i="27"/>
  <c r="L204" i="27"/>
  <c r="M204" i="27"/>
  <c r="N204" i="27"/>
  <c r="O204" i="27"/>
  <c r="P204" i="27"/>
  <c r="Q204" i="27"/>
  <c r="R204" i="27"/>
  <c r="S204" i="27"/>
  <c r="T204" i="27"/>
  <c r="U204" i="27"/>
  <c r="V204" i="27"/>
  <c r="W204" i="27"/>
  <c r="X204" i="27"/>
  <c r="Y204" i="27"/>
  <c r="Z204" i="27"/>
  <c r="AA204" i="27"/>
  <c r="AB204" i="27"/>
  <c r="AC204" i="27"/>
  <c r="AD204" i="27"/>
  <c r="AE204" i="27"/>
  <c r="AF204" i="27"/>
  <c r="AF208" i="27" s="1"/>
  <c r="AF330" i="27" s="1"/>
  <c r="AG204" i="27"/>
  <c r="AG208" i="27" s="1"/>
  <c r="AG330" i="27" s="1"/>
  <c r="AH204" i="27"/>
  <c r="AH208" i="27" s="1"/>
  <c r="AH330" i="27" s="1"/>
  <c r="D202" i="27"/>
  <c r="D206" i="27" s="1"/>
  <c r="D328" i="27" s="1"/>
  <c r="D203" i="27"/>
  <c r="D207" i="27" s="1"/>
  <c r="D329" i="27" s="1"/>
  <c r="D204" i="27"/>
  <c r="D208" i="27" s="1"/>
  <c r="D330" i="27" s="1"/>
  <c r="D201" i="27"/>
  <c r="D205" i="27" s="1"/>
  <c r="AD331" i="27" l="1"/>
  <c r="N331" i="27"/>
  <c r="F331" i="27"/>
  <c r="BC44" i="50"/>
  <c r="D209" i="27"/>
  <c r="Y331" i="27"/>
  <c r="Q331" i="27"/>
  <c r="I331" i="27"/>
  <c r="AC331" i="27"/>
  <c r="U331" i="27"/>
  <c r="M331" i="27"/>
  <c r="E331" i="27"/>
  <c r="AB331" i="27"/>
  <c r="T331" i="27"/>
  <c r="L331" i="27"/>
  <c r="AH331" i="27"/>
  <c r="Z331" i="27"/>
  <c r="R331" i="27"/>
  <c r="J331" i="27"/>
  <c r="AG331" i="27"/>
  <c r="AF331" i="27"/>
  <c r="X331" i="27"/>
  <c r="P331" i="27"/>
  <c r="H331" i="27"/>
  <c r="D331" i="27"/>
  <c r="AE331" i="27"/>
  <c r="O331" i="27"/>
  <c r="G331" i="27"/>
  <c r="AA331" i="27"/>
  <c r="S331" i="27"/>
  <c r="K331" i="27"/>
  <c r="AI157" i="53"/>
  <c r="AI185" i="53" s="1"/>
  <c r="C17" i="32" l="1"/>
  <c r="C24" i="28" l="1"/>
  <c r="D62" i="54" s="1"/>
  <c r="D68" i="54" s="1"/>
  <c r="D63" i="54"/>
  <c r="G5" i="28"/>
  <c r="H63" i="54" s="1"/>
  <c r="H5" i="28"/>
  <c r="I63" i="54" s="1"/>
  <c r="I5" i="28"/>
  <c r="J63" i="54" s="1"/>
  <c r="J5" i="28"/>
  <c r="K5" i="28"/>
  <c r="L5" i="28"/>
  <c r="M5" i="28"/>
  <c r="W5" i="28"/>
  <c r="X63" i="54" s="1"/>
  <c r="X5" i="28"/>
  <c r="Y63" i="54" s="1"/>
  <c r="Y5" i="28"/>
  <c r="Z5" i="28"/>
  <c r="AA5" i="28"/>
  <c r="AB5" i="28"/>
  <c r="AC5" i="28"/>
  <c r="AD5" i="28"/>
  <c r="AE5" i="28"/>
  <c r="AE24" i="28" s="1"/>
  <c r="AF62" i="54" s="1"/>
  <c r="AF68" i="54" s="1"/>
  <c r="AF70" i="54" s="1"/>
  <c r="AF5" i="28"/>
  <c r="AG5" i="28"/>
  <c r="E8" i="28"/>
  <c r="G24" i="28"/>
  <c r="H62" i="54" s="1"/>
  <c r="H68" i="54" s="1"/>
  <c r="H70" i="54" l="1"/>
  <c r="D73" i="54"/>
  <c r="AI70" i="54"/>
  <c r="H24" i="28"/>
  <c r="I62" i="54" s="1"/>
  <c r="I68" i="54" s="1"/>
  <c r="I70" i="54" s="1"/>
  <c r="I24" i="28"/>
  <c r="J62" i="54" s="1"/>
  <c r="J68" i="54" s="1"/>
  <c r="J70" i="54" s="1"/>
  <c r="X24" i="28"/>
  <c r="Y62" i="54" s="1"/>
  <c r="Y68" i="54" s="1"/>
  <c r="Y70" i="54" s="1"/>
  <c r="W24" i="28"/>
  <c r="X62" i="54" s="1"/>
  <c r="X68" i="54" s="1"/>
  <c r="X70" i="54" s="1"/>
  <c r="AD40" i="49"/>
  <c r="AD63" i="54"/>
  <c r="AA24" i="28"/>
  <c r="AB62" i="54" s="1"/>
  <c r="AB68" i="54" s="1"/>
  <c r="AB70" i="54" s="1"/>
  <c r="AB40" i="49"/>
  <c r="AB63" i="54"/>
  <c r="Z24" i="28"/>
  <c r="AA62" i="54" s="1"/>
  <c r="AA68" i="54" s="1"/>
  <c r="AA70" i="54" s="1"/>
  <c r="AA63" i="54"/>
  <c r="AE40" i="49"/>
  <c r="AE63" i="54"/>
  <c r="AC40" i="49"/>
  <c r="AC63" i="54"/>
  <c r="Y24" i="28"/>
  <c r="Z62" i="54" s="1"/>
  <c r="Z68" i="54" s="1"/>
  <c r="Z70" i="54" s="1"/>
  <c r="Z63" i="54"/>
  <c r="V24" i="28"/>
  <c r="W62" i="54" s="1"/>
  <c r="W68" i="54" s="1"/>
  <c r="W70" i="54" s="1"/>
  <c r="W63" i="54"/>
  <c r="AG24" i="28"/>
  <c r="AH62" i="54" s="1"/>
  <c r="AH68" i="54" s="1"/>
  <c r="AH40" i="49"/>
  <c r="AH63" i="54"/>
  <c r="AF24" i="28"/>
  <c r="AG62" i="54" s="1"/>
  <c r="AG68" i="54" s="1"/>
  <c r="AG70" i="54" s="1"/>
  <c r="AG40" i="49"/>
  <c r="AG63" i="54"/>
  <c r="AF40" i="49"/>
  <c r="AF63" i="54"/>
  <c r="M24" i="28"/>
  <c r="N62" i="54" s="1"/>
  <c r="N68" i="54" s="1"/>
  <c r="N70" i="54" s="1"/>
  <c r="N63" i="54"/>
  <c r="L24" i="28"/>
  <c r="M62" i="54" s="1"/>
  <c r="M68" i="54" s="1"/>
  <c r="M70" i="54" s="1"/>
  <c r="M63" i="54"/>
  <c r="K24" i="28"/>
  <c r="L62" i="54" s="1"/>
  <c r="L68" i="54" s="1"/>
  <c r="L70" i="54" s="1"/>
  <c r="L63" i="54"/>
  <c r="J24" i="28"/>
  <c r="K62" i="54" s="1"/>
  <c r="K68" i="54" s="1"/>
  <c r="K70" i="54" s="1"/>
  <c r="K63" i="54"/>
  <c r="AB24" i="28"/>
  <c r="AC62" i="54" s="1"/>
  <c r="AC68" i="54" s="1"/>
  <c r="AC70" i="54" s="1"/>
  <c r="AD24" i="28"/>
  <c r="AE62" i="54" s="1"/>
  <c r="AE68" i="54" s="1"/>
  <c r="AE70" i="54" s="1"/>
  <c r="AC24" i="28"/>
  <c r="AD62" i="54" s="1"/>
  <c r="AD68" i="54" s="1"/>
  <c r="AD70" i="54" s="1"/>
  <c r="AG26" i="45"/>
  <c r="AG36" i="45"/>
  <c r="AG37" i="45"/>
  <c r="AH70" i="54" l="1"/>
  <c r="AI69" i="54"/>
  <c r="I69" i="54"/>
  <c r="J69" i="54"/>
  <c r="Y69" i="54"/>
  <c r="AB69" i="54"/>
  <c r="AE69" i="54"/>
  <c r="AH69" i="54"/>
  <c r="Z69" i="54"/>
  <c r="AD69" i="54"/>
  <c r="AG35" i="45"/>
  <c r="AC69" i="54"/>
  <c r="AG69" i="54"/>
  <c r="AA69" i="54"/>
  <c r="AF69" i="54"/>
  <c r="X69" i="54"/>
  <c r="L69" i="54"/>
  <c r="M69" i="54"/>
  <c r="K69" i="54"/>
  <c r="N69" i="54"/>
  <c r="AH11" i="17"/>
  <c r="AH8" i="17"/>
  <c r="AH46" i="54" s="1"/>
  <c r="AF130" i="26" l="1"/>
  <c r="AG130" i="26"/>
  <c r="AG132" i="26" s="1"/>
  <c r="AF131" i="26"/>
  <c r="AF132" i="26" l="1"/>
  <c r="AF42" i="24" l="1"/>
  <c r="AE42" i="24"/>
  <c r="AD42" i="24"/>
  <c r="AC42" i="24"/>
  <c r="AB42" i="24"/>
  <c r="AA42" i="24"/>
  <c r="Z42" i="24"/>
  <c r="Y42" i="24"/>
  <c r="X42" i="24"/>
  <c r="W42" i="24"/>
  <c r="V42" i="24"/>
  <c r="U42" i="24"/>
  <c r="T42" i="24"/>
  <c r="S42" i="24"/>
  <c r="R42" i="24"/>
  <c r="Q42" i="24"/>
  <c r="P42" i="24"/>
  <c r="O42" i="24"/>
  <c r="N42" i="24"/>
  <c r="M42" i="24"/>
  <c r="L42" i="24"/>
  <c r="K42" i="24"/>
  <c r="J42" i="24"/>
  <c r="C62" i="25" l="1"/>
  <c r="B45" i="24" l="1"/>
  <c r="AH43" i="24" s="1"/>
  <c r="AH25" i="45"/>
  <c r="AI26" i="54" l="1"/>
  <c r="AI22" i="54" s="1"/>
  <c r="AI23" i="45"/>
  <c r="AI19" i="45" s="1"/>
  <c r="AI36" i="49"/>
  <c r="H43" i="24"/>
  <c r="G43" i="24"/>
  <c r="E43" i="24"/>
  <c r="J43" i="24"/>
  <c r="F43" i="24"/>
  <c r="D43" i="24"/>
  <c r="C43" i="24"/>
  <c r="I43" i="24"/>
  <c r="Q43" i="24"/>
  <c r="K43" i="24"/>
  <c r="AD43" i="24"/>
  <c r="R43" i="24"/>
  <c r="S43" i="24"/>
  <c r="L43" i="24"/>
  <c r="AA43" i="24"/>
  <c r="Y43" i="24"/>
  <c r="T43" i="24"/>
  <c r="M43" i="24"/>
  <c r="Z43" i="24"/>
  <c r="AB43" i="24"/>
  <c r="U43" i="24"/>
  <c r="O43" i="24"/>
  <c r="W43" i="24"/>
  <c r="AC43" i="24"/>
  <c r="AE43" i="24"/>
  <c r="P43" i="24"/>
  <c r="N43" i="24"/>
  <c r="AF43" i="24"/>
  <c r="X43" i="24"/>
  <c r="V43" i="24"/>
  <c r="AG43" i="24"/>
  <c r="AG55" i="29"/>
  <c r="AH41" i="49" s="1"/>
  <c r="AG47" i="29"/>
  <c r="AG53" i="29" s="1"/>
  <c r="AG48" i="29"/>
  <c r="AG54" i="29" s="1"/>
  <c r="AG34" i="49"/>
  <c r="AH34" i="49"/>
  <c r="AG37" i="49"/>
  <c r="AH37" i="49"/>
  <c r="AG38" i="49"/>
  <c r="AH38" i="49"/>
  <c r="AG42" i="49"/>
  <c r="AH42" i="49"/>
  <c r="AG48" i="49"/>
  <c r="AH48" i="49"/>
  <c r="AG49" i="49"/>
  <c r="AH49" i="49"/>
  <c r="AH52" i="49"/>
  <c r="AG59" i="49"/>
  <c r="AH59" i="49"/>
  <c r="AG60" i="49"/>
  <c r="AH60" i="49"/>
  <c r="AG61" i="49"/>
  <c r="AH61" i="49"/>
  <c r="AG65" i="49"/>
  <c r="AH65" i="49"/>
  <c r="AG66" i="49"/>
  <c r="AH66" i="49"/>
  <c r="AG67" i="49"/>
  <c r="AH67" i="49"/>
  <c r="AG56" i="29" l="1"/>
  <c r="AH51" i="49"/>
  <c r="AG68" i="49"/>
  <c r="AH69" i="49"/>
  <c r="AH31" i="45"/>
  <c r="AH62" i="49"/>
  <c r="AH68" i="49"/>
  <c r="AH27" i="49" l="1"/>
  <c r="D13" i="45"/>
  <c r="E13" i="45"/>
  <c r="F13" i="45"/>
  <c r="G13" i="45"/>
  <c r="H13" i="45"/>
  <c r="I13" i="45"/>
  <c r="J13" i="45"/>
  <c r="K13" i="45"/>
  <c r="L13" i="45"/>
  <c r="M13" i="45"/>
  <c r="N13" i="45"/>
  <c r="O13" i="45"/>
  <c r="P13" i="45"/>
  <c r="Q13" i="45"/>
  <c r="R13" i="45"/>
  <c r="S13" i="45"/>
  <c r="T13" i="45"/>
  <c r="U13" i="45"/>
  <c r="V13" i="45"/>
  <c r="W13" i="45"/>
  <c r="X13" i="45"/>
  <c r="Y13" i="45"/>
  <c r="Z13" i="45"/>
  <c r="AA13" i="45"/>
  <c r="AB13" i="45"/>
  <c r="AC13" i="45"/>
  <c r="AD13" i="45"/>
  <c r="D16" i="45"/>
  <c r="E16" i="45"/>
  <c r="F16" i="45"/>
  <c r="G16" i="45"/>
  <c r="H16" i="45"/>
  <c r="I16" i="45"/>
  <c r="J16" i="45"/>
  <c r="K16" i="45"/>
  <c r="L16" i="45"/>
  <c r="M16" i="45"/>
  <c r="N16" i="45"/>
  <c r="O16" i="45"/>
  <c r="P16" i="45"/>
  <c r="Q16" i="45"/>
  <c r="R16" i="45"/>
  <c r="S16" i="45"/>
  <c r="T16" i="45"/>
  <c r="U16" i="45"/>
  <c r="V16" i="45"/>
  <c r="W16" i="45"/>
  <c r="X16" i="45"/>
  <c r="Y16" i="45"/>
  <c r="Z16" i="45"/>
  <c r="AA16" i="45"/>
  <c r="AB16" i="45"/>
  <c r="AC16" i="45"/>
  <c r="AD16" i="45"/>
  <c r="D18" i="45"/>
  <c r="E18" i="45"/>
  <c r="F18" i="45"/>
  <c r="G18" i="45"/>
  <c r="H18" i="45"/>
  <c r="I18" i="45"/>
  <c r="J18" i="45"/>
  <c r="K18" i="45"/>
  <c r="L18" i="45"/>
  <c r="M18" i="45"/>
  <c r="N18" i="45"/>
  <c r="O18" i="45"/>
  <c r="P18" i="45"/>
  <c r="Q18" i="45"/>
  <c r="R18" i="45"/>
  <c r="S18" i="45"/>
  <c r="T18" i="45"/>
  <c r="U18" i="45"/>
  <c r="V18" i="45"/>
  <c r="W18" i="45"/>
  <c r="X18" i="45"/>
  <c r="Y18" i="45"/>
  <c r="Z18" i="45"/>
  <c r="AA18" i="45"/>
  <c r="AB18" i="45"/>
  <c r="AC18" i="45"/>
  <c r="AD18" i="45"/>
  <c r="D20" i="45"/>
  <c r="E20" i="45"/>
  <c r="F20" i="45"/>
  <c r="G20" i="45"/>
  <c r="H20" i="45"/>
  <c r="I20" i="45"/>
  <c r="J20" i="45"/>
  <c r="K20" i="45"/>
  <c r="L20" i="45"/>
  <c r="M20" i="45"/>
  <c r="N20" i="45"/>
  <c r="O20" i="45"/>
  <c r="P20" i="45"/>
  <c r="Q20" i="45"/>
  <c r="R20" i="45"/>
  <c r="S20" i="45"/>
  <c r="T20" i="45"/>
  <c r="U20" i="45"/>
  <c r="V20" i="45"/>
  <c r="W20" i="45"/>
  <c r="X20" i="45"/>
  <c r="Y20" i="45"/>
  <c r="Z20" i="45"/>
  <c r="AA20" i="45"/>
  <c r="AB20" i="45"/>
  <c r="AC20" i="45"/>
  <c r="AD20" i="45"/>
  <c r="X22" i="45"/>
  <c r="Y22" i="45"/>
  <c r="Z22" i="45"/>
  <c r="AA22" i="45"/>
  <c r="AB22" i="45"/>
  <c r="AC22" i="45"/>
  <c r="AD22" i="45"/>
  <c r="D25" i="45"/>
  <c r="E25" i="45"/>
  <c r="F25" i="45"/>
  <c r="G25" i="45"/>
  <c r="H25" i="45"/>
  <c r="I25" i="45"/>
  <c r="J25" i="45"/>
  <c r="K25" i="45"/>
  <c r="L25" i="45"/>
  <c r="M25" i="45"/>
  <c r="N25" i="45"/>
  <c r="O25" i="45"/>
  <c r="P25" i="45"/>
  <c r="Q25" i="45"/>
  <c r="R25" i="45"/>
  <c r="S25" i="45"/>
  <c r="T25" i="45"/>
  <c r="U25" i="45"/>
  <c r="V25" i="45"/>
  <c r="W25" i="45"/>
  <c r="X25" i="45"/>
  <c r="Y25" i="45"/>
  <c r="Z25" i="45"/>
  <c r="AA25" i="45"/>
  <c r="AB25" i="45"/>
  <c r="AC25" i="45"/>
  <c r="AD25" i="45"/>
  <c r="D26" i="45"/>
  <c r="E26" i="45"/>
  <c r="F26" i="45"/>
  <c r="G26" i="45"/>
  <c r="H26" i="45"/>
  <c r="I26" i="45"/>
  <c r="J26" i="45"/>
  <c r="K26" i="45"/>
  <c r="L26" i="45"/>
  <c r="M26" i="45"/>
  <c r="N26" i="45"/>
  <c r="O26" i="45"/>
  <c r="P26" i="45"/>
  <c r="Q26" i="45"/>
  <c r="R26" i="45"/>
  <c r="S26" i="45"/>
  <c r="T26" i="45"/>
  <c r="U26" i="45"/>
  <c r="V26" i="45"/>
  <c r="W26" i="45"/>
  <c r="X26" i="45"/>
  <c r="Y26" i="45"/>
  <c r="Z26" i="45"/>
  <c r="AA26" i="45"/>
  <c r="AB26" i="45"/>
  <c r="AC26" i="45"/>
  <c r="AD26" i="45"/>
  <c r="D28" i="45"/>
  <c r="E28" i="45"/>
  <c r="F28" i="45"/>
  <c r="G28" i="45"/>
  <c r="H28" i="45"/>
  <c r="I28" i="45"/>
  <c r="J28" i="45"/>
  <c r="K28" i="45"/>
  <c r="L28" i="45"/>
  <c r="M28" i="45"/>
  <c r="N28" i="45"/>
  <c r="O28" i="45"/>
  <c r="P28" i="45"/>
  <c r="Q28" i="45"/>
  <c r="R28" i="45"/>
  <c r="S28" i="45"/>
  <c r="T28" i="45"/>
  <c r="U28" i="45"/>
  <c r="V28" i="45"/>
  <c r="W28" i="45"/>
  <c r="X28" i="45"/>
  <c r="Y28" i="45"/>
  <c r="Z28" i="45"/>
  <c r="AA28" i="45"/>
  <c r="AB28" i="45"/>
  <c r="AC28" i="45"/>
  <c r="AD28" i="45"/>
  <c r="X30" i="45"/>
  <c r="Y30" i="45"/>
  <c r="Z30" i="45"/>
  <c r="AA30" i="45"/>
  <c r="AB30" i="45"/>
  <c r="AC30" i="45"/>
  <c r="AD30" i="45"/>
  <c r="D31" i="45"/>
  <c r="E31" i="45"/>
  <c r="F31" i="45"/>
  <c r="G31" i="45"/>
  <c r="H31" i="45"/>
  <c r="I31" i="45"/>
  <c r="J31" i="45"/>
  <c r="K31" i="45"/>
  <c r="L31" i="45"/>
  <c r="M31" i="45"/>
  <c r="N31" i="45"/>
  <c r="O31" i="45"/>
  <c r="P31" i="45"/>
  <c r="Q31" i="45"/>
  <c r="R31" i="45"/>
  <c r="S31" i="45"/>
  <c r="T31" i="45"/>
  <c r="U31" i="45"/>
  <c r="V31" i="45"/>
  <c r="W31" i="45"/>
  <c r="X31" i="45"/>
  <c r="Y31" i="45"/>
  <c r="Z31" i="45"/>
  <c r="AA31" i="45"/>
  <c r="AB31" i="45"/>
  <c r="AC31" i="45"/>
  <c r="AD31" i="45"/>
  <c r="H35" i="45"/>
  <c r="I35" i="45"/>
  <c r="J35" i="45"/>
  <c r="K35" i="45"/>
  <c r="L35" i="45"/>
  <c r="M35" i="45"/>
  <c r="N35" i="45"/>
  <c r="W35" i="45"/>
  <c r="X35" i="45"/>
  <c r="Y35" i="45"/>
  <c r="Z35" i="45"/>
  <c r="AA35" i="45"/>
  <c r="AB35" i="45"/>
  <c r="H36" i="45"/>
  <c r="I36" i="45"/>
  <c r="J36" i="45"/>
  <c r="K36" i="45"/>
  <c r="L36" i="45"/>
  <c r="M36" i="45"/>
  <c r="N36" i="45"/>
  <c r="W36" i="45"/>
  <c r="X36" i="45"/>
  <c r="Y36" i="45"/>
  <c r="Z36" i="45"/>
  <c r="AA36" i="45"/>
  <c r="AB36" i="45"/>
  <c r="AC36" i="45"/>
  <c r="AD36" i="45"/>
  <c r="D37" i="45"/>
  <c r="E37" i="45"/>
  <c r="F37" i="45"/>
  <c r="G37" i="45"/>
  <c r="H37" i="45"/>
  <c r="I37" i="45"/>
  <c r="J37" i="45"/>
  <c r="K37" i="45"/>
  <c r="L37" i="45"/>
  <c r="M37" i="45"/>
  <c r="N37" i="45"/>
  <c r="O37" i="45"/>
  <c r="P37" i="45"/>
  <c r="Q37" i="45"/>
  <c r="R37" i="45"/>
  <c r="S37" i="45"/>
  <c r="T37" i="45"/>
  <c r="U37" i="45"/>
  <c r="V37" i="45"/>
  <c r="W37" i="45"/>
  <c r="X37" i="45"/>
  <c r="Y37" i="45"/>
  <c r="Z37" i="45"/>
  <c r="AA37" i="45"/>
  <c r="AB37" i="45"/>
  <c r="AC37" i="45"/>
  <c r="AD37" i="45"/>
  <c r="AG33" i="25"/>
  <c r="AG50" i="25" s="1"/>
  <c r="AH58" i="49" s="1"/>
  <c r="AG34" i="25"/>
  <c r="AG51" i="25" s="1"/>
  <c r="AH47" i="49" s="1"/>
  <c r="AG32" i="25" l="1"/>
  <c r="AG49" i="25" s="1"/>
  <c r="AH44" i="54" s="1"/>
  <c r="AH42" i="54" s="1"/>
  <c r="AH47" i="54" s="1"/>
  <c r="W24" i="45"/>
  <c r="O24" i="45"/>
  <c r="G24" i="45"/>
  <c r="L24" i="45"/>
  <c r="X24" i="45"/>
  <c r="P24" i="45"/>
  <c r="H24" i="45"/>
  <c r="AC24" i="45"/>
  <c r="U24" i="45"/>
  <c r="M24" i="45"/>
  <c r="E24" i="45"/>
  <c r="AB24" i="45"/>
  <c r="T24" i="45"/>
  <c r="D24" i="45"/>
  <c r="AA24" i="45"/>
  <c r="S24" i="45"/>
  <c r="K24" i="45"/>
  <c r="Z24" i="45"/>
  <c r="R24" i="45"/>
  <c r="J24" i="45"/>
  <c r="Y24" i="45"/>
  <c r="Q24" i="45"/>
  <c r="I24" i="45"/>
  <c r="AD24" i="45"/>
  <c r="V24" i="45"/>
  <c r="N24" i="45"/>
  <c r="F24" i="45"/>
  <c r="AI48" i="54" l="1"/>
  <c r="AH28" i="45"/>
  <c r="AE13" i="44" l="1"/>
  <c r="AF13" i="44"/>
  <c r="AH23" i="53" l="1"/>
  <c r="AH280" i="53"/>
  <c r="AH281" i="53"/>
  <c r="AH282" i="53"/>
  <c r="AH283" i="53"/>
  <c r="AH284" i="53"/>
  <c r="AH285" i="53"/>
  <c r="AH286" i="53"/>
  <c r="AH287" i="53"/>
  <c r="AH288" i="53"/>
  <c r="AH289" i="53"/>
  <c r="AH290" i="53"/>
  <c r="AH291" i="53"/>
  <c r="AH292" i="53"/>
  <c r="AH293" i="53"/>
  <c r="AH38" i="45" l="1"/>
  <c r="AH47" i="50" s="1"/>
  <c r="AH29" i="45"/>
  <c r="AH26" i="45"/>
  <c r="AH20" i="45"/>
  <c r="AH13" i="45"/>
  <c r="AH16" i="45"/>
  <c r="AG12" i="47"/>
  <c r="AG13" i="47"/>
  <c r="AG14" i="47"/>
  <c r="AG16" i="47"/>
  <c r="AG256" i="44"/>
  <c r="AG257" i="44" s="1"/>
  <c r="AG17" i="47" s="1"/>
  <c r="AG15" i="47" s="1"/>
  <c r="AG259" i="44"/>
  <c r="AG260" i="44" s="1"/>
  <c r="AG261" i="44" s="1"/>
  <c r="AG263" i="44"/>
  <c r="AG264" i="44" s="1"/>
  <c r="AG265" i="44" s="1"/>
  <c r="AG238" i="44"/>
  <c r="AG239" i="44" s="1"/>
  <c r="AG218" i="44"/>
  <c r="AG219" i="44" s="1"/>
  <c r="AG220" i="44" s="1"/>
  <c r="AG200" i="44"/>
  <c r="AG201" i="44" s="1"/>
  <c r="AG180" i="44"/>
  <c r="AG181" i="44" s="1"/>
  <c r="AG182" i="44" s="1"/>
  <c r="AG164" i="44"/>
  <c r="AG141" i="44"/>
  <c r="AG142" i="44" s="1"/>
  <c r="AG143" i="44" s="1"/>
  <c r="AG123" i="44"/>
  <c r="AG127" i="44" s="1"/>
  <c r="AG128" i="44" s="1"/>
  <c r="AG129" i="44" s="1"/>
  <c r="AG31" i="25" s="1"/>
  <c r="AG48" i="25" s="1"/>
  <c r="AG104" i="44"/>
  <c r="AG108" i="44" s="1"/>
  <c r="AG109" i="44" s="1"/>
  <c r="AG110" i="44" s="1"/>
  <c r="AG85" i="44"/>
  <c r="AG86" i="44" s="1"/>
  <c r="AG87" i="44" s="1"/>
  <c r="AG67" i="44"/>
  <c r="AG68" i="44" s="1"/>
  <c r="AG70" i="44"/>
  <c r="AG71" i="44" s="1"/>
  <c r="AG72" i="44" s="1"/>
  <c r="AG74" i="44"/>
  <c r="AG75" i="44" s="1"/>
  <c r="AG76" i="44" s="1"/>
  <c r="AG51" i="44"/>
  <c r="AG31" i="44"/>
  <c r="AG32" i="44"/>
  <c r="AG34" i="44"/>
  <c r="AG35" i="44" s="1"/>
  <c r="AG36" i="44" s="1"/>
  <c r="AG38" i="44"/>
  <c r="AG39" i="44" s="1"/>
  <c r="AG40" i="44" s="1"/>
  <c r="AH30" i="45"/>
  <c r="AH22" i="45"/>
  <c r="AG8" i="31"/>
  <c r="AG25" i="31"/>
  <c r="AG29" i="31"/>
  <c r="AG45" i="31"/>
  <c r="AG46" i="31" s="1"/>
  <c r="AG55" i="31"/>
  <c r="AG56" i="31" s="1"/>
  <c r="AG57" i="31"/>
  <c r="AG6" i="47" l="1"/>
  <c r="AG9" i="47"/>
  <c r="AG28" i="25"/>
  <c r="AG45" i="25" s="1"/>
  <c r="AH45" i="49" s="1"/>
  <c r="AG105" i="44"/>
  <c r="AG106" i="44" s="1"/>
  <c r="AG7" i="47"/>
  <c r="AG266" i="44"/>
  <c r="AH24" i="45"/>
  <c r="AH41" i="50" s="1"/>
  <c r="AH12" i="50"/>
  <c r="AG207" i="44"/>
  <c r="AG208" i="44" s="1"/>
  <c r="AG209" i="44" s="1"/>
  <c r="AG24" i="25" s="1"/>
  <c r="AG203" i="44"/>
  <c r="AG204" i="44" s="1"/>
  <c r="AG205" i="44" s="1"/>
  <c r="AG131" i="44"/>
  <c r="AG132" i="44" s="1"/>
  <c r="AG133" i="44" s="1"/>
  <c r="AG124" i="44"/>
  <c r="AG125" i="44" s="1"/>
  <c r="AG8" i="47" s="1"/>
  <c r="AG112" i="44"/>
  <c r="AG113" i="44" s="1"/>
  <c r="AG114" i="44" s="1"/>
  <c r="AG115" i="44" s="1"/>
  <c r="AG77" i="44"/>
  <c r="AG41" i="44"/>
  <c r="AG10" i="31"/>
  <c r="AG11" i="31" s="1"/>
  <c r="AH41" i="45" s="1"/>
  <c r="AG41" i="25" l="1"/>
  <c r="AH55" i="49" s="1"/>
  <c r="AG210" i="44"/>
  <c r="AG25" i="25"/>
  <c r="AG42" i="25" s="1"/>
  <c r="AH44" i="49" s="1"/>
  <c r="AG134" i="44"/>
  <c r="AG30" i="25"/>
  <c r="AG27" i="25"/>
  <c r="AH9" i="50"/>
  <c r="AH35" i="45"/>
  <c r="AH36" i="45"/>
  <c r="AH37" i="45"/>
  <c r="AG23" i="25" l="1"/>
  <c r="AG40" i="25" s="1"/>
  <c r="AG47" i="25"/>
  <c r="AG29" i="25"/>
  <c r="AG46" i="25" s="1"/>
  <c r="AG44" i="25"/>
  <c r="AH56" i="49" s="1"/>
  <c r="AG26" i="25"/>
  <c r="AH36" i="49"/>
  <c r="AH44" i="50"/>
  <c r="AH11" i="50"/>
  <c r="AH62" i="27"/>
  <c r="AH21" i="45" l="1"/>
  <c r="AH24" i="54"/>
  <c r="AH14" i="45"/>
  <c r="AH12" i="45" s="1"/>
  <c r="AH43" i="50" s="1"/>
  <c r="AH11" i="54"/>
  <c r="AH9" i="54" s="1"/>
  <c r="AH12" i="54" s="1"/>
  <c r="AI13" i="54" s="1"/>
  <c r="AG43" i="25"/>
  <c r="AG35" i="25"/>
  <c r="AG52" i="25" s="1"/>
  <c r="AG14" i="44"/>
  <c r="AG15" i="44" s="1"/>
  <c r="AG11" i="47" s="1"/>
  <c r="AG10" i="47" s="1"/>
  <c r="AG5" i="47" s="1"/>
  <c r="AG20" i="47" s="1"/>
  <c r="AH17" i="45" l="1"/>
  <c r="AH15" i="45" s="1"/>
  <c r="AH20" i="54"/>
  <c r="AG14" i="32"/>
  <c r="AG15" i="32"/>
  <c r="AG28" i="32"/>
  <c r="AG29" i="32"/>
  <c r="W29" i="32"/>
  <c r="AG30" i="32" l="1"/>
  <c r="AG33" i="32" l="1"/>
  <c r="L177" i="44"/>
  <c r="I177" i="44"/>
  <c r="L138" i="44"/>
  <c r="I138" i="44"/>
  <c r="L82" i="44"/>
  <c r="I82" i="44"/>
  <c r="AH168" i="53"/>
  <c r="AH196" i="53" s="1"/>
  <c r="AH169" i="53"/>
  <c r="AH197" i="53" s="1"/>
  <c r="AH170" i="53"/>
  <c r="AH198" i="53" s="1"/>
  <c r="AH171" i="53"/>
  <c r="AH199" i="53" s="1"/>
  <c r="AH173" i="53"/>
  <c r="AH175" i="53"/>
  <c r="AH203" i="53" s="1"/>
  <c r="AH177" i="53"/>
  <c r="AH205" i="53" s="1"/>
  <c r="AH178" i="53"/>
  <c r="AH206" i="53" s="1"/>
  <c r="AH180" i="53"/>
  <c r="AH208" i="53" s="1"/>
  <c r="AH181" i="53"/>
  <c r="AH209" i="53" s="1"/>
  <c r="AH159" i="53"/>
  <c r="AH187" i="53" s="1"/>
  <c r="AH160" i="53"/>
  <c r="AH188" i="53" s="1"/>
  <c r="AH161" i="53"/>
  <c r="AH189" i="53" s="1"/>
  <c r="AH162" i="53"/>
  <c r="AH190" i="53" s="1"/>
  <c r="AH163" i="53"/>
  <c r="AH191" i="53" s="1"/>
  <c r="AH165" i="53"/>
  <c r="AH193" i="53" s="1"/>
  <c r="AH166" i="53"/>
  <c r="AH194" i="53" s="1"/>
  <c r="AH68" i="53"/>
  <c r="AH96" i="53" s="1"/>
  <c r="AH69" i="53"/>
  <c r="AH97" i="53" s="1"/>
  <c r="AH70" i="53"/>
  <c r="AH98" i="53" s="1"/>
  <c r="AH71" i="53"/>
  <c r="AH72" i="53"/>
  <c r="AH74" i="53"/>
  <c r="AH103" i="53" s="1"/>
  <c r="AH75" i="53"/>
  <c r="AH104" i="53" s="1"/>
  <c r="AH77" i="53"/>
  <c r="AH106" i="53" s="1"/>
  <c r="AH78" i="53"/>
  <c r="AH107" i="53" s="1"/>
  <c r="AH79" i="53"/>
  <c r="AH108" i="53" s="1"/>
  <c r="AH80" i="53"/>
  <c r="AH109" i="53" s="1"/>
  <c r="AH82" i="53"/>
  <c r="AH83" i="53"/>
  <c r="AH84" i="53"/>
  <c r="AH86" i="53"/>
  <c r="AH116" i="53" s="1"/>
  <c r="AH87" i="53"/>
  <c r="AH117" i="53" s="1"/>
  <c r="AH89" i="53"/>
  <c r="AH119" i="53" s="1"/>
  <c r="AH90" i="53"/>
  <c r="AH120" i="53" s="1"/>
  <c r="AH99" i="53"/>
  <c r="AH100" i="53"/>
  <c r="AH114" i="53"/>
  <c r="AH226" i="53"/>
  <c r="AH227" i="53"/>
  <c r="AH228" i="53"/>
  <c r="AH229" i="53"/>
  <c r="AH157" i="53"/>
  <c r="AH185" i="53" s="1"/>
  <c r="AH66" i="53"/>
  <c r="AH94" i="53" s="1"/>
  <c r="AH253" i="27"/>
  <c r="AH285" i="27" s="1"/>
  <c r="AH254" i="27"/>
  <c r="AH286" i="27" s="1"/>
  <c r="AH255" i="27"/>
  <c r="AH287" i="27" s="1"/>
  <c r="AH256" i="27"/>
  <c r="AH288" i="27" s="1"/>
  <c r="AH257" i="27"/>
  <c r="AH289" i="27" s="1"/>
  <c r="AH258" i="27"/>
  <c r="AH290" i="27" s="1"/>
  <c r="AH259" i="27"/>
  <c r="AH291" i="27" s="1"/>
  <c r="AH260" i="27"/>
  <c r="AH292" i="27" s="1"/>
  <c r="AH262" i="27"/>
  <c r="AH294" i="27" s="1"/>
  <c r="AH263" i="27"/>
  <c r="AH295" i="27" s="1"/>
  <c r="AH264" i="27"/>
  <c r="AH296" i="27" s="1"/>
  <c r="AH265" i="27"/>
  <c r="AH297" i="27" s="1"/>
  <c r="AH266" i="27"/>
  <c r="AH298" i="27" s="1"/>
  <c r="AH267" i="27"/>
  <c r="AH299" i="27" s="1"/>
  <c r="AH268" i="27"/>
  <c r="AH300" i="27" s="1"/>
  <c r="AH269" i="27"/>
  <c r="AH301" i="27" s="1"/>
  <c r="AH270" i="27"/>
  <c r="AH302" i="27" s="1"/>
  <c r="AH271" i="27"/>
  <c r="AH303" i="27" s="1"/>
  <c r="AH273" i="27"/>
  <c r="AH305" i="27" s="1"/>
  <c r="AH274" i="27"/>
  <c r="AH306" i="27" s="1"/>
  <c r="AH275" i="27"/>
  <c r="AH307" i="27" s="1"/>
  <c r="AH277" i="27"/>
  <c r="AH278" i="27"/>
  <c r="AH280" i="27"/>
  <c r="AH46" i="27"/>
  <c r="AH34" i="27"/>
  <c r="AH110" i="53" l="1"/>
  <c r="AH101" i="53"/>
  <c r="AH187" i="27"/>
  <c r="AH189" i="27" s="1"/>
  <c r="AH312" i="27"/>
  <c r="AH310" i="27"/>
  <c r="AH309" i="27"/>
  <c r="AH313" i="27" s="1"/>
  <c r="AH333" i="27" s="1"/>
  <c r="AH19" i="27" s="1"/>
  <c r="AH201" i="53"/>
  <c r="AH210" i="53"/>
  <c r="AH211" i="53" s="1"/>
  <c r="AG34" i="32"/>
  <c r="AG13" i="32" s="1"/>
  <c r="AG12" i="32"/>
  <c r="AH112" i="53"/>
  <c r="AH121" i="53" s="1"/>
  <c r="AH13" i="27" s="1"/>
  <c r="B54" i="24"/>
  <c r="AE18" i="45"/>
  <c r="AE51" i="24"/>
  <c r="AE53" i="24" s="1"/>
  <c r="AF21" i="54" l="1"/>
  <c r="AF35" i="49"/>
  <c r="AG51" i="24"/>
  <c r="AH51" i="24"/>
  <c r="AE52" i="24"/>
  <c r="AF18" i="45"/>
  <c r="AG52" i="24"/>
  <c r="AG53" i="24"/>
  <c r="AG17" i="32"/>
  <c r="AH18" i="27"/>
  <c r="AH122" i="53"/>
  <c r="AG8" i="17"/>
  <c r="AF51" i="24"/>
  <c r="AF53" i="24" s="1"/>
  <c r="AH35" i="49" l="1"/>
  <c r="AH21" i="54"/>
  <c r="AH18" i="54" s="1"/>
  <c r="AG21" i="54"/>
  <c r="AG35" i="49"/>
  <c r="AH52" i="24"/>
  <c r="AH53" i="24"/>
  <c r="AG69" i="49"/>
  <c r="AG27" i="49" s="1"/>
  <c r="AG46" i="54"/>
  <c r="AH18" i="45"/>
  <c r="AG18" i="45"/>
  <c r="AH63" i="49"/>
  <c r="AH8" i="27"/>
  <c r="AF52" i="24"/>
  <c r="AI35" i="49" l="1"/>
  <c r="AI21" i="54"/>
  <c r="AI18" i="54" s="1"/>
  <c r="AI27" i="54" s="1"/>
  <c r="AI18" i="45"/>
  <c r="AH34" i="45"/>
  <c r="AH46" i="50" s="1"/>
  <c r="AH55" i="54"/>
  <c r="AH209" i="27"/>
  <c r="AH212" i="27" s="1"/>
  <c r="Z209" i="27"/>
  <c r="S209" i="27"/>
  <c r="N209" i="27"/>
  <c r="AD209" i="27"/>
  <c r="F209" i="27"/>
  <c r="AE209" i="27"/>
  <c r="AE37" i="45"/>
  <c r="AF37" i="45"/>
  <c r="E275" i="27"/>
  <c r="E307" i="27" s="1"/>
  <c r="F275" i="27"/>
  <c r="F307" i="27" s="1"/>
  <c r="G275" i="27"/>
  <c r="G307" i="27" s="1"/>
  <c r="H275" i="27"/>
  <c r="H307" i="27" s="1"/>
  <c r="I275" i="27"/>
  <c r="I307" i="27" s="1"/>
  <c r="J275" i="27"/>
  <c r="J307" i="27" s="1"/>
  <c r="K275" i="27"/>
  <c r="K307" i="27" s="1"/>
  <c r="L275" i="27"/>
  <c r="L307" i="27" s="1"/>
  <c r="M275" i="27"/>
  <c r="M307" i="27" s="1"/>
  <c r="N275" i="27"/>
  <c r="N307" i="27" s="1"/>
  <c r="O275" i="27"/>
  <c r="O307" i="27" s="1"/>
  <c r="P275" i="27"/>
  <c r="P307" i="27" s="1"/>
  <c r="Q275" i="27"/>
  <c r="Q307" i="27" s="1"/>
  <c r="R275" i="27"/>
  <c r="R307" i="27" s="1"/>
  <c r="S275" i="27"/>
  <c r="S307" i="27" s="1"/>
  <c r="T275" i="27"/>
  <c r="T307" i="27" s="1"/>
  <c r="U275" i="27"/>
  <c r="U307" i="27" s="1"/>
  <c r="V275" i="27"/>
  <c r="W275" i="27"/>
  <c r="X275" i="27"/>
  <c r="X307" i="27" s="1"/>
  <c r="Y275" i="27"/>
  <c r="Y307" i="27" s="1"/>
  <c r="Z275" i="27"/>
  <c r="Z307" i="27" s="1"/>
  <c r="AA275" i="27"/>
  <c r="AA307" i="27" s="1"/>
  <c r="AB275" i="27"/>
  <c r="AB307" i="27" s="1"/>
  <c r="AC275" i="27"/>
  <c r="AC307" i="27" s="1"/>
  <c r="AD275" i="27"/>
  <c r="AD307" i="27" s="1"/>
  <c r="AE275" i="27"/>
  <c r="AE307" i="27" s="1"/>
  <c r="AF275" i="27"/>
  <c r="AF307" i="27" s="1"/>
  <c r="AG275" i="27"/>
  <c r="AG307" i="27" s="1"/>
  <c r="D275" i="27"/>
  <c r="D307" i="27" s="1"/>
  <c r="AG11" i="17"/>
  <c r="AI43" i="49" l="1"/>
  <c r="AI72" i="49" s="1"/>
  <c r="AI22" i="49" s="1"/>
  <c r="AR3" i="49" s="1"/>
  <c r="AI42" i="50"/>
  <c r="BC40" i="50" s="1"/>
  <c r="AI11" i="45"/>
  <c r="AI7" i="50"/>
  <c r="AG209" i="27"/>
  <c r="O209" i="27"/>
  <c r="AC209" i="27"/>
  <c r="R209" i="27"/>
  <c r="Y209" i="27"/>
  <c r="G209" i="27"/>
  <c r="U209" i="27"/>
  <c r="J209" i="27"/>
  <c r="Q209" i="27"/>
  <c r="M209" i="27"/>
  <c r="AF209" i="27"/>
  <c r="E209" i="27"/>
  <c r="AB209" i="27"/>
  <c r="H209" i="27"/>
  <c r="X209" i="27"/>
  <c r="L209" i="27"/>
  <c r="T209" i="27"/>
  <c r="I209" i="27"/>
  <c r="P209" i="27"/>
  <c r="K209" i="27"/>
  <c r="AA209" i="27"/>
  <c r="AF14" i="44"/>
  <c r="AF15" i="44" s="1"/>
  <c r="AF85" i="44"/>
  <c r="AF86" i="44" s="1"/>
  <c r="AF87" i="44" s="1"/>
  <c r="AF141" i="44"/>
  <c r="AF142" i="44" s="1"/>
  <c r="AF143" i="44" s="1"/>
  <c r="AF180" i="44"/>
  <c r="AF181" i="44" s="1"/>
  <c r="AF182" i="44" s="1"/>
  <c r="AF238" i="44"/>
  <c r="AF239" i="44" s="1"/>
  <c r="AF104" i="44"/>
  <c r="AF108" i="44" s="1"/>
  <c r="AF109" i="44" s="1"/>
  <c r="AF110" i="44" s="1"/>
  <c r="AF123" i="44"/>
  <c r="AF124" i="44" s="1"/>
  <c r="AF125" i="44" s="1"/>
  <c r="AF203" i="44"/>
  <c r="AF204" i="44" s="1"/>
  <c r="AF205" i="44" s="1"/>
  <c r="AF218" i="44"/>
  <c r="AF219" i="44" s="1"/>
  <c r="AF220" i="44" s="1"/>
  <c r="AG280" i="53"/>
  <c r="AG281" i="53"/>
  <c r="AG282" i="53"/>
  <c r="AG283" i="53"/>
  <c r="AG284" i="53"/>
  <c r="AG285" i="53"/>
  <c r="AG286" i="53"/>
  <c r="AG287" i="53"/>
  <c r="AG288" i="53"/>
  <c r="AG289" i="53"/>
  <c r="AG290" i="53"/>
  <c r="AG291" i="53"/>
  <c r="AG292" i="53"/>
  <c r="AG293" i="53"/>
  <c r="AG165" i="53"/>
  <c r="AG166" i="53"/>
  <c r="AG168" i="53"/>
  <c r="AG169" i="53"/>
  <c r="AG170" i="53"/>
  <c r="AG171" i="53"/>
  <c r="AG173" i="53"/>
  <c r="AG175" i="53"/>
  <c r="AG177" i="53"/>
  <c r="AG178" i="53"/>
  <c r="AG180" i="53"/>
  <c r="AG181" i="53"/>
  <c r="AG159" i="53"/>
  <c r="AG160" i="53"/>
  <c r="AG161" i="53"/>
  <c r="AG162" i="53"/>
  <c r="AG163" i="53"/>
  <c r="AG157" i="53"/>
  <c r="AG66" i="53"/>
  <c r="AG68" i="53"/>
  <c r="AG69" i="53"/>
  <c r="AG70" i="53"/>
  <c r="AG71" i="53"/>
  <c r="AG72" i="53"/>
  <c r="AG74" i="53"/>
  <c r="AG75" i="53"/>
  <c r="AG77" i="53"/>
  <c r="AG78" i="53"/>
  <c r="AG79" i="53"/>
  <c r="AG80" i="53"/>
  <c r="AG82" i="53"/>
  <c r="AG83" i="53"/>
  <c r="AG84" i="53"/>
  <c r="AG86" i="53"/>
  <c r="AG87" i="53"/>
  <c r="AG89" i="53"/>
  <c r="AG90" i="53"/>
  <c r="AN34" i="49" l="1"/>
  <c r="AI6" i="50"/>
  <c r="BC4" i="50"/>
  <c r="AH213" i="27"/>
  <c r="AH14" i="27"/>
  <c r="AF105" i="44"/>
  <c r="AF106" i="44" s="1"/>
  <c r="AF112" i="44"/>
  <c r="AF113" i="44" s="1"/>
  <c r="AF114" i="44" s="1"/>
  <c r="AF115" i="44" s="1"/>
  <c r="AF131" i="44"/>
  <c r="AF132" i="44" s="1"/>
  <c r="AF133" i="44" s="1"/>
  <c r="AF127" i="44"/>
  <c r="AF128" i="44" s="1"/>
  <c r="AF129" i="44" s="1"/>
  <c r="AF207" i="44"/>
  <c r="AF208" i="44" s="1"/>
  <c r="AF209" i="44" s="1"/>
  <c r="AF210" i="44" s="1"/>
  <c r="AF200" i="44"/>
  <c r="AF201" i="44" s="1"/>
  <c r="AH27" i="45"/>
  <c r="AH40" i="50" s="1"/>
  <c r="AF134" i="44" l="1"/>
  <c r="AH8" i="50"/>
  <c r="AE29" i="32"/>
  <c r="X29" i="32" l="1"/>
  <c r="Y29" i="32"/>
  <c r="Y30" i="32" s="1"/>
  <c r="Y33" i="32" s="1"/>
  <c r="Z29" i="32"/>
  <c r="Z30" i="32" s="1"/>
  <c r="AA29" i="32"/>
  <c r="AB29" i="32"/>
  <c r="AC29" i="32"/>
  <c r="AD29" i="32"/>
  <c r="AF29" i="32"/>
  <c r="X30" i="32"/>
  <c r="W30" i="32"/>
  <c r="AA28" i="32"/>
  <c r="AB28" i="32"/>
  <c r="AC28" i="32"/>
  <c r="AD28" i="32"/>
  <c r="AE28" i="32"/>
  <c r="AF28" i="32"/>
  <c r="G43" i="32"/>
  <c r="U32" i="32" l="1"/>
  <c r="V32" i="32"/>
  <c r="N32" i="32"/>
  <c r="M32" i="32"/>
  <c r="O32" i="32"/>
  <c r="P32" i="32"/>
  <c r="Q32" i="32"/>
  <c r="S32" i="32"/>
  <c r="R32" i="32"/>
  <c r="T32" i="32"/>
  <c r="AG32" i="32"/>
  <c r="AG11" i="32" s="1"/>
  <c r="AI32" i="32"/>
  <c r="AI11" i="32" s="1"/>
  <c r="AH32" i="32"/>
  <c r="AH11" i="32" s="1"/>
  <c r="W33" i="32"/>
  <c r="W12" i="32" s="1"/>
  <c r="W32" i="32"/>
  <c r="W11" i="32" s="1"/>
  <c r="AF30" i="32"/>
  <c r="AF33" i="32" s="1"/>
  <c r="X32" i="32"/>
  <c r="X11" i="32" s="1"/>
  <c r="Z32" i="32"/>
  <c r="Z11" i="32" s="1"/>
  <c r="AD30" i="32"/>
  <c r="AD32" i="32" s="1"/>
  <c r="AD11" i="32" s="1"/>
  <c r="Y34" i="32"/>
  <c r="Y13" i="32" s="1"/>
  <c r="Y12" i="32"/>
  <c r="AB30" i="32"/>
  <c r="AB32" i="32" s="1"/>
  <c r="AB11" i="32" s="1"/>
  <c r="X33" i="32"/>
  <c r="Y32" i="32"/>
  <c r="Y11" i="32" s="1"/>
  <c r="AE30" i="32"/>
  <c r="AE32" i="32" s="1"/>
  <c r="AE11" i="32" s="1"/>
  <c r="AA30" i="32"/>
  <c r="AA32" i="32" s="1"/>
  <c r="AA11" i="32" s="1"/>
  <c r="Z33" i="32"/>
  <c r="AC30" i="32"/>
  <c r="AC32" i="32" s="1"/>
  <c r="AC11" i="32" s="1"/>
  <c r="W34" i="32" l="1"/>
  <c r="W13" i="32" s="1"/>
  <c r="AF32" i="32"/>
  <c r="AF11" i="32" s="1"/>
  <c r="AB33" i="32"/>
  <c r="AB34" i="32" s="1"/>
  <c r="AB13" i="32" s="1"/>
  <c r="AD33" i="32"/>
  <c r="AD34" i="32" s="1"/>
  <c r="AE33" i="32"/>
  <c r="AE12" i="32" s="1"/>
  <c r="X12" i="32"/>
  <c r="X34" i="32"/>
  <c r="X13" i="32" s="1"/>
  <c r="Z34" i="32"/>
  <c r="Z13" i="32" s="1"/>
  <c r="Z12" i="32"/>
  <c r="AC33" i="32"/>
  <c r="AA33" i="32"/>
  <c r="AF12" i="32"/>
  <c r="AF34" i="32"/>
  <c r="AF13" i="32" s="1"/>
  <c r="C43" i="32"/>
  <c r="U31" i="32" l="1"/>
  <c r="M31" i="32"/>
  <c r="V31" i="32"/>
  <c r="O31" i="32"/>
  <c r="P31" i="32"/>
  <c r="N31" i="32"/>
  <c r="Q31" i="32"/>
  <c r="T31" i="32"/>
  <c r="R31" i="32"/>
  <c r="S31" i="32"/>
  <c r="AG31" i="32"/>
  <c r="AG10" i="32" s="1"/>
  <c r="AG16" i="32" s="1"/>
  <c r="AI31" i="32"/>
  <c r="AI10" i="32" s="1"/>
  <c r="AI16" i="32" s="1"/>
  <c r="AH31" i="32"/>
  <c r="AH10" i="32" s="1"/>
  <c r="AH16" i="32" s="1"/>
  <c r="AH53" i="49"/>
  <c r="AG18" i="32"/>
  <c r="AB12" i="32"/>
  <c r="W31" i="32"/>
  <c r="AF31" i="32"/>
  <c r="AF10" i="32" s="1"/>
  <c r="AD31" i="32"/>
  <c r="AD10" i="32" s="1"/>
  <c r="AC31" i="32"/>
  <c r="AC10" i="32" s="1"/>
  <c r="AB31" i="32"/>
  <c r="AB10" i="32" s="1"/>
  <c r="AA31" i="32"/>
  <c r="AA10" i="32" s="1"/>
  <c r="AE31" i="32"/>
  <c r="AE10" i="32" s="1"/>
  <c r="Y31" i="32"/>
  <c r="Y10" i="32" s="1"/>
  <c r="X31" i="32"/>
  <c r="X10" i="32" s="1"/>
  <c r="Z31" i="32"/>
  <c r="Z10" i="32" s="1"/>
  <c r="AE34" i="32"/>
  <c r="AE13" i="32" s="1"/>
  <c r="AD13" i="32"/>
  <c r="AD12" i="32"/>
  <c r="AA12" i="32"/>
  <c r="AA34" i="32"/>
  <c r="AA13" i="32" s="1"/>
  <c r="AC34" i="32"/>
  <c r="AC13" i="32" s="1"/>
  <c r="AC12" i="32"/>
  <c r="C46" i="31"/>
  <c r="D30" i="45" s="1"/>
  <c r="W10" i="32" l="1"/>
  <c r="AI53" i="49"/>
  <c r="AC115" i="49" s="1"/>
  <c r="AH18" i="32"/>
  <c r="AI40" i="45" s="1"/>
  <c r="AI39" i="45" s="1"/>
  <c r="AI18" i="32"/>
  <c r="AJ40" i="45" s="1"/>
  <c r="AJ39" i="45" s="1"/>
  <c r="AJ53" i="49"/>
  <c r="AJ54" i="49" s="1"/>
  <c r="AJ73" i="49" s="1"/>
  <c r="AH40" i="45"/>
  <c r="AH39" i="45" s="1"/>
  <c r="AH13" i="50" s="1"/>
  <c r="C70" i="31"/>
  <c r="C74" i="31" s="1"/>
  <c r="C75" i="31" s="1"/>
  <c r="AJ48" i="50" l="1"/>
  <c r="AJ13" i="50"/>
  <c r="AI48" i="50"/>
  <c r="BC46" i="50" s="1"/>
  <c r="AI13" i="50"/>
  <c r="BC10" i="50" s="1"/>
  <c r="AH48" i="50"/>
  <c r="AF33" i="31"/>
  <c r="AF32" i="31"/>
  <c r="AF31" i="31"/>
  <c r="AF29" i="31" s="1"/>
  <c r="AF164" i="44"/>
  <c r="AF51" i="44"/>
  <c r="AF55" i="31"/>
  <c r="AF56" i="31" s="1"/>
  <c r="AF57" i="31"/>
  <c r="AF45" i="31"/>
  <c r="AF46" i="31" s="1"/>
  <c r="AF25" i="31"/>
  <c r="AF8" i="31"/>
  <c r="AF10" i="31" l="1"/>
  <c r="AF11" i="31" s="1"/>
  <c r="AF6" i="47" l="1"/>
  <c r="AF8" i="47"/>
  <c r="AF9" i="47"/>
  <c r="AF11" i="47"/>
  <c r="AF12" i="47"/>
  <c r="AF13" i="47"/>
  <c r="AF14" i="47"/>
  <c r="AF16" i="47"/>
  <c r="AF31" i="44"/>
  <c r="AF32" i="44" s="1"/>
  <c r="AF34" i="44"/>
  <c r="AF35" i="44" s="1"/>
  <c r="AF36" i="44" s="1"/>
  <c r="AF41" i="44" s="1"/>
  <c r="AF38" i="44"/>
  <c r="AF39" i="44" s="1"/>
  <c r="AF40" i="44" s="1"/>
  <c r="AF10" i="47" l="1"/>
  <c r="C16" i="32"/>
  <c r="C18" i="32" s="1"/>
  <c r="D40" i="45" s="1"/>
  <c r="D41" i="50" l="1"/>
  <c r="BC57" i="50" s="1"/>
  <c r="E41" i="50"/>
  <c r="D36" i="45"/>
  <c r="AG41" i="45" l="1"/>
  <c r="AG30" i="45"/>
  <c r="AG31" i="45"/>
  <c r="AG22" i="45"/>
  <c r="AF59" i="25"/>
  <c r="D35" i="45" l="1"/>
  <c r="D44" i="50" s="1"/>
  <c r="BC60" i="50" s="1"/>
  <c r="AG44" i="50"/>
  <c r="AE131" i="26"/>
  <c r="AG11" i="50" l="1"/>
  <c r="AE47" i="29"/>
  <c r="AE53" i="29" s="1"/>
  <c r="AF47" i="29"/>
  <c r="AF53" i="29" s="1"/>
  <c r="AG51" i="49" s="1"/>
  <c r="AE48" i="29"/>
  <c r="AE54" i="29" s="1"/>
  <c r="AF48" i="29"/>
  <c r="AF54" i="29" s="1"/>
  <c r="AE55" i="29"/>
  <c r="AF55" i="29"/>
  <c r="AG41" i="49" s="1"/>
  <c r="AE56" i="29" l="1"/>
  <c r="AF56" i="29"/>
  <c r="AG38" i="45" s="1"/>
  <c r="AG47" i="50" s="1"/>
  <c r="AG62" i="49"/>
  <c r="AG12" i="50" l="1"/>
  <c r="AG205" i="53"/>
  <c r="AG197" i="53" l="1"/>
  <c r="AG198" i="53"/>
  <c r="AG199" i="53"/>
  <c r="AG100" i="53"/>
  <c r="AG114" i="53" l="1"/>
  <c r="AG190" i="53" l="1"/>
  <c r="AG189" i="53"/>
  <c r="AG191" i="53"/>
  <c r="AG187" i="53"/>
  <c r="AG193" i="53"/>
  <c r="AG194" i="53"/>
  <c r="AG196" i="53"/>
  <c r="AG206" i="53"/>
  <c r="AG209" i="53"/>
  <c r="AG208" i="53"/>
  <c r="AG188" i="53"/>
  <c r="AG97" i="53"/>
  <c r="AG98" i="53"/>
  <c r="AG99" i="53"/>
  <c r="AG203" i="53"/>
  <c r="AG280" i="27"/>
  <c r="AG278" i="27"/>
  <c r="AG277" i="27"/>
  <c r="AG274" i="27"/>
  <c r="AG306" i="27" s="1"/>
  <c r="AG273" i="27"/>
  <c r="AG305" i="27" s="1"/>
  <c r="AG271" i="27"/>
  <c r="AG303" i="27" s="1"/>
  <c r="AG270" i="27"/>
  <c r="AG302" i="27" s="1"/>
  <c r="AG269" i="27"/>
  <c r="AG301" i="27" s="1"/>
  <c r="AG268" i="27"/>
  <c r="AG300" i="27" s="1"/>
  <c r="AG267" i="27"/>
  <c r="AG299" i="27" s="1"/>
  <c r="AG266" i="27"/>
  <c r="AG298" i="27" s="1"/>
  <c r="AG265" i="27"/>
  <c r="AG297" i="27" s="1"/>
  <c r="AG264" i="27"/>
  <c r="AG296" i="27" s="1"/>
  <c r="AG263" i="27"/>
  <c r="AG295" i="27" s="1"/>
  <c r="AG262" i="27"/>
  <c r="AG294" i="27" s="1"/>
  <c r="AG260" i="27"/>
  <c r="AG292" i="27" s="1"/>
  <c r="AG259" i="27"/>
  <c r="AG291" i="27" s="1"/>
  <c r="AG258" i="27"/>
  <c r="AG290" i="27" s="1"/>
  <c r="AG257" i="27"/>
  <c r="AG289" i="27" s="1"/>
  <c r="AG256" i="27"/>
  <c r="AG288" i="27" s="1"/>
  <c r="AG255" i="27"/>
  <c r="AG287" i="27" s="1"/>
  <c r="AG254" i="27"/>
  <c r="AG286" i="27" s="1"/>
  <c r="AG253" i="27"/>
  <c r="AG285" i="27" s="1"/>
  <c r="AC293" i="53"/>
  <c r="AC287" i="53"/>
  <c r="AC284" i="53"/>
  <c r="AC281" i="53"/>
  <c r="AG101" i="53" l="1"/>
  <c r="AC290" i="53"/>
  <c r="AD290" i="53"/>
  <c r="AE290" i="53"/>
  <c r="AF290" i="53"/>
  <c r="AD281" i="53"/>
  <c r="AE281" i="53"/>
  <c r="AD284" i="53"/>
  <c r="AE284" i="53"/>
  <c r="AD287" i="53"/>
  <c r="AE287" i="53"/>
  <c r="AD293" i="53"/>
  <c r="AE293" i="53"/>
  <c r="AF293" i="53"/>
  <c r="AF300" i="53"/>
  <c r="AF287" i="53"/>
  <c r="AF284" i="53"/>
  <c r="AF281" i="53"/>
  <c r="AC282" i="53" l="1"/>
  <c r="AC283" i="53"/>
  <c r="AC285" i="53"/>
  <c r="AC286" i="53"/>
  <c r="AC288" i="53"/>
  <c r="AC280" i="53"/>
  <c r="AF270" i="53"/>
  <c r="AD270" i="53"/>
  <c r="AD286" i="53" s="1"/>
  <c r="AC243" i="53"/>
  <c r="AC289" i="53" s="1"/>
  <c r="AD282" i="53"/>
  <c r="AD283" i="53"/>
  <c r="AD285" i="53"/>
  <c r="AD288" i="53"/>
  <c r="AD289" i="53"/>
  <c r="AE282" i="53"/>
  <c r="AE283" i="53"/>
  <c r="AE285" i="53"/>
  <c r="AE286" i="53"/>
  <c r="AE288" i="53"/>
  <c r="AE289" i="53"/>
  <c r="AF282" i="53"/>
  <c r="AF283" i="53"/>
  <c r="AF285" i="53"/>
  <c r="AF288" i="53"/>
  <c r="AF289" i="53"/>
  <c r="AC291" i="53"/>
  <c r="AD280" i="53"/>
  <c r="AE280" i="53"/>
  <c r="AD291" i="53"/>
  <c r="AE291" i="53"/>
  <c r="AF280" i="53"/>
  <c r="AF240" i="53" l="1"/>
  <c r="AF286" i="53" s="1"/>
  <c r="AC292" i="53"/>
  <c r="AD292" i="53"/>
  <c r="AE292" i="53"/>
  <c r="AF292" i="53"/>
  <c r="AF291" i="53"/>
  <c r="AD23" i="53" l="1"/>
  <c r="AE23" i="53"/>
  <c r="AF23" i="53"/>
  <c r="AG23" i="53"/>
  <c r="Z298" i="53"/>
  <c r="Z297" i="53"/>
  <c r="Y298" i="53"/>
  <c r="Y297" i="53"/>
  <c r="AA298" i="53"/>
  <c r="AB304" i="53"/>
  <c r="AB301" i="53"/>
  <c r="AB298" i="53"/>
  <c r="AA297" i="53"/>
  <c r="AB300" i="53"/>
  <c r="AB297" i="53" l="1"/>
  <c r="AC301" i="53"/>
  <c r="AC300" i="53"/>
  <c r="AD301" i="53"/>
  <c r="AD300" i="53"/>
  <c r="AE301" i="53"/>
  <c r="AE300" i="53"/>
  <c r="AE226" i="53"/>
  <c r="AF226" i="53"/>
  <c r="AG226" i="53"/>
  <c r="AE227" i="53"/>
  <c r="AF227" i="53"/>
  <c r="AG227" i="53"/>
  <c r="AE228" i="53"/>
  <c r="AF228" i="53"/>
  <c r="AG228" i="53"/>
  <c r="AE229" i="53"/>
  <c r="AF229" i="53"/>
  <c r="AG229" i="53"/>
  <c r="AD227" i="53"/>
  <c r="AD228" i="53"/>
  <c r="AD229" i="53"/>
  <c r="AD226" i="53"/>
  <c r="AG201" i="53" l="1"/>
  <c r="AJ23" i="49" l="1"/>
  <c r="AS16" i="49"/>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E46" i="27"/>
  <c r="D46" i="27"/>
  <c r="AS11" i="49" l="1"/>
  <c r="AS12" i="49"/>
  <c r="AS17" i="49"/>
  <c r="AS13" i="49"/>
  <c r="AJ24" i="49"/>
  <c r="AI24" i="49"/>
  <c r="AR5" i="49" s="1"/>
  <c r="AI25" i="49" l="1"/>
  <c r="AI26" i="49" s="1"/>
  <c r="AJ25" i="49"/>
  <c r="AJ26" i="49" s="1"/>
  <c r="AG25" i="49"/>
  <c r="AG26" i="49" s="1"/>
  <c r="AH25" i="49"/>
  <c r="AH26" i="49" s="1"/>
  <c r="E51" i="27"/>
  <c r="F51" i="27" s="1"/>
  <c r="G51" i="27" s="1"/>
  <c r="H51" i="27" s="1"/>
  <c r="I51" i="27" s="1"/>
  <c r="J51" i="27" s="1"/>
  <c r="K51" i="27" s="1"/>
  <c r="L51" i="27" s="1"/>
  <c r="M51" i="27" s="1"/>
  <c r="N51" i="27" s="1"/>
  <c r="O51" i="27" s="1"/>
  <c r="P51" i="27" s="1"/>
  <c r="Q51" i="27" s="1"/>
  <c r="R51" i="27" s="1"/>
  <c r="S51" i="27" s="1"/>
  <c r="T51" i="27" s="1"/>
  <c r="U51" i="27" s="1"/>
  <c r="V51" i="27" s="1"/>
  <c r="W51" i="27" s="1"/>
  <c r="X51" i="27" s="1"/>
  <c r="Y51" i="27" s="1"/>
  <c r="Z51" i="27" s="1"/>
  <c r="AA51" i="27" s="1"/>
  <c r="AB51" i="27" s="1"/>
  <c r="AC51" i="27" s="1"/>
  <c r="AD51" i="27" s="1"/>
  <c r="AE51" i="27" s="1"/>
  <c r="AF51" i="27" s="1"/>
  <c r="AG51" i="27" s="1"/>
  <c r="AH51" i="27" s="1"/>
  <c r="AI51" i="27" s="1"/>
  <c r="AJ51" i="27" s="1"/>
  <c r="E24" i="27"/>
  <c r="F24" i="27" s="1"/>
  <c r="G24" i="27" s="1"/>
  <c r="H24" i="27" s="1"/>
  <c r="I24" i="27" s="1"/>
  <c r="J24" i="27" s="1"/>
  <c r="K24" i="27" s="1"/>
  <c r="L24" i="27" s="1"/>
  <c r="M24" i="27" s="1"/>
  <c r="N24" i="27" s="1"/>
  <c r="O24" i="27" s="1"/>
  <c r="P24" i="27" s="1"/>
  <c r="Q24" i="27" s="1"/>
  <c r="R24" i="27" s="1"/>
  <c r="S24" i="27" s="1"/>
  <c r="T24" i="27" s="1"/>
  <c r="U24" i="27" s="1"/>
  <c r="V24" i="27" s="1"/>
  <c r="W24" i="27" s="1"/>
  <c r="X24" i="27" s="1"/>
  <c r="Y24" i="27" s="1"/>
  <c r="Z24" i="27" s="1"/>
  <c r="AA24" i="27" s="1"/>
  <c r="AB24" i="27" s="1"/>
  <c r="AC24" i="27" s="1"/>
  <c r="AD24" i="27" s="1"/>
  <c r="AE24" i="27" s="1"/>
  <c r="AF24" i="27" s="1"/>
  <c r="AG24" i="27" s="1"/>
  <c r="AH24" i="27" s="1"/>
  <c r="AI24" i="27" s="1"/>
  <c r="AJ24" i="27" s="1"/>
  <c r="E36" i="27"/>
  <c r="E157" i="53"/>
  <c r="E185" i="53" s="1"/>
  <c r="F157" i="53"/>
  <c r="F185" i="53" s="1"/>
  <c r="G157" i="53"/>
  <c r="G185" i="53" s="1"/>
  <c r="H157" i="53"/>
  <c r="H185" i="53" s="1"/>
  <c r="I157" i="53"/>
  <c r="I185" i="53" s="1"/>
  <c r="J157" i="53"/>
  <c r="J185" i="53" s="1"/>
  <c r="K157" i="53"/>
  <c r="K185" i="53" s="1"/>
  <c r="L157" i="53"/>
  <c r="L185" i="53" s="1"/>
  <c r="M157" i="53"/>
  <c r="M185" i="53" s="1"/>
  <c r="N157" i="53"/>
  <c r="N185" i="53" s="1"/>
  <c r="O157" i="53"/>
  <c r="O185" i="53" s="1"/>
  <c r="P157" i="53"/>
  <c r="P185" i="53" s="1"/>
  <c r="Q157" i="53"/>
  <c r="Q185" i="53" s="1"/>
  <c r="R157" i="53"/>
  <c r="R185" i="53" s="1"/>
  <c r="S157" i="53"/>
  <c r="S185" i="53" s="1"/>
  <c r="T157" i="53"/>
  <c r="T185" i="53" s="1"/>
  <c r="U157" i="53"/>
  <c r="U185" i="53" s="1"/>
  <c r="V157" i="53"/>
  <c r="V185" i="53" s="1"/>
  <c r="W157" i="53"/>
  <c r="W185" i="53" s="1"/>
  <c r="X157" i="53"/>
  <c r="X185" i="53" s="1"/>
  <c r="Y157" i="53"/>
  <c r="Y185" i="53" s="1"/>
  <c r="Z157" i="53"/>
  <c r="Z185" i="53" s="1"/>
  <c r="AA157" i="53"/>
  <c r="AA185" i="53" s="1"/>
  <c r="AB157" i="53"/>
  <c r="AB185" i="53" s="1"/>
  <c r="AC157" i="53"/>
  <c r="AC185" i="53" s="1"/>
  <c r="AD157" i="53"/>
  <c r="AD185" i="53" s="1"/>
  <c r="AE157" i="53"/>
  <c r="AE185" i="53" s="1"/>
  <c r="AF157" i="53"/>
  <c r="AF185" i="53" s="1"/>
  <c r="AG185" i="53"/>
  <c r="E159" i="53"/>
  <c r="E187" i="53" s="1"/>
  <c r="F159" i="53"/>
  <c r="F187" i="53" s="1"/>
  <c r="G159" i="53"/>
  <c r="G187" i="53" s="1"/>
  <c r="H159" i="53"/>
  <c r="H187" i="53" s="1"/>
  <c r="I159" i="53"/>
  <c r="I187" i="53" s="1"/>
  <c r="J159" i="53"/>
  <c r="J187" i="53" s="1"/>
  <c r="K159" i="53"/>
  <c r="K187" i="53" s="1"/>
  <c r="L159" i="53"/>
  <c r="L187" i="53" s="1"/>
  <c r="M159" i="53"/>
  <c r="M187" i="53" s="1"/>
  <c r="N159" i="53"/>
  <c r="N187" i="53" s="1"/>
  <c r="O159" i="53"/>
  <c r="O187" i="53" s="1"/>
  <c r="P159" i="53"/>
  <c r="P187" i="53" s="1"/>
  <c r="Q159" i="53"/>
  <c r="Q187" i="53" s="1"/>
  <c r="R159" i="53"/>
  <c r="R187" i="53" s="1"/>
  <c r="S159" i="53"/>
  <c r="S187" i="53" s="1"/>
  <c r="T159" i="53"/>
  <c r="T187" i="53" s="1"/>
  <c r="U159" i="53"/>
  <c r="U187" i="53" s="1"/>
  <c r="V159" i="53"/>
  <c r="V187" i="53" s="1"/>
  <c r="W159" i="53"/>
  <c r="W187" i="53" s="1"/>
  <c r="X159" i="53"/>
  <c r="X187" i="53" s="1"/>
  <c r="Y159" i="53"/>
  <c r="Y187" i="53" s="1"/>
  <c r="Z159" i="53"/>
  <c r="Z187" i="53" s="1"/>
  <c r="AA159" i="53"/>
  <c r="AA187" i="53" s="1"/>
  <c r="AB159" i="53"/>
  <c r="AB187" i="53" s="1"/>
  <c r="AC159" i="53"/>
  <c r="AC187" i="53" s="1"/>
  <c r="AD159" i="53"/>
  <c r="AD187" i="53" s="1"/>
  <c r="AE159" i="53"/>
  <c r="AE187" i="53" s="1"/>
  <c r="AF159" i="53"/>
  <c r="AF187" i="53" s="1"/>
  <c r="E160" i="53"/>
  <c r="E188" i="53" s="1"/>
  <c r="F160" i="53"/>
  <c r="F188" i="53" s="1"/>
  <c r="G160" i="53"/>
  <c r="G188" i="53" s="1"/>
  <c r="H160" i="53"/>
  <c r="H188" i="53" s="1"/>
  <c r="I160" i="53"/>
  <c r="I188" i="53" s="1"/>
  <c r="J160" i="53"/>
  <c r="J188" i="53" s="1"/>
  <c r="K160" i="53"/>
  <c r="K188" i="53" s="1"/>
  <c r="L160" i="53"/>
  <c r="L188" i="53" s="1"/>
  <c r="M160" i="53"/>
  <c r="M188" i="53" s="1"/>
  <c r="N160" i="53"/>
  <c r="N188" i="53" s="1"/>
  <c r="O160" i="53"/>
  <c r="O188" i="53" s="1"/>
  <c r="P160" i="53"/>
  <c r="P188" i="53" s="1"/>
  <c r="Q160" i="53"/>
  <c r="Q188" i="53" s="1"/>
  <c r="R160" i="53"/>
  <c r="R188" i="53" s="1"/>
  <c r="S160" i="53"/>
  <c r="S188" i="53" s="1"/>
  <c r="T160" i="53"/>
  <c r="T188" i="53" s="1"/>
  <c r="U160" i="53"/>
  <c r="U188" i="53" s="1"/>
  <c r="V160" i="53"/>
  <c r="V188" i="53" s="1"/>
  <c r="W160" i="53"/>
  <c r="W188" i="53" s="1"/>
  <c r="X160" i="53"/>
  <c r="X188" i="53" s="1"/>
  <c r="Y160" i="53"/>
  <c r="Y188" i="53" s="1"/>
  <c r="Z160" i="53"/>
  <c r="Z188" i="53" s="1"/>
  <c r="AA160" i="53"/>
  <c r="AA188" i="53" s="1"/>
  <c r="AB160" i="53"/>
  <c r="AB188" i="53" s="1"/>
  <c r="AC160" i="53"/>
  <c r="AC188" i="53" s="1"/>
  <c r="AD160" i="53"/>
  <c r="AD188" i="53" s="1"/>
  <c r="AE160" i="53"/>
  <c r="AE188" i="53" s="1"/>
  <c r="AF160" i="53"/>
  <c r="AF188" i="53" s="1"/>
  <c r="E161" i="53"/>
  <c r="E189" i="53" s="1"/>
  <c r="F161" i="53"/>
  <c r="F189" i="53" s="1"/>
  <c r="G161" i="53"/>
  <c r="G189" i="53" s="1"/>
  <c r="H161" i="53"/>
  <c r="H189" i="53" s="1"/>
  <c r="I161" i="53"/>
  <c r="I189" i="53" s="1"/>
  <c r="J161" i="53"/>
  <c r="J189" i="53" s="1"/>
  <c r="K161" i="53"/>
  <c r="K189" i="53" s="1"/>
  <c r="L161" i="53"/>
  <c r="L189" i="53" s="1"/>
  <c r="M161" i="53"/>
  <c r="M189" i="53" s="1"/>
  <c r="N161" i="53"/>
  <c r="N189" i="53" s="1"/>
  <c r="O161" i="53"/>
  <c r="O189" i="53" s="1"/>
  <c r="P161" i="53"/>
  <c r="P189" i="53" s="1"/>
  <c r="Q161" i="53"/>
  <c r="Q189" i="53" s="1"/>
  <c r="R161" i="53"/>
  <c r="R189" i="53" s="1"/>
  <c r="S161" i="53"/>
  <c r="S189" i="53" s="1"/>
  <c r="T161" i="53"/>
  <c r="T189" i="53" s="1"/>
  <c r="U161" i="53"/>
  <c r="U189" i="53" s="1"/>
  <c r="V161" i="53"/>
  <c r="V189" i="53" s="1"/>
  <c r="W161" i="53"/>
  <c r="W189" i="53" s="1"/>
  <c r="X161" i="53"/>
  <c r="X189" i="53" s="1"/>
  <c r="Y161" i="53"/>
  <c r="Y189" i="53" s="1"/>
  <c r="Z161" i="53"/>
  <c r="Z189" i="53" s="1"/>
  <c r="AA161" i="53"/>
  <c r="AA189" i="53" s="1"/>
  <c r="AB161" i="53"/>
  <c r="AB189" i="53" s="1"/>
  <c r="AC161" i="53"/>
  <c r="AC189" i="53" s="1"/>
  <c r="AD161" i="53"/>
  <c r="AD189" i="53" s="1"/>
  <c r="AE161" i="53"/>
  <c r="AE189" i="53" s="1"/>
  <c r="AF161" i="53"/>
  <c r="AF189" i="53" s="1"/>
  <c r="E162" i="53"/>
  <c r="E190" i="53" s="1"/>
  <c r="F162" i="53"/>
  <c r="F190" i="53" s="1"/>
  <c r="G162" i="53"/>
  <c r="G190" i="53" s="1"/>
  <c r="H162" i="53"/>
  <c r="H190" i="53" s="1"/>
  <c r="I162" i="53"/>
  <c r="I190" i="53" s="1"/>
  <c r="J162" i="53"/>
  <c r="J190" i="53" s="1"/>
  <c r="K162" i="53"/>
  <c r="K190" i="53" s="1"/>
  <c r="L162" i="53"/>
  <c r="L190" i="53" s="1"/>
  <c r="M162" i="53"/>
  <c r="M190" i="53" s="1"/>
  <c r="N162" i="53"/>
  <c r="N190" i="53" s="1"/>
  <c r="O162" i="53"/>
  <c r="O190" i="53" s="1"/>
  <c r="P162" i="53"/>
  <c r="P190" i="53" s="1"/>
  <c r="Q162" i="53"/>
  <c r="Q190" i="53" s="1"/>
  <c r="R162" i="53"/>
  <c r="R190" i="53" s="1"/>
  <c r="S162" i="53"/>
  <c r="S190" i="53" s="1"/>
  <c r="T162" i="53"/>
  <c r="T190" i="53" s="1"/>
  <c r="U162" i="53"/>
  <c r="U190" i="53" s="1"/>
  <c r="V162" i="53"/>
  <c r="V190" i="53" s="1"/>
  <c r="W162" i="53"/>
  <c r="W190" i="53" s="1"/>
  <c r="X162" i="53"/>
  <c r="X190" i="53" s="1"/>
  <c r="Y162" i="53"/>
  <c r="Y190" i="53" s="1"/>
  <c r="Z162" i="53"/>
  <c r="Z190" i="53" s="1"/>
  <c r="AA162" i="53"/>
  <c r="AA190" i="53" s="1"/>
  <c r="AB162" i="53"/>
  <c r="AB190" i="53" s="1"/>
  <c r="AC162" i="53"/>
  <c r="AC190" i="53" s="1"/>
  <c r="AD162" i="53"/>
  <c r="AD190" i="53" s="1"/>
  <c r="AE162" i="53"/>
  <c r="AE190" i="53" s="1"/>
  <c r="AF162" i="53"/>
  <c r="AF190" i="53" s="1"/>
  <c r="E163" i="53"/>
  <c r="E191" i="53" s="1"/>
  <c r="F163" i="53"/>
  <c r="F191" i="53" s="1"/>
  <c r="G163" i="53"/>
  <c r="G191" i="53" s="1"/>
  <c r="H163" i="53"/>
  <c r="H191" i="53" s="1"/>
  <c r="I163" i="53"/>
  <c r="I191" i="53" s="1"/>
  <c r="J163" i="53"/>
  <c r="J191" i="53" s="1"/>
  <c r="K163" i="53"/>
  <c r="K191" i="53" s="1"/>
  <c r="L163" i="53"/>
  <c r="L191" i="53" s="1"/>
  <c r="M163" i="53"/>
  <c r="M191" i="53" s="1"/>
  <c r="N163" i="53"/>
  <c r="N191" i="53" s="1"/>
  <c r="O163" i="53"/>
  <c r="O191" i="53" s="1"/>
  <c r="P163" i="53"/>
  <c r="P191" i="53" s="1"/>
  <c r="Q163" i="53"/>
  <c r="Q191" i="53" s="1"/>
  <c r="R163" i="53"/>
  <c r="R191" i="53" s="1"/>
  <c r="S163" i="53"/>
  <c r="S191" i="53" s="1"/>
  <c r="T163" i="53"/>
  <c r="T191" i="53" s="1"/>
  <c r="U163" i="53"/>
  <c r="U191" i="53" s="1"/>
  <c r="V163" i="53"/>
  <c r="V191" i="53" s="1"/>
  <c r="W163" i="53"/>
  <c r="W191" i="53" s="1"/>
  <c r="X163" i="53"/>
  <c r="X191" i="53" s="1"/>
  <c r="Y163" i="53"/>
  <c r="Y191" i="53" s="1"/>
  <c r="Z163" i="53"/>
  <c r="Z191" i="53" s="1"/>
  <c r="AA163" i="53"/>
  <c r="AA191" i="53" s="1"/>
  <c r="AB163" i="53"/>
  <c r="AB191" i="53" s="1"/>
  <c r="AC163" i="53"/>
  <c r="AC191" i="53" s="1"/>
  <c r="AD163" i="53"/>
  <c r="AD191" i="53" s="1"/>
  <c r="AE163" i="53"/>
  <c r="AE191" i="53" s="1"/>
  <c r="AF163" i="53"/>
  <c r="AF191" i="53" s="1"/>
  <c r="E165" i="53"/>
  <c r="E193" i="53" s="1"/>
  <c r="F165" i="53"/>
  <c r="F193" i="53" s="1"/>
  <c r="G165" i="53"/>
  <c r="G193" i="53" s="1"/>
  <c r="H165" i="53"/>
  <c r="H193" i="53" s="1"/>
  <c r="I165" i="53"/>
  <c r="I193" i="53" s="1"/>
  <c r="J165" i="53"/>
  <c r="J193" i="53" s="1"/>
  <c r="K165" i="53"/>
  <c r="K193" i="53" s="1"/>
  <c r="L165" i="53"/>
  <c r="L193" i="53" s="1"/>
  <c r="M165" i="53"/>
  <c r="M193" i="53" s="1"/>
  <c r="N165" i="53"/>
  <c r="N193" i="53" s="1"/>
  <c r="O165" i="53"/>
  <c r="O193" i="53" s="1"/>
  <c r="P165" i="53"/>
  <c r="P193" i="53" s="1"/>
  <c r="Q165" i="53"/>
  <c r="Q193" i="53" s="1"/>
  <c r="R165" i="53"/>
  <c r="R193" i="53" s="1"/>
  <c r="S165" i="53"/>
  <c r="S193" i="53" s="1"/>
  <c r="T165" i="53"/>
  <c r="T193" i="53" s="1"/>
  <c r="U165" i="53"/>
  <c r="U193" i="53" s="1"/>
  <c r="V165" i="53"/>
  <c r="V193" i="53" s="1"/>
  <c r="W165" i="53"/>
  <c r="W193" i="53" s="1"/>
  <c r="X165" i="53"/>
  <c r="X193" i="53" s="1"/>
  <c r="Y165" i="53"/>
  <c r="Y193" i="53" s="1"/>
  <c r="Z165" i="53"/>
  <c r="Z193" i="53" s="1"/>
  <c r="AA165" i="53"/>
  <c r="AA193" i="53" s="1"/>
  <c r="AB165" i="53"/>
  <c r="AB193" i="53" s="1"/>
  <c r="AC165" i="53"/>
  <c r="AC193" i="53" s="1"/>
  <c r="AD165" i="53"/>
  <c r="AD193" i="53" s="1"/>
  <c r="AE165" i="53"/>
  <c r="AE193" i="53" s="1"/>
  <c r="AF165" i="53"/>
  <c r="AF193" i="53" s="1"/>
  <c r="E166" i="53"/>
  <c r="E194" i="53" s="1"/>
  <c r="F166" i="53"/>
  <c r="F194" i="53" s="1"/>
  <c r="G166" i="53"/>
  <c r="G194" i="53" s="1"/>
  <c r="H166" i="53"/>
  <c r="H194" i="53" s="1"/>
  <c r="I166" i="53"/>
  <c r="I194" i="53" s="1"/>
  <c r="J166" i="53"/>
  <c r="J194" i="53" s="1"/>
  <c r="K166" i="53"/>
  <c r="K194" i="53" s="1"/>
  <c r="L166" i="53"/>
  <c r="L194" i="53" s="1"/>
  <c r="M166" i="53"/>
  <c r="M194" i="53" s="1"/>
  <c r="N166" i="53"/>
  <c r="N194" i="53" s="1"/>
  <c r="O166" i="53"/>
  <c r="O194" i="53" s="1"/>
  <c r="P166" i="53"/>
  <c r="P194" i="53" s="1"/>
  <c r="Q166" i="53"/>
  <c r="Q194" i="53" s="1"/>
  <c r="R166" i="53"/>
  <c r="R194" i="53" s="1"/>
  <c r="S166" i="53"/>
  <c r="S194" i="53" s="1"/>
  <c r="T166" i="53"/>
  <c r="T194" i="53" s="1"/>
  <c r="U166" i="53"/>
  <c r="U194" i="53" s="1"/>
  <c r="V166" i="53"/>
  <c r="V194" i="53" s="1"/>
  <c r="W166" i="53"/>
  <c r="W194" i="53" s="1"/>
  <c r="X166" i="53"/>
  <c r="X194" i="53" s="1"/>
  <c r="Y166" i="53"/>
  <c r="Y194" i="53" s="1"/>
  <c r="Z166" i="53"/>
  <c r="Z194" i="53" s="1"/>
  <c r="AA166" i="53"/>
  <c r="AA194" i="53" s="1"/>
  <c r="AB166" i="53"/>
  <c r="AB194" i="53" s="1"/>
  <c r="AC166" i="53"/>
  <c r="AC194" i="53" s="1"/>
  <c r="AD166" i="53"/>
  <c r="AD194" i="53" s="1"/>
  <c r="AE166" i="53"/>
  <c r="AE194" i="53" s="1"/>
  <c r="AF166" i="53"/>
  <c r="AF194" i="53" s="1"/>
  <c r="E168" i="53"/>
  <c r="E196" i="53" s="1"/>
  <c r="F168" i="53"/>
  <c r="F196" i="53" s="1"/>
  <c r="G168" i="53"/>
  <c r="G196" i="53" s="1"/>
  <c r="H168" i="53"/>
  <c r="H196" i="53" s="1"/>
  <c r="I168" i="53"/>
  <c r="I196" i="53" s="1"/>
  <c r="J168" i="53"/>
  <c r="J196" i="53" s="1"/>
  <c r="K168" i="53"/>
  <c r="K196" i="53" s="1"/>
  <c r="L168" i="53"/>
  <c r="L196" i="53" s="1"/>
  <c r="M168" i="53"/>
  <c r="M196" i="53" s="1"/>
  <c r="N168" i="53"/>
  <c r="N196" i="53" s="1"/>
  <c r="O168" i="53"/>
  <c r="O196" i="53" s="1"/>
  <c r="P168" i="53"/>
  <c r="P196" i="53" s="1"/>
  <c r="Q168" i="53"/>
  <c r="Q196" i="53" s="1"/>
  <c r="R168" i="53"/>
  <c r="R196" i="53" s="1"/>
  <c r="S168" i="53"/>
  <c r="S196" i="53" s="1"/>
  <c r="T168" i="53"/>
  <c r="T196" i="53" s="1"/>
  <c r="U168" i="53"/>
  <c r="U196" i="53" s="1"/>
  <c r="V168" i="53"/>
  <c r="V196" i="53" s="1"/>
  <c r="W168" i="53"/>
  <c r="W196" i="53" s="1"/>
  <c r="X168" i="53"/>
  <c r="X196" i="53" s="1"/>
  <c r="Y168" i="53"/>
  <c r="Y196" i="53" s="1"/>
  <c r="Z168" i="53"/>
  <c r="Z196" i="53" s="1"/>
  <c r="AA168" i="53"/>
  <c r="AA196" i="53" s="1"/>
  <c r="AB168" i="53"/>
  <c r="AB196" i="53" s="1"/>
  <c r="AC168" i="53"/>
  <c r="AC196" i="53" s="1"/>
  <c r="AD168" i="53"/>
  <c r="AD196" i="53" s="1"/>
  <c r="AE168" i="53"/>
  <c r="AE196" i="53" s="1"/>
  <c r="AF168" i="53"/>
  <c r="AF196" i="53" s="1"/>
  <c r="E169" i="53"/>
  <c r="E197" i="53" s="1"/>
  <c r="F169" i="53"/>
  <c r="F197" i="53" s="1"/>
  <c r="G169" i="53"/>
  <c r="G197" i="53" s="1"/>
  <c r="H169" i="53"/>
  <c r="H197" i="53" s="1"/>
  <c r="I169" i="53"/>
  <c r="I197" i="53" s="1"/>
  <c r="J169" i="53"/>
  <c r="J197" i="53" s="1"/>
  <c r="K169" i="53"/>
  <c r="K197" i="53" s="1"/>
  <c r="L169" i="53"/>
  <c r="L197" i="53" s="1"/>
  <c r="M169" i="53"/>
  <c r="M197" i="53" s="1"/>
  <c r="N169" i="53"/>
  <c r="N197" i="53" s="1"/>
  <c r="O169" i="53"/>
  <c r="O197" i="53" s="1"/>
  <c r="P169" i="53"/>
  <c r="P197" i="53" s="1"/>
  <c r="Q169" i="53"/>
  <c r="Q197" i="53" s="1"/>
  <c r="R169" i="53"/>
  <c r="R197" i="53" s="1"/>
  <c r="S169" i="53"/>
  <c r="S197" i="53" s="1"/>
  <c r="T169" i="53"/>
  <c r="T197" i="53" s="1"/>
  <c r="U169" i="53"/>
  <c r="U197" i="53" s="1"/>
  <c r="V169" i="53"/>
  <c r="V197" i="53" s="1"/>
  <c r="W169" i="53"/>
  <c r="W197" i="53" s="1"/>
  <c r="X169" i="53"/>
  <c r="X197" i="53" s="1"/>
  <c r="Y169" i="53"/>
  <c r="Y197" i="53" s="1"/>
  <c r="Z169" i="53"/>
  <c r="Z197" i="53" s="1"/>
  <c r="AA169" i="53"/>
  <c r="AA197" i="53" s="1"/>
  <c r="AB169" i="53"/>
  <c r="AB197" i="53" s="1"/>
  <c r="AC169" i="53"/>
  <c r="AC197" i="53" s="1"/>
  <c r="AD169" i="53"/>
  <c r="AD197" i="53" s="1"/>
  <c r="AE169" i="53"/>
  <c r="AE197" i="53" s="1"/>
  <c r="AF169" i="53"/>
  <c r="AF197" i="53" s="1"/>
  <c r="E170" i="53"/>
  <c r="E198" i="53" s="1"/>
  <c r="F170" i="53"/>
  <c r="F198" i="53" s="1"/>
  <c r="G170" i="53"/>
  <c r="G198" i="53" s="1"/>
  <c r="H170" i="53"/>
  <c r="H198" i="53" s="1"/>
  <c r="I170" i="53"/>
  <c r="I198" i="53" s="1"/>
  <c r="J170" i="53"/>
  <c r="J198" i="53" s="1"/>
  <c r="K170" i="53"/>
  <c r="K198" i="53" s="1"/>
  <c r="L170" i="53"/>
  <c r="L198" i="53" s="1"/>
  <c r="M170" i="53"/>
  <c r="M198" i="53" s="1"/>
  <c r="N170" i="53"/>
  <c r="N198" i="53" s="1"/>
  <c r="O170" i="53"/>
  <c r="O198" i="53" s="1"/>
  <c r="P170" i="53"/>
  <c r="P198" i="53" s="1"/>
  <c r="Q170" i="53"/>
  <c r="Q198" i="53" s="1"/>
  <c r="R170" i="53"/>
  <c r="R198" i="53" s="1"/>
  <c r="S170" i="53"/>
  <c r="S198" i="53" s="1"/>
  <c r="T170" i="53"/>
  <c r="T198" i="53" s="1"/>
  <c r="U170" i="53"/>
  <c r="U198" i="53" s="1"/>
  <c r="V170" i="53"/>
  <c r="V198" i="53" s="1"/>
  <c r="W170" i="53"/>
  <c r="W198" i="53" s="1"/>
  <c r="X170" i="53"/>
  <c r="X198" i="53" s="1"/>
  <c r="Y170" i="53"/>
  <c r="Y198" i="53" s="1"/>
  <c r="Z170" i="53"/>
  <c r="Z198" i="53" s="1"/>
  <c r="AA170" i="53"/>
  <c r="AA198" i="53" s="1"/>
  <c r="AB170" i="53"/>
  <c r="AB198" i="53" s="1"/>
  <c r="AC170" i="53"/>
  <c r="AC198" i="53" s="1"/>
  <c r="AD170" i="53"/>
  <c r="AD198" i="53" s="1"/>
  <c r="AE170" i="53"/>
  <c r="AE198" i="53" s="1"/>
  <c r="AF170" i="53"/>
  <c r="AF198" i="53" s="1"/>
  <c r="E171" i="53"/>
  <c r="E199" i="53" s="1"/>
  <c r="F171" i="53"/>
  <c r="F199" i="53" s="1"/>
  <c r="G171" i="53"/>
  <c r="G199" i="53" s="1"/>
  <c r="H171" i="53"/>
  <c r="H199" i="53" s="1"/>
  <c r="I171" i="53"/>
  <c r="I199" i="53" s="1"/>
  <c r="J171" i="53"/>
  <c r="J199" i="53" s="1"/>
  <c r="K171" i="53"/>
  <c r="K199" i="53" s="1"/>
  <c r="L171" i="53"/>
  <c r="L199" i="53" s="1"/>
  <c r="M171" i="53"/>
  <c r="M199" i="53" s="1"/>
  <c r="N171" i="53"/>
  <c r="N199" i="53" s="1"/>
  <c r="O171" i="53"/>
  <c r="O199" i="53" s="1"/>
  <c r="P171" i="53"/>
  <c r="P199" i="53" s="1"/>
  <c r="Q171" i="53"/>
  <c r="Q199" i="53" s="1"/>
  <c r="R171" i="53"/>
  <c r="R199" i="53" s="1"/>
  <c r="S171" i="53"/>
  <c r="S199" i="53" s="1"/>
  <c r="T171" i="53"/>
  <c r="T199" i="53" s="1"/>
  <c r="U171" i="53"/>
  <c r="U199" i="53" s="1"/>
  <c r="V171" i="53"/>
  <c r="V199" i="53" s="1"/>
  <c r="W171" i="53"/>
  <c r="W199" i="53" s="1"/>
  <c r="X171" i="53"/>
  <c r="X199" i="53" s="1"/>
  <c r="Y171" i="53"/>
  <c r="Y199" i="53" s="1"/>
  <c r="Z171" i="53"/>
  <c r="Z199" i="53" s="1"/>
  <c r="AA171" i="53"/>
  <c r="AA199" i="53" s="1"/>
  <c r="AB171" i="53"/>
  <c r="AB199" i="53" s="1"/>
  <c r="AC171" i="53"/>
  <c r="AC199" i="53" s="1"/>
  <c r="AD171" i="53"/>
  <c r="AD199" i="53" s="1"/>
  <c r="AE171" i="53"/>
  <c r="AE199" i="53" s="1"/>
  <c r="AF171" i="53"/>
  <c r="AF199" i="53" s="1"/>
  <c r="E173" i="53"/>
  <c r="F173" i="53"/>
  <c r="G173" i="53"/>
  <c r="H173" i="53"/>
  <c r="I173" i="53"/>
  <c r="J173" i="53"/>
  <c r="K173" i="53"/>
  <c r="L173" i="53"/>
  <c r="M173" i="53"/>
  <c r="N173" i="53"/>
  <c r="O173" i="53"/>
  <c r="P173" i="53"/>
  <c r="Q173" i="53"/>
  <c r="R173" i="53"/>
  <c r="S173" i="53"/>
  <c r="T173" i="53"/>
  <c r="U173" i="53"/>
  <c r="V173" i="53"/>
  <c r="W173" i="53"/>
  <c r="X173" i="53"/>
  <c r="Y173" i="53"/>
  <c r="Z173" i="53"/>
  <c r="AA173" i="53"/>
  <c r="AB173" i="53"/>
  <c r="AC173" i="53"/>
  <c r="AD173" i="53"/>
  <c r="AD201" i="53" s="1"/>
  <c r="AE173" i="53"/>
  <c r="AE201" i="53" s="1"/>
  <c r="AF173" i="53"/>
  <c r="AF201" i="53" s="1"/>
  <c r="E175" i="53"/>
  <c r="E203" i="53" s="1"/>
  <c r="F175" i="53"/>
  <c r="F203" i="53" s="1"/>
  <c r="G175" i="53"/>
  <c r="G203" i="53" s="1"/>
  <c r="H175" i="53"/>
  <c r="H203" i="53" s="1"/>
  <c r="I175" i="53"/>
  <c r="I203" i="53" s="1"/>
  <c r="J175" i="53"/>
  <c r="J203" i="53" s="1"/>
  <c r="K175" i="53"/>
  <c r="K203" i="53" s="1"/>
  <c r="L175" i="53"/>
  <c r="L203" i="53" s="1"/>
  <c r="M175" i="53"/>
  <c r="M203" i="53" s="1"/>
  <c r="N175" i="53"/>
  <c r="N203" i="53" s="1"/>
  <c r="O175" i="53"/>
  <c r="O203" i="53" s="1"/>
  <c r="P175" i="53"/>
  <c r="P203" i="53" s="1"/>
  <c r="Q175" i="53"/>
  <c r="Q203" i="53" s="1"/>
  <c r="R175" i="53"/>
  <c r="R203" i="53" s="1"/>
  <c r="S175" i="53"/>
  <c r="S203" i="53" s="1"/>
  <c r="T175" i="53"/>
  <c r="T203" i="53" s="1"/>
  <c r="U175" i="53"/>
  <c r="U203" i="53" s="1"/>
  <c r="V175" i="53"/>
  <c r="V203" i="53" s="1"/>
  <c r="W175" i="53"/>
  <c r="W203" i="53" s="1"/>
  <c r="X175" i="53"/>
  <c r="X203" i="53" s="1"/>
  <c r="Y175" i="53"/>
  <c r="Y203" i="53" s="1"/>
  <c r="Z175" i="53"/>
  <c r="Z203" i="53" s="1"/>
  <c r="AA175" i="53"/>
  <c r="AA203" i="53" s="1"/>
  <c r="AB175" i="53"/>
  <c r="AB203" i="53" s="1"/>
  <c r="AC175" i="53"/>
  <c r="AC203" i="53" s="1"/>
  <c r="AD175" i="53"/>
  <c r="AD203" i="53" s="1"/>
  <c r="AE175" i="53"/>
  <c r="AE203" i="53" s="1"/>
  <c r="AF175" i="53"/>
  <c r="AF203" i="53" s="1"/>
  <c r="E177" i="53"/>
  <c r="E205" i="53" s="1"/>
  <c r="F177" i="53"/>
  <c r="F205" i="53" s="1"/>
  <c r="G177" i="53"/>
  <c r="G205" i="53" s="1"/>
  <c r="H177" i="53"/>
  <c r="H205" i="53" s="1"/>
  <c r="I177" i="53"/>
  <c r="I205" i="53" s="1"/>
  <c r="J177" i="53"/>
  <c r="J205" i="53" s="1"/>
  <c r="K177" i="53"/>
  <c r="K205" i="53" s="1"/>
  <c r="L177" i="53"/>
  <c r="L205" i="53" s="1"/>
  <c r="M177" i="53"/>
  <c r="M205" i="53" s="1"/>
  <c r="N177" i="53"/>
  <c r="N205" i="53" s="1"/>
  <c r="O177" i="53"/>
  <c r="O205" i="53" s="1"/>
  <c r="P177" i="53"/>
  <c r="P205" i="53" s="1"/>
  <c r="Q177" i="53"/>
  <c r="Q205" i="53" s="1"/>
  <c r="R177" i="53"/>
  <c r="R205" i="53" s="1"/>
  <c r="S177" i="53"/>
  <c r="S205" i="53" s="1"/>
  <c r="T177" i="53"/>
  <c r="T205" i="53" s="1"/>
  <c r="U177" i="53"/>
  <c r="U205" i="53" s="1"/>
  <c r="V177" i="53"/>
  <c r="V205" i="53" s="1"/>
  <c r="W177" i="53"/>
  <c r="W205" i="53" s="1"/>
  <c r="X177" i="53"/>
  <c r="X205" i="53" s="1"/>
  <c r="Y177" i="53"/>
  <c r="Y205" i="53" s="1"/>
  <c r="Z177" i="53"/>
  <c r="Z205" i="53" s="1"/>
  <c r="AA177" i="53"/>
  <c r="AA205" i="53" s="1"/>
  <c r="AB177" i="53"/>
  <c r="AB205" i="53" s="1"/>
  <c r="AC177" i="53"/>
  <c r="AC205" i="53" s="1"/>
  <c r="AD177" i="53"/>
  <c r="AD205" i="53" s="1"/>
  <c r="AE177" i="53"/>
  <c r="AE205" i="53" s="1"/>
  <c r="AF177" i="53"/>
  <c r="AF205" i="53" s="1"/>
  <c r="E178" i="53"/>
  <c r="E206" i="53" s="1"/>
  <c r="F178" i="53"/>
  <c r="F206" i="53" s="1"/>
  <c r="G178" i="53"/>
  <c r="G206" i="53" s="1"/>
  <c r="H178" i="53"/>
  <c r="H206" i="53" s="1"/>
  <c r="I178" i="53"/>
  <c r="I206" i="53" s="1"/>
  <c r="J178" i="53"/>
  <c r="J206" i="53" s="1"/>
  <c r="K178" i="53"/>
  <c r="K206" i="53" s="1"/>
  <c r="L178" i="53"/>
  <c r="L206" i="53" s="1"/>
  <c r="M178" i="53"/>
  <c r="M206" i="53" s="1"/>
  <c r="N178" i="53"/>
  <c r="N206" i="53" s="1"/>
  <c r="O178" i="53"/>
  <c r="O206" i="53" s="1"/>
  <c r="P178" i="53"/>
  <c r="P206" i="53" s="1"/>
  <c r="Q178" i="53"/>
  <c r="Q206" i="53" s="1"/>
  <c r="R178" i="53"/>
  <c r="R206" i="53" s="1"/>
  <c r="S178" i="53"/>
  <c r="S206" i="53" s="1"/>
  <c r="T178" i="53"/>
  <c r="T206" i="53" s="1"/>
  <c r="U178" i="53"/>
  <c r="U206" i="53" s="1"/>
  <c r="V178" i="53"/>
  <c r="V206" i="53" s="1"/>
  <c r="W178" i="53"/>
  <c r="W206" i="53" s="1"/>
  <c r="X178" i="53"/>
  <c r="X206" i="53" s="1"/>
  <c r="Y178" i="53"/>
  <c r="Y206" i="53" s="1"/>
  <c r="Z178" i="53"/>
  <c r="Z206" i="53" s="1"/>
  <c r="AA178" i="53"/>
  <c r="AA206" i="53" s="1"/>
  <c r="AB178" i="53"/>
  <c r="AB206" i="53" s="1"/>
  <c r="AC178" i="53"/>
  <c r="AC206" i="53" s="1"/>
  <c r="AD178" i="53"/>
  <c r="AD206" i="53" s="1"/>
  <c r="AE178" i="53"/>
  <c r="AE206" i="53" s="1"/>
  <c r="AF178" i="53"/>
  <c r="AF206" i="53" s="1"/>
  <c r="E180" i="53"/>
  <c r="E208" i="53" s="1"/>
  <c r="F180" i="53"/>
  <c r="F208" i="53" s="1"/>
  <c r="G180" i="53"/>
  <c r="G208" i="53" s="1"/>
  <c r="H180" i="53"/>
  <c r="H208" i="53" s="1"/>
  <c r="I180" i="53"/>
  <c r="I208" i="53" s="1"/>
  <c r="J180" i="53"/>
  <c r="J208" i="53" s="1"/>
  <c r="K180" i="53"/>
  <c r="K208" i="53" s="1"/>
  <c r="L180" i="53"/>
  <c r="L208" i="53" s="1"/>
  <c r="M180" i="53"/>
  <c r="M208" i="53" s="1"/>
  <c r="N180" i="53"/>
  <c r="N208" i="53" s="1"/>
  <c r="O180" i="53"/>
  <c r="O208" i="53" s="1"/>
  <c r="P180" i="53"/>
  <c r="P208" i="53" s="1"/>
  <c r="Q180" i="53"/>
  <c r="Q208" i="53" s="1"/>
  <c r="R180" i="53"/>
  <c r="R208" i="53" s="1"/>
  <c r="S180" i="53"/>
  <c r="S208" i="53" s="1"/>
  <c r="T180" i="53"/>
  <c r="T208" i="53" s="1"/>
  <c r="U180" i="53"/>
  <c r="U208" i="53" s="1"/>
  <c r="V180" i="53"/>
  <c r="V208" i="53" s="1"/>
  <c r="W180" i="53"/>
  <c r="W208" i="53" s="1"/>
  <c r="X180" i="53"/>
  <c r="X208" i="53" s="1"/>
  <c r="Y180" i="53"/>
  <c r="Y208" i="53" s="1"/>
  <c r="Z180" i="53"/>
  <c r="Z208" i="53" s="1"/>
  <c r="AA180" i="53"/>
  <c r="AA208" i="53" s="1"/>
  <c r="AB180" i="53"/>
  <c r="AB208" i="53" s="1"/>
  <c r="AC180" i="53"/>
  <c r="AC208" i="53" s="1"/>
  <c r="AD180" i="53"/>
  <c r="AD208" i="53" s="1"/>
  <c r="AE180" i="53"/>
  <c r="AE208" i="53" s="1"/>
  <c r="AF180" i="53"/>
  <c r="AF208" i="53" s="1"/>
  <c r="E181" i="53"/>
  <c r="E209" i="53" s="1"/>
  <c r="F181" i="53"/>
  <c r="F209" i="53" s="1"/>
  <c r="G181" i="53"/>
  <c r="G209" i="53" s="1"/>
  <c r="H181" i="53"/>
  <c r="H209" i="53" s="1"/>
  <c r="I181" i="53"/>
  <c r="I209" i="53" s="1"/>
  <c r="J181" i="53"/>
  <c r="J209" i="53" s="1"/>
  <c r="K181" i="53"/>
  <c r="K209" i="53" s="1"/>
  <c r="L181" i="53"/>
  <c r="L209" i="53" s="1"/>
  <c r="M181" i="53"/>
  <c r="M209" i="53" s="1"/>
  <c r="N181" i="53"/>
  <c r="N209" i="53" s="1"/>
  <c r="O181" i="53"/>
  <c r="O209" i="53" s="1"/>
  <c r="P181" i="53"/>
  <c r="P209" i="53" s="1"/>
  <c r="Q181" i="53"/>
  <c r="Q209" i="53" s="1"/>
  <c r="R181" i="53"/>
  <c r="R209" i="53" s="1"/>
  <c r="S181" i="53"/>
  <c r="S209" i="53" s="1"/>
  <c r="T181" i="53"/>
  <c r="T209" i="53" s="1"/>
  <c r="U181" i="53"/>
  <c r="U209" i="53" s="1"/>
  <c r="V181" i="53"/>
  <c r="V209" i="53" s="1"/>
  <c r="W181" i="53"/>
  <c r="W209" i="53" s="1"/>
  <c r="X181" i="53"/>
  <c r="X209" i="53" s="1"/>
  <c r="Y181" i="53"/>
  <c r="Y209" i="53" s="1"/>
  <c r="Z181" i="53"/>
  <c r="Z209" i="53" s="1"/>
  <c r="AA181" i="53"/>
  <c r="AA209" i="53" s="1"/>
  <c r="AB181" i="53"/>
  <c r="AB209" i="53" s="1"/>
  <c r="AC181" i="53"/>
  <c r="AC209" i="53" s="1"/>
  <c r="AD181" i="53"/>
  <c r="AD209" i="53" s="1"/>
  <c r="AE181" i="53"/>
  <c r="AE209" i="53" s="1"/>
  <c r="AF181" i="53"/>
  <c r="AF209" i="53" s="1"/>
  <c r="D159" i="53"/>
  <c r="D187" i="53" s="1"/>
  <c r="D160" i="53"/>
  <c r="D188" i="53" s="1"/>
  <c r="D161" i="53"/>
  <c r="D189" i="53" s="1"/>
  <c r="D162" i="53"/>
  <c r="D190" i="53" s="1"/>
  <c r="D163" i="53"/>
  <c r="D191" i="53" s="1"/>
  <c r="D165" i="53"/>
  <c r="D193" i="53" s="1"/>
  <c r="D166" i="53"/>
  <c r="D194" i="53" s="1"/>
  <c r="D168" i="53"/>
  <c r="D196" i="53" s="1"/>
  <c r="D169" i="53"/>
  <c r="D197" i="53" s="1"/>
  <c r="D170" i="53"/>
  <c r="D198" i="53" s="1"/>
  <c r="D171" i="53"/>
  <c r="D199" i="53" s="1"/>
  <c r="D173" i="53"/>
  <c r="D175" i="53"/>
  <c r="D203" i="53" s="1"/>
  <c r="D177" i="53"/>
  <c r="D205" i="53" s="1"/>
  <c r="D178" i="53"/>
  <c r="D206" i="53" s="1"/>
  <c r="D180" i="53"/>
  <c r="D208" i="53" s="1"/>
  <c r="D181" i="53"/>
  <c r="D209" i="53" s="1"/>
  <c r="D157" i="53"/>
  <c r="D185" i="53" s="1"/>
  <c r="AR6" i="49" l="1"/>
  <c r="AS15" i="49"/>
  <c r="F36" i="27"/>
  <c r="G36" i="27" s="1"/>
  <c r="H36" i="27" s="1"/>
  <c r="I36" i="27" s="1"/>
  <c r="J36" i="27" s="1"/>
  <c r="K36" i="27" s="1"/>
  <c r="L36" i="27" s="1"/>
  <c r="M36" i="27" s="1"/>
  <c r="N36" i="27" s="1"/>
  <c r="O36" i="27" s="1"/>
  <c r="P36" i="27" s="1"/>
  <c r="Q36" i="27" s="1"/>
  <c r="R36" i="27" s="1"/>
  <c r="S36" i="27" s="1"/>
  <c r="T36" i="27" s="1"/>
  <c r="U36" i="27" s="1"/>
  <c r="V36" i="27" s="1"/>
  <c r="W36" i="27" s="1"/>
  <c r="X36" i="27" s="1"/>
  <c r="Y36" i="27" s="1"/>
  <c r="Z36" i="27" s="1"/>
  <c r="AA36" i="27" s="1"/>
  <c r="AB36" i="27" s="1"/>
  <c r="AC36" i="27" s="1"/>
  <c r="AD36" i="27" s="1"/>
  <c r="AE36" i="27" s="1"/>
  <c r="AF36" i="27" s="1"/>
  <c r="AG36" i="27" s="1"/>
  <c r="AH36" i="27" s="1"/>
  <c r="AI36" i="27" s="1"/>
  <c r="AJ36" i="27" s="1"/>
  <c r="AG210" i="53"/>
  <c r="E66" i="53"/>
  <c r="E94" i="53" s="1"/>
  <c r="F66" i="53"/>
  <c r="F94" i="53" s="1"/>
  <c r="G66" i="53"/>
  <c r="G94" i="53" s="1"/>
  <c r="H66" i="53"/>
  <c r="H94" i="53" s="1"/>
  <c r="I66" i="53"/>
  <c r="I94" i="53" s="1"/>
  <c r="J66" i="53"/>
  <c r="J94" i="53" s="1"/>
  <c r="K66" i="53"/>
  <c r="K94" i="53" s="1"/>
  <c r="L66" i="53"/>
  <c r="L94" i="53" s="1"/>
  <c r="M66" i="53"/>
  <c r="M94" i="53" s="1"/>
  <c r="N66" i="53"/>
  <c r="N94" i="53" s="1"/>
  <c r="O66" i="53"/>
  <c r="O94" i="53" s="1"/>
  <c r="P66" i="53"/>
  <c r="P94" i="53" s="1"/>
  <c r="Q66" i="53"/>
  <c r="Q94" i="53" s="1"/>
  <c r="R66" i="53"/>
  <c r="R94" i="53" s="1"/>
  <c r="S66" i="53"/>
  <c r="S94" i="53" s="1"/>
  <c r="T66" i="53"/>
  <c r="T94" i="53" s="1"/>
  <c r="U66" i="53"/>
  <c r="U94" i="53" s="1"/>
  <c r="V66" i="53"/>
  <c r="V94" i="53" s="1"/>
  <c r="W66" i="53"/>
  <c r="W94" i="53" s="1"/>
  <c r="X66" i="53"/>
  <c r="X94" i="53" s="1"/>
  <c r="Y66" i="53"/>
  <c r="Y94" i="53" s="1"/>
  <c r="Z66" i="53"/>
  <c r="Z94" i="53" s="1"/>
  <c r="AA66" i="53"/>
  <c r="AA94" i="53" s="1"/>
  <c r="AB66" i="53"/>
  <c r="AB94" i="53" s="1"/>
  <c r="AC66" i="53"/>
  <c r="AC94" i="53" s="1"/>
  <c r="AD66" i="53"/>
  <c r="AD94" i="53" s="1"/>
  <c r="AE66" i="53"/>
  <c r="AE94" i="53" s="1"/>
  <c r="AF66" i="53"/>
  <c r="AF94" i="53" s="1"/>
  <c r="AG94" i="53"/>
  <c r="E68" i="53"/>
  <c r="E96" i="53" s="1"/>
  <c r="E101" i="53" s="1"/>
  <c r="F68" i="53"/>
  <c r="F96" i="53" s="1"/>
  <c r="F101" i="53" s="1"/>
  <c r="G68" i="53"/>
  <c r="G96" i="53" s="1"/>
  <c r="G101" i="53" s="1"/>
  <c r="H68" i="53"/>
  <c r="H96" i="53" s="1"/>
  <c r="H101" i="53" s="1"/>
  <c r="I68" i="53"/>
  <c r="I96" i="53" s="1"/>
  <c r="I101" i="53" s="1"/>
  <c r="J68" i="53"/>
  <c r="J96" i="53" s="1"/>
  <c r="J101" i="53" s="1"/>
  <c r="K68" i="53"/>
  <c r="K96" i="53" s="1"/>
  <c r="K101" i="53" s="1"/>
  <c r="L68" i="53"/>
  <c r="L96" i="53" s="1"/>
  <c r="L101" i="53" s="1"/>
  <c r="M68" i="53"/>
  <c r="M96" i="53" s="1"/>
  <c r="M101" i="53" s="1"/>
  <c r="N68" i="53"/>
  <c r="N96" i="53" s="1"/>
  <c r="N101" i="53" s="1"/>
  <c r="O68" i="53"/>
  <c r="O96" i="53" s="1"/>
  <c r="O101" i="53" s="1"/>
  <c r="P68" i="53"/>
  <c r="P96" i="53" s="1"/>
  <c r="P101" i="53" s="1"/>
  <c r="Q68" i="53"/>
  <c r="Q96" i="53" s="1"/>
  <c r="Q101" i="53" s="1"/>
  <c r="R68" i="53"/>
  <c r="R96" i="53" s="1"/>
  <c r="R101" i="53" s="1"/>
  <c r="S68" i="53"/>
  <c r="S96" i="53" s="1"/>
  <c r="S101" i="53" s="1"/>
  <c r="T68" i="53"/>
  <c r="T96" i="53" s="1"/>
  <c r="T101" i="53" s="1"/>
  <c r="U68" i="53"/>
  <c r="U96" i="53" s="1"/>
  <c r="U101" i="53" s="1"/>
  <c r="V68" i="53"/>
  <c r="V96" i="53" s="1"/>
  <c r="V101" i="53" s="1"/>
  <c r="W68" i="53"/>
  <c r="W96" i="53" s="1"/>
  <c r="W101" i="53" s="1"/>
  <c r="X68" i="53"/>
  <c r="X96" i="53" s="1"/>
  <c r="X101" i="53" s="1"/>
  <c r="Y68" i="53"/>
  <c r="Y96" i="53" s="1"/>
  <c r="Z68" i="53"/>
  <c r="Z96" i="53" s="1"/>
  <c r="AA68" i="53"/>
  <c r="AA96" i="53" s="1"/>
  <c r="AB68" i="53"/>
  <c r="AB96" i="53" s="1"/>
  <c r="AC68" i="53"/>
  <c r="AC96" i="53" s="1"/>
  <c r="AD68" i="53"/>
  <c r="AD96" i="53" s="1"/>
  <c r="AE68" i="53"/>
  <c r="AE96" i="53" s="1"/>
  <c r="AF68" i="53"/>
  <c r="AF96" i="53" s="1"/>
  <c r="AG96" i="53"/>
  <c r="E69" i="53"/>
  <c r="E97" i="53" s="1"/>
  <c r="F69" i="53"/>
  <c r="F97" i="53" s="1"/>
  <c r="G69" i="53"/>
  <c r="G97" i="53" s="1"/>
  <c r="H69" i="53"/>
  <c r="H97" i="53" s="1"/>
  <c r="I69" i="53"/>
  <c r="I97" i="53" s="1"/>
  <c r="J69" i="53"/>
  <c r="J97" i="53" s="1"/>
  <c r="K69" i="53"/>
  <c r="K97" i="53" s="1"/>
  <c r="L69" i="53"/>
  <c r="L97" i="53" s="1"/>
  <c r="M69" i="53"/>
  <c r="M97" i="53" s="1"/>
  <c r="N69" i="53"/>
  <c r="N97" i="53" s="1"/>
  <c r="O69" i="53"/>
  <c r="O97" i="53" s="1"/>
  <c r="P69" i="53"/>
  <c r="P97" i="53" s="1"/>
  <c r="Q69" i="53"/>
  <c r="Q97" i="53" s="1"/>
  <c r="R69" i="53"/>
  <c r="R97" i="53" s="1"/>
  <c r="S69" i="53"/>
  <c r="S97" i="53" s="1"/>
  <c r="T69" i="53"/>
  <c r="T97" i="53" s="1"/>
  <c r="U69" i="53"/>
  <c r="U97" i="53" s="1"/>
  <c r="V69" i="53"/>
  <c r="V97" i="53" s="1"/>
  <c r="W69" i="53"/>
  <c r="W97" i="53" s="1"/>
  <c r="X69" i="53"/>
  <c r="X97" i="53" s="1"/>
  <c r="Y69" i="53"/>
  <c r="Y97" i="53" s="1"/>
  <c r="Z69" i="53"/>
  <c r="Z97" i="53" s="1"/>
  <c r="AA69" i="53"/>
  <c r="AA97" i="53" s="1"/>
  <c r="AB69" i="53"/>
  <c r="AB97" i="53" s="1"/>
  <c r="AC69" i="53"/>
  <c r="AC97" i="53" s="1"/>
  <c r="AD69" i="53"/>
  <c r="AD97" i="53" s="1"/>
  <c r="AE69" i="53"/>
  <c r="AE97" i="53" s="1"/>
  <c r="AF69" i="53"/>
  <c r="AF97" i="53" s="1"/>
  <c r="E70" i="53"/>
  <c r="E98" i="53" s="1"/>
  <c r="F70" i="53"/>
  <c r="F98" i="53" s="1"/>
  <c r="G70" i="53"/>
  <c r="G98" i="53" s="1"/>
  <c r="H70" i="53"/>
  <c r="H98" i="53" s="1"/>
  <c r="I70" i="53"/>
  <c r="I98" i="53" s="1"/>
  <c r="J70" i="53"/>
  <c r="J98" i="53" s="1"/>
  <c r="K70" i="53"/>
  <c r="K98" i="53" s="1"/>
  <c r="L70" i="53"/>
  <c r="L98" i="53" s="1"/>
  <c r="M70" i="53"/>
  <c r="M98" i="53" s="1"/>
  <c r="N70" i="53"/>
  <c r="N98" i="53" s="1"/>
  <c r="O70" i="53"/>
  <c r="O98" i="53" s="1"/>
  <c r="P70" i="53"/>
  <c r="P98" i="53" s="1"/>
  <c r="Q70" i="53"/>
  <c r="Q98" i="53" s="1"/>
  <c r="R70" i="53"/>
  <c r="R98" i="53" s="1"/>
  <c r="S70" i="53"/>
  <c r="S98" i="53" s="1"/>
  <c r="T70" i="53"/>
  <c r="T98" i="53" s="1"/>
  <c r="U70" i="53"/>
  <c r="U98" i="53" s="1"/>
  <c r="V70" i="53"/>
  <c r="V98" i="53" s="1"/>
  <c r="W70" i="53"/>
  <c r="W98" i="53" s="1"/>
  <c r="X70" i="53"/>
  <c r="X98" i="53" s="1"/>
  <c r="Y70" i="53"/>
  <c r="Y98" i="53" s="1"/>
  <c r="Z70" i="53"/>
  <c r="Z98" i="53" s="1"/>
  <c r="AA70" i="53"/>
  <c r="AA98" i="53" s="1"/>
  <c r="AB70" i="53"/>
  <c r="AB98" i="53" s="1"/>
  <c r="AC70" i="53"/>
  <c r="AC98" i="53" s="1"/>
  <c r="AD70" i="53"/>
  <c r="AD98" i="53" s="1"/>
  <c r="AE70" i="53"/>
  <c r="AE98" i="53" s="1"/>
  <c r="AF70" i="53"/>
  <c r="AF98" i="53" s="1"/>
  <c r="E71" i="53"/>
  <c r="E99" i="53" s="1"/>
  <c r="F71" i="53"/>
  <c r="F99" i="53" s="1"/>
  <c r="G71" i="53"/>
  <c r="G99" i="53" s="1"/>
  <c r="H71" i="53"/>
  <c r="H99" i="53" s="1"/>
  <c r="I71" i="53"/>
  <c r="I99" i="53" s="1"/>
  <c r="J71" i="53"/>
  <c r="J99" i="53" s="1"/>
  <c r="K71" i="53"/>
  <c r="K99" i="53" s="1"/>
  <c r="L71" i="53"/>
  <c r="L99" i="53" s="1"/>
  <c r="M71" i="53"/>
  <c r="M99" i="53" s="1"/>
  <c r="N71" i="53"/>
  <c r="N99" i="53" s="1"/>
  <c r="O71" i="53"/>
  <c r="O99" i="53" s="1"/>
  <c r="P71" i="53"/>
  <c r="P99" i="53" s="1"/>
  <c r="Q71" i="53"/>
  <c r="Q99" i="53" s="1"/>
  <c r="R71" i="53"/>
  <c r="R99" i="53" s="1"/>
  <c r="S71" i="53"/>
  <c r="S99" i="53" s="1"/>
  <c r="T71" i="53"/>
  <c r="T99" i="53" s="1"/>
  <c r="U71" i="53"/>
  <c r="U99" i="53" s="1"/>
  <c r="V71" i="53"/>
  <c r="V99" i="53" s="1"/>
  <c r="W71" i="53"/>
  <c r="W99" i="53" s="1"/>
  <c r="X71" i="53"/>
  <c r="X99" i="53" s="1"/>
  <c r="Y71" i="53"/>
  <c r="Y99" i="53" s="1"/>
  <c r="Z71" i="53"/>
  <c r="Z99" i="53" s="1"/>
  <c r="AA71" i="53"/>
  <c r="AA99" i="53" s="1"/>
  <c r="AB71" i="53"/>
  <c r="AB99" i="53" s="1"/>
  <c r="AC71" i="53"/>
  <c r="AC99" i="53" s="1"/>
  <c r="AD71" i="53"/>
  <c r="AD99" i="53" s="1"/>
  <c r="AE71" i="53"/>
  <c r="AE99" i="53" s="1"/>
  <c r="AF71" i="53"/>
  <c r="AF99" i="53" s="1"/>
  <c r="E72" i="53"/>
  <c r="E100" i="53" s="1"/>
  <c r="F72" i="53"/>
  <c r="F100" i="53" s="1"/>
  <c r="G72" i="53"/>
  <c r="G100" i="53" s="1"/>
  <c r="H72" i="53"/>
  <c r="H100" i="53" s="1"/>
  <c r="I72" i="53"/>
  <c r="I100" i="53" s="1"/>
  <c r="J72" i="53"/>
  <c r="J100" i="53" s="1"/>
  <c r="K72" i="53"/>
  <c r="K100" i="53" s="1"/>
  <c r="L72" i="53"/>
  <c r="L100" i="53" s="1"/>
  <c r="M72" i="53"/>
  <c r="M100" i="53" s="1"/>
  <c r="N72" i="53"/>
  <c r="N100" i="53" s="1"/>
  <c r="O72" i="53"/>
  <c r="O100" i="53" s="1"/>
  <c r="P72" i="53"/>
  <c r="P100" i="53" s="1"/>
  <c r="Q72" i="53"/>
  <c r="Q100" i="53" s="1"/>
  <c r="R72" i="53"/>
  <c r="R100" i="53" s="1"/>
  <c r="S72" i="53"/>
  <c r="S100" i="53" s="1"/>
  <c r="T72" i="53"/>
  <c r="T100" i="53" s="1"/>
  <c r="U72" i="53"/>
  <c r="U100" i="53" s="1"/>
  <c r="V72" i="53"/>
  <c r="V100" i="53" s="1"/>
  <c r="W72" i="53"/>
  <c r="W100" i="53" s="1"/>
  <c r="X72" i="53"/>
  <c r="X100" i="53" s="1"/>
  <c r="Y72" i="53"/>
  <c r="Y100" i="53" s="1"/>
  <c r="Z72" i="53"/>
  <c r="Z100" i="53" s="1"/>
  <c r="AA72" i="53"/>
  <c r="AA100" i="53" s="1"/>
  <c r="AB72" i="53"/>
  <c r="AB100" i="53" s="1"/>
  <c r="AC72" i="53"/>
  <c r="AC100" i="53" s="1"/>
  <c r="AD72" i="53"/>
  <c r="AD100" i="53" s="1"/>
  <c r="AE72" i="53"/>
  <c r="AE100" i="53" s="1"/>
  <c r="AF72" i="53"/>
  <c r="AF100" i="53" s="1"/>
  <c r="E74" i="53"/>
  <c r="E103" i="53" s="1"/>
  <c r="F74" i="53"/>
  <c r="F103" i="53" s="1"/>
  <c r="G74" i="53"/>
  <c r="G103" i="53" s="1"/>
  <c r="H74" i="53"/>
  <c r="H103" i="53" s="1"/>
  <c r="I74" i="53"/>
  <c r="I103" i="53" s="1"/>
  <c r="J74" i="53"/>
  <c r="J103" i="53" s="1"/>
  <c r="K74" i="53"/>
  <c r="K103" i="53" s="1"/>
  <c r="L74" i="53"/>
  <c r="L103" i="53" s="1"/>
  <c r="M74" i="53"/>
  <c r="M103" i="53" s="1"/>
  <c r="N74" i="53"/>
  <c r="N103" i="53" s="1"/>
  <c r="O74" i="53"/>
  <c r="O103" i="53" s="1"/>
  <c r="P74" i="53"/>
  <c r="P103" i="53" s="1"/>
  <c r="Q74" i="53"/>
  <c r="Q103" i="53" s="1"/>
  <c r="R74" i="53"/>
  <c r="R103" i="53" s="1"/>
  <c r="S74" i="53"/>
  <c r="S103" i="53" s="1"/>
  <c r="T74" i="53"/>
  <c r="T103" i="53" s="1"/>
  <c r="U74" i="53"/>
  <c r="U103" i="53" s="1"/>
  <c r="V74" i="53"/>
  <c r="V103" i="53" s="1"/>
  <c r="W74" i="53"/>
  <c r="W103" i="53" s="1"/>
  <c r="X74" i="53"/>
  <c r="X103" i="53" s="1"/>
  <c r="Y74" i="53"/>
  <c r="Y103" i="53" s="1"/>
  <c r="Z74" i="53"/>
  <c r="Z103" i="53" s="1"/>
  <c r="AA74" i="53"/>
  <c r="AA103" i="53" s="1"/>
  <c r="AB74" i="53"/>
  <c r="AB103" i="53" s="1"/>
  <c r="AC74" i="53"/>
  <c r="AC103" i="53" s="1"/>
  <c r="AD74" i="53"/>
  <c r="AD103" i="53" s="1"/>
  <c r="AE74" i="53"/>
  <c r="AE103" i="53" s="1"/>
  <c r="AF74" i="53"/>
  <c r="AF103" i="53" s="1"/>
  <c r="AG103" i="53"/>
  <c r="E75" i="53"/>
  <c r="E104" i="53" s="1"/>
  <c r="F75" i="53"/>
  <c r="F104" i="53" s="1"/>
  <c r="G75" i="53"/>
  <c r="G104" i="53" s="1"/>
  <c r="H75" i="53"/>
  <c r="H104" i="53" s="1"/>
  <c r="I75" i="53"/>
  <c r="I104" i="53" s="1"/>
  <c r="J75" i="53"/>
  <c r="J104" i="53" s="1"/>
  <c r="K75" i="53"/>
  <c r="K104" i="53" s="1"/>
  <c r="L75" i="53"/>
  <c r="L104" i="53" s="1"/>
  <c r="M75" i="53"/>
  <c r="M104" i="53" s="1"/>
  <c r="N75" i="53"/>
  <c r="N104" i="53" s="1"/>
  <c r="O75" i="53"/>
  <c r="O104" i="53" s="1"/>
  <c r="P75" i="53"/>
  <c r="P104" i="53" s="1"/>
  <c r="Q75" i="53"/>
  <c r="Q104" i="53" s="1"/>
  <c r="R75" i="53"/>
  <c r="R104" i="53" s="1"/>
  <c r="S75" i="53"/>
  <c r="S104" i="53" s="1"/>
  <c r="T75" i="53"/>
  <c r="T104" i="53" s="1"/>
  <c r="U75" i="53"/>
  <c r="U104" i="53" s="1"/>
  <c r="V75" i="53"/>
  <c r="V104" i="53" s="1"/>
  <c r="W75" i="53"/>
  <c r="W104" i="53" s="1"/>
  <c r="X75" i="53"/>
  <c r="X104" i="53" s="1"/>
  <c r="Y75" i="53"/>
  <c r="Y104" i="53" s="1"/>
  <c r="Z75" i="53"/>
  <c r="Z104" i="53" s="1"/>
  <c r="AA75" i="53"/>
  <c r="AA104" i="53" s="1"/>
  <c r="AB75" i="53"/>
  <c r="AB104" i="53" s="1"/>
  <c r="AC75" i="53"/>
  <c r="AC104" i="53" s="1"/>
  <c r="AD75" i="53"/>
  <c r="AD104" i="53" s="1"/>
  <c r="AE75" i="53"/>
  <c r="AE104" i="53" s="1"/>
  <c r="AF75" i="53"/>
  <c r="AF104" i="53" s="1"/>
  <c r="AG104" i="53"/>
  <c r="E77" i="53"/>
  <c r="E106" i="53" s="1"/>
  <c r="E110" i="53" s="1"/>
  <c r="F77" i="53"/>
  <c r="F106" i="53" s="1"/>
  <c r="F110" i="53" s="1"/>
  <c r="G77" i="53"/>
  <c r="G106" i="53" s="1"/>
  <c r="G110" i="53" s="1"/>
  <c r="H77" i="53"/>
  <c r="H106" i="53" s="1"/>
  <c r="H110" i="53" s="1"/>
  <c r="I77" i="53"/>
  <c r="I106" i="53" s="1"/>
  <c r="I110" i="53" s="1"/>
  <c r="J77" i="53"/>
  <c r="J106" i="53" s="1"/>
  <c r="J110" i="53" s="1"/>
  <c r="K77" i="53"/>
  <c r="K106" i="53" s="1"/>
  <c r="K110" i="53" s="1"/>
  <c r="L77" i="53"/>
  <c r="L106" i="53" s="1"/>
  <c r="L110" i="53" s="1"/>
  <c r="M77" i="53"/>
  <c r="M106" i="53" s="1"/>
  <c r="M110" i="53" s="1"/>
  <c r="N77" i="53"/>
  <c r="N106" i="53" s="1"/>
  <c r="N110" i="53" s="1"/>
  <c r="O77" i="53"/>
  <c r="O106" i="53" s="1"/>
  <c r="O110" i="53" s="1"/>
  <c r="P77" i="53"/>
  <c r="P106" i="53" s="1"/>
  <c r="P110" i="53" s="1"/>
  <c r="Q77" i="53"/>
  <c r="Q106" i="53" s="1"/>
  <c r="Q110" i="53" s="1"/>
  <c r="R77" i="53"/>
  <c r="R106" i="53" s="1"/>
  <c r="R110" i="53" s="1"/>
  <c r="S77" i="53"/>
  <c r="S106" i="53" s="1"/>
  <c r="S110" i="53" s="1"/>
  <c r="T77" i="53"/>
  <c r="T106" i="53" s="1"/>
  <c r="T110" i="53" s="1"/>
  <c r="U77" i="53"/>
  <c r="U106" i="53" s="1"/>
  <c r="U110" i="53" s="1"/>
  <c r="V77" i="53"/>
  <c r="V106" i="53" s="1"/>
  <c r="V110" i="53" s="1"/>
  <c r="W77" i="53"/>
  <c r="W106" i="53" s="1"/>
  <c r="W110" i="53" s="1"/>
  <c r="X77" i="53"/>
  <c r="X106" i="53" s="1"/>
  <c r="X110" i="53" s="1"/>
  <c r="Y77" i="53"/>
  <c r="Y106" i="53" s="1"/>
  <c r="Z77" i="53"/>
  <c r="Z106" i="53" s="1"/>
  <c r="AA77" i="53"/>
  <c r="AA106" i="53" s="1"/>
  <c r="AB77" i="53"/>
  <c r="AB106" i="53" s="1"/>
  <c r="AC77" i="53"/>
  <c r="AC106" i="53" s="1"/>
  <c r="AD77" i="53"/>
  <c r="AD106" i="53" s="1"/>
  <c r="AE77" i="53"/>
  <c r="AE106" i="53" s="1"/>
  <c r="AF77" i="53"/>
  <c r="AF106" i="53" s="1"/>
  <c r="AG106" i="53"/>
  <c r="E78" i="53"/>
  <c r="E107" i="53" s="1"/>
  <c r="F78" i="53"/>
  <c r="F107" i="53" s="1"/>
  <c r="G78" i="53"/>
  <c r="G107" i="53" s="1"/>
  <c r="H78" i="53"/>
  <c r="H107" i="53" s="1"/>
  <c r="I78" i="53"/>
  <c r="I107" i="53" s="1"/>
  <c r="J78" i="53"/>
  <c r="J107" i="53" s="1"/>
  <c r="K78" i="53"/>
  <c r="K107" i="53" s="1"/>
  <c r="L78" i="53"/>
  <c r="L107" i="53" s="1"/>
  <c r="M78" i="53"/>
  <c r="M107" i="53" s="1"/>
  <c r="N78" i="53"/>
  <c r="N107" i="53" s="1"/>
  <c r="O78" i="53"/>
  <c r="O107" i="53" s="1"/>
  <c r="P78" i="53"/>
  <c r="P107" i="53" s="1"/>
  <c r="Q78" i="53"/>
  <c r="Q107" i="53" s="1"/>
  <c r="R78" i="53"/>
  <c r="R107" i="53" s="1"/>
  <c r="S78" i="53"/>
  <c r="S107" i="53" s="1"/>
  <c r="T78" i="53"/>
  <c r="T107" i="53" s="1"/>
  <c r="U78" i="53"/>
  <c r="U107" i="53" s="1"/>
  <c r="V78" i="53"/>
  <c r="V107" i="53" s="1"/>
  <c r="W78" i="53"/>
  <c r="W107" i="53" s="1"/>
  <c r="X78" i="53"/>
  <c r="X107" i="53" s="1"/>
  <c r="Y78" i="53"/>
  <c r="Y107" i="53" s="1"/>
  <c r="Z78" i="53"/>
  <c r="Z107" i="53" s="1"/>
  <c r="AA78" i="53"/>
  <c r="AA107" i="53" s="1"/>
  <c r="AB78" i="53"/>
  <c r="AB107" i="53" s="1"/>
  <c r="AC78" i="53"/>
  <c r="AC107" i="53" s="1"/>
  <c r="AD78" i="53"/>
  <c r="AD107" i="53" s="1"/>
  <c r="AE78" i="53"/>
  <c r="AE107" i="53" s="1"/>
  <c r="AF78" i="53"/>
  <c r="AF107" i="53" s="1"/>
  <c r="AG107" i="53"/>
  <c r="E79" i="53"/>
  <c r="E108" i="53" s="1"/>
  <c r="F79" i="53"/>
  <c r="F108" i="53" s="1"/>
  <c r="G79" i="53"/>
  <c r="G108" i="53" s="1"/>
  <c r="H79" i="53"/>
  <c r="H108" i="53" s="1"/>
  <c r="I79" i="53"/>
  <c r="I108" i="53" s="1"/>
  <c r="J79" i="53"/>
  <c r="J108" i="53" s="1"/>
  <c r="K79" i="53"/>
  <c r="K108" i="53" s="1"/>
  <c r="L79" i="53"/>
  <c r="L108" i="53" s="1"/>
  <c r="M79" i="53"/>
  <c r="M108" i="53" s="1"/>
  <c r="N79" i="53"/>
  <c r="N108" i="53" s="1"/>
  <c r="O79" i="53"/>
  <c r="O108" i="53" s="1"/>
  <c r="P79" i="53"/>
  <c r="P108" i="53" s="1"/>
  <c r="Q79" i="53"/>
  <c r="Q108" i="53" s="1"/>
  <c r="R79" i="53"/>
  <c r="R108" i="53" s="1"/>
  <c r="S79" i="53"/>
  <c r="S108" i="53" s="1"/>
  <c r="T79" i="53"/>
  <c r="T108" i="53" s="1"/>
  <c r="U79" i="53"/>
  <c r="U108" i="53" s="1"/>
  <c r="V79" i="53"/>
  <c r="V108" i="53" s="1"/>
  <c r="W79" i="53"/>
  <c r="W108" i="53" s="1"/>
  <c r="X79" i="53"/>
  <c r="X108" i="53" s="1"/>
  <c r="Y79" i="53"/>
  <c r="Y108" i="53" s="1"/>
  <c r="Z79" i="53"/>
  <c r="Z108" i="53" s="1"/>
  <c r="AA79" i="53"/>
  <c r="AA108" i="53" s="1"/>
  <c r="AB79" i="53"/>
  <c r="AB108" i="53" s="1"/>
  <c r="AC79" i="53"/>
  <c r="AC108" i="53" s="1"/>
  <c r="AD79" i="53"/>
  <c r="AD108" i="53" s="1"/>
  <c r="AE79" i="53"/>
  <c r="AE108" i="53" s="1"/>
  <c r="AF79" i="53"/>
  <c r="AF108" i="53" s="1"/>
  <c r="AG108" i="53"/>
  <c r="E80" i="53"/>
  <c r="E109" i="53" s="1"/>
  <c r="F80" i="53"/>
  <c r="F109" i="53" s="1"/>
  <c r="G80" i="53"/>
  <c r="G109" i="53" s="1"/>
  <c r="H80" i="53"/>
  <c r="H109" i="53" s="1"/>
  <c r="I80" i="53"/>
  <c r="I109" i="53" s="1"/>
  <c r="J80" i="53"/>
  <c r="J109" i="53" s="1"/>
  <c r="K80" i="53"/>
  <c r="K109" i="53" s="1"/>
  <c r="L80" i="53"/>
  <c r="L109" i="53" s="1"/>
  <c r="M80" i="53"/>
  <c r="M109" i="53" s="1"/>
  <c r="N80" i="53"/>
  <c r="N109" i="53" s="1"/>
  <c r="O80" i="53"/>
  <c r="O109" i="53" s="1"/>
  <c r="P80" i="53"/>
  <c r="P109" i="53" s="1"/>
  <c r="Q80" i="53"/>
  <c r="Q109" i="53" s="1"/>
  <c r="R80" i="53"/>
  <c r="R109" i="53" s="1"/>
  <c r="S80" i="53"/>
  <c r="S109" i="53" s="1"/>
  <c r="T80" i="53"/>
  <c r="T109" i="53" s="1"/>
  <c r="U80" i="53"/>
  <c r="U109" i="53" s="1"/>
  <c r="V80" i="53"/>
  <c r="V109" i="53" s="1"/>
  <c r="W80" i="53"/>
  <c r="W109" i="53" s="1"/>
  <c r="X80" i="53"/>
  <c r="X109" i="53" s="1"/>
  <c r="Y80" i="53"/>
  <c r="Y109" i="53" s="1"/>
  <c r="Z80" i="53"/>
  <c r="Z109" i="53" s="1"/>
  <c r="AA80" i="53"/>
  <c r="AA109" i="53" s="1"/>
  <c r="AB80" i="53"/>
  <c r="AB109" i="53" s="1"/>
  <c r="AC80" i="53"/>
  <c r="AC109" i="53" s="1"/>
  <c r="AD80" i="53"/>
  <c r="AD109" i="53" s="1"/>
  <c r="AE80" i="53"/>
  <c r="AE109" i="53" s="1"/>
  <c r="AF80" i="53"/>
  <c r="AF109" i="53" s="1"/>
  <c r="AG109" i="53"/>
  <c r="E82" i="53"/>
  <c r="F82" i="53"/>
  <c r="G82" i="53"/>
  <c r="H82" i="53"/>
  <c r="I82" i="53"/>
  <c r="J82" i="53"/>
  <c r="K82" i="53"/>
  <c r="L82" i="53"/>
  <c r="M82" i="53"/>
  <c r="N82" i="53"/>
  <c r="O82" i="53"/>
  <c r="P82" i="53"/>
  <c r="Q82" i="53"/>
  <c r="R82" i="53"/>
  <c r="S82" i="53"/>
  <c r="T82" i="53"/>
  <c r="U82" i="53"/>
  <c r="V82" i="53"/>
  <c r="W82" i="53"/>
  <c r="X82" i="53"/>
  <c r="Y82" i="53"/>
  <c r="Z82" i="53"/>
  <c r="AA82" i="53"/>
  <c r="AB82" i="53"/>
  <c r="AC82" i="53"/>
  <c r="AD82" i="53"/>
  <c r="AD112" i="53" s="1"/>
  <c r="AE82" i="53"/>
  <c r="AE112" i="53" s="1"/>
  <c r="AF82" i="53"/>
  <c r="AF112" i="53" s="1"/>
  <c r="AG112" i="53"/>
  <c r="E83" i="53"/>
  <c r="F83" i="53"/>
  <c r="G83" i="53"/>
  <c r="H83" i="53"/>
  <c r="I83" i="53"/>
  <c r="J83" i="53"/>
  <c r="K83" i="53"/>
  <c r="L83" i="53"/>
  <c r="M83" i="53"/>
  <c r="N83" i="53"/>
  <c r="O83" i="53"/>
  <c r="P83" i="53"/>
  <c r="Q83" i="53"/>
  <c r="R83" i="53"/>
  <c r="S83" i="53"/>
  <c r="T83" i="53"/>
  <c r="U83" i="53"/>
  <c r="V83" i="53"/>
  <c r="W83" i="53"/>
  <c r="X83" i="53"/>
  <c r="Y83" i="53"/>
  <c r="Z83" i="53"/>
  <c r="AA83" i="53"/>
  <c r="AB83" i="53"/>
  <c r="AC83" i="53"/>
  <c r="AD83" i="53"/>
  <c r="AE83" i="53"/>
  <c r="AF83" i="53"/>
  <c r="E84" i="53"/>
  <c r="E114" i="53" s="1"/>
  <c r="F84" i="53"/>
  <c r="F114" i="53" s="1"/>
  <c r="G84" i="53"/>
  <c r="G114" i="53" s="1"/>
  <c r="H84" i="53"/>
  <c r="H114" i="53" s="1"/>
  <c r="I84" i="53"/>
  <c r="I114" i="53" s="1"/>
  <c r="J84" i="53"/>
  <c r="J114" i="53" s="1"/>
  <c r="K84" i="53"/>
  <c r="K114" i="53" s="1"/>
  <c r="L84" i="53"/>
  <c r="L114" i="53" s="1"/>
  <c r="M84" i="53"/>
  <c r="M114" i="53" s="1"/>
  <c r="N84" i="53"/>
  <c r="N114" i="53" s="1"/>
  <c r="O84" i="53"/>
  <c r="O114" i="53" s="1"/>
  <c r="P84" i="53"/>
  <c r="P114" i="53" s="1"/>
  <c r="Q84" i="53"/>
  <c r="Q114" i="53" s="1"/>
  <c r="R84" i="53"/>
  <c r="R114" i="53" s="1"/>
  <c r="S84" i="53"/>
  <c r="S114" i="53" s="1"/>
  <c r="T84" i="53"/>
  <c r="T114" i="53" s="1"/>
  <c r="U84" i="53"/>
  <c r="U114" i="53" s="1"/>
  <c r="V84" i="53"/>
  <c r="V114" i="53" s="1"/>
  <c r="W84" i="53"/>
  <c r="W114" i="53" s="1"/>
  <c r="X84" i="53"/>
  <c r="X114" i="53" s="1"/>
  <c r="Y84" i="53"/>
  <c r="Y114" i="53" s="1"/>
  <c r="Z84" i="53"/>
  <c r="Z114" i="53" s="1"/>
  <c r="AA84" i="53"/>
  <c r="AA114" i="53" s="1"/>
  <c r="AB84" i="53"/>
  <c r="AB114" i="53" s="1"/>
  <c r="AC84" i="53"/>
  <c r="AC114" i="53" s="1"/>
  <c r="AD84" i="53"/>
  <c r="AD114" i="53" s="1"/>
  <c r="AE84" i="53"/>
  <c r="AE114" i="53" s="1"/>
  <c r="AF84" i="53"/>
  <c r="AF114" i="53" s="1"/>
  <c r="E86" i="53"/>
  <c r="E116" i="53" s="1"/>
  <c r="F86" i="53"/>
  <c r="F116" i="53" s="1"/>
  <c r="G86" i="53"/>
  <c r="G116" i="53" s="1"/>
  <c r="H86" i="53"/>
  <c r="H116" i="53" s="1"/>
  <c r="I86" i="53"/>
  <c r="I116" i="53" s="1"/>
  <c r="J86" i="53"/>
  <c r="J116" i="53" s="1"/>
  <c r="K86" i="53"/>
  <c r="K116" i="53" s="1"/>
  <c r="L86" i="53"/>
  <c r="L116" i="53" s="1"/>
  <c r="M86" i="53"/>
  <c r="M116" i="53" s="1"/>
  <c r="N86" i="53"/>
  <c r="N116" i="53" s="1"/>
  <c r="O86" i="53"/>
  <c r="O116" i="53" s="1"/>
  <c r="P86" i="53"/>
  <c r="P116" i="53" s="1"/>
  <c r="Q86" i="53"/>
  <c r="Q116" i="53" s="1"/>
  <c r="R86" i="53"/>
  <c r="R116" i="53" s="1"/>
  <c r="S86" i="53"/>
  <c r="S116" i="53" s="1"/>
  <c r="T86" i="53"/>
  <c r="T116" i="53" s="1"/>
  <c r="U86" i="53"/>
  <c r="U116" i="53" s="1"/>
  <c r="V86" i="53"/>
  <c r="V116" i="53" s="1"/>
  <c r="W86" i="53"/>
  <c r="W116" i="53" s="1"/>
  <c r="X86" i="53"/>
  <c r="X116" i="53" s="1"/>
  <c r="Y86" i="53"/>
  <c r="Y116" i="53" s="1"/>
  <c r="Z86" i="53"/>
  <c r="Z116" i="53" s="1"/>
  <c r="AA86" i="53"/>
  <c r="AA116" i="53" s="1"/>
  <c r="AB86" i="53"/>
  <c r="AB116" i="53" s="1"/>
  <c r="AC86" i="53"/>
  <c r="AC116" i="53" s="1"/>
  <c r="AD86" i="53"/>
  <c r="AD116" i="53" s="1"/>
  <c r="AE86" i="53"/>
  <c r="AE116" i="53" s="1"/>
  <c r="AF86" i="53"/>
  <c r="AF116" i="53" s="1"/>
  <c r="AG116" i="53"/>
  <c r="E87" i="53"/>
  <c r="E117" i="53" s="1"/>
  <c r="F87" i="53"/>
  <c r="F117" i="53" s="1"/>
  <c r="G87" i="53"/>
  <c r="G117" i="53" s="1"/>
  <c r="H87" i="53"/>
  <c r="H117" i="53" s="1"/>
  <c r="I87" i="53"/>
  <c r="I117" i="53" s="1"/>
  <c r="J87" i="53"/>
  <c r="J117" i="53" s="1"/>
  <c r="K87" i="53"/>
  <c r="K117" i="53" s="1"/>
  <c r="L87" i="53"/>
  <c r="L117" i="53" s="1"/>
  <c r="M87" i="53"/>
  <c r="M117" i="53" s="1"/>
  <c r="N87" i="53"/>
  <c r="N117" i="53" s="1"/>
  <c r="O87" i="53"/>
  <c r="O117" i="53" s="1"/>
  <c r="P87" i="53"/>
  <c r="P117" i="53" s="1"/>
  <c r="Q87" i="53"/>
  <c r="Q117" i="53" s="1"/>
  <c r="R87" i="53"/>
  <c r="R117" i="53" s="1"/>
  <c r="S87" i="53"/>
  <c r="S117" i="53" s="1"/>
  <c r="T87" i="53"/>
  <c r="T117" i="53" s="1"/>
  <c r="U87" i="53"/>
  <c r="U117" i="53" s="1"/>
  <c r="V87" i="53"/>
  <c r="V117" i="53" s="1"/>
  <c r="W87" i="53"/>
  <c r="W117" i="53" s="1"/>
  <c r="X87" i="53"/>
  <c r="X117" i="53" s="1"/>
  <c r="Y87" i="53"/>
  <c r="Y117" i="53" s="1"/>
  <c r="Z87" i="53"/>
  <c r="Z117" i="53" s="1"/>
  <c r="AA87" i="53"/>
  <c r="AA117" i="53" s="1"/>
  <c r="AB87" i="53"/>
  <c r="AB117" i="53" s="1"/>
  <c r="AC87" i="53"/>
  <c r="AC117" i="53" s="1"/>
  <c r="AD87" i="53"/>
  <c r="AD117" i="53" s="1"/>
  <c r="AE87" i="53"/>
  <c r="AE117" i="53" s="1"/>
  <c r="AF87" i="53"/>
  <c r="AF117" i="53" s="1"/>
  <c r="AG117" i="53"/>
  <c r="E89" i="53"/>
  <c r="E119" i="53" s="1"/>
  <c r="F89" i="53"/>
  <c r="F119" i="53" s="1"/>
  <c r="G89" i="53"/>
  <c r="G119" i="53" s="1"/>
  <c r="H89" i="53"/>
  <c r="H119" i="53" s="1"/>
  <c r="I89" i="53"/>
  <c r="I119" i="53" s="1"/>
  <c r="J89" i="53"/>
  <c r="J119" i="53" s="1"/>
  <c r="K89" i="53"/>
  <c r="K119" i="53" s="1"/>
  <c r="L89" i="53"/>
  <c r="L119" i="53" s="1"/>
  <c r="M89" i="53"/>
  <c r="M119" i="53" s="1"/>
  <c r="N89" i="53"/>
  <c r="N119" i="53" s="1"/>
  <c r="O89" i="53"/>
  <c r="O119" i="53" s="1"/>
  <c r="P89" i="53"/>
  <c r="P119" i="53" s="1"/>
  <c r="Q89" i="53"/>
  <c r="Q119" i="53" s="1"/>
  <c r="R89" i="53"/>
  <c r="R119" i="53" s="1"/>
  <c r="S89" i="53"/>
  <c r="S119" i="53" s="1"/>
  <c r="T89" i="53"/>
  <c r="T119" i="53" s="1"/>
  <c r="U89" i="53"/>
  <c r="U119" i="53" s="1"/>
  <c r="V89" i="53"/>
  <c r="V119" i="53" s="1"/>
  <c r="W89" i="53"/>
  <c r="W119" i="53" s="1"/>
  <c r="X89" i="53"/>
  <c r="X119" i="53" s="1"/>
  <c r="Y89" i="53"/>
  <c r="Y119" i="53" s="1"/>
  <c r="Z89" i="53"/>
  <c r="Z119" i="53" s="1"/>
  <c r="AA89" i="53"/>
  <c r="AA119" i="53" s="1"/>
  <c r="AB89" i="53"/>
  <c r="AB119" i="53" s="1"/>
  <c r="AC89" i="53"/>
  <c r="AC119" i="53" s="1"/>
  <c r="AD89" i="53"/>
  <c r="AD119" i="53" s="1"/>
  <c r="AE89" i="53"/>
  <c r="AE119" i="53" s="1"/>
  <c r="AF89" i="53"/>
  <c r="AF119" i="53" s="1"/>
  <c r="AG119" i="53"/>
  <c r="E90" i="53"/>
  <c r="E120" i="53" s="1"/>
  <c r="F90" i="53"/>
  <c r="F120" i="53" s="1"/>
  <c r="G90" i="53"/>
  <c r="G120" i="53" s="1"/>
  <c r="H90" i="53"/>
  <c r="H120" i="53" s="1"/>
  <c r="I90" i="53"/>
  <c r="I120" i="53" s="1"/>
  <c r="J90" i="53"/>
  <c r="J120" i="53" s="1"/>
  <c r="K90" i="53"/>
  <c r="K120" i="53" s="1"/>
  <c r="L90" i="53"/>
  <c r="L120" i="53" s="1"/>
  <c r="M90" i="53"/>
  <c r="M120" i="53" s="1"/>
  <c r="N90" i="53"/>
  <c r="N120" i="53" s="1"/>
  <c r="O90" i="53"/>
  <c r="O120" i="53" s="1"/>
  <c r="P90" i="53"/>
  <c r="P120" i="53" s="1"/>
  <c r="Q90" i="53"/>
  <c r="Q120" i="53" s="1"/>
  <c r="R90" i="53"/>
  <c r="R120" i="53" s="1"/>
  <c r="S90" i="53"/>
  <c r="S120" i="53" s="1"/>
  <c r="T90" i="53"/>
  <c r="T120" i="53" s="1"/>
  <c r="U90" i="53"/>
  <c r="U120" i="53" s="1"/>
  <c r="V90" i="53"/>
  <c r="V120" i="53" s="1"/>
  <c r="W90" i="53"/>
  <c r="W120" i="53" s="1"/>
  <c r="X90" i="53"/>
  <c r="X120" i="53" s="1"/>
  <c r="Y90" i="53"/>
  <c r="Y120" i="53" s="1"/>
  <c r="Z90" i="53"/>
  <c r="Z120" i="53" s="1"/>
  <c r="AA90" i="53"/>
  <c r="AA120" i="53" s="1"/>
  <c r="AB90" i="53"/>
  <c r="AB120" i="53" s="1"/>
  <c r="AC90" i="53"/>
  <c r="AC120" i="53" s="1"/>
  <c r="AD90" i="53"/>
  <c r="AD120" i="53" s="1"/>
  <c r="AE90" i="53"/>
  <c r="AE120" i="53" s="1"/>
  <c r="AF90" i="53"/>
  <c r="AF120" i="53" s="1"/>
  <c r="AG120" i="53"/>
  <c r="D68" i="53"/>
  <c r="D96" i="53" s="1"/>
  <c r="D101" i="53" s="1"/>
  <c r="D69" i="53"/>
  <c r="D97" i="53" s="1"/>
  <c r="D70" i="53"/>
  <c r="D98" i="53" s="1"/>
  <c r="D71" i="53"/>
  <c r="D99" i="53" s="1"/>
  <c r="D72" i="53"/>
  <c r="D100" i="53" s="1"/>
  <c r="D74" i="53"/>
  <c r="D103" i="53" s="1"/>
  <c r="D75" i="53"/>
  <c r="D104" i="53" s="1"/>
  <c r="D77" i="53"/>
  <c r="D106" i="53" s="1"/>
  <c r="D78" i="53"/>
  <c r="D107" i="53" s="1"/>
  <c r="D79" i="53"/>
  <c r="D108" i="53" s="1"/>
  <c r="D80" i="53"/>
  <c r="D109" i="53" s="1"/>
  <c r="D82" i="53"/>
  <c r="D83" i="53"/>
  <c r="D84" i="53"/>
  <c r="D114" i="53" s="1"/>
  <c r="D86" i="53"/>
  <c r="D116" i="53" s="1"/>
  <c r="D87" i="53"/>
  <c r="D117" i="53" s="1"/>
  <c r="D89" i="53"/>
  <c r="D119" i="53" s="1"/>
  <c r="D90" i="53"/>
  <c r="D120" i="53" s="1"/>
  <c r="D66" i="53"/>
  <c r="D94" i="53" s="1"/>
  <c r="E211" i="27"/>
  <c r="F211" i="27" s="1"/>
  <c r="G211" i="27" s="1"/>
  <c r="H211" i="27" s="1"/>
  <c r="I211" i="27" s="1"/>
  <c r="J211" i="27" s="1"/>
  <c r="K211" i="27" s="1"/>
  <c r="L211" i="27" s="1"/>
  <c r="M211" i="27" s="1"/>
  <c r="N211" i="27" s="1"/>
  <c r="O211" i="27" s="1"/>
  <c r="P211" i="27" s="1"/>
  <c r="Q211" i="27" s="1"/>
  <c r="R211" i="27" s="1"/>
  <c r="S211" i="27" s="1"/>
  <c r="T211" i="27" s="1"/>
  <c r="U211" i="27" s="1"/>
  <c r="V211" i="27" s="1"/>
  <c r="W211" i="27" s="1"/>
  <c r="X211" i="27" s="1"/>
  <c r="Y211" i="27" s="1"/>
  <c r="Z211" i="27" s="1"/>
  <c r="AA211" i="27" s="1"/>
  <c r="AB211" i="27" s="1"/>
  <c r="AC211" i="27" s="1"/>
  <c r="AD211" i="27" s="1"/>
  <c r="AE211" i="27" s="1"/>
  <c r="AF211" i="27" s="1"/>
  <c r="AG211" i="27" s="1"/>
  <c r="AH211" i="27" s="1"/>
  <c r="AI211" i="27" s="1"/>
  <c r="AJ211" i="27" s="1"/>
  <c r="AF210" i="53"/>
  <c r="AE210" i="53"/>
  <c r="AD210" i="53"/>
  <c r="AC23" i="53"/>
  <c r="AB23" i="53"/>
  <c r="AA23" i="53"/>
  <c r="Z23" i="53"/>
  <c r="Y23" i="53"/>
  <c r="X23" i="53"/>
  <c r="W23" i="53"/>
  <c r="V23" i="53"/>
  <c r="U23" i="53"/>
  <c r="T23" i="53"/>
  <c r="S23" i="53"/>
  <c r="R23" i="53"/>
  <c r="Q23" i="53"/>
  <c r="P23" i="53"/>
  <c r="O23" i="53"/>
  <c r="N23" i="53"/>
  <c r="M23" i="53"/>
  <c r="L23" i="53"/>
  <c r="K23" i="53"/>
  <c r="J23" i="53"/>
  <c r="I23" i="53"/>
  <c r="H23" i="53"/>
  <c r="G23" i="53"/>
  <c r="F23" i="53"/>
  <c r="E23" i="53"/>
  <c r="D23" i="53"/>
  <c r="D201" i="53" s="1"/>
  <c r="E253" i="27"/>
  <c r="E285" i="27" s="1"/>
  <c r="F253" i="27"/>
  <c r="F285" i="27" s="1"/>
  <c r="G253" i="27"/>
  <c r="G285" i="27" s="1"/>
  <c r="H253" i="27"/>
  <c r="H285" i="27" s="1"/>
  <c r="I253" i="27"/>
  <c r="I285" i="27" s="1"/>
  <c r="J253" i="27"/>
  <c r="J285" i="27" s="1"/>
  <c r="K253" i="27"/>
  <c r="K285" i="27" s="1"/>
  <c r="L253" i="27"/>
  <c r="L285" i="27" s="1"/>
  <c r="M253" i="27"/>
  <c r="M285" i="27" s="1"/>
  <c r="N253" i="27"/>
  <c r="N285" i="27" s="1"/>
  <c r="O253" i="27"/>
  <c r="O285" i="27" s="1"/>
  <c r="P253" i="27"/>
  <c r="P285" i="27" s="1"/>
  <c r="Q253" i="27"/>
  <c r="Q285" i="27" s="1"/>
  <c r="R253" i="27"/>
  <c r="R285" i="27" s="1"/>
  <c r="S253" i="27"/>
  <c r="S285" i="27" s="1"/>
  <c r="T253" i="27"/>
  <c r="T285" i="27" s="1"/>
  <c r="U253" i="27"/>
  <c r="U285" i="27" s="1"/>
  <c r="V253" i="27"/>
  <c r="V285" i="27" s="1"/>
  <c r="W253" i="27"/>
  <c r="W285" i="27" s="1"/>
  <c r="X253" i="27"/>
  <c r="X285" i="27" s="1"/>
  <c r="Y253" i="27"/>
  <c r="Y285" i="27" s="1"/>
  <c r="Z253" i="27"/>
  <c r="Z285" i="27" s="1"/>
  <c r="AA253" i="27"/>
  <c r="AA285" i="27" s="1"/>
  <c r="AB253" i="27"/>
  <c r="AB285" i="27" s="1"/>
  <c r="AC253" i="27"/>
  <c r="AC285" i="27" s="1"/>
  <c r="AD253" i="27"/>
  <c r="AD285" i="27" s="1"/>
  <c r="AE253" i="27"/>
  <c r="AE285" i="27" s="1"/>
  <c r="AF253" i="27"/>
  <c r="AF285" i="27" s="1"/>
  <c r="E254" i="27"/>
  <c r="E286" i="27" s="1"/>
  <c r="F254" i="27"/>
  <c r="F286" i="27" s="1"/>
  <c r="G254" i="27"/>
  <c r="G286" i="27" s="1"/>
  <c r="H254" i="27"/>
  <c r="H286" i="27" s="1"/>
  <c r="I254" i="27"/>
  <c r="I286" i="27" s="1"/>
  <c r="J254" i="27"/>
  <c r="J286" i="27" s="1"/>
  <c r="K254" i="27"/>
  <c r="K286" i="27" s="1"/>
  <c r="L254" i="27"/>
  <c r="L286" i="27" s="1"/>
  <c r="M254" i="27"/>
  <c r="M286" i="27" s="1"/>
  <c r="N254" i="27"/>
  <c r="N286" i="27" s="1"/>
  <c r="O254" i="27"/>
  <c r="O286" i="27" s="1"/>
  <c r="P254" i="27"/>
  <c r="P286" i="27" s="1"/>
  <c r="Q254" i="27"/>
  <c r="Q286" i="27" s="1"/>
  <c r="R254" i="27"/>
  <c r="R286" i="27" s="1"/>
  <c r="S254" i="27"/>
  <c r="S286" i="27" s="1"/>
  <c r="T254" i="27"/>
  <c r="T286" i="27" s="1"/>
  <c r="U254" i="27"/>
  <c r="U286" i="27" s="1"/>
  <c r="V254" i="27"/>
  <c r="V286" i="27" s="1"/>
  <c r="W254" i="27"/>
  <c r="W286" i="27" s="1"/>
  <c r="X254" i="27"/>
  <c r="X286" i="27" s="1"/>
  <c r="Y254" i="27"/>
  <c r="Y286" i="27" s="1"/>
  <c r="Z254" i="27"/>
  <c r="Z286" i="27" s="1"/>
  <c r="AA254" i="27"/>
  <c r="AA286" i="27" s="1"/>
  <c r="AB254" i="27"/>
  <c r="AB286" i="27" s="1"/>
  <c r="AC254" i="27"/>
  <c r="AC286" i="27" s="1"/>
  <c r="AD254" i="27"/>
  <c r="AD286" i="27" s="1"/>
  <c r="AE254" i="27"/>
  <c r="AE286" i="27" s="1"/>
  <c r="AF254" i="27"/>
  <c r="AF286" i="27" s="1"/>
  <c r="E255" i="27"/>
  <c r="E287" i="27" s="1"/>
  <c r="F255" i="27"/>
  <c r="F287" i="27" s="1"/>
  <c r="G255" i="27"/>
  <c r="G287" i="27" s="1"/>
  <c r="H255" i="27"/>
  <c r="H287" i="27" s="1"/>
  <c r="I255" i="27"/>
  <c r="I287" i="27" s="1"/>
  <c r="J255" i="27"/>
  <c r="J287" i="27" s="1"/>
  <c r="K255" i="27"/>
  <c r="K287" i="27" s="1"/>
  <c r="L255" i="27"/>
  <c r="L287" i="27" s="1"/>
  <c r="M255" i="27"/>
  <c r="M287" i="27" s="1"/>
  <c r="N255" i="27"/>
  <c r="N287" i="27" s="1"/>
  <c r="O255" i="27"/>
  <c r="O287" i="27" s="1"/>
  <c r="P255" i="27"/>
  <c r="P287" i="27" s="1"/>
  <c r="Q255" i="27"/>
  <c r="Q287" i="27" s="1"/>
  <c r="R255" i="27"/>
  <c r="R287" i="27" s="1"/>
  <c r="S255" i="27"/>
  <c r="S287" i="27" s="1"/>
  <c r="T255" i="27"/>
  <c r="T287" i="27" s="1"/>
  <c r="U255" i="27"/>
  <c r="U287" i="27" s="1"/>
  <c r="V255" i="27"/>
  <c r="V287" i="27" s="1"/>
  <c r="W255" i="27"/>
  <c r="W287" i="27" s="1"/>
  <c r="X255" i="27"/>
  <c r="X287" i="27" s="1"/>
  <c r="Y255" i="27"/>
  <c r="Y287" i="27" s="1"/>
  <c r="Z255" i="27"/>
  <c r="Z287" i="27" s="1"/>
  <c r="AA255" i="27"/>
  <c r="AA287" i="27" s="1"/>
  <c r="AB255" i="27"/>
  <c r="AB287" i="27" s="1"/>
  <c r="AC255" i="27"/>
  <c r="AC287" i="27" s="1"/>
  <c r="AD255" i="27"/>
  <c r="AD287" i="27" s="1"/>
  <c r="AE255" i="27"/>
  <c r="AE287" i="27" s="1"/>
  <c r="AF255" i="27"/>
  <c r="AF287" i="27" s="1"/>
  <c r="E256" i="27"/>
  <c r="E288" i="27" s="1"/>
  <c r="F256" i="27"/>
  <c r="F288" i="27" s="1"/>
  <c r="G256" i="27"/>
  <c r="G288" i="27" s="1"/>
  <c r="H256" i="27"/>
  <c r="H288" i="27" s="1"/>
  <c r="I256" i="27"/>
  <c r="I288" i="27" s="1"/>
  <c r="J256" i="27"/>
  <c r="J288" i="27" s="1"/>
  <c r="K256" i="27"/>
  <c r="K288" i="27" s="1"/>
  <c r="L256" i="27"/>
  <c r="L288" i="27" s="1"/>
  <c r="M256" i="27"/>
  <c r="M288" i="27" s="1"/>
  <c r="N256" i="27"/>
  <c r="N288" i="27" s="1"/>
  <c r="O256" i="27"/>
  <c r="O288" i="27" s="1"/>
  <c r="P256" i="27"/>
  <c r="P288" i="27" s="1"/>
  <c r="Q256" i="27"/>
  <c r="Q288" i="27" s="1"/>
  <c r="R256" i="27"/>
  <c r="R288" i="27" s="1"/>
  <c r="S256" i="27"/>
  <c r="S288" i="27" s="1"/>
  <c r="T256" i="27"/>
  <c r="T288" i="27" s="1"/>
  <c r="U256" i="27"/>
  <c r="U288" i="27" s="1"/>
  <c r="V256" i="27"/>
  <c r="V288" i="27" s="1"/>
  <c r="W256" i="27"/>
  <c r="W288" i="27" s="1"/>
  <c r="X256" i="27"/>
  <c r="X288" i="27" s="1"/>
  <c r="Y256" i="27"/>
  <c r="Y288" i="27" s="1"/>
  <c r="Z256" i="27"/>
  <c r="Z288" i="27" s="1"/>
  <c r="AA256" i="27"/>
  <c r="AA288" i="27" s="1"/>
  <c r="AB256" i="27"/>
  <c r="AB288" i="27" s="1"/>
  <c r="AC256" i="27"/>
  <c r="AC288" i="27" s="1"/>
  <c r="AD256" i="27"/>
  <c r="AD288" i="27" s="1"/>
  <c r="AE256" i="27"/>
  <c r="AE288" i="27" s="1"/>
  <c r="AF256" i="27"/>
  <c r="AF288" i="27" s="1"/>
  <c r="E257" i="27"/>
  <c r="E289" i="27" s="1"/>
  <c r="F257" i="27"/>
  <c r="F289" i="27" s="1"/>
  <c r="G257" i="27"/>
  <c r="G289" i="27" s="1"/>
  <c r="H257" i="27"/>
  <c r="H289" i="27" s="1"/>
  <c r="I257" i="27"/>
  <c r="I289" i="27" s="1"/>
  <c r="J257" i="27"/>
  <c r="J289" i="27" s="1"/>
  <c r="K257" i="27"/>
  <c r="K289" i="27" s="1"/>
  <c r="L257" i="27"/>
  <c r="L289" i="27" s="1"/>
  <c r="M257" i="27"/>
  <c r="M289" i="27" s="1"/>
  <c r="N257" i="27"/>
  <c r="N289" i="27" s="1"/>
  <c r="O257" i="27"/>
  <c r="O289" i="27" s="1"/>
  <c r="P257" i="27"/>
  <c r="P289" i="27" s="1"/>
  <c r="Q257" i="27"/>
  <c r="Q289" i="27" s="1"/>
  <c r="R257" i="27"/>
  <c r="R289" i="27" s="1"/>
  <c r="S257" i="27"/>
  <c r="S289" i="27" s="1"/>
  <c r="T257" i="27"/>
  <c r="T289" i="27" s="1"/>
  <c r="U257" i="27"/>
  <c r="U289" i="27" s="1"/>
  <c r="V257" i="27"/>
  <c r="V289" i="27" s="1"/>
  <c r="W257" i="27"/>
  <c r="W289" i="27" s="1"/>
  <c r="X257" i="27"/>
  <c r="X289" i="27" s="1"/>
  <c r="Y257" i="27"/>
  <c r="Y289" i="27" s="1"/>
  <c r="Z257" i="27"/>
  <c r="Z289" i="27" s="1"/>
  <c r="AA257" i="27"/>
  <c r="AA289" i="27" s="1"/>
  <c r="AB257" i="27"/>
  <c r="AB289" i="27" s="1"/>
  <c r="AC257" i="27"/>
  <c r="AC289" i="27" s="1"/>
  <c r="AD257" i="27"/>
  <c r="AD289" i="27" s="1"/>
  <c r="AE257" i="27"/>
  <c r="AE289" i="27" s="1"/>
  <c r="AF257" i="27"/>
  <c r="AF289" i="27" s="1"/>
  <c r="E258" i="27"/>
  <c r="E290" i="27" s="1"/>
  <c r="F258" i="27"/>
  <c r="F290" i="27" s="1"/>
  <c r="G258" i="27"/>
  <c r="G290" i="27" s="1"/>
  <c r="H258" i="27"/>
  <c r="H290" i="27" s="1"/>
  <c r="I258" i="27"/>
  <c r="I290" i="27" s="1"/>
  <c r="J258" i="27"/>
  <c r="J290" i="27" s="1"/>
  <c r="K258" i="27"/>
  <c r="K290" i="27" s="1"/>
  <c r="L258" i="27"/>
  <c r="L290" i="27" s="1"/>
  <c r="M258" i="27"/>
  <c r="M290" i="27" s="1"/>
  <c r="N258" i="27"/>
  <c r="N290" i="27" s="1"/>
  <c r="O258" i="27"/>
  <c r="O290" i="27" s="1"/>
  <c r="P258" i="27"/>
  <c r="P290" i="27" s="1"/>
  <c r="Q258" i="27"/>
  <c r="Q290" i="27" s="1"/>
  <c r="R258" i="27"/>
  <c r="R290" i="27" s="1"/>
  <c r="S258" i="27"/>
  <c r="S290" i="27" s="1"/>
  <c r="T258" i="27"/>
  <c r="T290" i="27" s="1"/>
  <c r="U258" i="27"/>
  <c r="U290" i="27" s="1"/>
  <c r="V258" i="27"/>
  <c r="V290" i="27" s="1"/>
  <c r="W258" i="27"/>
  <c r="W290" i="27" s="1"/>
  <c r="X258" i="27"/>
  <c r="X290" i="27" s="1"/>
  <c r="Y258" i="27"/>
  <c r="Y290" i="27" s="1"/>
  <c r="Z258" i="27"/>
  <c r="Z290" i="27" s="1"/>
  <c r="AA258" i="27"/>
  <c r="AA290" i="27" s="1"/>
  <c r="AB258" i="27"/>
  <c r="AB290" i="27" s="1"/>
  <c r="AC258" i="27"/>
  <c r="AC290" i="27" s="1"/>
  <c r="AD258" i="27"/>
  <c r="AD290" i="27" s="1"/>
  <c r="AE258" i="27"/>
  <c r="AE290" i="27" s="1"/>
  <c r="AF258" i="27"/>
  <c r="AF290" i="27" s="1"/>
  <c r="E259" i="27"/>
  <c r="E291" i="27" s="1"/>
  <c r="F259" i="27"/>
  <c r="F291" i="27" s="1"/>
  <c r="G259" i="27"/>
  <c r="G291" i="27" s="1"/>
  <c r="H259" i="27"/>
  <c r="H291" i="27" s="1"/>
  <c r="I259" i="27"/>
  <c r="I291" i="27" s="1"/>
  <c r="J259" i="27"/>
  <c r="J291" i="27" s="1"/>
  <c r="K259" i="27"/>
  <c r="K291" i="27" s="1"/>
  <c r="L259" i="27"/>
  <c r="L291" i="27" s="1"/>
  <c r="M259" i="27"/>
  <c r="M291" i="27" s="1"/>
  <c r="N259" i="27"/>
  <c r="N291" i="27" s="1"/>
  <c r="O259" i="27"/>
  <c r="O291" i="27" s="1"/>
  <c r="P259" i="27"/>
  <c r="P291" i="27" s="1"/>
  <c r="Q259" i="27"/>
  <c r="Q291" i="27" s="1"/>
  <c r="R259" i="27"/>
  <c r="R291" i="27" s="1"/>
  <c r="S259" i="27"/>
  <c r="S291" i="27" s="1"/>
  <c r="T259" i="27"/>
  <c r="T291" i="27" s="1"/>
  <c r="U259" i="27"/>
  <c r="U291" i="27" s="1"/>
  <c r="V259" i="27"/>
  <c r="V291" i="27" s="1"/>
  <c r="W259" i="27"/>
  <c r="W291" i="27" s="1"/>
  <c r="X259" i="27"/>
  <c r="X291" i="27" s="1"/>
  <c r="Y259" i="27"/>
  <c r="Y291" i="27" s="1"/>
  <c r="Z259" i="27"/>
  <c r="Z291" i="27" s="1"/>
  <c r="AA259" i="27"/>
  <c r="AA291" i="27" s="1"/>
  <c r="AB259" i="27"/>
  <c r="AB291" i="27" s="1"/>
  <c r="AC259" i="27"/>
  <c r="AC291" i="27" s="1"/>
  <c r="AD259" i="27"/>
  <c r="AD291" i="27" s="1"/>
  <c r="AE259" i="27"/>
  <c r="AE291" i="27" s="1"/>
  <c r="AF259" i="27"/>
  <c r="AF291" i="27" s="1"/>
  <c r="E260" i="27"/>
  <c r="E292" i="27" s="1"/>
  <c r="F260" i="27"/>
  <c r="F292" i="27" s="1"/>
  <c r="G260" i="27"/>
  <c r="G292" i="27" s="1"/>
  <c r="H260" i="27"/>
  <c r="H292" i="27" s="1"/>
  <c r="I260" i="27"/>
  <c r="I292" i="27" s="1"/>
  <c r="J260" i="27"/>
  <c r="J292" i="27" s="1"/>
  <c r="K260" i="27"/>
  <c r="K292" i="27" s="1"/>
  <c r="L260" i="27"/>
  <c r="L292" i="27" s="1"/>
  <c r="M260" i="27"/>
  <c r="M292" i="27" s="1"/>
  <c r="N260" i="27"/>
  <c r="N292" i="27" s="1"/>
  <c r="O260" i="27"/>
  <c r="O292" i="27" s="1"/>
  <c r="P260" i="27"/>
  <c r="P292" i="27" s="1"/>
  <c r="Q260" i="27"/>
  <c r="Q292" i="27" s="1"/>
  <c r="R260" i="27"/>
  <c r="R292" i="27" s="1"/>
  <c r="S260" i="27"/>
  <c r="S292" i="27" s="1"/>
  <c r="T260" i="27"/>
  <c r="T292" i="27" s="1"/>
  <c r="U260" i="27"/>
  <c r="U292" i="27" s="1"/>
  <c r="V260" i="27"/>
  <c r="V292" i="27" s="1"/>
  <c r="W260" i="27"/>
  <c r="W292" i="27" s="1"/>
  <c r="X260" i="27"/>
  <c r="X292" i="27" s="1"/>
  <c r="Y260" i="27"/>
  <c r="Y292" i="27" s="1"/>
  <c r="Z260" i="27"/>
  <c r="Z292" i="27" s="1"/>
  <c r="AA260" i="27"/>
  <c r="AA292" i="27" s="1"/>
  <c r="AB260" i="27"/>
  <c r="AB292" i="27" s="1"/>
  <c r="AC260" i="27"/>
  <c r="AC292" i="27" s="1"/>
  <c r="AD260" i="27"/>
  <c r="AD292" i="27" s="1"/>
  <c r="AE260" i="27"/>
  <c r="AE292" i="27" s="1"/>
  <c r="AF260" i="27"/>
  <c r="AF292" i="27" s="1"/>
  <c r="E262" i="27"/>
  <c r="F262" i="27"/>
  <c r="G262" i="27"/>
  <c r="H262" i="27"/>
  <c r="I262" i="27"/>
  <c r="J262" i="27"/>
  <c r="K262" i="27"/>
  <c r="L262" i="27"/>
  <c r="M262" i="27"/>
  <c r="N262" i="27"/>
  <c r="O262" i="27"/>
  <c r="P262" i="27"/>
  <c r="Q262" i="27"/>
  <c r="R262" i="27"/>
  <c r="S262" i="27"/>
  <c r="T262" i="27"/>
  <c r="U262" i="27"/>
  <c r="V262" i="27"/>
  <c r="W262" i="27"/>
  <c r="X262" i="27"/>
  <c r="Y262" i="27"/>
  <c r="Z262" i="27"/>
  <c r="AA262" i="27"/>
  <c r="AB262" i="27"/>
  <c r="AB294" i="27" s="1"/>
  <c r="AC262" i="27"/>
  <c r="AC294" i="27" s="1"/>
  <c r="AD262" i="27"/>
  <c r="AD294" i="27" s="1"/>
  <c r="AE262" i="27"/>
  <c r="AE294" i="27" s="1"/>
  <c r="AF262" i="27"/>
  <c r="AF294" i="27" s="1"/>
  <c r="E263" i="27"/>
  <c r="F263" i="27"/>
  <c r="G263" i="27"/>
  <c r="H263" i="27"/>
  <c r="I263" i="27"/>
  <c r="J263" i="27"/>
  <c r="K263" i="27"/>
  <c r="L263" i="27"/>
  <c r="M263" i="27"/>
  <c r="N263" i="27"/>
  <c r="O263" i="27"/>
  <c r="P263" i="27"/>
  <c r="Q263" i="27"/>
  <c r="R263" i="27"/>
  <c r="S263" i="27"/>
  <c r="T263" i="27"/>
  <c r="U263" i="27"/>
  <c r="V263" i="27"/>
  <c r="W263" i="27"/>
  <c r="X263" i="27"/>
  <c r="Y263" i="27"/>
  <c r="Z263" i="27"/>
  <c r="AA263" i="27"/>
  <c r="AB263" i="27"/>
  <c r="AB295" i="27" s="1"/>
  <c r="AC263" i="27"/>
  <c r="AC295" i="27" s="1"/>
  <c r="AD263" i="27"/>
  <c r="AD295" i="27" s="1"/>
  <c r="AE263" i="27"/>
  <c r="AE295" i="27" s="1"/>
  <c r="AF263" i="27"/>
  <c r="AF295" i="27" s="1"/>
  <c r="E264" i="27"/>
  <c r="F264" i="27"/>
  <c r="G264" i="27"/>
  <c r="H264" i="27"/>
  <c r="I264" i="27"/>
  <c r="J264" i="27"/>
  <c r="K264" i="27"/>
  <c r="L264" i="27"/>
  <c r="M264" i="27"/>
  <c r="N264" i="27"/>
  <c r="O264" i="27"/>
  <c r="P264" i="27"/>
  <c r="Q264" i="27"/>
  <c r="R264" i="27"/>
  <c r="S264" i="27"/>
  <c r="T264" i="27"/>
  <c r="U264" i="27"/>
  <c r="V264" i="27"/>
  <c r="W264" i="27"/>
  <c r="X264" i="27"/>
  <c r="Y264" i="27"/>
  <c r="Z264" i="27"/>
  <c r="AA264" i="27"/>
  <c r="AB264" i="27"/>
  <c r="AB296" i="27" s="1"/>
  <c r="AC264" i="27"/>
  <c r="AC296" i="27" s="1"/>
  <c r="AD264" i="27"/>
  <c r="AD296" i="27" s="1"/>
  <c r="AE264" i="27"/>
  <c r="AE296" i="27" s="1"/>
  <c r="AF264" i="27"/>
  <c r="AF296" i="27" s="1"/>
  <c r="E265" i="27"/>
  <c r="F265" i="27"/>
  <c r="G265" i="27"/>
  <c r="H265" i="27"/>
  <c r="I265" i="27"/>
  <c r="J265" i="27"/>
  <c r="K265" i="27"/>
  <c r="L265" i="27"/>
  <c r="M265" i="27"/>
  <c r="N265" i="27"/>
  <c r="O265" i="27"/>
  <c r="P265" i="27"/>
  <c r="Q265" i="27"/>
  <c r="R265" i="27"/>
  <c r="S265" i="27"/>
  <c r="T265" i="27"/>
  <c r="U265" i="27"/>
  <c r="V265" i="27"/>
  <c r="W265" i="27"/>
  <c r="X265" i="27"/>
  <c r="Y265" i="27"/>
  <c r="Z265" i="27"/>
  <c r="AA265" i="27"/>
  <c r="AB265" i="27"/>
  <c r="AB297" i="27" s="1"/>
  <c r="AC265" i="27"/>
  <c r="AC297" i="27" s="1"/>
  <c r="AD265" i="27"/>
  <c r="AD297" i="27" s="1"/>
  <c r="AE265" i="27"/>
  <c r="AE297" i="27" s="1"/>
  <c r="AF265" i="27"/>
  <c r="AF297" i="27" s="1"/>
  <c r="E266" i="27"/>
  <c r="F266" i="27"/>
  <c r="G266" i="27"/>
  <c r="H266" i="27"/>
  <c r="I266" i="27"/>
  <c r="J266" i="27"/>
  <c r="K266" i="27"/>
  <c r="L266" i="27"/>
  <c r="M266" i="27"/>
  <c r="N266" i="27"/>
  <c r="O266" i="27"/>
  <c r="P266" i="27"/>
  <c r="Q266" i="27"/>
  <c r="R266" i="27"/>
  <c r="S266" i="27"/>
  <c r="T266" i="27"/>
  <c r="U266" i="27"/>
  <c r="V266" i="27"/>
  <c r="W266" i="27"/>
  <c r="X266" i="27"/>
  <c r="Y266" i="27"/>
  <c r="Z266" i="27"/>
  <c r="AA266" i="27"/>
  <c r="AB266" i="27"/>
  <c r="AB298" i="27" s="1"/>
  <c r="AC266" i="27"/>
  <c r="AC298" i="27" s="1"/>
  <c r="AD266" i="27"/>
  <c r="AD298" i="27" s="1"/>
  <c r="AE266" i="27"/>
  <c r="AE298" i="27" s="1"/>
  <c r="AF266" i="27"/>
  <c r="AF298" i="27" s="1"/>
  <c r="E267" i="27"/>
  <c r="F267" i="27"/>
  <c r="G267" i="27"/>
  <c r="H267" i="27"/>
  <c r="I267" i="27"/>
  <c r="J267" i="27"/>
  <c r="K267" i="27"/>
  <c r="L267" i="27"/>
  <c r="M267" i="27"/>
  <c r="N267" i="27"/>
  <c r="O267" i="27"/>
  <c r="P267" i="27"/>
  <c r="Q267" i="27"/>
  <c r="R267" i="27"/>
  <c r="S267" i="27"/>
  <c r="T267" i="27"/>
  <c r="U267" i="27"/>
  <c r="V267" i="27"/>
  <c r="W267" i="27"/>
  <c r="X267" i="27"/>
  <c r="Y267" i="27"/>
  <c r="Z267" i="27"/>
  <c r="AA267" i="27"/>
  <c r="AB267" i="27"/>
  <c r="AB299" i="27" s="1"/>
  <c r="AC267" i="27"/>
  <c r="AC299" i="27" s="1"/>
  <c r="AD267" i="27"/>
  <c r="AD299" i="27" s="1"/>
  <c r="AE267" i="27"/>
  <c r="AE299" i="27" s="1"/>
  <c r="AF267" i="27"/>
  <c r="AF299" i="27" s="1"/>
  <c r="E268" i="27"/>
  <c r="F268" i="27"/>
  <c r="G268" i="27"/>
  <c r="H268" i="27"/>
  <c r="I268" i="27"/>
  <c r="J268" i="27"/>
  <c r="K268" i="27"/>
  <c r="L268" i="27"/>
  <c r="M268" i="27"/>
  <c r="N268" i="27"/>
  <c r="O268" i="27"/>
  <c r="P268" i="27"/>
  <c r="Q268" i="27"/>
  <c r="R268" i="27"/>
  <c r="S268" i="27"/>
  <c r="T268" i="27"/>
  <c r="U268" i="27"/>
  <c r="V268" i="27"/>
  <c r="W268" i="27"/>
  <c r="X268" i="27"/>
  <c r="Y268" i="27"/>
  <c r="Z268" i="27"/>
  <c r="AA268" i="27"/>
  <c r="AB268" i="27"/>
  <c r="AB300" i="27" s="1"/>
  <c r="AC268" i="27"/>
  <c r="AC300" i="27" s="1"/>
  <c r="AD268" i="27"/>
  <c r="AD300" i="27" s="1"/>
  <c r="AE268" i="27"/>
  <c r="AE300" i="27" s="1"/>
  <c r="AF268" i="27"/>
  <c r="AF300" i="27" s="1"/>
  <c r="E269" i="27"/>
  <c r="F269" i="27"/>
  <c r="G269" i="27"/>
  <c r="H269" i="27"/>
  <c r="I269" i="27"/>
  <c r="J269" i="27"/>
  <c r="K269" i="27"/>
  <c r="L269" i="27"/>
  <c r="M269" i="27"/>
  <c r="N269" i="27"/>
  <c r="O269" i="27"/>
  <c r="P269" i="27"/>
  <c r="Q269" i="27"/>
  <c r="R269" i="27"/>
  <c r="S269" i="27"/>
  <c r="T269" i="27"/>
  <c r="U269" i="27"/>
  <c r="V269" i="27"/>
  <c r="W269" i="27"/>
  <c r="X269" i="27"/>
  <c r="Y269" i="27"/>
  <c r="Z269" i="27"/>
  <c r="AA269" i="27"/>
  <c r="AB269" i="27"/>
  <c r="AB301" i="27" s="1"/>
  <c r="AC269" i="27"/>
  <c r="AC301" i="27" s="1"/>
  <c r="AD269" i="27"/>
  <c r="AD301" i="27" s="1"/>
  <c r="AE269" i="27"/>
  <c r="AE301" i="27" s="1"/>
  <c r="AF269" i="27"/>
  <c r="AF301" i="27" s="1"/>
  <c r="E270" i="27"/>
  <c r="F270" i="27"/>
  <c r="G270" i="27"/>
  <c r="H270" i="27"/>
  <c r="I270" i="27"/>
  <c r="J270" i="27"/>
  <c r="K270" i="27"/>
  <c r="L270" i="27"/>
  <c r="M270" i="27"/>
  <c r="N270" i="27"/>
  <c r="O270" i="27"/>
  <c r="P270" i="27"/>
  <c r="Q270" i="27"/>
  <c r="R270" i="27"/>
  <c r="S270" i="27"/>
  <c r="T270" i="27"/>
  <c r="U270" i="27"/>
  <c r="V270" i="27"/>
  <c r="W270" i="27"/>
  <c r="X270" i="27"/>
  <c r="Y270" i="27"/>
  <c r="Z270" i="27"/>
  <c r="AA270" i="27"/>
  <c r="AB270" i="27"/>
  <c r="AB302" i="27" s="1"/>
  <c r="AC270" i="27"/>
  <c r="AC302" i="27" s="1"/>
  <c r="AD270" i="27"/>
  <c r="AD302" i="27" s="1"/>
  <c r="AE270" i="27"/>
  <c r="AE302" i="27" s="1"/>
  <c r="AF270" i="27"/>
  <c r="AF302" i="27" s="1"/>
  <c r="E271" i="27"/>
  <c r="F271" i="27"/>
  <c r="G271" i="27"/>
  <c r="H271" i="27"/>
  <c r="I271" i="27"/>
  <c r="J271" i="27"/>
  <c r="K271" i="27"/>
  <c r="L271" i="27"/>
  <c r="M271" i="27"/>
  <c r="N271" i="27"/>
  <c r="O271" i="27"/>
  <c r="P271" i="27"/>
  <c r="Q271" i="27"/>
  <c r="R271" i="27"/>
  <c r="S271" i="27"/>
  <c r="T271" i="27"/>
  <c r="U271" i="27"/>
  <c r="V271" i="27"/>
  <c r="W271" i="27"/>
  <c r="X271" i="27"/>
  <c r="Y271" i="27"/>
  <c r="Z271" i="27"/>
  <c r="AA271" i="27"/>
  <c r="AB271" i="27"/>
  <c r="AB303" i="27" s="1"/>
  <c r="AC271" i="27"/>
  <c r="AC303" i="27" s="1"/>
  <c r="AD271" i="27"/>
  <c r="AD303" i="27" s="1"/>
  <c r="AE271" i="27"/>
  <c r="AE303" i="27" s="1"/>
  <c r="AF271" i="27"/>
  <c r="AF303" i="27" s="1"/>
  <c r="E273" i="27"/>
  <c r="E305" i="27" s="1"/>
  <c r="F273" i="27"/>
  <c r="F305" i="27" s="1"/>
  <c r="G273" i="27"/>
  <c r="G305" i="27" s="1"/>
  <c r="H273" i="27"/>
  <c r="H305" i="27" s="1"/>
  <c r="I273" i="27"/>
  <c r="I305" i="27" s="1"/>
  <c r="J273" i="27"/>
  <c r="J305" i="27" s="1"/>
  <c r="K273" i="27"/>
  <c r="K305" i="27" s="1"/>
  <c r="L273" i="27"/>
  <c r="L305" i="27" s="1"/>
  <c r="M273" i="27"/>
  <c r="M305" i="27" s="1"/>
  <c r="N273" i="27"/>
  <c r="N305" i="27" s="1"/>
  <c r="O273" i="27"/>
  <c r="O305" i="27" s="1"/>
  <c r="P273" i="27"/>
  <c r="P305" i="27" s="1"/>
  <c r="Q273" i="27"/>
  <c r="Q305" i="27" s="1"/>
  <c r="R273" i="27"/>
  <c r="R305" i="27" s="1"/>
  <c r="S273" i="27"/>
  <c r="S305" i="27" s="1"/>
  <c r="T273" i="27"/>
  <c r="T305" i="27" s="1"/>
  <c r="U273" i="27"/>
  <c r="U305" i="27" s="1"/>
  <c r="V273" i="27"/>
  <c r="W273" i="27"/>
  <c r="W305" i="27" s="1"/>
  <c r="X273" i="27"/>
  <c r="X305" i="27" s="1"/>
  <c r="Y273" i="27"/>
  <c r="Y305" i="27" s="1"/>
  <c r="Z273" i="27"/>
  <c r="Z305" i="27" s="1"/>
  <c r="AA273" i="27"/>
  <c r="AA305" i="27" s="1"/>
  <c r="AB273" i="27"/>
  <c r="AB305" i="27" s="1"/>
  <c r="AC273" i="27"/>
  <c r="AC305" i="27" s="1"/>
  <c r="AD273" i="27"/>
  <c r="AD305" i="27" s="1"/>
  <c r="AE273" i="27"/>
  <c r="AE305" i="27" s="1"/>
  <c r="AF273" i="27"/>
  <c r="AF305" i="27" s="1"/>
  <c r="E274" i="27"/>
  <c r="E306" i="27" s="1"/>
  <c r="F274" i="27"/>
  <c r="F306" i="27" s="1"/>
  <c r="G274" i="27"/>
  <c r="G306" i="27" s="1"/>
  <c r="H274" i="27"/>
  <c r="H306" i="27" s="1"/>
  <c r="I274" i="27"/>
  <c r="I306" i="27" s="1"/>
  <c r="J274" i="27"/>
  <c r="J306" i="27" s="1"/>
  <c r="K274" i="27"/>
  <c r="K306" i="27" s="1"/>
  <c r="L274" i="27"/>
  <c r="L306" i="27" s="1"/>
  <c r="M274" i="27"/>
  <c r="M306" i="27" s="1"/>
  <c r="N274" i="27"/>
  <c r="N306" i="27" s="1"/>
  <c r="O274" i="27"/>
  <c r="O306" i="27" s="1"/>
  <c r="P274" i="27"/>
  <c r="P306" i="27" s="1"/>
  <c r="Q274" i="27"/>
  <c r="Q306" i="27" s="1"/>
  <c r="R274" i="27"/>
  <c r="R306" i="27" s="1"/>
  <c r="S274" i="27"/>
  <c r="S306" i="27" s="1"/>
  <c r="T274" i="27"/>
  <c r="T306" i="27" s="1"/>
  <c r="U274" i="27"/>
  <c r="U306" i="27" s="1"/>
  <c r="V274" i="27"/>
  <c r="W274" i="27"/>
  <c r="X274" i="27"/>
  <c r="X306" i="27" s="1"/>
  <c r="Y274" i="27"/>
  <c r="Y306" i="27" s="1"/>
  <c r="Z274" i="27"/>
  <c r="Z306" i="27" s="1"/>
  <c r="AA274" i="27"/>
  <c r="AA306" i="27" s="1"/>
  <c r="AB274" i="27"/>
  <c r="AB306" i="27" s="1"/>
  <c r="AC274" i="27"/>
  <c r="AC306" i="27" s="1"/>
  <c r="AD274" i="27"/>
  <c r="AD306" i="27" s="1"/>
  <c r="AE274" i="27"/>
  <c r="AE306" i="27" s="1"/>
  <c r="AF274" i="27"/>
  <c r="AF306" i="27" s="1"/>
  <c r="E277" i="27"/>
  <c r="F277" i="27"/>
  <c r="G277" i="27"/>
  <c r="H277" i="27"/>
  <c r="I277" i="27"/>
  <c r="J277" i="27"/>
  <c r="K277" i="27"/>
  <c r="L277" i="27"/>
  <c r="M277" i="27"/>
  <c r="N277" i="27"/>
  <c r="O277" i="27"/>
  <c r="P277" i="27"/>
  <c r="Q277" i="27"/>
  <c r="R277" i="27"/>
  <c r="S277" i="27"/>
  <c r="T277" i="27"/>
  <c r="U277" i="27"/>
  <c r="V277" i="27"/>
  <c r="W277" i="27"/>
  <c r="X277" i="27"/>
  <c r="Y277" i="27"/>
  <c r="Z277" i="27"/>
  <c r="AA277" i="27"/>
  <c r="AB277" i="27"/>
  <c r="AC277" i="27"/>
  <c r="AD277" i="27"/>
  <c r="AE277" i="27"/>
  <c r="AF277" i="27"/>
  <c r="E278" i="27"/>
  <c r="F278" i="27"/>
  <c r="G278" i="27"/>
  <c r="H278" i="27"/>
  <c r="I278" i="27"/>
  <c r="J278" i="27"/>
  <c r="K278" i="27"/>
  <c r="L278" i="27"/>
  <c r="M278" i="27"/>
  <c r="N278" i="27"/>
  <c r="O278" i="27"/>
  <c r="P278" i="27"/>
  <c r="Q278" i="27"/>
  <c r="R278" i="27"/>
  <c r="S278" i="27"/>
  <c r="T278" i="27"/>
  <c r="U278" i="27"/>
  <c r="V278" i="27"/>
  <c r="W278" i="27"/>
  <c r="X278" i="27"/>
  <c r="Y278" i="27"/>
  <c r="Z278" i="27"/>
  <c r="AA278" i="27"/>
  <c r="AB278" i="27"/>
  <c r="AC278" i="27"/>
  <c r="AD278" i="27"/>
  <c r="AE278" i="27"/>
  <c r="AF278" i="27"/>
  <c r="E280" i="27"/>
  <c r="F280" i="27"/>
  <c r="G280" i="27"/>
  <c r="H280" i="27"/>
  <c r="I280" i="27"/>
  <c r="J280" i="27"/>
  <c r="K280" i="27"/>
  <c r="L280" i="27"/>
  <c r="M280" i="27"/>
  <c r="N280" i="27"/>
  <c r="O280" i="27"/>
  <c r="P280" i="27"/>
  <c r="Q280" i="27"/>
  <c r="R280" i="27"/>
  <c r="S280" i="27"/>
  <c r="T280" i="27"/>
  <c r="U280" i="27"/>
  <c r="V280" i="27"/>
  <c r="W280" i="27"/>
  <c r="X280" i="27"/>
  <c r="Y280" i="27"/>
  <c r="Z280" i="27"/>
  <c r="AA280" i="27"/>
  <c r="AB280" i="27"/>
  <c r="AC280" i="27"/>
  <c r="AD280" i="27"/>
  <c r="AE280" i="27"/>
  <c r="AF280" i="27"/>
  <c r="D254" i="27"/>
  <c r="D286" i="27" s="1"/>
  <c r="D255" i="27"/>
  <c r="D287" i="27" s="1"/>
  <c r="D256" i="27"/>
  <c r="D288" i="27" s="1"/>
  <c r="D257" i="27"/>
  <c r="D289" i="27" s="1"/>
  <c r="D258" i="27"/>
  <c r="D290" i="27" s="1"/>
  <c r="D259" i="27"/>
  <c r="D291" i="27" s="1"/>
  <c r="D260" i="27"/>
  <c r="D292" i="27" s="1"/>
  <c r="D262" i="27"/>
  <c r="D294" i="27" s="1"/>
  <c r="D263" i="27"/>
  <c r="D295" i="27" s="1"/>
  <c r="D264" i="27"/>
  <c r="D296" i="27" s="1"/>
  <c r="D265" i="27"/>
  <c r="D297" i="27" s="1"/>
  <c r="D266" i="27"/>
  <c r="D298" i="27" s="1"/>
  <c r="D267" i="27"/>
  <c r="D299" i="27" s="1"/>
  <c r="D268" i="27"/>
  <c r="D300" i="27" s="1"/>
  <c r="D269" i="27"/>
  <c r="D301" i="27" s="1"/>
  <c r="D270" i="27"/>
  <c r="D302" i="27" s="1"/>
  <c r="D271" i="27"/>
  <c r="D303" i="27" s="1"/>
  <c r="D273" i="27"/>
  <c r="D305" i="27" s="1"/>
  <c r="D274" i="27"/>
  <c r="D306" i="27" s="1"/>
  <c r="D277" i="27"/>
  <c r="D278" i="27"/>
  <c r="D280" i="27"/>
  <c r="D253" i="27"/>
  <c r="D285" i="27" s="1"/>
  <c r="I302" i="27" l="1"/>
  <c r="Q302" i="27"/>
  <c r="Y302" i="27"/>
  <c r="E302" i="27"/>
  <c r="F302" i="27"/>
  <c r="J302" i="27"/>
  <c r="R302" i="27"/>
  <c r="Z302" i="27"/>
  <c r="K302" i="27"/>
  <c r="S302" i="27"/>
  <c r="AA302" i="27"/>
  <c r="N302" i="27"/>
  <c r="P302" i="27"/>
  <c r="L302" i="27"/>
  <c r="T302" i="27"/>
  <c r="M302" i="27"/>
  <c r="U302" i="27"/>
  <c r="V302" i="27"/>
  <c r="X302" i="27"/>
  <c r="G302" i="27"/>
  <c r="O302" i="27"/>
  <c r="W302" i="27"/>
  <c r="H302" i="27"/>
  <c r="M300" i="27"/>
  <c r="U300" i="27"/>
  <c r="Z300" i="27"/>
  <c r="F300" i="27"/>
  <c r="N300" i="27"/>
  <c r="V300" i="27"/>
  <c r="G300" i="27"/>
  <c r="O300" i="27"/>
  <c r="W300" i="27"/>
  <c r="R300" i="27"/>
  <c r="H300" i="27"/>
  <c r="P300" i="27"/>
  <c r="X300" i="27"/>
  <c r="I300" i="27"/>
  <c r="Q300" i="27"/>
  <c r="Y300" i="27"/>
  <c r="J300" i="27"/>
  <c r="L300" i="27"/>
  <c r="K300" i="27"/>
  <c r="S300" i="27"/>
  <c r="AA300" i="27"/>
  <c r="E300" i="27"/>
  <c r="T300" i="27"/>
  <c r="I298" i="27"/>
  <c r="Q298" i="27"/>
  <c r="Y298" i="27"/>
  <c r="H298" i="27"/>
  <c r="J298" i="27"/>
  <c r="R298" i="27"/>
  <c r="Z298" i="27"/>
  <c r="N298" i="27"/>
  <c r="P298" i="27"/>
  <c r="K298" i="27"/>
  <c r="S298" i="27"/>
  <c r="AA298" i="27"/>
  <c r="L298" i="27"/>
  <c r="T298" i="27"/>
  <c r="V298" i="27"/>
  <c r="M298" i="27"/>
  <c r="U298" i="27"/>
  <c r="E298" i="27"/>
  <c r="F298" i="27"/>
  <c r="G298" i="27"/>
  <c r="O298" i="27"/>
  <c r="W298" i="27"/>
  <c r="X298" i="27"/>
  <c r="M296" i="27"/>
  <c r="U296" i="27"/>
  <c r="F296" i="27"/>
  <c r="N296" i="27"/>
  <c r="V296" i="27"/>
  <c r="Z296" i="27"/>
  <c r="G296" i="27"/>
  <c r="O296" i="27"/>
  <c r="W296" i="27"/>
  <c r="E296" i="27"/>
  <c r="J296" i="27"/>
  <c r="H296" i="27"/>
  <c r="P296" i="27"/>
  <c r="X296" i="27"/>
  <c r="R296" i="27"/>
  <c r="I296" i="27"/>
  <c r="Q296" i="27"/>
  <c r="Y296" i="27"/>
  <c r="K296" i="27"/>
  <c r="S296" i="27"/>
  <c r="AA296" i="27"/>
  <c r="L296" i="27"/>
  <c r="T296" i="27"/>
  <c r="I294" i="27"/>
  <c r="Q294" i="27"/>
  <c r="Y294" i="27"/>
  <c r="F294" i="27"/>
  <c r="J294" i="27"/>
  <c r="R294" i="27"/>
  <c r="Z294" i="27"/>
  <c r="K294" i="27"/>
  <c r="S294" i="27"/>
  <c r="AA294" i="27"/>
  <c r="E294" i="27"/>
  <c r="L294" i="27"/>
  <c r="T294" i="27"/>
  <c r="N294" i="27"/>
  <c r="M294" i="27"/>
  <c r="U294" i="27"/>
  <c r="V294" i="27"/>
  <c r="G294" i="27"/>
  <c r="O294" i="27"/>
  <c r="W294" i="27"/>
  <c r="H294" i="27"/>
  <c r="P294" i="27"/>
  <c r="X294" i="27"/>
  <c r="K303" i="27"/>
  <c r="S303" i="27"/>
  <c r="AA303" i="27"/>
  <c r="L303" i="27"/>
  <c r="T303" i="27"/>
  <c r="E303" i="27"/>
  <c r="X303" i="27"/>
  <c r="J303" i="27"/>
  <c r="M303" i="27"/>
  <c r="U303" i="27"/>
  <c r="P303" i="27"/>
  <c r="F303" i="27"/>
  <c r="N303" i="27"/>
  <c r="V303" i="27"/>
  <c r="H303" i="27"/>
  <c r="Z303" i="27"/>
  <c r="G303" i="27"/>
  <c r="O303" i="27"/>
  <c r="W303" i="27"/>
  <c r="I303" i="27"/>
  <c r="Q303" i="27"/>
  <c r="Y303" i="27"/>
  <c r="R303" i="27"/>
  <c r="G301" i="27"/>
  <c r="O301" i="27"/>
  <c r="W301" i="27"/>
  <c r="V301" i="27"/>
  <c r="E301" i="27"/>
  <c r="H301" i="27"/>
  <c r="P301" i="27"/>
  <c r="X301" i="27"/>
  <c r="T301" i="27"/>
  <c r="F301" i="27"/>
  <c r="I301" i="27"/>
  <c r="Q301" i="27"/>
  <c r="Y301" i="27"/>
  <c r="J301" i="27"/>
  <c r="R301" i="27"/>
  <c r="Z301" i="27"/>
  <c r="L301" i="27"/>
  <c r="N301" i="27"/>
  <c r="K301" i="27"/>
  <c r="S301" i="27"/>
  <c r="AA301" i="27"/>
  <c r="M301" i="27"/>
  <c r="U301" i="27"/>
  <c r="K299" i="27"/>
  <c r="S299" i="27"/>
  <c r="AA299" i="27"/>
  <c r="P299" i="27"/>
  <c r="E299" i="27"/>
  <c r="R299" i="27"/>
  <c r="L299" i="27"/>
  <c r="T299" i="27"/>
  <c r="X299" i="27"/>
  <c r="M299" i="27"/>
  <c r="U299" i="27"/>
  <c r="H299" i="27"/>
  <c r="Z299" i="27"/>
  <c r="F299" i="27"/>
  <c r="N299" i="27"/>
  <c r="V299" i="27"/>
  <c r="J299" i="27"/>
  <c r="G299" i="27"/>
  <c r="O299" i="27"/>
  <c r="W299" i="27"/>
  <c r="I299" i="27"/>
  <c r="Q299" i="27"/>
  <c r="Y299" i="27"/>
  <c r="G297" i="27"/>
  <c r="O297" i="27"/>
  <c r="W297" i="27"/>
  <c r="L297" i="27"/>
  <c r="H297" i="27"/>
  <c r="P297" i="27"/>
  <c r="X297" i="27"/>
  <c r="I297" i="27"/>
  <c r="Q297" i="27"/>
  <c r="Y297" i="27"/>
  <c r="T297" i="27"/>
  <c r="F297" i="27"/>
  <c r="J297" i="27"/>
  <c r="R297" i="27"/>
  <c r="Z297" i="27"/>
  <c r="E297" i="27"/>
  <c r="N297" i="27"/>
  <c r="K297" i="27"/>
  <c r="S297" i="27"/>
  <c r="AA297" i="27"/>
  <c r="V297" i="27"/>
  <c r="M297" i="27"/>
  <c r="U297" i="27"/>
  <c r="K295" i="27"/>
  <c r="S295" i="27"/>
  <c r="AA295" i="27"/>
  <c r="X295" i="27"/>
  <c r="L295" i="27"/>
  <c r="T295" i="27"/>
  <c r="E295" i="27"/>
  <c r="P295" i="27"/>
  <c r="M295" i="27"/>
  <c r="U295" i="27"/>
  <c r="H295" i="27"/>
  <c r="F295" i="27"/>
  <c r="N295" i="27"/>
  <c r="V295" i="27"/>
  <c r="G295" i="27"/>
  <c r="O295" i="27"/>
  <c r="W295" i="27"/>
  <c r="I295" i="27"/>
  <c r="Q295" i="27"/>
  <c r="Y295" i="27"/>
  <c r="J295" i="27"/>
  <c r="R295" i="27"/>
  <c r="Z295" i="27"/>
  <c r="AE110" i="53"/>
  <c r="AD110" i="53"/>
  <c r="AC110" i="53"/>
  <c r="AB110" i="53"/>
  <c r="AA110" i="53"/>
  <c r="Z110" i="53"/>
  <c r="AG110" i="53"/>
  <c r="Y110" i="53"/>
  <c r="AF110" i="53"/>
  <c r="AF101" i="53"/>
  <c r="Y101" i="53"/>
  <c r="AE101" i="53"/>
  <c r="AD101" i="53"/>
  <c r="AC101" i="53"/>
  <c r="AB101" i="53"/>
  <c r="AA101" i="53"/>
  <c r="Z101" i="53"/>
  <c r="O201" i="53"/>
  <c r="O210" i="53" s="1"/>
  <c r="H201" i="53"/>
  <c r="H210" i="53" s="1"/>
  <c r="P201" i="53"/>
  <c r="P210" i="53" s="1"/>
  <c r="X201" i="53"/>
  <c r="X210" i="53" s="1"/>
  <c r="W201" i="53"/>
  <c r="W210" i="53" s="1"/>
  <c r="I201" i="53"/>
  <c r="I210" i="53" s="1"/>
  <c r="I211" i="53" s="1"/>
  <c r="Q201" i="53"/>
  <c r="Q210" i="53" s="1"/>
  <c r="Y201" i="53"/>
  <c r="Y210" i="53" s="1"/>
  <c r="J201" i="53"/>
  <c r="J210" i="53" s="1"/>
  <c r="R201" i="53"/>
  <c r="R210" i="53" s="1"/>
  <c r="Z201" i="53"/>
  <c r="Z210" i="53" s="1"/>
  <c r="Z211" i="53" s="1"/>
  <c r="K201" i="53"/>
  <c r="K210" i="53" s="1"/>
  <c r="S201" i="53"/>
  <c r="S210" i="53" s="1"/>
  <c r="AA201" i="53"/>
  <c r="AA210" i="53" s="1"/>
  <c r="AA211" i="53" s="1"/>
  <c r="L201" i="53"/>
  <c r="L210" i="53" s="1"/>
  <c r="T201" i="53"/>
  <c r="T210" i="53" s="1"/>
  <c r="AB201" i="53"/>
  <c r="AB210" i="53" s="1"/>
  <c r="E201" i="53"/>
  <c r="E210" i="53" s="1"/>
  <c r="M201" i="53"/>
  <c r="M210" i="53" s="1"/>
  <c r="U201" i="53"/>
  <c r="U210" i="53" s="1"/>
  <c r="AC201" i="53"/>
  <c r="AC210" i="53" s="1"/>
  <c r="G201" i="53"/>
  <c r="G210" i="53" s="1"/>
  <c r="F201" i="53"/>
  <c r="F210" i="53" s="1"/>
  <c r="N201" i="53"/>
  <c r="N210" i="53" s="1"/>
  <c r="V201" i="53"/>
  <c r="V210" i="53" s="1"/>
  <c r="D112" i="53"/>
  <c r="D121" i="53" s="1"/>
  <c r="AA112" i="53"/>
  <c r="AA121" i="53" s="1"/>
  <c r="W112" i="53"/>
  <c r="W121" i="53" s="1"/>
  <c r="S112" i="53"/>
  <c r="S121" i="53" s="1"/>
  <c r="O112" i="53"/>
  <c r="O121" i="53" s="1"/>
  <c r="K112" i="53"/>
  <c r="K121" i="53" s="1"/>
  <c r="G112" i="53"/>
  <c r="G121" i="53" s="1"/>
  <c r="Z112" i="53"/>
  <c r="Z121" i="53" s="1"/>
  <c r="V112" i="53"/>
  <c r="R112" i="53"/>
  <c r="N112" i="53"/>
  <c r="J112" i="53"/>
  <c r="J121" i="53" s="1"/>
  <c r="F112" i="53"/>
  <c r="F121" i="53" s="1"/>
  <c r="AC112" i="53"/>
  <c r="AC121" i="53" s="1"/>
  <c r="Y112" i="53"/>
  <c r="Y121" i="53" s="1"/>
  <c r="U112" i="53"/>
  <c r="U121" i="53" s="1"/>
  <c r="Q112" i="53"/>
  <c r="Q121" i="53" s="1"/>
  <c r="M112" i="53"/>
  <c r="M121" i="53" s="1"/>
  <c r="I112" i="53"/>
  <c r="I121" i="53" s="1"/>
  <c r="E112" i="53"/>
  <c r="E121" i="53" s="1"/>
  <c r="AB112" i="53"/>
  <c r="AB121" i="53" s="1"/>
  <c r="X112" i="53"/>
  <c r="X121" i="53" s="1"/>
  <c r="T112" i="53"/>
  <c r="T121" i="53" s="1"/>
  <c r="P112" i="53"/>
  <c r="P121" i="53" s="1"/>
  <c r="L112" i="53"/>
  <c r="H112" i="53"/>
  <c r="H121" i="53" s="1"/>
  <c r="AF211" i="53"/>
  <c r="AF18" i="27"/>
  <c r="AD211" i="53"/>
  <c r="AD18" i="27"/>
  <c r="AE211" i="53"/>
  <c r="AE18" i="27"/>
  <c r="AG211" i="53"/>
  <c r="AG18" i="27"/>
  <c r="D210" i="53"/>
  <c r="AG121" i="53"/>
  <c r="AE121" i="53"/>
  <c r="AD121" i="53"/>
  <c r="V121" i="53"/>
  <c r="AF121" i="53"/>
  <c r="L121" i="53"/>
  <c r="M18" i="27" l="1"/>
  <c r="M211" i="53"/>
  <c r="AA18" i="27"/>
  <c r="Q211" i="53"/>
  <c r="Q18" i="27"/>
  <c r="G211" i="53"/>
  <c r="G18" i="27"/>
  <c r="P211" i="53"/>
  <c r="P18" i="27"/>
  <c r="E211" i="53"/>
  <c r="E18" i="27"/>
  <c r="R18" i="27"/>
  <c r="R211" i="53"/>
  <c r="L18" i="27"/>
  <c r="L211" i="53"/>
  <c r="F211" i="53"/>
  <c r="F18" i="27"/>
  <c r="Z18" i="27"/>
  <c r="I18" i="27"/>
  <c r="T211" i="53"/>
  <c r="T18" i="27"/>
  <c r="AC211" i="53"/>
  <c r="AC18" i="27"/>
  <c r="W211" i="53"/>
  <c r="W18" i="27"/>
  <c r="U211" i="53"/>
  <c r="U18" i="27"/>
  <c r="X211" i="53"/>
  <c r="X18" i="27"/>
  <c r="V18" i="27"/>
  <c r="V211" i="53"/>
  <c r="J211" i="53"/>
  <c r="J18" i="27"/>
  <c r="N211" i="53"/>
  <c r="N18" i="27"/>
  <c r="Y211" i="53"/>
  <c r="Y18" i="27"/>
  <c r="S211" i="53"/>
  <c r="S18" i="27"/>
  <c r="H211" i="53"/>
  <c r="H18" i="27"/>
  <c r="AB211" i="53"/>
  <c r="AB18" i="27"/>
  <c r="K211" i="53"/>
  <c r="K18" i="27"/>
  <c r="O211" i="53"/>
  <c r="O18" i="27"/>
  <c r="H13" i="27"/>
  <c r="J13" i="27"/>
  <c r="J8" i="27" s="1"/>
  <c r="M13" i="27"/>
  <c r="T13" i="27"/>
  <c r="I13" i="27"/>
  <c r="L13" i="27"/>
  <c r="D13" i="27"/>
  <c r="Q13" i="27"/>
  <c r="F13" i="27"/>
  <c r="K13" i="27"/>
  <c r="E13" i="27"/>
  <c r="U13" i="27"/>
  <c r="U8" i="27" s="1"/>
  <c r="D18" i="27"/>
  <c r="X13" i="27"/>
  <c r="V13" i="27"/>
  <c r="D211" i="53"/>
  <c r="AA122" i="53"/>
  <c r="AA13" i="27"/>
  <c r="P122" i="53"/>
  <c r="P13" i="27"/>
  <c r="AB122" i="53"/>
  <c r="AB13" i="27"/>
  <c r="Z122" i="53"/>
  <c r="Z13" i="27"/>
  <c r="O122" i="53"/>
  <c r="O13" i="27"/>
  <c r="AE122" i="53"/>
  <c r="AE13" i="27"/>
  <c r="AC122" i="53"/>
  <c r="AC13" i="27"/>
  <c r="AF122" i="53"/>
  <c r="AF13" i="27"/>
  <c r="AD122" i="53"/>
  <c r="AD13" i="27"/>
  <c r="AG122" i="53"/>
  <c r="AG13" i="27"/>
  <c r="S122" i="53"/>
  <c r="S13" i="27"/>
  <c r="Y122" i="53"/>
  <c r="Y13" i="27"/>
  <c r="G122" i="53"/>
  <c r="G13" i="27"/>
  <c r="W122" i="53"/>
  <c r="W13" i="27"/>
  <c r="N121" i="53"/>
  <c r="K122" i="53"/>
  <c r="F122" i="53"/>
  <c r="V122" i="53"/>
  <c r="J122" i="53"/>
  <c r="R121" i="53"/>
  <c r="H122" i="53"/>
  <c r="X122" i="53"/>
  <c r="T122" i="53"/>
  <c r="L122" i="53"/>
  <c r="U122" i="53"/>
  <c r="E122" i="53"/>
  <c r="I122" i="53"/>
  <c r="D122" i="53"/>
  <c r="Q122" i="53"/>
  <c r="M122" i="53"/>
  <c r="Q8" i="27" l="1"/>
  <c r="Q34" i="45" s="1"/>
  <c r="Q46" i="50" s="1"/>
  <c r="X8" i="27"/>
  <c r="X34" i="45" s="1"/>
  <c r="X46" i="50" s="1"/>
  <c r="U34" i="45"/>
  <c r="U46" i="50" s="1"/>
  <c r="U55" i="54"/>
  <c r="J34" i="45"/>
  <c r="J46" i="50" s="1"/>
  <c r="J55" i="54"/>
  <c r="V8" i="27"/>
  <c r="M8" i="27"/>
  <c r="K8" i="27"/>
  <c r="F8" i="27"/>
  <c r="E8" i="27"/>
  <c r="L8" i="27"/>
  <c r="I8" i="27"/>
  <c r="T8" i="27"/>
  <c r="H8" i="27"/>
  <c r="R13" i="27"/>
  <c r="R8" i="27" s="1"/>
  <c r="AG8" i="27"/>
  <c r="AF8" i="27"/>
  <c r="AA8" i="27"/>
  <c r="AA55" i="54" s="1"/>
  <c r="N122" i="53"/>
  <c r="N13" i="27"/>
  <c r="G8" i="27"/>
  <c r="S8" i="27"/>
  <c r="AC8" i="27"/>
  <c r="AC55" i="54" s="1"/>
  <c r="O8" i="27"/>
  <c r="AB8" i="27"/>
  <c r="AB55" i="54" s="1"/>
  <c r="AD8" i="27"/>
  <c r="AD55" i="54" s="1"/>
  <c r="W8" i="27"/>
  <c r="Y8" i="27"/>
  <c r="Y55" i="54" s="1"/>
  <c r="AE8" i="27"/>
  <c r="Z8" i="27"/>
  <c r="Z55" i="54" s="1"/>
  <c r="P8" i="27"/>
  <c r="R122" i="53"/>
  <c r="D8" i="27"/>
  <c r="Q55" i="54" l="1"/>
  <c r="X55" i="54"/>
  <c r="AF34" i="45"/>
  <c r="AF46" i="50" s="1"/>
  <c r="AF55" i="54"/>
  <c r="D34" i="45"/>
  <c r="D46" i="50" s="1"/>
  <c r="BC62" i="50" s="1"/>
  <c r="D55" i="54"/>
  <c r="AG34" i="45"/>
  <c r="AG46" i="50" s="1"/>
  <c r="AG55" i="54"/>
  <c r="S34" i="45"/>
  <c r="S46" i="50" s="1"/>
  <c r="S55" i="54"/>
  <c r="T34" i="45"/>
  <c r="T46" i="50" s="1"/>
  <c r="T55" i="54"/>
  <c r="F34" i="45"/>
  <c r="F46" i="50" s="1"/>
  <c r="F55" i="54"/>
  <c r="H34" i="45"/>
  <c r="H46" i="50" s="1"/>
  <c r="H55" i="54"/>
  <c r="I34" i="45"/>
  <c r="I46" i="50" s="1"/>
  <c r="I55" i="54"/>
  <c r="K34" i="45"/>
  <c r="K46" i="50" s="1"/>
  <c r="K55" i="54"/>
  <c r="R34" i="45"/>
  <c r="R46" i="50" s="1"/>
  <c r="R55" i="54"/>
  <c r="G34" i="45"/>
  <c r="G46" i="50" s="1"/>
  <c r="G55" i="54"/>
  <c r="W34" i="45"/>
  <c r="W46" i="50" s="1"/>
  <c r="W55" i="54"/>
  <c r="L34" i="45"/>
  <c r="L46" i="50" s="1"/>
  <c r="L55" i="54"/>
  <c r="M34" i="45"/>
  <c r="M46" i="50" s="1"/>
  <c r="M55" i="54"/>
  <c r="O34" i="45"/>
  <c r="O46" i="50" s="1"/>
  <c r="O55" i="54"/>
  <c r="P34" i="45"/>
  <c r="P46" i="50" s="1"/>
  <c r="P55" i="54"/>
  <c r="AE34" i="45"/>
  <c r="AE46" i="50" s="1"/>
  <c r="AE55" i="54"/>
  <c r="E34" i="45"/>
  <c r="E46" i="50" s="1"/>
  <c r="E55" i="54"/>
  <c r="V34" i="45"/>
  <c r="V46" i="50" s="1"/>
  <c r="V55" i="54"/>
  <c r="AA34" i="45"/>
  <c r="AB34" i="45"/>
  <c r="AC34" i="45"/>
  <c r="AD34" i="45"/>
  <c r="Z34" i="45"/>
  <c r="Y34" i="45"/>
  <c r="N8" i="27"/>
  <c r="AF2" i="49"/>
  <c r="N2" i="49"/>
  <c r="X2" i="49"/>
  <c r="N34" i="45" l="1"/>
  <c r="N46" i="50" s="1"/>
  <c r="N55" i="54"/>
  <c r="AA46" i="50"/>
  <c r="Z46" i="50"/>
  <c r="AC46" i="50"/>
  <c r="Y46" i="50"/>
  <c r="AB46" i="50"/>
  <c r="AD46" i="50"/>
  <c r="E25" i="49"/>
  <c r="W25" i="49" l="1"/>
  <c r="AD25" i="49"/>
  <c r="H25" i="49"/>
  <c r="Q25" i="49"/>
  <c r="AC25" i="49"/>
  <c r="D25" i="49"/>
  <c r="G25" i="49"/>
  <c r="L25" i="49"/>
  <c r="R25" i="49"/>
  <c r="M25" i="49"/>
  <c r="N25" i="49"/>
  <c r="S25" i="49"/>
  <c r="U25" i="49"/>
  <c r="F25" i="49"/>
  <c r="V25" i="49"/>
  <c r="K25" i="49"/>
  <c r="AA25" i="49"/>
  <c r="P25" i="49"/>
  <c r="I25" i="49"/>
  <c r="Y25" i="49"/>
  <c r="J25" i="49"/>
  <c r="Z25" i="49"/>
  <c r="O25" i="49"/>
  <c r="AE25" i="49"/>
  <c r="X25" i="49"/>
  <c r="AB25" i="49"/>
  <c r="AF25" i="49"/>
  <c r="T25" i="49"/>
  <c r="AF38" i="45"/>
  <c r="AF47" i="50" s="1"/>
  <c r="AF26" i="45"/>
  <c r="E61" i="49" l="1"/>
  <c r="F61" i="49"/>
  <c r="G61" i="49"/>
  <c r="H61" i="49"/>
  <c r="I61" i="49"/>
  <c r="J61" i="49"/>
  <c r="K61" i="49"/>
  <c r="L61" i="49"/>
  <c r="M61" i="49"/>
  <c r="N61" i="49"/>
  <c r="O61" i="49"/>
  <c r="P61" i="49"/>
  <c r="Q61" i="49"/>
  <c r="R61" i="49"/>
  <c r="S61" i="49"/>
  <c r="T61" i="49"/>
  <c r="U61" i="49"/>
  <c r="V61" i="49"/>
  <c r="W61" i="49"/>
  <c r="X61" i="49"/>
  <c r="Y61" i="49"/>
  <c r="Z61" i="49"/>
  <c r="AA61" i="49"/>
  <c r="AB61" i="49"/>
  <c r="AC61" i="49"/>
  <c r="AD61" i="49"/>
  <c r="AE61" i="49"/>
  <c r="AF61" i="49"/>
  <c r="D61" i="49"/>
  <c r="E49" i="49"/>
  <c r="F49" i="49"/>
  <c r="G49" i="49"/>
  <c r="H49" i="49"/>
  <c r="I49" i="49"/>
  <c r="J49" i="49"/>
  <c r="K49" i="49"/>
  <c r="L49" i="49"/>
  <c r="M49" i="49"/>
  <c r="N49" i="49"/>
  <c r="O49" i="49"/>
  <c r="P49" i="49"/>
  <c r="Q49" i="49"/>
  <c r="R49" i="49"/>
  <c r="S49" i="49"/>
  <c r="T49" i="49"/>
  <c r="U49" i="49"/>
  <c r="V49" i="49"/>
  <c r="W49" i="49"/>
  <c r="X49" i="49"/>
  <c r="Y49" i="49"/>
  <c r="Z49" i="49"/>
  <c r="AA49" i="49"/>
  <c r="AB49" i="49"/>
  <c r="AC49" i="49"/>
  <c r="AD49" i="49"/>
  <c r="AE49" i="49"/>
  <c r="AF49" i="49"/>
  <c r="D49" i="49"/>
  <c r="AF24" i="25"/>
  <c r="AF41" i="25" s="1"/>
  <c r="AG55" i="49" s="1"/>
  <c r="AF25" i="25"/>
  <c r="AF42" i="25" s="1"/>
  <c r="AG44" i="49" s="1"/>
  <c r="L200" i="44"/>
  <c r="L201" i="44" s="1"/>
  <c r="P200" i="44"/>
  <c r="P201" i="44" s="1"/>
  <c r="C200" i="44"/>
  <c r="C201" i="44" s="1"/>
  <c r="L234" i="44"/>
  <c r="I234" i="44"/>
  <c r="L196" i="44"/>
  <c r="I196" i="44"/>
  <c r="F196" i="44"/>
  <c r="AB200" i="44" l="1"/>
  <c r="AB201" i="44" s="1"/>
  <c r="O200" i="44"/>
  <c r="O201" i="44" s="1"/>
  <c r="AE200" i="44"/>
  <c r="AE201" i="44" s="1"/>
  <c r="AA200" i="44"/>
  <c r="AA201" i="44" s="1"/>
  <c r="W200" i="44"/>
  <c r="W201" i="44" s="1"/>
  <c r="K200" i="44"/>
  <c r="K201" i="44" s="1"/>
  <c r="S200" i="44"/>
  <c r="S201" i="44" s="1"/>
  <c r="G200" i="44"/>
  <c r="G201" i="44" s="1"/>
  <c r="D200" i="44"/>
  <c r="D201" i="44" s="1"/>
  <c r="T200" i="44"/>
  <c r="T201" i="44" s="1"/>
  <c r="H200" i="44"/>
  <c r="H201" i="44" s="1"/>
  <c r="X200" i="44"/>
  <c r="X201" i="44" s="1"/>
  <c r="E200" i="44"/>
  <c r="E201" i="44" s="1"/>
  <c r="I200" i="44"/>
  <c r="I201" i="44" s="1"/>
  <c r="M200" i="44"/>
  <c r="M201" i="44" s="1"/>
  <c r="Q200" i="44"/>
  <c r="Q201" i="44" s="1"/>
  <c r="U200" i="44"/>
  <c r="U201" i="44" s="1"/>
  <c r="Y200" i="44"/>
  <c r="Y201" i="44" s="1"/>
  <c r="AC200" i="44"/>
  <c r="AC201" i="44" s="1"/>
  <c r="F200" i="44"/>
  <c r="F201" i="44" s="1"/>
  <c r="J200" i="44"/>
  <c r="J201" i="44" s="1"/>
  <c r="N200" i="44"/>
  <c r="N201" i="44" s="1"/>
  <c r="R200" i="44"/>
  <c r="R201" i="44" s="1"/>
  <c r="V200" i="44"/>
  <c r="V201" i="44" s="1"/>
  <c r="Z200" i="44"/>
  <c r="Z201" i="44" s="1"/>
  <c r="AD200" i="44"/>
  <c r="AD201" i="44" s="1"/>
  <c r="AG13" i="45"/>
  <c r="AG16" i="45"/>
  <c r="AG20" i="45"/>
  <c r="AG25" i="45"/>
  <c r="AG24" i="45" s="1"/>
  <c r="AG41" i="50" s="1"/>
  <c r="AG9" i="50" l="1"/>
  <c r="AF23" i="25" l="1"/>
  <c r="AF30" i="25"/>
  <c r="AF47" i="25" s="1"/>
  <c r="AF31" i="25"/>
  <c r="AF48" i="25" s="1"/>
  <c r="AF33" i="25"/>
  <c r="AF50" i="25" s="1"/>
  <c r="AG58" i="49" s="1"/>
  <c r="AF34" i="25"/>
  <c r="AF51" i="25" s="1"/>
  <c r="AG47" i="49" s="1"/>
  <c r="AF40" i="25" l="1"/>
  <c r="AF29" i="25"/>
  <c r="AF32" i="25"/>
  <c r="AG14" i="45" l="1"/>
  <c r="AG12" i="45" s="1"/>
  <c r="AG43" i="50" s="1"/>
  <c r="AG11" i="54"/>
  <c r="AG9" i="54" s="1"/>
  <c r="AG12" i="54" s="1"/>
  <c r="AH13" i="54" s="1"/>
  <c r="AF49" i="25"/>
  <c r="AF46" i="25"/>
  <c r="AG34" i="27"/>
  <c r="AG21" i="45" l="1"/>
  <c r="AG24" i="54"/>
  <c r="AG29" i="45"/>
  <c r="AG44" i="54"/>
  <c r="AG42" i="54" s="1"/>
  <c r="AG47" i="54" s="1"/>
  <c r="AG187" i="27"/>
  <c r="AG189" i="27" s="1"/>
  <c r="AG212" i="27" s="1"/>
  <c r="AG309" i="27"/>
  <c r="AG310" i="27"/>
  <c r="AG312" i="27"/>
  <c r="F234" i="44"/>
  <c r="J238" i="44" s="1"/>
  <c r="J239" i="44" s="1"/>
  <c r="AH48" i="54" l="1"/>
  <c r="AG213" i="27"/>
  <c r="AG14" i="27"/>
  <c r="AG313" i="27"/>
  <c r="AG333" i="27" s="1"/>
  <c r="AG19" i="27" s="1"/>
  <c r="F238" i="44"/>
  <c r="F239" i="44" s="1"/>
  <c r="C207" i="44"/>
  <c r="C208" i="44" s="1"/>
  <c r="C209" i="44" s="1"/>
  <c r="C24" i="25" s="1"/>
  <c r="S207" i="44"/>
  <c r="S208" i="44" s="1"/>
  <c r="S209" i="44" s="1"/>
  <c r="S24" i="25" s="1"/>
  <c r="N207" i="44"/>
  <c r="N208" i="44" s="1"/>
  <c r="N209" i="44" s="1"/>
  <c r="N24" i="25" s="1"/>
  <c r="W207" i="44"/>
  <c r="W208" i="44" s="1"/>
  <c r="W209" i="44" s="1"/>
  <c r="W24" i="25" s="1"/>
  <c r="O207" i="44"/>
  <c r="O208" i="44" s="1"/>
  <c r="O209" i="44" s="1"/>
  <c r="O24" i="25" s="1"/>
  <c r="P207" i="44"/>
  <c r="P208" i="44" s="1"/>
  <c r="P209" i="44" s="1"/>
  <c r="P24" i="25" s="1"/>
  <c r="I207" i="44"/>
  <c r="I208" i="44" s="1"/>
  <c r="I209" i="44" s="1"/>
  <c r="I24" i="25" s="1"/>
  <c r="Y207" i="44"/>
  <c r="Y208" i="44" s="1"/>
  <c r="Y209" i="44" s="1"/>
  <c r="Y24" i="25" s="1"/>
  <c r="X207" i="44"/>
  <c r="X208" i="44" s="1"/>
  <c r="X209" i="44" s="1"/>
  <c r="X24" i="25" s="1"/>
  <c r="F207" i="44"/>
  <c r="F208" i="44" s="1"/>
  <c r="F209" i="44" s="1"/>
  <c r="F24" i="25" s="1"/>
  <c r="L207" i="44"/>
  <c r="L208" i="44" s="1"/>
  <c r="L209" i="44" s="1"/>
  <c r="L24" i="25" s="1"/>
  <c r="U207" i="44"/>
  <c r="U208" i="44" s="1"/>
  <c r="U209" i="44" s="1"/>
  <c r="U24" i="25" s="1"/>
  <c r="J207" i="44"/>
  <c r="J208" i="44" s="1"/>
  <c r="J209" i="44" s="1"/>
  <c r="J24" i="25" s="1"/>
  <c r="G207" i="44"/>
  <c r="G208" i="44" s="1"/>
  <c r="G209" i="44" s="1"/>
  <c r="G24" i="25" s="1"/>
  <c r="K207" i="44"/>
  <c r="K208" i="44" s="1"/>
  <c r="K209" i="44" s="1"/>
  <c r="K24" i="25" s="1"/>
  <c r="V207" i="44"/>
  <c r="V208" i="44" s="1"/>
  <c r="V209" i="44" s="1"/>
  <c r="V24" i="25" s="1"/>
  <c r="AE207" i="44"/>
  <c r="AE208" i="44" s="1"/>
  <c r="AE209" i="44" s="1"/>
  <c r="AE24" i="25" s="1"/>
  <c r="D207" i="44"/>
  <c r="D208" i="44" s="1"/>
  <c r="D209" i="44" s="1"/>
  <c r="D24" i="25" s="1"/>
  <c r="T207" i="44"/>
  <c r="T208" i="44" s="1"/>
  <c r="T209" i="44" s="1"/>
  <c r="T24" i="25" s="1"/>
  <c r="M207" i="44"/>
  <c r="M208" i="44" s="1"/>
  <c r="M209" i="44" s="1"/>
  <c r="M24" i="25" s="1"/>
  <c r="AC207" i="44"/>
  <c r="AC208" i="44" s="1"/>
  <c r="AC209" i="44" s="1"/>
  <c r="AC24" i="25" s="1"/>
  <c r="AA207" i="44"/>
  <c r="AA208" i="44" s="1"/>
  <c r="AA209" i="44" s="1"/>
  <c r="AA24" i="25" s="1"/>
  <c r="AD207" i="44"/>
  <c r="AD208" i="44" s="1"/>
  <c r="AD209" i="44" s="1"/>
  <c r="AD24" i="25" s="1"/>
  <c r="Q207" i="44"/>
  <c r="Q208" i="44" s="1"/>
  <c r="Q209" i="44" s="1"/>
  <c r="Q24" i="25" s="1"/>
  <c r="Z207" i="44"/>
  <c r="Z208" i="44" s="1"/>
  <c r="Z209" i="44" s="1"/>
  <c r="Z24" i="25" s="1"/>
  <c r="AB207" i="44"/>
  <c r="AB208" i="44" s="1"/>
  <c r="AB209" i="44" s="1"/>
  <c r="AB24" i="25" s="1"/>
  <c r="E207" i="44"/>
  <c r="E208" i="44" s="1"/>
  <c r="E209" i="44" s="1"/>
  <c r="E24" i="25" s="1"/>
  <c r="R207" i="44"/>
  <c r="R208" i="44" s="1"/>
  <c r="R209" i="44" s="1"/>
  <c r="R24" i="25" s="1"/>
  <c r="H207" i="44"/>
  <c r="H208" i="44" s="1"/>
  <c r="H209" i="44" s="1"/>
  <c r="H24" i="25" s="1"/>
  <c r="F203" i="44"/>
  <c r="F204" i="44" s="1"/>
  <c r="F205" i="44" s="1"/>
  <c r="R203" i="44"/>
  <c r="R204" i="44" s="1"/>
  <c r="R205" i="44" s="1"/>
  <c r="R25" i="25" s="1"/>
  <c r="L203" i="44"/>
  <c r="L204" i="44" s="1"/>
  <c r="L205" i="44" s="1"/>
  <c r="L25" i="25" s="1"/>
  <c r="AB203" i="44"/>
  <c r="AB204" i="44" s="1"/>
  <c r="AB205" i="44" s="1"/>
  <c r="AB25" i="25" s="1"/>
  <c r="Z203" i="44"/>
  <c r="Z204" i="44" s="1"/>
  <c r="Z205" i="44" s="1"/>
  <c r="Z25" i="25" s="1"/>
  <c r="Q203" i="44"/>
  <c r="Q204" i="44" s="1"/>
  <c r="Q205" i="44" s="1"/>
  <c r="Q25" i="25" s="1"/>
  <c r="O203" i="44"/>
  <c r="O204" i="44" s="1"/>
  <c r="O205" i="44" s="1"/>
  <c r="O25" i="25" s="1"/>
  <c r="AE203" i="44"/>
  <c r="AE204" i="44" s="1"/>
  <c r="AE205" i="44" s="1"/>
  <c r="Y203" i="44"/>
  <c r="Y204" i="44" s="1"/>
  <c r="Y205" i="44" s="1"/>
  <c r="Y25" i="25" s="1"/>
  <c r="G203" i="44"/>
  <c r="G204" i="44" s="1"/>
  <c r="G205" i="44" s="1"/>
  <c r="G25" i="25" s="1"/>
  <c r="H203" i="44"/>
  <c r="H204" i="44" s="1"/>
  <c r="H205" i="44" s="1"/>
  <c r="H25" i="25" s="1"/>
  <c r="M203" i="44"/>
  <c r="M204" i="44" s="1"/>
  <c r="M205" i="44" s="1"/>
  <c r="M25" i="25" s="1"/>
  <c r="P203" i="44"/>
  <c r="P204" i="44" s="1"/>
  <c r="P205" i="44" s="1"/>
  <c r="P25" i="25" s="1"/>
  <c r="E203" i="44"/>
  <c r="E204" i="44" s="1"/>
  <c r="E205" i="44" s="1"/>
  <c r="E25" i="25" s="1"/>
  <c r="U203" i="44"/>
  <c r="U204" i="44" s="1"/>
  <c r="U205" i="44" s="1"/>
  <c r="U25" i="25" s="1"/>
  <c r="C203" i="44"/>
  <c r="C204" i="44" s="1"/>
  <c r="C205" i="44" s="1"/>
  <c r="S203" i="44"/>
  <c r="S204" i="44" s="1"/>
  <c r="S205" i="44" s="1"/>
  <c r="D203" i="44"/>
  <c r="D204" i="44" s="1"/>
  <c r="D205" i="44" s="1"/>
  <c r="D25" i="25" s="1"/>
  <c r="T203" i="44"/>
  <c r="T204" i="44" s="1"/>
  <c r="T205" i="44" s="1"/>
  <c r="T25" i="25" s="1"/>
  <c r="I203" i="44"/>
  <c r="I204" i="44" s="1"/>
  <c r="I205" i="44" s="1"/>
  <c r="I25" i="25" s="1"/>
  <c r="N203" i="44"/>
  <c r="N204" i="44" s="1"/>
  <c r="N205" i="44" s="1"/>
  <c r="W203" i="44"/>
  <c r="W204" i="44" s="1"/>
  <c r="W205" i="44" s="1"/>
  <c r="W25" i="25" s="1"/>
  <c r="J203" i="44"/>
  <c r="J204" i="44" s="1"/>
  <c r="J205" i="44" s="1"/>
  <c r="J25" i="25" s="1"/>
  <c r="AC203" i="44"/>
  <c r="AC204" i="44" s="1"/>
  <c r="AC205" i="44" s="1"/>
  <c r="K203" i="44"/>
  <c r="K204" i="44" s="1"/>
  <c r="K205" i="44" s="1"/>
  <c r="K25" i="25" s="1"/>
  <c r="AA203" i="44"/>
  <c r="AA204" i="44" s="1"/>
  <c r="AA205" i="44" s="1"/>
  <c r="AA25" i="25" s="1"/>
  <c r="X203" i="44"/>
  <c r="X204" i="44" s="1"/>
  <c r="X205" i="44" s="1"/>
  <c r="X25" i="25" s="1"/>
  <c r="V203" i="44"/>
  <c r="V204" i="44" s="1"/>
  <c r="V205" i="44" s="1"/>
  <c r="AD203" i="44"/>
  <c r="AD204" i="44" s="1"/>
  <c r="AD205" i="44" s="1"/>
  <c r="AD25" i="25" s="1"/>
  <c r="E238" i="44"/>
  <c r="E239" i="44" s="1"/>
  <c r="I238" i="44"/>
  <c r="I239" i="44" s="1"/>
  <c r="M238" i="44"/>
  <c r="M239" i="44" s="1"/>
  <c r="Q238" i="44"/>
  <c r="Q239" i="44" s="1"/>
  <c r="U238" i="44"/>
  <c r="U239" i="44" s="1"/>
  <c r="Y238" i="44"/>
  <c r="Y239" i="44" s="1"/>
  <c r="AC238" i="44"/>
  <c r="AC239" i="44" s="1"/>
  <c r="N238" i="44"/>
  <c r="N239" i="44" s="1"/>
  <c r="R238" i="44"/>
  <c r="R239" i="44" s="1"/>
  <c r="D238" i="44"/>
  <c r="D239" i="44" s="1"/>
  <c r="H238" i="44"/>
  <c r="H239" i="44" s="1"/>
  <c r="L238" i="44"/>
  <c r="L239" i="44" s="1"/>
  <c r="P238" i="44"/>
  <c r="P239" i="44" s="1"/>
  <c r="T238" i="44"/>
  <c r="T239" i="44" s="1"/>
  <c r="X238" i="44"/>
  <c r="X239" i="44" s="1"/>
  <c r="AB238" i="44"/>
  <c r="AB239" i="44" s="1"/>
  <c r="AD238" i="44"/>
  <c r="AD239" i="44" s="1"/>
  <c r="V238" i="44"/>
  <c r="V239" i="44" s="1"/>
  <c r="Z238" i="44"/>
  <c r="Z239" i="44" s="1"/>
  <c r="C238" i="44"/>
  <c r="C239" i="44" s="1"/>
  <c r="G238" i="44"/>
  <c r="G239" i="44" s="1"/>
  <c r="K238" i="44"/>
  <c r="K239" i="44" s="1"/>
  <c r="O238" i="44"/>
  <c r="O239" i="44" s="1"/>
  <c r="S238" i="44"/>
  <c r="S239" i="44" s="1"/>
  <c r="W238" i="44"/>
  <c r="W239" i="44" s="1"/>
  <c r="AA238" i="44"/>
  <c r="AA239" i="44" s="1"/>
  <c r="AE238" i="44"/>
  <c r="AE239" i="44" s="1"/>
  <c r="M218" i="44"/>
  <c r="V210" i="44" l="1"/>
  <c r="V25" i="25"/>
  <c r="AC210" i="44"/>
  <c r="AC25" i="25"/>
  <c r="C210" i="44"/>
  <c r="C25" i="25"/>
  <c r="AE210" i="44"/>
  <c r="AE25" i="25"/>
  <c r="N210" i="44"/>
  <c r="N25" i="25"/>
  <c r="S210" i="44"/>
  <c r="S25" i="25"/>
  <c r="F210" i="44"/>
  <c r="F25" i="25"/>
  <c r="H210" i="44"/>
  <c r="X210" i="44"/>
  <c r="W210" i="44"/>
  <c r="R210" i="44"/>
  <c r="AD210" i="44"/>
  <c r="K210" i="44"/>
  <c r="AA210" i="44"/>
  <c r="G210" i="44"/>
  <c r="J210" i="44"/>
  <c r="O210" i="44"/>
  <c r="Q210" i="44"/>
  <c r="M210" i="44"/>
  <c r="U210" i="44"/>
  <c r="Y210" i="44"/>
  <c r="E210" i="44"/>
  <c r="T210" i="44"/>
  <c r="L210" i="44"/>
  <c r="I210" i="44"/>
  <c r="Z210" i="44"/>
  <c r="AB210" i="44"/>
  <c r="D210" i="44"/>
  <c r="P210" i="44"/>
  <c r="AE180" i="44"/>
  <c r="AE141" i="44"/>
  <c r="AE85" i="44"/>
  <c r="AG28" i="45" l="1"/>
  <c r="AG27" i="45" s="1"/>
  <c r="AG40" i="50" s="1"/>
  <c r="AG8" i="50" l="1"/>
  <c r="AG62" i="27"/>
  <c r="AF62" i="27" l="1"/>
  <c r="AF8" i="17"/>
  <c r="AF11" i="17"/>
  <c r="AE218" i="44"/>
  <c r="AE123" i="44"/>
  <c r="AE104" i="44"/>
  <c r="AD55" i="29" l="1"/>
  <c r="AD47" i="29"/>
  <c r="AD53" i="29" s="1"/>
  <c r="AD48" i="29"/>
  <c r="AD54" i="29" s="1"/>
  <c r="D47" i="29"/>
  <c r="D53" i="29" s="1"/>
  <c r="E47" i="29"/>
  <c r="E53" i="29" s="1"/>
  <c r="F47" i="29"/>
  <c r="F53" i="29" s="1"/>
  <c r="G47" i="29"/>
  <c r="G53" i="29" s="1"/>
  <c r="H47" i="29"/>
  <c r="H53" i="29" s="1"/>
  <c r="I47" i="29"/>
  <c r="J47" i="29"/>
  <c r="J53" i="29" s="1"/>
  <c r="K47" i="29"/>
  <c r="K53" i="29" s="1"/>
  <c r="L47" i="29"/>
  <c r="L53" i="29" s="1"/>
  <c r="M47" i="29"/>
  <c r="M53" i="29" s="1"/>
  <c r="N47" i="29"/>
  <c r="N53" i="29" s="1"/>
  <c r="O47" i="29"/>
  <c r="O53" i="29" s="1"/>
  <c r="P47" i="29"/>
  <c r="P53" i="29" s="1"/>
  <c r="Q47" i="29"/>
  <c r="R47" i="29"/>
  <c r="R53" i="29" s="1"/>
  <c r="S47" i="29"/>
  <c r="S53" i="29" s="1"/>
  <c r="T47" i="29"/>
  <c r="T53" i="29" s="1"/>
  <c r="U47" i="29"/>
  <c r="U53" i="29" s="1"/>
  <c r="V47" i="29"/>
  <c r="V53" i="29" s="1"/>
  <c r="W47" i="29"/>
  <c r="W53" i="29" s="1"/>
  <c r="X47" i="29"/>
  <c r="X53" i="29" s="1"/>
  <c r="Y47" i="29"/>
  <c r="Z47" i="29"/>
  <c r="Z53" i="29" s="1"/>
  <c r="AA47" i="29"/>
  <c r="AA53" i="29" s="1"/>
  <c r="AB47" i="29"/>
  <c r="AB53" i="29" s="1"/>
  <c r="AC47" i="29"/>
  <c r="AC53" i="29" s="1"/>
  <c r="D48" i="29"/>
  <c r="D54" i="29" s="1"/>
  <c r="E48" i="29"/>
  <c r="E54" i="29" s="1"/>
  <c r="F48" i="29"/>
  <c r="F54" i="29" s="1"/>
  <c r="G48" i="29"/>
  <c r="H48" i="29"/>
  <c r="H54" i="29" s="1"/>
  <c r="I48" i="29"/>
  <c r="I54" i="29" s="1"/>
  <c r="J48" i="29"/>
  <c r="J54" i="29" s="1"/>
  <c r="K48" i="29"/>
  <c r="K54" i="29" s="1"/>
  <c r="L48" i="29"/>
  <c r="L54" i="29" s="1"/>
  <c r="M48" i="29"/>
  <c r="M54" i="29" s="1"/>
  <c r="N48" i="29"/>
  <c r="N54" i="29" s="1"/>
  <c r="O48" i="29"/>
  <c r="P48" i="29"/>
  <c r="P54" i="29" s="1"/>
  <c r="Q48" i="29"/>
  <c r="Q54" i="29" s="1"/>
  <c r="R48" i="29"/>
  <c r="R54" i="29" s="1"/>
  <c r="S48" i="29"/>
  <c r="S54" i="29" s="1"/>
  <c r="T48" i="29"/>
  <c r="T54" i="29" s="1"/>
  <c r="U48" i="29"/>
  <c r="U54" i="29" s="1"/>
  <c r="V48" i="29"/>
  <c r="V54" i="29" s="1"/>
  <c r="W48" i="29"/>
  <c r="X48" i="29"/>
  <c r="X54" i="29" s="1"/>
  <c r="Y48" i="29"/>
  <c r="Y54" i="29" s="1"/>
  <c r="Z48" i="29"/>
  <c r="Z54" i="29" s="1"/>
  <c r="AA48" i="29"/>
  <c r="AA54" i="29" s="1"/>
  <c r="AB48" i="29"/>
  <c r="AB54" i="29" s="1"/>
  <c r="AC48" i="29"/>
  <c r="AC54" i="29" s="1"/>
  <c r="I53" i="29"/>
  <c r="Q53" i="29"/>
  <c r="Y53" i="29"/>
  <c r="G54" i="29"/>
  <c r="O54" i="29"/>
  <c r="W54" i="29"/>
  <c r="D55" i="29"/>
  <c r="E55" i="29"/>
  <c r="F55" i="29"/>
  <c r="G55" i="29"/>
  <c r="H55" i="29"/>
  <c r="I55" i="29"/>
  <c r="J55" i="29"/>
  <c r="K55" i="29"/>
  <c r="L55" i="29"/>
  <c r="M55" i="29"/>
  <c r="N55" i="29"/>
  <c r="O55" i="29"/>
  <c r="P55" i="29"/>
  <c r="Q55" i="29"/>
  <c r="R55" i="29"/>
  <c r="S55" i="29"/>
  <c r="T55" i="29"/>
  <c r="U55" i="29"/>
  <c r="V55" i="29"/>
  <c r="W55" i="29"/>
  <c r="X55" i="29"/>
  <c r="Y55" i="29"/>
  <c r="Z55" i="29"/>
  <c r="AA55" i="29"/>
  <c r="AB55" i="29"/>
  <c r="AC55" i="29"/>
  <c r="J56" i="29" l="1"/>
  <c r="K38" i="45" s="1"/>
  <c r="K47" i="50" s="1"/>
  <c r="K56" i="29"/>
  <c r="L38" i="45" s="1"/>
  <c r="L47" i="50" s="1"/>
  <c r="AD56" i="29"/>
  <c r="AA56" i="29"/>
  <c r="AB38" i="45" s="1"/>
  <c r="AB47" i="50" s="1"/>
  <c r="Z56" i="29"/>
  <c r="AA38" i="45" s="1"/>
  <c r="AA47" i="50" s="1"/>
  <c r="S56" i="29"/>
  <c r="T38" i="45" s="1"/>
  <c r="T47" i="50" s="1"/>
  <c r="R56" i="29"/>
  <c r="S38" i="45" s="1"/>
  <c r="S47" i="50" s="1"/>
  <c r="W56" i="29"/>
  <c r="X38" i="45" s="1"/>
  <c r="X47" i="50" s="1"/>
  <c r="O56" i="29"/>
  <c r="P38" i="45" s="1"/>
  <c r="P47" i="50" s="1"/>
  <c r="G56" i="29"/>
  <c r="H38" i="45" s="1"/>
  <c r="H47" i="50" s="1"/>
  <c r="V56" i="29"/>
  <c r="W38" i="45" s="1"/>
  <c r="W47" i="50" s="1"/>
  <c r="N56" i="29"/>
  <c r="O38" i="45" s="1"/>
  <c r="O47" i="50" s="1"/>
  <c r="F56" i="29"/>
  <c r="G38" i="45" s="1"/>
  <c r="G47" i="50" s="1"/>
  <c r="AC56" i="29"/>
  <c r="AD38" i="45" s="1"/>
  <c r="AD47" i="50" s="1"/>
  <c r="Y56" i="29"/>
  <c r="Z38" i="45" s="1"/>
  <c r="Z47" i="50" s="1"/>
  <c r="U56" i="29"/>
  <c r="V38" i="45" s="1"/>
  <c r="V47" i="50" s="1"/>
  <c r="Q56" i="29"/>
  <c r="R38" i="45" s="1"/>
  <c r="R47" i="50" s="1"/>
  <c r="M56" i="29"/>
  <c r="N38" i="45" s="1"/>
  <c r="N47" i="50" s="1"/>
  <c r="I56" i="29"/>
  <c r="J38" i="45" s="1"/>
  <c r="J47" i="50" s="1"/>
  <c r="E56" i="29"/>
  <c r="F38" i="45" s="1"/>
  <c r="F47" i="50" s="1"/>
  <c r="AB56" i="29"/>
  <c r="AC38" i="45" s="1"/>
  <c r="AC47" i="50" s="1"/>
  <c r="X56" i="29"/>
  <c r="Y38" i="45" s="1"/>
  <c r="Y47" i="50" s="1"/>
  <c r="T56" i="29"/>
  <c r="U38" i="45" s="1"/>
  <c r="U47" i="50" s="1"/>
  <c r="P56" i="29"/>
  <c r="Q38" i="45" s="1"/>
  <c r="Q47" i="50" s="1"/>
  <c r="L56" i="29"/>
  <c r="M38" i="45" s="1"/>
  <c r="M47" i="50" s="1"/>
  <c r="H56" i="29"/>
  <c r="I38" i="45" s="1"/>
  <c r="I47" i="50" s="1"/>
  <c r="D56" i="29"/>
  <c r="E38" i="45" s="1"/>
  <c r="E47" i="50" s="1"/>
  <c r="AE59" i="25" l="1"/>
  <c r="AE130" i="26" l="1"/>
  <c r="AE132" i="26" s="1"/>
  <c r="AD130" i="26"/>
  <c r="AD131" i="26"/>
  <c r="AD132" i="26" l="1"/>
  <c r="AE8" i="31"/>
  <c r="AE32" i="31"/>
  <c r="AE33" i="31"/>
  <c r="AE31" i="31"/>
  <c r="AE29" i="31" s="1"/>
  <c r="AE164" i="44"/>
  <c r="AE55" i="31"/>
  <c r="AE56" i="31" s="1"/>
  <c r="AE57" i="31"/>
  <c r="AE25" i="31"/>
  <c r="AE10" i="31" s="1"/>
  <c r="AE51" i="44"/>
  <c r="AE45" i="31"/>
  <c r="AE46" i="31" s="1"/>
  <c r="AE11" i="31" l="1"/>
  <c r="AF35" i="45" l="1"/>
  <c r="AF44" i="50" s="1"/>
  <c r="AF36" i="45"/>
  <c r="AE26" i="45"/>
  <c r="AF30" i="45" l="1"/>
  <c r="AF31" i="45"/>
  <c r="AF41" i="45" l="1"/>
  <c r="AF13" i="45"/>
  <c r="AF16" i="45"/>
  <c r="AF20" i="45"/>
  <c r="AF22" i="45"/>
  <c r="AF25" i="45"/>
  <c r="AE41" i="25"/>
  <c r="AE42" i="25"/>
  <c r="AE23" i="25"/>
  <c r="AE12" i="47"/>
  <c r="AE14" i="47"/>
  <c r="AE16" i="47"/>
  <c r="AE40" i="25" l="1"/>
  <c r="AF24" i="45"/>
  <c r="AF41" i="50" s="1"/>
  <c r="AF14" i="45" l="1"/>
  <c r="AF12" i="45" s="1"/>
  <c r="AF43" i="50" s="1"/>
  <c r="AF11" i="54"/>
  <c r="AF9" i="54" s="1"/>
  <c r="AF12" i="54" s="1"/>
  <c r="AF34" i="49"/>
  <c r="AF37" i="49"/>
  <c r="AF38" i="49"/>
  <c r="AF41" i="49"/>
  <c r="AF42" i="49"/>
  <c r="AF44" i="49"/>
  <c r="AF48" i="49"/>
  <c r="AF51" i="49"/>
  <c r="AF52" i="49"/>
  <c r="AF55" i="49"/>
  <c r="AF59" i="49"/>
  <c r="AF60" i="49"/>
  <c r="AF62" i="49"/>
  <c r="AF65" i="49"/>
  <c r="AF66" i="49"/>
  <c r="AF67" i="49"/>
  <c r="AF69" i="49"/>
  <c r="AG13" i="54" l="1"/>
  <c r="AF27" i="49"/>
  <c r="AF26" i="49"/>
  <c r="AF68" i="49"/>
  <c r="AF34" i="27"/>
  <c r="AF187" i="27" l="1"/>
  <c r="AF189" i="27" s="1"/>
  <c r="AF212" i="27" s="1"/>
  <c r="AF312" i="27"/>
  <c r="AF310" i="27"/>
  <c r="AF309" i="27"/>
  <c r="AF313" i="27" s="1"/>
  <c r="AF333" i="27" s="1"/>
  <c r="AF19" i="27" s="1"/>
  <c r="AE8" i="17"/>
  <c r="AE11" i="17"/>
  <c r="AF213" i="27" l="1"/>
  <c r="AF14" i="27"/>
  <c r="AD180" i="44"/>
  <c r="AD141" i="44"/>
  <c r="AD85" i="44"/>
  <c r="AD13" i="44"/>
  <c r="AF9" i="50" l="1"/>
  <c r="AF11" i="50"/>
  <c r="AF12" i="50"/>
  <c r="AF28" i="45"/>
  <c r="AD218" i="44" l="1"/>
  <c r="AD123" i="44"/>
  <c r="AD104" i="44"/>
  <c r="AD33" i="31" l="1"/>
  <c r="AE52" i="49" s="1"/>
  <c r="AC33" i="31"/>
  <c r="AB33" i="31"/>
  <c r="AD32" i="31"/>
  <c r="AE60" i="49" s="1"/>
  <c r="AC32" i="31"/>
  <c r="AD60" i="49" s="1"/>
  <c r="AB32" i="31"/>
  <c r="AD31" i="31"/>
  <c r="AD29" i="31" s="1"/>
  <c r="AC31" i="31"/>
  <c r="AC29" i="31" s="1"/>
  <c r="AB31" i="31"/>
  <c r="AB29" i="31" s="1"/>
  <c r="F10" i="44"/>
  <c r="I10" i="44"/>
  <c r="L10" i="44"/>
  <c r="C13" i="44"/>
  <c r="D13" i="44"/>
  <c r="D14" i="44" s="1"/>
  <c r="D15" i="44" s="1"/>
  <c r="D11" i="47" s="1"/>
  <c r="E13" i="44"/>
  <c r="F13" i="44"/>
  <c r="G13" i="44"/>
  <c r="H13" i="44"/>
  <c r="H14" i="44" s="1"/>
  <c r="H15" i="44" s="1"/>
  <c r="I13" i="44"/>
  <c r="J13" i="44"/>
  <c r="K13" i="44"/>
  <c r="L13" i="44"/>
  <c r="L14" i="44" s="1"/>
  <c r="L15" i="44" s="1"/>
  <c r="L11" i="47" s="1"/>
  <c r="M13" i="44"/>
  <c r="M14" i="44" s="1"/>
  <c r="M15" i="44" s="1"/>
  <c r="M11" i="47" s="1"/>
  <c r="N13" i="44"/>
  <c r="O13" i="44"/>
  <c r="P13" i="44"/>
  <c r="P14" i="44" s="1"/>
  <c r="P15" i="44" s="1"/>
  <c r="Q13" i="44"/>
  <c r="Q14" i="44" s="1"/>
  <c r="Q15" i="44" s="1"/>
  <c r="Q11" i="47" s="1"/>
  <c r="R13" i="44"/>
  <c r="S13" i="44"/>
  <c r="T13" i="44"/>
  <c r="T14" i="44" s="1"/>
  <c r="T15" i="44" s="1"/>
  <c r="T11" i="47" s="1"/>
  <c r="U13" i="44"/>
  <c r="U14" i="44" s="1"/>
  <c r="U15" i="44" s="1"/>
  <c r="U11" i="47" s="1"/>
  <c r="V13" i="44"/>
  <c r="W13" i="44"/>
  <c r="X13" i="44"/>
  <c r="X14" i="44" s="1"/>
  <c r="X15" i="44" s="1"/>
  <c r="Y13" i="44"/>
  <c r="Y14" i="44" s="1"/>
  <c r="Y15" i="44" s="1"/>
  <c r="Y11" i="47" s="1"/>
  <c r="Z13" i="44"/>
  <c r="AA13" i="44"/>
  <c r="AB13" i="44"/>
  <c r="AB14" i="44" s="1"/>
  <c r="AB15" i="44" s="1"/>
  <c r="AB11" i="47" s="1"/>
  <c r="AC13" i="44"/>
  <c r="AC14" i="44" s="1"/>
  <c r="AC15" i="44" s="1"/>
  <c r="AC11" i="47" s="1"/>
  <c r="F28" i="44"/>
  <c r="I28" i="44"/>
  <c r="C34" i="44" s="1"/>
  <c r="C35" i="44" s="1"/>
  <c r="C36" i="44" s="1"/>
  <c r="C34" i="25" s="1"/>
  <c r="C51" i="25" s="1"/>
  <c r="D47" i="49" s="1"/>
  <c r="L28" i="44"/>
  <c r="AE38" i="44" s="1"/>
  <c r="AE39" i="44" s="1"/>
  <c r="AE40" i="44" s="1"/>
  <c r="AE33" i="25" s="1"/>
  <c r="L30" i="44"/>
  <c r="M30" i="44"/>
  <c r="M31" i="44" s="1"/>
  <c r="M32" i="44" s="1"/>
  <c r="C31" i="44"/>
  <c r="C32" i="44" s="1"/>
  <c r="J31" i="44"/>
  <c r="R31" i="44"/>
  <c r="S31" i="44"/>
  <c r="S32" i="44" s="1"/>
  <c r="S13" i="47" s="1"/>
  <c r="Z31" i="44"/>
  <c r="Z32" i="44" s="1"/>
  <c r="J32" i="44"/>
  <c r="J13" i="47" s="1"/>
  <c r="R32" i="44"/>
  <c r="R13" i="47" s="1"/>
  <c r="N38" i="44"/>
  <c r="N39" i="44" s="1"/>
  <c r="N40" i="44" s="1"/>
  <c r="N33" i="25" s="1"/>
  <c r="N50" i="25" s="1"/>
  <c r="O58" i="49" s="1"/>
  <c r="R38" i="44"/>
  <c r="R39" i="44" s="1"/>
  <c r="R40" i="44" s="1"/>
  <c r="R33" i="25" s="1"/>
  <c r="R50" i="25" s="1"/>
  <c r="S58" i="49" s="1"/>
  <c r="Z38" i="44"/>
  <c r="Z39" i="44" s="1"/>
  <c r="Z40" i="44" s="1"/>
  <c r="Z33" i="25" s="1"/>
  <c r="Z50" i="25" s="1"/>
  <c r="AA58" i="49" s="1"/>
  <c r="AD38" i="44"/>
  <c r="AD39" i="44" s="1"/>
  <c r="AD40" i="44" s="1"/>
  <c r="AD33" i="25" s="1"/>
  <c r="AD50" i="25" s="1"/>
  <c r="AE58" i="49" s="1"/>
  <c r="F47" i="44"/>
  <c r="I50" i="44" s="1"/>
  <c r="I51" i="44" s="1"/>
  <c r="W50" i="44"/>
  <c r="W51" i="44" s="1"/>
  <c r="W12" i="47" s="1"/>
  <c r="X50" i="44"/>
  <c r="X51" i="44" s="1"/>
  <c r="X12" i="47" s="1"/>
  <c r="Y50" i="44"/>
  <c r="Y51" i="44" s="1"/>
  <c r="Z50" i="44"/>
  <c r="Z51" i="44" s="1"/>
  <c r="Z12" i="47" s="1"/>
  <c r="AA51" i="44"/>
  <c r="AA12" i="47" s="1"/>
  <c r="AB51" i="44"/>
  <c r="AB12" i="47" s="1"/>
  <c r="AC51" i="44"/>
  <c r="AD51" i="44"/>
  <c r="F64" i="44"/>
  <c r="I64" i="44"/>
  <c r="L64" i="44"/>
  <c r="L70" i="44"/>
  <c r="L71" i="44" s="1"/>
  <c r="L72" i="44" s="1"/>
  <c r="C74" i="44"/>
  <c r="C75" i="44" s="1"/>
  <c r="C76" i="44" s="1"/>
  <c r="H74" i="44"/>
  <c r="H75" i="44" s="1"/>
  <c r="H76" i="44" s="1"/>
  <c r="L74" i="44"/>
  <c r="L75" i="44" s="1"/>
  <c r="L76" i="44" s="1"/>
  <c r="N74" i="44"/>
  <c r="S74" i="44"/>
  <c r="S75" i="44" s="1"/>
  <c r="S76" i="44" s="1"/>
  <c r="W74" i="44"/>
  <c r="W75" i="44" s="1"/>
  <c r="W76" i="44" s="1"/>
  <c r="X74" i="44"/>
  <c r="X75" i="44" s="1"/>
  <c r="X76" i="44" s="1"/>
  <c r="AD74" i="44"/>
  <c r="AD75" i="44" s="1"/>
  <c r="AD76" i="44" s="1"/>
  <c r="N75" i="44"/>
  <c r="N76" i="44" s="1"/>
  <c r="F82" i="44"/>
  <c r="C85" i="44"/>
  <c r="D85" i="44"/>
  <c r="D86" i="44" s="1"/>
  <c r="D87" i="44" s="1"/>
  <c r="E85" i="44"/>
  <c r="F85" i="44"/>
  <c r="G85" i="44"/>
  <c r="H85" i="44"/>
  <c r="H86" i="44" s="1"/>
  <c r="H87" i="44" s="1"/>
  <c r="I85" i="44"/>
  <c r="J85" i="44"/>
  <c r="K85" i="44"/>
  <c r="L85" i="44"/>
  <c r="L86" i="44" s="1"/>
  <c r="L87" i="44" s="1"/>
  <c r="M85" i="44"/>
  <c r="N85" i="44"/>
  <c r="O85" i="44"/>
  <c r="P85" i="44"/>
  <c r="P86" i="44" s="1"/>
  <c r="P87" i="44" s="1"/>
  <c r="Q85" i="44"/>
  <c r="R85" i="44"/>
  <c r="S85" i="44"/>
  <c r="T85" i="44"/>
  <c r="T86" i="44" s="1"/>
  <c r="T87" i="44" s="1"/>
  <c r="U85" i="44"/>
  <c r="V85" i="44"/>
  <c r="W85" i="44"/>
  <c r="X85" i="44"/>
  <c r="X86" i="44" s="1"/>
  <c r="X87" i="44" s="1"/>
  <c r="Y85" i="44"/>
  <c r="Z85" i="44"/>
  <c r="AA85" i="44"/>
  <c r="AB85" i="44"/>
  <c r="AB86" i="44" s="1"/>
  <c r="AB87" i="44" s="1"/>
  <c r="AC85" i="44"/>
  <c r="F101" i="44"/>
  <c r="I101" i="44"/>
  <c r="L101" i="44"/>
  <c r="C104" i="44"/>
  <c r="D104" i="44"/>
  <c r="E104" i="44"/>
  <c r="E108" i="44" s="1"/>
  <c r="E109" i="44" s="1"/>
  <c r="E110" i="44" s="1"/>
  <c r="F104" i="44"/>
  <c r="G104" i="44"/>
  <c r="H104" i="44"/>
  <c r="I104" i="44"/>
  <c r="I108" i="44" s="1"/>
  <c r="I109" i="44" s="1"/>
  <c r="I110" i="44" s="1"/>
  <c r="J104" i="44"/>
  <c r="K104" i="44"/>
  <c r="L104" i="44"/>
  <c r="M104" i="44"/>
  <c r="M105" i="44" s="1"/>
  <c r="M106" i="44" s="1"/>
  <c r="N104" i="44"/>
  <c r="N112" i="44" s="1"/>
  <c r="N113" i="44" s="1"/>
  <c r="N114" i="44" s="1"/>
  <c r="O104" i="44"/>
  <c r="P104" i="44"/>
  <c r="P105" i="44" s="1"/>
  <c r="P106" i="44" s="1"/>
  <c r="Q104" i="44"/>
  <c r="Q108" i="44" s="1"/>
  <c r="Q109" i="44" s="1"/>
  <c r="Q110" i="44" s="1"/>
  <c r="R104" i="44"/>
  <c r="S104" i="44"/>
  <c r="T104" i="44"/>
  <c r="U104" i="44"/>
  <c r="U108" i="44" s="1"/>
  <c r="U109" i="44" s="1"/>
  <c r="U110" i="44" s="1"/>
  <c r="V104" i="44"/>
  <c r="W104" i="44"/>
  <c r="X104" i="44"/>
  <c r="Y104" i="44"/>
  <c r="Y108" i="44" s="1"/>
  <c r="Y109" i="44" s="1"/>
  <c r="Y110" i="44" s="1"/>
  <c r="Z104" i="44"/>
  <c r="AA104" i="44"/>
  <c r="AB104" i="44"/>
  <c r="AC104" i="44"/>
  <c r="AC108" i="44" s="1"/>
  <c r="AC109" i="44" s="1"/>
  <c r="AC110" i="44" s="1"/>
  <c r="F120" i="44"/>
  <c r="I120" i="44"/>
  <c r="L120" i="44"/>
  <c r="C123" i="44"/>
  <c r="D123" i="44"/>
  <c r="E123" i="44"/>
  <c r="E127" i="44" s="1"/>
  <c r="E128" i="44" s="1"/>
  <c r="E129" i="44" s="1"/>
  <c r="E31" i="25" s="1"/>
  <c r="E48" i="25" s="1"/>
  <c r="F123" i="44"/>
  <c r="F131" i="44" s="1"/>
  <c r="F132" i="44" s="1"/>
  <c r="F133" i="44" s="1"/>
  <c r="F30" i="25" s="1"/>
  <c r="F47" i="25" s="1"/>
  <c r="G123" i="44"/>
  <c r="H123" i="44"/>
  <c r="I123" i="44"/>
  <c r="I127" i="44" s="1"/>
  <c r="I128" i="44" s="1"/>
  <c r="I129" i="44" s="1"/>
  <c r="I31" i="25" s="1"/>
  <c r="I48" i="25" s="1"/>
  <c r="J123" i="44"/>
  <c r="J131" i="44" s="1"/>
  <c r="J132" i="44" s="1"/>
  <c r="J133" i="44" s="1"/>
  <c r="J30" i="25" s="1"/>
  <c r="J47" i="25" s="1"/>
  <c r="K123" i="44"/>
  <c r="L123" i="44"/>
  <c r="M123" i="44"/>
  <c r="M127" i="44" s="1"/>
  <c r="M128" i="44" s="1"/>
  <c r="M129" i="44" s="1"/>
  <c r="M31" i="25" s="1"/>
  <c r="M48" i="25" s="1"/>
  <c r="N123" i="44"/>
  <c r="N131" i="44" s="1"/>
  <c r="N132" i="44" s="1"/>
  <c r="N133" i="44" s="1"/>
  <c r="O123" i="44"/>
  <c r="O124" i="44" s="1"/>
  <c r="O125" i="44" s="1"/>
  <c r="P123" i="44"/>
  <c r="Q123" i="44"/>
  <c r="Q127" i="44" s="1"/>
  <c r="Q128" i="44" s="1"/>
  <c r="Q129" i="44" s="1"/>
  <c r="R123" i="44"/>
  <c r="R131" i="44" s="1"/>
  <c r="R132" i="44" s="1"/>
  <c r="R133" i="44" s="1"/>
  <c r="R30" i="25" s="1"/>
  <c r="R47" i="25" s="1"/>
  <c r="S123" i="44"/>
  <c r="T123" i="44"/>
  <c r="U123" i="44"/>
  <c r="U127" i="44" s="1"/>
  <c r="U128" i="44" s="1"/>
  <c r="U129" i="44" s="1"/>
  <c r="U31" i="25" s="1"/>
  <c r="U48" i="25" s="1"/>
  <c r="V123" i="44"/>
  <c r="W123" i="44"/>
  <c r="X123" i="44"/>
  <c r="Y123" i="44"/>
  <c r="Y127" i="44" s="1"/>
  <c r="Y128" i="44" s="1"/>
  <c r="Y129" i="44" s="1"/>
  <c r="Y31" i="25" s="1"/>
  <c r="Y48" i="25" s="1"/>
  <c r="Z123" i="44"/>
  <c r="Z131" i="44" s="1"/>
  <c r="Z132" i="44" s="1"/>
  <c r="Z133" i="44" s="1"/>
  <c r="Z30" i="25" s="1"/>
  <c r="Z47" i="25" s="1"/>
  <c r="AA123" i="44"/>
  <c r="AB123" i="44"/>
  <c r="AC123" i="44"/>
  <c r="F138" i="44"/>
  <c r="C141" i="44"/>
  <c r="D141" i="44"/>
  <c r="D142" i="44" s="1"/>
  <c r="D143" i="44" s="1"/>
  <c r="E141" i="44"/>
  <c r="F141" i="44"/>
  <c r="G141" i="44"/>
  <c r="H141" i="44"/>
  <c r="H142" i="44" s="1"/>
  <c r="H143" i="44" s="1"/>
  <c r="I141" i="44"/>
  <c r="J141" i="44"/>
  <c r="K141" i="44"/>
  <c r="L141" i="44"/>
  <c r="L142" i="44" s="1"/>
  <c r="L143" i="44" s="1"/>
  <c r="M141" i="44"/>
  <c r="N141" i="44"/>
  <c r="O141" i="44"/>
  <c r="P141" i="44"/>
  <c r="P142" i="44" s="1"/>
  <c r="P143" i="44" s="1"/>
  <c r="Q141" i="44"/>
  <c r="R141" i="44"/>
  <c r="S141" i="44"/>
  <c r="T141" i="44"/>
  <c r="T142" i="44" s="1"/>
  <c r="T143" i="44" s="1"/>
  <c r="U141" i="44"/>
  <c r="V141" i="44"/>
  <c r="W141" i="44"/>
  <c r="X141" i="44"/>
  <c r="X142" i="44" s="1"/>
  <c r="X143" i="44" s="1"/>
  <c r="Y141" i="44"/>
  <c r="Z141" i="44"/>
  <c r="AA141" i="44"/>
  <c r="AB141" i="44"/>
  <c r="AB142" i="44" s="1"/>
  <c r="AB143" i="44" s="1"/>
  <c r="AC141" i="44"/>
  <c r="F158" i="44"/>
  <c r="Q163" i="44" s="1"/>
  <c r="Q164" i="44" s="1"/>
  <c r="C162" i="44"/>
  <c r="D162" i="44"/>
  <c r="E162" i="44"/>
  <c r="E166" i="44" s="1"/>
  <c r="E167" i="44" s="1"/>
  <c r="E168" i="44" s="1"/>
  <c r="F162" i="44"/>
  <c r="F163" i="44" s="1"/>
  <c r="F164" i="44" s="1"/>
  <c r="G162" i="44"/>
  <c r="G166" i="44" s="1"/>
  <c r="G167" i="44" s="1"/>
  <c r="G168" i="44" s="1"/>
  <c r="H162" i="44"/>
  <c r="I162" i="44"/>
  <c r="I170" i="44" s="1"/>
  <c r="I171" i="44" s="1"/>
  <c r="I172" i="44" s="1"/>
  <c r="J162" i="44"/>
  <c r="K162" i="44"/>
  <c r="L162" i="44"/>
  <c r="M162" i="44"/>
  <c r="M170" i="44" s="1"/>
  <c r="M171" i="44" s="1"/>
  <c r="M172" i="44" s="1"/>
  <c r="O163" i="44"/>
  <c r="O164" i="44" s="1"/>
  <c r="U163" i="44"/>
  <c r="U164" i="44" s="1"/>
  <c r="W163" i="44"/>
  <c r="X163" i="44"/>
  <c r="X164" i="44" s="1"/>
  <c r="Y163" i="44"/>
  <c r="Y164" i="44" s="1"/>
  <c r="Z163" i="44"/>
  <c r="Z164" i="44" s="1"/>
  <c r="W164" i="44"/>
  <c r="AA164" i="44"/>
  <c r="AB164" i="44"/>
  <c r="AC164" i="44"/>
  <c r="AD164" i="44"/>
  <c r="F166" i="44"/>
  <c r="F167" i="44" s="1"/>
  <c r="F168" i="44" s="1"/>
  <c r="N166" i="44"/>
  <c r="N167" i="44" s="1"/>
  <c r="N168" i="44" s="1"/>
  <c r="O166" i="44"/>
  <c r="O167" i="44" s="1"/>
  <c r="O168" i="44" s="1"/>
  <c r="P166" i="44"/>
  <c r="P167" i="44" s="1"/>
  <c r="P168" i="44" s="1"/>
  <c r="Q166" i="44"/>
  <c r="Q167" i="44" s="1"/>
  <c r="Q168" i="44" s="1"/>
  <c r="R166" i="44"/>
  <c r="R167" i="44" s="1"/>
  <c r="R168" i="44" s="1"/>
  <c r="S166" i="44"/>
  <c r="S167" i="44" s="1"/>
  <c r="S168" i="44" s="1"/>
  <c r="T166" i="44"/>
  <c r="T167" i="44" s="1"/>
  <c r="T168" i="44" s="1"/>
  <c r="U166" i="44"/>
  <c r="U167" i="44" s="1"/>
  <c r="U168" i="44" s="1"/>
  <c r="V166" i="44"/>
  <c r="V167" i="44" s="1"/>
  <c r="V168" i="44" s="1"/>
  <c r="N170" i="44"/>
  <c r="N171" i="44" s="1"/>
  <c r="N172" i="44" s="1"/>
  <c r="O170" i="44"/>
  <c r="O171" i="44" s="1"/>
  <c r="O172" i="44" s="1"/>
  <c r="P170" i="44"/>
  <c r="P171" i="44" s="1"/>
  <c r="P172" i="44" s="1"/>
  <c r="Q170" i="44"/>
  <c r="Q171" i="44" s="1"/>
  <c r="Q172" i="44" s="1"/>
  <c r="R170" i="44"/>
  <c r="R171" i="44" s="1"/>
  <c r="R172" i="44" s="1"/>
  <c r="S170" i="44"/>
  <c r="S171" i="44" s="1"/>
  <c r="S172" i="44" s="1"/>
  <c r="T170" i="44"/>
  <c r="T171" i="44" s="1"/>
  <c r="T172" i="44" s="1"/>
  <c r="U170" i="44"/>
  <c r="U171" i="44" s="1"/>
  <c r="U172" i="44" s="1"/>
  <c r="V170" i="44"/>
  <c r="V171" i="44" s="1"/>
  <c r="V172" i="44" s="1"/>
  <c r="F177" i="44"/>
  <c r="AE181" i="44" s="1"/>
  <c r="AE182" i="44" s="1"/>
  <c r="AE6" i="47" s="1"/>
  <c r="C180" i="44"/>
  <c r="D180" i="44"/>
  <c r="D181" i="44" s="1"/>
  <c r="D182" i="44" s="1"/>
  <c r="D6" i="47" s="1"/>
  <c r="E180" i="44"/>
  <c r="F180" i="44"/>
  <c r="G180" i="44"/>
  <c r="H180" i="44"/>
  <c r="H181" i="44" s="1"/>
  <c r="H182" i="44" s="1"/>
  <c r="H6" i="47" s="1"/>
  <c r="I180" i="44"/>
  <c r="J180" i="44"/>
  <c r="K180" i="44"/>
  <c r="L180" i="44"/>
  <c r="L181" i="44" s="1"/>
  <c r="L182" i="44" s="1"/>
  <c r="L6" i="47" s="1"/>
  <c r="M180" i="44"/>
  <c r="N180" i="44"/>
  <c r="O180" i="44"/>
  <c r="P180" i="44"/>
  <c r="P181" i="44" s="1"/>
  <c r="P182" i="44" s="1"/>
  <c r="P6" i="47" s="1"/>
  <c r="Q180" i="44"/>
  <c r="R180" i="44"/>
  <c r="S180" i="44"/>
  <c r="T180" i="44"/>
  <c r="T181" i="44" s="1"/>
  <c r="T182" i="44" s="1"/>
  <c r="T6" i="47" s="1"/>
  <c r="U180" i="44"/>
  <c r="V180" i="44"/>
  <c r="W180" i="44"/>
  <c r="X180" i="44"/>
  <c r="X181" i="44" s="1"/>
  <c r="X182" i="44" s="1"/>
  <c r="X6" i="47" s="1"/>
  <c r="Y180" i="44"/>
  <c r="Z180" i="44"/>
  <c r="AA180" i="44"/>
  <c r="AB180" i="44"/>
  <c r="AB181" i="44" s="1"/>
  <c r="AB182" i="44" s="1"/>
  <c r="AB6" i="47" s="1"/>
  <c r="AC180" i="44"/>
  <c r="F215" i="44"/>
  <c r="I215" i="44"/>
  <c r="L215" i="44"/>
  <c r="C218" i="44"/>
  <c r="D218" i="44"/>
  <c r="D219" i="44" s="1"/>
  <c r="D220" i="44" s="1"/>
  <c r="D9" i="47" s="1"/>
  <c r="E218" i="44"/>
  <c r="F218" i="44"/>
  <c r="G218" i="44"/>
  <c r="H218" i="44"/>
  <c r="H219" i="44" s="1"/>
  <c r="H220" i="44" s="1"/>
  <c r="H9" i="47" s="1"/>
  <c r="I218" i="44"/>
  <c r="J218" i="44"/>
  <c r="K218" i="44"/>
  <c r="L218" i="44"/>
  <c r="L219" i="44" s="1"/>
  <c r="L220" i="44" s="1"/>
  <c r="L9" i="47" s="1"/>
  <c r="N218" i="44"/>
  <c r="O218" i="44"/>
  <c r="P218" i="44"/>
  <c r="Q218" i="44"/>
  <c r="R218" i="44"/>
  <c r="S218" i="44"/>
  <c r="T218" i="44"/>
  <c r="U218" i="44"/>
  <c r="V218" i="44"/>
  <c r="W218" i="44"/>
  <c r="X218" i="44"/>
  <c r="Y218" i="44"/>
  <c r="Z218" i="44"/>
  <c r="AA218" i="44"/>
  <c r="AB218" i="44"/>
  <c r="AC218" i="44"/>
  <c r="F253" i="44"/>
  <c r="I253" i="44"/>
  <c r="L253" i="44"/>
  <c r="P256" i="44"/>
  <c r="P257" i="44" s="1"/>
  <c r="P17" i="47" s="1"/>
  <c r="X256" i="44"/>
  <c r="X257" i="44" s="1"/>
  <c r="X17" i="47" s="1"/>
  <c r="H11" i="47"/>
  <c r="P11" i="47"/>
  <c r="X11" i="47"/>
  <c r="I12" i="47"/>
  <c r="Y12" i="47"/>
  <c r="AC12" i="47"/>
  <c r="AD12" i="47"/>
  <c r="C13" i="47"/>
  <c r="M13" i="47"/>
  <c r="Z13" i="47"/>
  <c r="C14" i="47"/>
  <c r="D14" i="47"/>
  <c r="E14" i="47"/>
  <c r="F14" i="47"/>
  <c r="G14" i="47"/>
  <c r="H14" i="47"/>
  <c r="I14" i="47"/>
  <c r="J14" i="47"/>
  <c r="K14" i="47"/>
  <c r="L14" i="47"/>
  <c r="M14" i="47"/>
  <c r="AD14" i="47"/>
  <c r="C16" i="47"/>
  <c r="D16" i="47"/>
  <c r="E16" i="47"/>
  <c r="F16" i="47"/>
  <c r="G16" i="47"/>
  <c r="H16" i="47"/>
  <c r="I16" i="47"/>
  <c r="J16" i="47"/>
  <c r="K16" i="47"/>
  <c r="L16" i="47"/>
  <c r="M16" i="47"/>
  <c r="N16" i="47"/>
  <c r="O16" i="47"/>
  <c r="P16" i="47"/>
  <c r="Q16" i="47"/>
  <c r="R16" i="47"/>
  <c r="S16" i="47"/>
  <c r="T16" i="47"/>
  <c r="U16" i="47"/>
  <c r="V16" i="47"/>
  <c r="AD16" i="47"/>
  <c r="C18" i="47"/>
  <c r="D18" i="47"/>
  <c r="E18" i="47"/>
  <c r="F18" i="47"/>
  <c r="G18" i="47"/>
  <c r="H18" i="47"/>
  <c r="I18" i="47"/>
  <c r="J18" i="47"/>
  <c r="K18" i="47"/>
  <c r="L18" i="47"/>
  <c r="M18" i="47"/>
  <c r="N18" i="47"/>
  <c r="O18" i="47"/>
  <c r="P18" i="47"/>
  <c r="Q18" i="47"/>
  <c r="R18" i="47"/>
  <c r="S18" i="47"/>
  <c r="T18" i="47"/>
  <c r="U18" i="47"/>
  <c r="V18" i="47"/>
  <c r="F26" i="18"/>
  <c r="G26" i="18" s="1"/>
  <c r="F27" i="18"/>
  <c r="G27" i="18" s="1"/>
  <c r="H27" i="18" s="1"/>
  <c r="F28" i="18"/>
  <c r="G28" i="18" s="1"/>
  <c r="H28" i="18" s="1"/>
  <c r="D179" i="18" s="1"/>
  <c r="F29" i="18"/>
  <c r="G29" i="18" s="1"/>
  <c r="H29" i="18" s="1"/>
  <c r="D180" i="18" s="1"/>
  <c r="F30" i="18"/>
  <c r="G30" i="18" s="1"/>
  <c r="H30" i="18" s="1"/>
  <c r="D181" i="18" s="1"/>
  <c r="F31" i="18"/>
  <c r="G31" i="18" s="1"/>
  <c r="H31" i="18" s="1"/>
  <c r="F32" i="18"/>
  <c r="G32" i="18" s="1"/>
  <c r="H32" i="18" s="1"/>
  <c r="D183" i="18" s="1"/>
  <c r="F33" i="18"/>
  <c r="G33" i="18" s="1"/>
  <c r="H33" i="18" s="1"/>
  <c r="D184" i="18" s="1"/>
  <c r="F34" i="18"/>
  <c r="G34" i="18" s="1"/>
  <c r="H34" i="18" s="1"/>
  <c r="D185" i="18" s="1"/>
  <c r="F51" i="18"/>
  <c r="G51" i="18" s="1"/>
  <c r="F52" i="18"/>
  <c r="G52" i="18" s="1"/>
  <c r="H52" i="18" s="1"/>
  <c r="F178" i="18" s="1"/>
  <c r="F53" i="18"/>
  <c r="G53" i="18" s="1"/>
  <c r="H53" i="18" s="1"/>
  <c r="F179" i="18" s="1"/>
  <c r="F54" i="18"/>
  <c r="G54" i="18" s="1"/>
  <c r="H54" i="18" s="1"/>
  <c r="F180" i="18" s="1"/>
  <c r="F55" i="18"/>
  <c r="G55" i="18" s="1"/>
  <c r="H55" i="18" s="1"/>
  <c r="F181" i="18" s="1"/>
  <c r="F56" i="18"/>
  <c r="G56" i="18" s="1"/>
  <c r="H56" i="18" s="1"/>
  <c r="F182" i="18" s="1"/>
  <c r="F57" i="18"/>
  <c r="G57" i="18" s="1"/>
  <c r="H57" i="18" s="1"/>
  <c r="F183" i="18" s="1"/>
  <c r="F58" i="18"/>
  <c r="G58" i="18" s="1"/>
  <c r="H58" i="18" s="1"/>
  <c r="F184" i="18" s="1"/>
  <c r="F59" i="18"/>
  <c r="G59" i="18" s="1"/>
  <c r="H59" i="18" s="1"/>
  <c r="F185" i="18" s="1"/>
  <c r="F76" i="18"/>
  <c r="G76" i="18" s="1"/>
  <c r="F77" i="18"/>
  <c r="G77" i="18" s="1"/>
  <c r="H77" i="18" s="1"/>
  <c r="G178" i="18" s="1"/>
  <c r="F78" i="18"/>
  <c r="G78" i="18" s="1"/>
  <c r="H78" i="18" s="1"/>
  <c r="G179" i="18" s="1"/>
  <c r="F79" i="18"/>
  <c r="G79" i="18" s="1"/>
  <c r="H79" i="18" s="1"/>
  <c r="G180" i="18" s="1"/>
  <c r="F80" i="18"/>
  <c r="G80" i="18" s="1"/>
  <c r="H80" i="18" s="1"/>
  <c r="G181" i="18" s="1"/>
  <c r="F81" i="18"/>
  <c r="G81" i="18" s="1"/>
  <c r="H81" i="18" s="1"/>
  <c r="G182" i="18" s="1"/>
  <c r="F82" i="18"/>
  <c r="G82" i="18" s="1"/>
  <c r="H82" i="18" s="1"/>
  <c r="G183" i="18" s="1"/>
  <c r="F83" i="18"/>
  <c r="G83" i="18" s="1"/>
  <c r="H83" i="18" s="1"/>
  <c r="G184" i="18" s="1"/>
  <c r="F84" i="18"/>
  <c r="G84" i="18" s="1"/>
  <c r="H84" i="18" s="1"/>
  <c r="G185" i="18" s="1"/>
  <c r="F101" i="18"/>
  <c r="G101" i="18"/>
  <c r="H101" i="18" s="1"/>
  <c r="I177" i="18" s="1"/>
  <c r="F102" i="18"/>
  <c r="G102" i="18" s="1"/>
  <c r="H102" i="18" s="1"/>
  <c r="I178" i="18" s="1"/>
  <c r="F103" i="18"/>
  <c r="G103" i="18" s="1"/>
  <c r="H103" i="18" s="1"/>
  <c r="F104" i="18"/>
  <c r="G104" i="18" s="1"/>
  <c r="H104" i="18" s="1"/>
  <c r="I180" i="18" s="1"/>
  <c r="F105" i="18"/>
  <c r="G105" i="18" s="1"/>
  <c r="H105" i="18" s="1"/>
  <c r="I181" i="18" s="1"/>
  <c r="F106" i="18"/>
  <c r="G106" i="18" s="1"/>
  <c r="H106" i="18" s="1"/>
  <c r="I182" i="18" s="1"/>
  <c r="F107" i="18"/>
  <c r="G107" i="18" s="1"/>
  <c r="H107" i="18" s="1"/>
  <c r="I183" i="18" s="1"/>
  <c r="F108" i="18"/>
  <c r="G108" i="18" s="1"/>
  <c r="H108" i="18" s="1"/>
  <c r="I184" i="18" s="1"/>
  <c r="F109" i="18"/>
  <c r="G109" i="18" s="1"/>
  <c r="H109" i="18" s="1"/>
  <c r="I185" i="18" s="1"/>
  <c r="F126" i="18"/>
  <c r="G126" i="18" s="1"/>
  <c r="F127" i="18"/>
  <c r="G127" i="18" s="1"/>
  <c r="H127" i="18" s="1"/>
  <c r="E178" i="18" s="1"/>
  <c r="F128" i="18"/>
  <c r="G128" i="18" s="1"/>
  <c r="H128" i="18" s="1"/>
  <c r="E179" i="18" s="1"/>
  <c r="F129" i="18"/>
  <c r="G129" i="18" s="1"/>
  <c r="H129" i="18" s="1"/>
  <c r="E180" i="18" s="1"/>
  <c r="F130" i="18"/>
  <c r="G130" i="18" s="1"/>
  <c r="H130" i="18" s="1"/>
  <c r="E181" i="18" s="1"/>
  <c r="F131" i="18"/>
  <c r="G131" i="18" s="1"/>
  <c r="H131" i="18" s="1"/>
  <c r="E182" i="18" s="1"/>
  <c r="F132" i="18"/>
  <c r="G132" i="18" s="1"/>
  <c r="H132" i="18" s="1"/>
  <c r="E183" i="18" s="1"/>
  <c r="F133" i="18"/>
  <c r="G133" i="18" s="1"/>
  <c r="H133" i="18" s="1"/>
  <c r="E184" i="18" s="1"/>
  <c r="F134" i="18"/>
  <c r="G134" i="18" s="1"/>
  <c r="H134" i="18" s="1"/>
  <c r="E185" i="18" s="1"/>
  <c r="F151" i="18"/>
  <c r="G151" i="18" s="1"/>
  <c r="F152" i="18"/>
  <c r="G152" i="18" s="1"/>
  <c r="H152" i="18" s="1"/>
  <c r="H178" i="18" s="1"/>
  <c r="F153" i="18"/>
  <c r="G153" i="18" s="1"/>
  <c r="H153" i="18" s="1"/>
  <c r="H179" i="18" s="1"/>
  <c r="F154" i="18"/>
  <c r="G154" i="18" s="1"/>
  <c r="H154" i="18" s="1"/>
  <c r="H180" i="18" s="1"/>
  <c r="F155" i="18"/>
  <c r="G155" i="18" s="1"/>
  <c r="H155" i="18" s="1"/>
  <c r="H181" i="18" s="1"/>
  <c r="F156" i="18"/>
  <c r="G156" i="18" s="1"/>
  <c r="H156" i="18" s="1"/>
  <c r="H182" i="18" s="1"/>
  <c r="F157" i="18"/>
  <c r="G157" i="18" s="1"/>
  <c r="H157" i="18" s="1"/>
  <c r="H183" i="18" s="1"/>
  <c r="F158" i="18"/>
  <c r="G158" i="18" s="1"/>
  <c r="H158" i="18" s="1"/>
  <c r="H184" i="18" s="1"/>
  <c r="F159" i="18"/>
  <c r="G159" i="18" s="1"/>
  <c r="H159" i="18" s="1"/>
  <c r="H185" i="18" s="1"/>
  <c r="D178" i="18"/>
  <c r="I179" i="18"/>
  <c r="D182" i="18"/>
  <c r="O8" i="17"/>
  <c r="P8" i="17"/>
  <c r="Q8" i="17"/>
  <c r="R8" i="17"/>
  <c r="S8" i="17"/>
  <c r="T8" i="17"/>
  <c r="U8" i="17"/>
  <c r="V8" i="17"/>
  <c r="W8" i="17"/>
  <c r="X8" i="17"/>
  <c r="Y8" i="17"/>
  <c r="Z8" i="17"/>
  <c r="AA8" i="17"/>
  <c r="AB8" i="17"/>
  <c r="AC8" i="17"/>
  <c r="AD8" i="17"/>
  <c r="O11" i="17"/>
  <c r="N14" i="47" s="1"/>
  <c r="P11" i="17"/>
  <c r="O14" i="47" s="1"/>
  <c r="Q11" i="17"/>
  <c r="P14" i="47" s="1"/>
  <c r="R11" i="17"/>
  <c r="Q14" i="47" s="1"/>
  <c r="S11" i="17"/>
  <c r="R14" i="47" s="1"/>
  <c r="T11" i="17"/>
  <c r="S14" i="47" s="1"/>
  <c r="U11" i="17"/>
  <c r="T14" i="47" s="1"/>
  <c r="V11" i="17"/>
  <c r="U14" i="47" s="1"/>
  <c r="W11" i="17"/>
  <c r="V14" i="47" s="1"/>
  <c r="X11" i="17"/>
  <c r="W14" i="47" s="1"/>
  <c r="Y11" i="17"/>
  <c r="X14" i="47" s="1"/>
  <c r="Z11" i="17"/>
  <c r="Y14" i="47" s="1"/>
  <c r="AA11" i="17"/>
  <c r="Z14" i="47" s="1"/>
  <c r="AB11" i="17"/>
  <c r="AA14" i="47" s="1"/>
  <c r="AC11" i="17"/>
  <c r="AB14" i="47" s="1"/>
  <c r="AD11" i="17"/>
  <c r="AC14" i="47" s="1"/>
  <c r="F43" i="17"/>
  <c r="I43" i="17"/>
  <c r="AE43" i="17"/>
  <c r="AP43" i="17"/>
  <c r="AU43" i="17"/>
  <c r="BA43" i="17"/>
  <c r="BF43" i="17"/>
  <c r="BL43" i="17"/>
  <c r="BQ43" i="17"/>
  <c r="BW43" i="17"/>
  <c r="CB43" i="17"/>
  <c r="DH43" i="17"/>
  <c r="F44" i="17"/>
  <c r="I44" i="17"/>
  <c r="AE44" i="17"/>
  <c r="AP44" i="17"/>
  <c r="AU44" i="17"/>
  <c r="BA44" i="17"/>
  <c r="BF44" i="17"/>
  <c r="BL44" i="17"/>
  <c r="BQ44" i="17"/>
  <c r="BW44" i="17"/>
  <c r="CB44" i="17"/>
  <c r="DH44" i="17"/>
  <c r="F45" i="17"/>
  <c r="I45" i="17"/>
  <c r="AE45" i="17"/>
  <c r="AP45" i="17"/>
  <c r="AU45" i="17"/>
  <c r="BA45" i="17"/>
  <c r="BF45" i="17"/>
  <c r="BL45" i="17"/>
  <c r="BQ45" i="17"/>
  <c r="BW45" i="17"/>
  <c r="CB45" i="17"/>
  <c r="DH45" i="17"/>
  <c r="F46" i="17"/>
  <c r="I46" i="17"/>
  <c r="AE46" i="17"/>
  <c r="AP46" i="17"/>
  <c r="AU46" i="17"/>
  <c r="BA46" i="17"/>
  <c r="BF46" i="17"/>
  <c r="BL46" i="17"/>
  <c r="BQ46" i="17"/>
  <c r="BW46" i="17"/>
  <c r="CB46" i="17"/>
  <c r="DH46" i="17"/>
  <c r="F47" i="17"/>
  <c r="I47" i="17"/>
  <c r="AE47" i="17"/>
  <c r="AP47" i="17"/>
  <c r="AU47" i="17"/>
  <c r="BA47" i="17"/>
  <c r="BF47" i="17"/>
  <c r="BL47" i="17"/>
  <c r="BQ47" i="17"/>
  <c r="BW47" i="17"/>
  <c r="CB47" i="17"/>
  <c r="DH47" i="17"/>
  <c r="F48" i="17"/>
  <c r="I48" i="17"/>
  <c r="AE48" i="17"/>
  <c r="AP48" i="17"/>
  <c r="AU48" i="17"/>
  <c r="BA48" i="17"/>
  <c r="BF48" i="17"/>
  <c r="BL48" i="17"/>
  <c r="BQ48" i="17"/>
  <c r="BW48" i="17"/>
  <c r="CB48" i="17"/>
  <c r="DH48" i="17"/>
  <c r="F49" i="17"/>
  <c r="I49" i="17"/>
  <c r="AE49" i="17"/>
  <c r="AP49" i="17"/>
  <c r="AU49" i="17"/>
  <c r="BA49" i="17"/>
  <c r="BF49" i="17"/>
  <c r="BL49" i="17"/>
  <c r="BQ49" i="17"/>
  <c r="BW49" i="17"/>
  <c r="CB49" i="17"/>
  <c r="DH49" i="17"/>
  <c r="F50" i="17"/>
  <c r="I50" i="17"/>
  <c r="AE50" i="17"/>
  <c r="AP50" i="17"/>
  <c r="AU50" i="17"/>
  <c r="BA50" i="17"/>
  <c r="BF50" i="17"/>
  <c r="BL50" i="17"/>
  <c r="BQ50" i="17"/>
  <c r="BW50" i="17"/>
  <c r="CB50" i="17"/>
  <c r="DH50" i="17"/>
  <c r="F51" i="17"/>
  <c r="I51" i="17"/>
  <c r="AE51" i="17"/>
  <c r="AP51" i="17"/>
  <c r="AU51" i="17"/>
  <c r="BA51" i="17"/>
  <c r="BF51" i="17"/>
  <c r="BL51" i="17"/>
  <c r="BQ51" i="17"/>
  <c r="BW51" i="17"/>
  <c r="CB51" i="17"/>
  <c r="DH51" i="17"/>
  <c r="F52" i="17"/>
  <c r="I52" i="17"/>
  <c r="AE52" i="17"/>
  <c r="AP52" i="17"/>
  <c r="AU52" i="17"/>
  <c r="BA52" i="17"/>
  <c r="BF52" i="17"/>
  <c r="BL52" i="17"/>
  <c r="BQ52" i="17"/>
  <c r="BW52" i="17"/>
  <c r="CB52" i="17"/>
  <c r="DH52" i="17"/>
  <c r="D53" i="17"/>
  <c r="F53" i="17"/>
  <c r="I53" i="17"/>
  <c r="AC53" i="17"/>
  <c r="AE53" i="17"/>
  <c r="AN53" i="17"/>
  <c r="AP53" i="17"/>
  <c r="AU53" i="17"/>
  <c r="AY53" i="17"/>
  <c r="BA53" i="17"/>
  <c r="BF53" i="17"/>
  <c r="BJ53" i="17"/>
  <c r="BL53" i="17"/>
  <c r="BQ53" i="17"/>
  <c r="BU53" i="17"/>
  <c r="BX53" i="17" s="1"/>
  <c r="BW53" i="17"/>
  <c r="CB53" i="17"/>
  <c r="CJ53" i="17"/>
  <c r="CT53" i="17"/>
  <c r="CY53" i="17"/>
  <c r="DH53" i="17"/>
  <c r="DI53" i="17" s="1"/>
  <c r="D54" i="17"/>
  <c r="F54" i="17"/>
  <c r="I54" i="17"/>
  <c r="AC54" i="17"/>
  <c r="AE54" i="17"/>
  <c r="AF54" i="17" s="1"/>
  <c r="AN54" i="17"/>
  <c r="AP54" i="17"/>
  <c r="AU54" i="17"/>
  <c r="AY54" i="17"/>
  <c r="BB54" i="17" s="1"/>
  <c r="BA54" i="17"/>
  <c r="BF54" i="17"/>
  <c r="BJ54" i="17"/>
  <c r="BL54" i="17"/>
  <c r="BQ54" i="17"/>
  <c r="BU54" i="17"/>
  <c r="BX54" i="17" s="1"/>
  <c r="BW54" i="17"/>
  <c r="CB54" i="17"/>
  <c r="CC54" i="17" s="1"/>
  <c r="CJ54" i="17"/>
  <c r="CT54" i="17"/>
  <c r="CY54" i="17"/>
  <c r="DH54" i="17"/>
  <c r="DI54" i="17" s="1"/>
  <c r="D55" i="17"/>
  <c r="F55" i="17"/>
  <c r="I55" i="17"/>
  <c r="AC55" i="17"/>
  <c r="AF55" i="17" s="1"/>
  <c r="AE55" i="17"/>
  <c r="AN55" i="17"/>
  <c r="AP55" i="17"/>
  <c r="AU55" i="17"/>
  <c r="AY55" i="17"/>
  <c r="BA55" i="17"/>
  <c r="BF55" i="17"/>
  <c r="BJ55" i="17"/>
  <c r="BL55" i="17"/>
  <c r="BQ55" i="17"/>
  <c r="BU55" i="17"/>
  <c r="BW55" i="17"/>
  <c r="CB55" i="17"/>
  <c r="CJ55" i="17"/>
  <c r="CT55" i="17"/>
  <c r="CY55" i="17"/>
  <c r="DH55" i="17"/>
  <c r="DI55" i="17" s="1"/>
  <c r="D56" i="17"/>
  <c r="F56" i="17"/>
  <c r="I56" i="17"/>
  <c r="AC56" i="17"/>
  <c r="AK76" i="17" s="1"/>
  <c r="AE56" i="17"/>
  <c r="AN56" i="17"/>
  <c r="AP56" i="17"/>
  <c r="AU56" i="17"/>
  <c r="AY56" i="17"/>
  <c r="BA56" i="17"/>
  <c r="BF56" i="17"/>
  <c r="BJ56" i="17"/>
  <c r="BL56" i="17"/>
  <c r="BQ56" i="17"/>
  <c r="BU56" i="17"/>
  <c r="BW56" i="17"/>
  <c r="CB56" i="17"/>
  <c r="CJ56" i="17"/>
  <c r="CM56" i="17" s="1"/>
  <c r="CT56" i="17"/>
  <c r="CY56" i="17"/>
  <c r="DH56" i="17"/>
  <c r="DI56" i="17" s="1"/>
  <c r="D57" i="17"/>
  <c r="F57" i="17"/>
  <c r="I57" i="17"/>
  <c r="AC57" i="17"/>
  <c r="AK77" i="17" s="1"/>
  <c r="AE57" i="17"/>
  <c r="AN57" i="17"/>
  <c r="AP57" i="17"/>
  <c r="AU57" i="17"/>
  <c r="AY57" i="17"/>
  <c r="BA57" i="17"/>
  <c r="BF57" i="17"/>
  <c r="BJ57" i="17"/>
  <c r="BL57" i="17"/>
  <c r="BQ57" i="17"/>
  <c r="BU57" i="17"/>
  <c r="BW57" i="17"/>
  <c r="CB57" i="17"/>
  <c r="CJ57" i="17"/>
  <c r="CM57" i="17" s="1"/>
  <c r="CT57" i="17"/>
  <c r="CY57" i="17"/>
  <c r="DH57" i="17"/>
  <c r="DI57" i="17" s="1"/>
  <c r="D58" i="17"/>
  <c r="F58" i="17"/>
  <c r="I58" i="17"/>
  <c r="AC58" i="17"/>
  <c r="AE58" i="17"/>
  <c r="AN58" i="17"/>
  <c r="AP58" i="17"/>
  <c r="AU58" i="17"/>
  <c r="AY58" i="17"/>
  <c r="BA58" i="17"/>
  <c r="BF58" i="17"/>
  <c r="BJ58" i="17"/>
  <c r="BL58" i="17"/>
  <c r="BQ58" i="17"/>
  <c r="BU58" i="17"/>
  <c r="BW58" i="17"/>
  <c r="CB58" i="17"/>
  <c r="CJ58" i="17"/>
  <c r="CT58" i="17"/>
  <c r="CY58" i="17"/>
  <c r="DH58" i="17"/>
  <c r="DI58" i="17" s="1"/>
  <c r="D59" i="17"/>
  <c r="F59" i="17"/>
  <c r="I59" i="17"/>
  <c r="AC59" i="17"/>
  <c r="AK79" i="17" s="1"/>
  <c r="AE59" i="17"/>
  <c r="AN59" i="17"/>
  <c r="AP59" i="17"/>
  <c r="AU59" i="17"/>
  <c r="AY59" i="17"/>
  <c r="BA59" i="17"/>
  <c r="BF59" i="17"/>
  <c r="BJ59" i="17"/>
  <c r="BL59" i="17"/>
  <c r="BQ59" i="17"/>
  <c r="BU59" i="17"/>
  <c r="BW59" i="17"/>
  <c r="CB59" i="17"/>
  <c r="CJ59" i="17"/>
  <c r="CM59" i="17" s="1"/>
  <c r="CT59" i="17"/>
  <c r="CY59" i="17"/>
  <c r="DH59" i="17"/>
  <c r="DI59" i="17" s="1"/>
  <c r="D60" i="17"/>
  <c r="F60" i="17"/>
  <c r="I60" i="17"/>
  <c r="AC60" i="17"/>
  <c r="AE60" i="17"/>
  <c r="AN60" i="17"/>
  <c r="AP60" i="17"/>
  <c r="AU60" i="17"/>
  <c r="AY60" i="17"/>
  <c r="BA60" i="17"/>
  <c r="BF60" i="17"/>
  <c r="BJ60" i="17"/>
  <c r="BL60" i="17"/>
  <c r="BQ60" i="17"/>
  <c r="BU60" i="17"/>
  <c r="BW60" i="17"/>
  <c r="CB60" i="17"/>
  <c r="CJ60" i="17"/>
  <c r="CM60" i="17" s="1"/>
  <c r="CT60" i="17"/>
  <c r="CY60" i="17"/>
  <c r="DH60" i="17"/>
  <c r="DI60" i="17" s="1"/>
  <c r="D61" i="17"/>
  <c r="F61" i="17"/>
  <c r="I61" i="17"/>
  <c r="AC61" i="17"/>
  <c r="AK81" i="17" s="1"/>
  <c r="AE61" i="17"/>
  <c r="AN61" i="17"/>
  <c r="AP61" i="17"/>
  <c r="AU61" i="17"/>
  <c r="AY61" i="17"/>
  <c r="BA61" i="17"/>
  <c r="BF61" i="17"/>
  <c r="BJ61" i="17"/>
  <c r="BL61" i="17"/>
  <c r="BQ61" i="17"/>
  <c r="BU61" i="17"/>
  <c r="BW61" i="17"/>
  <c r="CB61" i="17"/>
  <c r="CJ61" i="17"/>
  <c r="CM61" i="17" s="1"/>
  <c r="CT61" i="17"/>
  <c r="CY61" i="17"/>
  <c r="DH61" i="17"/>
  <c r="DI61" i="17" s="1"/>
  <c r="CT69" i="17"/>
  <c r="CW69" i="17"/>
  <c r="CT70" i="17"/>
  <c r="CW70" i="17"/>
  <c r="CT71" i="17"/>
  <c r="CW71" i="17"/>
  <c r="CT72" i="17"/>
  <c r="CW72" i="17"/>
  <c r="AJ73" i="17"/>
  <c r="AK73" i="17"/>
  <c r="CT73" i="17"/>
  <c r="CW73" i="17"/>
  <c r="AJ74" i="17"/>
  <c r="AK74" i="17"/>
  <c r="CT74" i="17"/>
  <c r="CW74" i="17"/>
  <c r="AJ75" i="17"/>
  <c r="CT75" i="17"/>
  <c r="CW75" i="17"/>
  <c r="AJ76" i="17"/>
  <c r="CT76" i="17"/>
  <c r="CW76" i="17"/>
  <c r="AJ77" i="17"/>
  <c r="CT77" i="17"/>
  <c r="CW77" i="17"/>
  <c r="AJ78" i="17"/>
  <c r="CT78" i="17"/>
  <c r="CW78" i="17"/>
  <c r="AJ79" i="17"/>
  <c r="CT79" i="17"/>
  <c r="CW79" i="17"/>
  <c r="AJ80" i="17"/>
  <c r="CT80" i="17"/>
  <c r="CW80" i="17"/>
  <c r="AJ81" i="17"/>
  <c r="CT81" i="17"/>
  <c r="CW81" i="17"/>
  <c r="CT82" i="17"/>
  <c r="CW82" i="17"/>
  <c r="CT83" i="17"/>
  <c r="CW83" i="17"/>
  <c r="CT84" i="17"/>
  <c r="CW84" i="17"/>
  <c r="CT85" i="17"/>
  <c r="CW85" i="17"/>
  <c r="CT86" i="17"/>
  <c r="CW86" i="17"/>
  <c r="CT87" i="17"/>
  <c r="CW87" i="17"/>
  <c r="W8" i="31"/>
  <c r="X42" i="49" s="1"/>
  <c r="X8" i="31"/>
  <c r="Y8" i="31"/>
  <c r="Z8" i="31"/>
  <c r="AA8" i="31"/>
  <c r="AB42" i="49" s="1"/>
  <c r="AB8" i="31"/>
  <c r="AC8" i="31"/>
  <c r="AD8" i="31"/>
  <c r="W25" i="31"/>
  <c r="W10" i="31" s="1"/>
  <c r="X25" i="31"/>
  <c r="X10" i="31" s="1"/>
  <c r="Y25" i="31"/>
  <c r="Y10" i="31" s="1"/>
  <c r="Z25" i="31"/>
  <c r="Z10" i="31" s="1"/>
  <c r="AA25" i="31"/>
  <c r="AA10" i="31" s="1"/>
  <c r="AB25" i="31"/>
  <c r="AB10" i="31" s="1"/>
  <c r="AC25" i="31"/>
  <c r="AC10" i="31" s="1"/>
  <c r="AD25" i="31"/>
  <c r="AD10" i="31" s="1"/>
  <c r="W30" i="31"/>
  <c r="W18" i="47" s="1"/>
  <c r="X30" i="31"/>
  <c r="X18" i="47" s="1"/>
  <c r="Y30" i="31"/>
  <c r="Y18" i="47" s="1"/>
  <c r="Z30" i="31"/>
  <c r="Z18" i="47" s="1"/>
  <c r="AA30" i="31"/>
  <c r="AA19" i="47" s="1"/>
  <c r="AA18" i="47" s="1"/>
  <c r="W31" i="31"/>
  <c r="W16" i="47" s="1"/>
  <c r="X31" i="31"/>
  <c r="Y31" i="31"/>
  <c r="Y16" i="47" s="1"/>
  <c r="Z31" i="31"/>
  <c r="Z16" i="47" s="1"/>
  <c r="AA31" i="31"/>
  <c r="AA16" i="47" s="1"/>
  <c r="W32" i="31"/>
  <c r="X60" i="49" s="1"/>
  <c r="X32" i="31"/>
  <c r="Y32" i="31"/>
  <c r="Z60" i="49" s="1"/>
  <c r="Z32" i="31"/>
  <c r="AA32" i="31"/>
  <c r="AB60" i="49" s="1"/>
  <c r="W33" i="31"/>
  <c r="X33" i="31"/>
  <c r="Y52" i="49" s="1"/>
  <c r="Y33" i="31"/>
  <c r="Z33" i="31"/>
  <c r="AA33" i="31"/>
  <c r="W45" i="31"/>
  <c r="W46" i="31" s="1"/>
  <c r="X45" i="31"/>
  <c r="Y45" i="31"/>
  <c r="Y46" i="31" s="1"/>
  <c r="Z45" i="31"/>
  <c r="Z46" i="31" s="1"/>
  <c r="AA45" i="31"/>
  <c r="AA46" i="31" s="1"/>
  <c r="AB45" i="31"/>
  <c r="AC45" i="31"/>
  <c r="AC46" i="31" s="1"/>
  <c r="AD45" i="31"/>
  <c r="AD46" i="31" s="1"/>
  <c r="AE30" i="45" s="1"/>
  <c r="D46" i="31"/>
  <c r="E46" i="31"/>
  <c r="F46" i="31"/>
  <c r="G46" i="31"/>
  <c r="H46" i="31"/>
  <c r="I46" i="31"/>
  <c r="J46" i="31"/>
  <c r="K46" i="31"/>
  <c r="L46" i="31"/>
  <c r="M46" i="31"/>
  <c r="N46" i="31"/>
  <c r="O46" i="31"/>
  <c r="P46" i="31"/>
  <c r="Q46" i="31"/>
  <c r="R46" i="31"/>
  <c r="S46" i="31"/>
  <c r="T46" i="31"/>
  <c r="U46" i="31"/>
  <c r="V46" i="31"/>
  <c r="X46" i="31"/>
  <c r="AB46" i="31"/>
  <c r="W55" i="31"/>
  <c r="X55" i="31"/>
  <c r="X56" i="31" s="1"/>
  <c r="Y55" i="31"/>
  <c r="Z55" i="31"/>
  <c r="Z56" i="31" s="1"/>
  <c r="AA55" i="31"/>
  <c r="AB55" i="31"/>
  <c r="AB56" i="31" s="1"/>
  <c r="AC55" i="31"/>
  <c r="AC56" i="31" s="1"/>
  <c r="AD55" i="31"/>
  <c r="AD56" i="31" s="1"/>
  <c r="W56" i="31"/>
  <c r="Y56" i="31"/>
  <c r="AA56" i="31"/>
  <c r="W57" i="31"/>
  <c r="X57" i="31"/>
  <c r="Y57" i="31"/>
  <c r="Z57" i="31"/>
  <c r="AA57" i="31"/>
  <c r="AB57" i="31"/>
  <c r="AC57" i="31"/>
  <c r="AD57" i="31"/>
  <c r="F64" i="31"/>
  <c r="C71" i="31" s="1"/>
  <c r="C72" i="31" s="1"/>
  <c r="C52" i="31" s="1"/>
  <c r="N69" i="31"/>
  <c r="N70" i="31" s="1"/>
  <c r="O69" i="31"/>
  <c r="O70" i="31" s="1"/>
  <c r="P69" i="31"/>
  <c r="P70" i="31" s="1"/>
  <c r="Q69" i="31"/>
  <c r="R69" i="31"/>
  <c r="R70" i="31" s="1"/>
  <c r="S69" i="31"/>
  <c r="S70" i="31" s="1"/>
  <c r="T69" i="31"/>
  <c r="T70" i="31" s="1"/>
  <c r="U69" i="31"/>
  <c r="U70" i="31" s="1"/>
  <c r="V69" i="31"/>
  <c r="V70" i="31" s="1"/>
  <c r="D70" i="31"/>
  <c r="E70" i="31"/>
  <c r="E74" i="31" s="1"/>
  <c r="E75" i="31" s="1"/>
  <c r="E76" i="31" s="1"/>
  <c r="F70" i="31"/>
  <c r="F74" i="31" s="1"/>
  <c r="F75" i="31" s="1"/>
  <c r="F76" i="31" s="1"/>
  <c r="G70" i="31"/>
  <c r="H70" i="31"/>
  <c r="I70" i="31"/>
  <c r="I74" i="31" s="1"/>
  <c r="I75" i="31" s="1"/>
  <c r="I76" i="31" s="1"/>
  <c r="J70" i="31"/>
  <c r="J74" i="31" s="1"/>
  <c r="J75" i="31" s="1"/>
  <c r="J76" i="31" s="1"/>
  <c r="K70" i="31"/>
  <c r="L70" i="31"/>
  <c r="M70" i="31"/>
  <c r="M74" i="31" s="1"/>
  <c r="M75" i="31" s="1"/>
  <c r="M76" i="31" s="1"/>
  <c r="Q70" i="31"/>
  <c r="C76" i="31"/>
  <c r="C53" i="31" s="1"/>
  <c r="K74" i="31"/>
  <c r="K75" i="31" s="1"/>
  <c r="K76" i="31" s="1"/>
  <c r="Q74" i="31"/>
  <c r="Q75" i="31" s="1"/>
  <c r="Q76" i="31" s="1"/>
  <c r="C78" i="31"/>
  <c r="C79" i="31" s="1"/>
  <c r="C80" i="31" s="1"/>
  <c r="C54" i="31" s="1"/>
  <c r="F78" i="31"/>
  <c r="F79" i="31" s="1"/>
  <c r="F80" i="31" s="1"/>
  <c r="C47" i="29"/>
  <c r="C53" i="29" s="1"/>
  <c r="C48" i="29"/>
  <c r="C54" i="29" s="1"/>
  <c r="D62" i="49" s="1"/>
  <c r="J40" i="49"/>
  <c r="K40" i="49"/>
  <c r="L40" i="49"/>
  <c r="D11" i="50"/>
  <c r="BC25" i="50" s="1"/>
  <c r="D34" i="27"/>
  <c r="D49" i="27" s="1"/>
  <c r="E34" i="27"/>
  <c r="E49" i="27" s="1"/>
  <c r="F34" i="27"/>
  <c r="F49" i="27" s="1"/>
  <c r="G34" i="27"/>
  <c r="G49" i="27" s="1"/>
  <c r="H34" i="27"/>
  <c r="H49" i="27" s="1"/>
  <c r="I34" i="27"/>
  <c r="I49" i="27" s="1"/>
  <c r="J34" i="27"/>
  <c r="J49" i="27" s="1"/>
  <c r="K34" i="27"/>
  <c r="K49" i="27" s="1"/>
  <c r="L34" i="27"/>
  <c r="L49" i="27" s="1"/>
  <c r="M34" i="27"/>
  <c r="M49" i="27" s="1"/>
  <c r="N34" i="27"/>
  <c r="N49" i="27" s="1"/>
  <c r="O34" i="27"/>
  <c r="O49" i="27" s="1"/>
  <c r="P34" i="27"/>
  <c r="P49" i="27" s="1"/>
  <c r="Q34" i="27"/>
  <c r="Q49" i="27" s="1"/>
  <c r="R34" i="27"/>
  <c r="R49" i="27" s="1"/>
  <c r="S34" i="27"/>
  <c r="S49" i="27" s="1"/>
  <c r="T34" i="27"/>
  <c r="T49" i="27" s="1"/>
  <c r="U34" i="27"/>
  <c r="U49" i="27" s="1"/>
  <c r="V34" i="27"/>
  <c r="V49" i="27" s="1"/>
  <c r="W34" i="27"/>
  <c r="W49" i="27" s="1"/>
  <c r="X34" i="27"/>
  <c r="Y34" i="27"/>
  <c r="Z34" i="27"/>
  <c r="AA34" i="27"/>
  <c r="AB34" i="27"/>
  <c r="AC34" i="27"/>
  <c r="AD34" i="27"/>
  <c r="AE34" i="27"/>
  <c r="D62" i="27"/>
  <c r="AB62" i="27"/>
  <c r="AC62" i="27"/>
  <c r="AD62" i="27"/>
  <c r="AE62" i="27"/>
  <c r="V65" i="27"/>
  <c r="V66" i="27"/>
  <c r="V183" i="27" s="1"/>
  <c r="W66" i="27"/>
  <c r="W183" i="27" s="1"/>
  <c r="V67" i="27"/>
  <c r="V184" i="27" s="1"/>
  <c r="W67" i="27"/>
  <c r="W184" i="27" s="1"/>
  <c r="C130" i="26"/>
  <c r="D130" i="26"/>
  <c r="E130" i="26"/>
  <c r="F130" i="26"/>
  <c r="G130" i="26"/>
  <c r="H130" i="26"/>
  <c r="I130" i="26"/>
  <c r="J130" i="26"/>
  <c r="K130" i="26"/>
  <c r="L130" i="26"/>
  <c r="M130" i="26"/>
  <c r="N130" i="26"/>
  <c r="O130" i="26"/>
  <c r="P130" i="26"/>
  <c r="Q130" i="26"/>
  <c r="R130" i="26"/>
  <c r="S130" i="26"/>
  <c r="T130" i="26"/>
  <c r="U130" i="26"/>
  <c r="V130" i="26"/>
  <c r="W130" i="26"/>
  <c r="X130" i="26"/>
  <c r="Y130" i="26"/>
  <c r="Z130" i="26"/>
  <c r="AA130" i="26"/>
  <c r="AB130" i="26"/>
  <c r="AC130" i="26"/>
  <c r="C131" i="26"/>
  <c r="D131" i="26"/>
  <c r="E131" i="26"/>
  <c r="F131" i="26"/>
  <c r="G131" i="26"/>
  <c r="H131" i="26"/>
  <c r="I131" i="26"/>
  <c r="J131" i="26"/>
  <c r="K131" i="26"/>
  <c r="L131" i="26"/>
  <c r="M131" i="26"/>
  <c r="N131" i="26"/>
  <c r="O131" i="26"/>
  <c r="P131" i="26"/>
  <c r="Q131" i="26"/>
  <c r="R131" i="26"/>
  <c r="S131" i="26"/>
  <c r="T131" i="26"/>
  <c r="U131" i="26"/>
  <c r="V131" i="26"/>
  <c r="W131" i="26"/>
  <c r="X131" i="26"/>
  <c r="Y131" i="26"/>
  <c r="Z131" i="26"/>
  <c r="AA131" i="26"/>
  <c r="AB131" i="26"/>
  <c r="AC131" i="26"/>
  <c r="C23" i="25"/>
  <c r="C40" i="25" s="1"/>
  <c r="D11" i="54" s="1"/>
  <c r="D23" i="25"/>
  <c r="D40" i="25" s="1"/>
  <c r="E11" i="54" s="1"/>
  <c r="E9" i="54" s="1"/>
  <c r="E12" i="54" s="1"/>
  <c r="E23" i="25"/>
  <c r="E40" i="25" s="1"/>
  <c r="F23" i="25"/>
  <c r="G23" i="25"/>
  <c r="G40" i="25" s="1"/>
  <c r="H23" i="25"/>
  <c r="H40" i="25" s="1"/>
  <c r="I23" i="25"/>
  <c r="I40" i="25" s="1"/>
  <c r="J23" i="25"/>
  <c r="J40" i="25" s="1"/>
  <c r="K23" i="25"/>
  <c r="K40" i="25" s="1"/>
  <c r="L23" i="25"/>
  <c r="L40" i="25" s="1"/>
  <c r="M23" i="25"/>
  <c r="M40" i="25" s="1"/>
  <c r="N23" i="25"/>
  <c r="O23" i="25"/>
  <c r="O40" i="25" s="1"/>
  <c r="P23" i="25"/>
  <c r="P40" i="25" s="1"/>
  <c r="Q23" i="25"/>
  <c r="Q40" i="25" s="1"/>
  <c r="R23" i="25"/>
  <c r="R40" i="25" s="1"/>
  <c r="S23" i="25"/>
  <c r="T23" i="25"/>
  <c r="T40" i="25" s="1"/>
  <c r="U23" i="25"/>
  <c r="U40" i="25" s="1"/>
  <c r="V23" i="25"/>
  <c r="W23" i="25"/>
  <c r="W40" i="25" s="1"/>
  <c r="X23" i="25"/>
  <c r="X40" i="25" s="1"/>
  <c r="Y23" i="25"/>
  <c r="Y40" i="25" s="1"/>
  <c r="Z23" i="25"/>
  <c r="Z40" i="25" s="1"/>
  <c r="AA23" i="25"/>
  <c r="AA40" i="25" s="1"/>
  <c r="AB23" i="25"/>
  <c r="AB40" i="25" s="1"/>
  <c r="AC23" i="25"/>
  <c r="AC40" i="25" s="1"/>
  <c r="AD23" i="25"/>
  <c r="N30" i="25"/>
  <c r="N47" i="25" s="1"/>
  <c r="Q31" i="25"/>
  <c r="Q48" i="25" s="1"/>
  <c r="F40" i="25"/>
  <c r="N40" i="25"/>
  <c r="S40" i="25"/>
  <c r="V40" i="25"/>
  <c r="AD40" i="25"/>
  <c r="C41" i="25"/>
  <c r="D55" i="49" s="1"/>
  <c r="D41" i="25"/>
  <c r="E55" i="49" s="1"/>
  <c r="E41" i="25"/>
  <c r="F55" i="49" s="1"/>
  <c r="F41" i="25"/>
  <c r="G55" i="49" s="1"/>
  <c r="G41" i="25"/>
  <c r="H55" i="49" s="1"/>
  <c r="H41" i="25"/>
  <c r="I55" i="49" s="1"/>
  <c r="I41" i="25"/>
  <c r="J55" i="49" s="1"/>
  <c r="J41" i="25"/>
  <c r="K55" i="49" s="1"/>
  <c r="K41" i="25"/>
  <c r="L55" i="49" s="1"/>
  <c r="L41" i="25"/>
  <c r="M55" i="49" s="1"/>
  <c r="M41" i="25"/>
  <c r="N55" i="49" s="1"/>
  <c r="N41" i="25"/>
  <c r="O55" i="49" s="1"/>
  <c r="O41" i="25"/>
  <c r="P55" i="49" s="1"/>
  <c r="P41" i="25"/>
  <c r="Q55" i="49" s="1"/>
  <c r="Q41" i="25"/>
  <c r="R55" i="49" s="1"/>
  <c r="R41" i="25"/>
  <c r="S55" i="49" s="1"/>
  <c r="S41" i="25"/>
  <c r="T55" i="49" s="1"/>
  <c r="T41" i="25"/>
  <c r="U55" i="49" s="1"/>
  <c r="U41" i="25"/>
  <c r="V55" i="49" s="1"/>
  <c r="V41" i="25"/>
  <c r="W55" i="49" s="1"/>
  <c r="W41" i="25"/>
  <c r="X55" i="49" s="1"/>
  <c r="X41" i="25"/>
  <c r="Y55" i="49" s="1"/>
  <c r="Y41" i="25"/>
  <c r="Z55" i="49" s="1"/>
  <c r="Z41" i="25"/>
  <c r="AA55" i="49" s="1"/>
  <c r="AA41" i="25"/>
  <c r="AB55" i="49" s="1"/>
  <c r="AB41" i="25"/>
  <c r="AC55" i="49" s="1"/>
  <c r="AC41" i="25"/>
  <c r="AD55" i="49" s="1"/>
  <c r="AD41" i="25"/>
  <c r="AE55" i="49" s="1"/>
  <c r="C42" i="25"/>
  <c r="D42" i="25"/>
  <c r="E44" i="49" s="1"/>
  <c r="E42" i="25"/>
  <c r="F44" i="49" s="1"/>
  <c r="F42" i="25"/>
  <c r="G44" i="49" s="1"/>
  <c r="G42" i="25"/>
  <c r="H44" i="49" s="1"/>
  <c r="H42" i="25"/>
  <c r="I44" i="49" s="1"/>
  <c r="I42" i="25"/>
  <c r="J44" i="49" s="1"/>
  <c r="J42" i="25"/>
  <c r="K44" i="49" s="1"/>
  <c r="K42" i="25"/>
  <c r="L44" i="49" s="1"/>
  <c r="L42" i="25"/>
  <c r="M44" i="49" s="1"/>
  <c r="M42" i="25"/>
  <c r="N44" i="49" s="1"/>
  <c r="N42" i="25"/>
  <c r="O44" i="49" s="1"/>
  <c r="O42" i="25"/>
  <c r="P44" i="49" s="1"/>
  <c r="P42" i="25"/>
  <c r="Q44" i="49" s="1"/>
  <c r="Q42" i="25"/>
  <c r="R44" i="49" s="1"/>
  <c r="R42" i="25"/>
  <c r="S44" i="49" s="1"/>
  <c r="S42" i="25"/>
  <c r="T44" i="49" s="1"/>
  <c r="T42" i="25"/>
  <c r="U44" i="49" s="1"/>
  <c r="U42" i="25"/>
  <c r="V44" i="49" s="1"/>
  <c r="V42" i="25"/>
  <c r="W44" i="49" s="1"/>
  <c r="W42" i="25"/>
  <c r="X44" i="49" s="1"/>
  <c r="X42" i="25"/>
  <c r="Y44" i="49" s="1"/>
  <c r="Y42" i="25"/>
  <c r="Z44" i="49" s="1"/>
  <c r="Z42" i="25"/>
  <c r="AA44" i="49" s="1"/>
  <c r="AA42" i="25"/>
  <c r="AB44" i="49" s="1"/>
  <c r="AB42" i="25"/>
  <c r="AC44" i="49" s="1"/>
  <c r="AC42" i="25"/>
  <c r="AD44" i="49" s="1"/>
  <c r="AD42" i="25"/>
  <c r="AE44" i="49" s="1"/>
  <c r="C59" i="25"/>
  <c r="D59" i="25"/>
  <c r="E59" i="25"/>
  <c r="F59" i="25"/>
  <c r="G59" i="25"/>
  <c r="H59" i="25"/>
  <c r="I59" i="25"/>
  <c r="B60" i="25"/>
  <c r="B61" i="25"/>
  <c r="J59" i="25"/>
  <c r="K59" i="25"/>
  <c r="L59" i="25"/>
  <c r="L57" i="25" s="1"/>
  <c r="M59" i="25"/>
  <c r="N59" i="25"/>
  <c r="O59" i="25"/>
  <c r="P59" i="25"/>
  <c r="P57" i="25" s="1"/>
  <c r="Q59" i="25"/>
  <c r="R59" i="25"/>
  <c r="S59" i="25"/>
  <c r="T59" i="25"/>
  <c r="T57" i="25" s="1"/>
  <c r="U59" i="25"/>
  <c r="V59" i="25"/>
  <c r="W59" i="25"/>
  <c r="X59" i="25"/>
  <c r="X57" i="25" s="1"/>
  <c r="Y59" i="25"/>
  <c r="Z59" i="25"/>
  <c r="AA59" i="25"/>
  <c r="AB59" i="25"/>
  <c r="AB57" i="25" s="1"/>
  <c r="AC59" i="25"/>
  <c r="AD59" i="25"/>
  <c r="AE13" i="45"/>
  <c r="AE16" i="45"/>
  <c r="AE20" i="45"/>
  <c r="AE22" i="45"/>
  <c r="AE25" i="45"/>
  <c r="AE28" i="45"/>
  <c r="AE31" i="45"/>
  <c r="AE38" i="45"/>
  <c r="AE47" i="50" s="1"/>
  <c r="AO34" i="49"/>
  <c r="AO35" i="49"/>
  <c r="C34" i="49"/>
  <c r="D34" i="49"/>
  <c r="E34" i="49"/>
  <c r="F34" i="49"/>
  <c r="G34" i="49"/>
  <c r="H34" i="49"/>
  <c r="I34" i="49"/>
  <c r="J34" i="49"/>
  <c r="K34" i="49"/>
  <c r="L34" i="49"/>
  <c r="M34" i="49"/>
  <c r="N34" i="49"/>
  <c r="O34" i="49"/>
  <c r="P34" i="49"/>
  <c r="Q34" i="49"/>
  <c r="R34" i="49"/>
  <c r="S34" i="49"/>
  <c r="T34" i="49"/>
  <c r="U34" i="49"/>
  <c r="V34" i="49"/>
  <c r="W34" i="49"/>
  <c r="X34" i="49"/>
  <c r="Y34" i="49"/>
  <c r="Z34" i="49"/>
  <c r="AA34" i="49"/>
  <c r="AB34" i="49"/>
  <c r="AC34" i="49"/>
  <c r="AD34" i="49"/>
  <c r="AE34" i="49"/>
  <c r="AO36" i="49"/>
  <c r="C35" i="49"/>
  <c r="AO37" i="49"/>
  <c r="C36" i="49"/>
  <c r="AO38" i="49"/>
  <c r="C37" i="49"/>
  <c r="D37" i="49"/>
  <c r="E37" i="49"/>
  <c r="F37" i="49"/>
  <c r="G37" i="49"/>
  <c r="H37" i="49"/>
  <c r="I37" i="49"/>
  <c r="J37" i="49"/>
  <c r="K37" i="49"/>
  <c r="L37" i="49"/>
  <c r="M37" i="49"/>
  <c r="N37" i="49"/>
  <c r="O37" i="49"/>
  <c r="P37" i="49"/>
  <c r="Q37" i="49"/>
  <c r="R37" i="49"/>
  <c r="S37" i="49"/>
  <c r="T37" i="49"/>
  <c r="U37" i="49"/>
  <c r="V37" i="49"/>
  <c r="W37" i="49"/>
  <c r="X37" i="49"/>
  <c r="Y37" i="49"/>
  <c r="Z37" i="49"/>
  <c r="AA37" i="49"/>
  <c r="AB37" i="49"/>
  <c r="AC37" i="49"/>
  <c r="AD37" i="49"/>
  <c r="AE37" i="49"/>
  <c r="AO40" i="49"/>
  <c r="C38" i="49"/>
  <c r="D38" i="49"/>
  <c r="E38" i="49"/>
  <c r="F38" i="49"/>
  <c r="G38" i="49"/>
  <c r="H38" i="49"/>
  <c r="I38" i="49"/>
  <c r="J38" i="49"/>
  <c r="K38" i="49"/>
  <c r="L38" i="49"/>
  <c r="M38" i="49"/>
  <c r="N38" i="49"/>
  <c r="O38" i="49"/>
  <c r="P38" i="49"/>
  <c r="Q38" i="49"/>
  <c r="R38" i="49"/>
  <c r="S38" i="49"/>
  <c r="T38" i="49"/>
  <c r="U38" i="49"/>
  <c r="V38" i="49"/>
  <c r="W38" i="49"/>
  <c r="X38" i="49"/>
  <c r="Y38" i="49"/>
  <c r="Z38" i="49"/>
  <c r="AA38" i="49"/>
  <c r="AB38" i="49"/>
  <c r="AC38" i="49"/>
  <c r="AD38" i="49"/>
  <c r="AE38" i="49"/>
  <c r="D40" i="49"/>
  <c r="H40" i="49"/>
  <c r="I40" i="49"/>
  <c r="M40" i="49"/>
  <c r="N40" i="49"/>
  <c r="X40" i="49"/>
  <c r="AA40" i="49"/>
  <c r="D41" i="49"/>
  <c r="E41" i="49"/>
  <c r="F41" i="49"/>
  <c r="G41" i="49"/>
  <c r="H41" i="49"/>
  <c r="I41" i="49"/>
  <c r="J41" i="49"/>
  <c r="K41" i="49"/>
  <c r="L41" i="49"/>
  <c r="M41" i="49"/>
  <c r="N41" i="49"/>
  <c r="O41" i="49"/>
  <c r="P41" i="49"/>
  <c r="Q41" i="49"/>
  <c r="R41" i="49"/>
  <c r="S41" i="49"/>
  <c r="T41" i="49"/>
  <c r="U41" i="49"/>
  <c r="V41" i="49"/>
  <c r="W41" i="49"/>
  <c r="X41" i="49"/>
  <c r="Y41" i="49"/>
  <c r="Z41" i="49"/>
  <c r="AA41" i="49"/>
  <c r="AB41" i="49"/>
  <c r="AC41" i="49"/>
  <c r="AD41" i="49"/>
  <c r="AE41" i="49"/>
  <c r="Y42" i="49"/>
  <c r="Z42" i="49"/>
  <c r="AA42" i="49"/>
  <c r="AC42" i="49"/>
  <c r="AD42" i="49"/>
  <c r="AE42" i="49"/>
  <c r="C44" i="49"/>
  <c r="D44" i="49"/>
  <c r="C45" i="49"/>
  <c r="C46" i="49"/>
  <c r="C47" i="49"/>
  <c r="D48" i="49"/>
  <c r="X48" i="49"/>
  <c r="Y48" i="49"/>
  <c r="Z48" i="49"/>
  <c r="AA48" i="49"/>
  <c r="AB48" i="49"/>
  <c r="AC48" i="49"/>
  <c r="AD48" i="49"/>
  <c r="AE48" i="49"/>
  <c r="E51" i="49"/>
  <c r="F51" i="49"/>
  <c r="G51" i="49"/>
  <c r="I51" i="49"/>
  <c r="J51" i="49"/>
  <c r="K51" i="49"/>
  <c r="M51" i="49"/>
  <c r="N51" i="49"/>
  <c r="O51" i="49"/>
  <c r="Q51" i="49"/>
  <c r="R51" i="49"/>
  <c r="S51" i="49"/>
  <c r="U51" i="49"/>
  <c r="V51" i="49"/>
  <c r="W51" i="49"/>
  <c r="Y51" i="49"/>
  <c r="Z51" i="49"/>
  <c r="AA51" i="49"/>
  <c r="AC51" i="49"/>
  <c r="AD51" i="49"/>
  <c r="AE51" i="49"/>
  <c r="D52" i="49"/>
  <c r="E52" i="49"/>
  <c r="F52" i="49"/>
  <c r="G52" i="49"/>
  <c r="H52" i="49"/>
  <c r="I52" i="49"/>
  <c r="J52" i="49"/>
  <c r="K52" i="49"/>
  <c r="L52" i="49"/>
  <c r="M52" i="49"/>
  <c r="N52" i="49"/>
  <c r="O52" i="49"/>
  <c r="P52" i="49"/>
  <c r="Q52" i="49"/>
  <c r="R52" i="49"/>
  <c r="S52" i="49"/>
  <c r="T52" i="49"/>
  <c r="U52" i="49"/>
  <c r="V52" i="49"/>
  <c r="W52" i="49"/>
  <c r="X52" i="49"/>
  <c r="Z52" i="49"/>
  <c r="AC52" i="49"/>
  <c r="AD52" i="49"/>
  <c r="D53" i="49"/>
  <c r="C55" i="49"/>
  <c r="C56" i="49"/>
  <c r="C57" i="49"/>
  <c r="C58" i="49"/>
  <c r="D59" i="49"/>
  <c r="X59" i="49"/>
  <c r="Y59" i="49"/>
  <c r="Z59" i="49"/>
  <c r="AA59" i="49"/>
  <c r="AB59" i="49"/>
  <c r="AC59" i="49"/>
  <c r="AD59" i="49"/>
  <c r="AE59" i="49"/>
  <c r="D60" i="49"/>
  <c r="E60" i="49"/>
  <c r="F60" i="49"/>
  <c r="G60" i="49"/>
  <c r="H60" i="49"/>
  <c r="I60" i="49"/>
  <c r="J60" i="49"/>
  <c r="K60" i="49"/>
  <c r="L60" i="49"/>
  <c r="M60" i="49"/>
  <c r="N60" i="49"/>
  <c r="O60" i="49"/>
  <c r="P60" i="49"/>
  <c r="Q60" i="49"/>
  <c r="R60" i="49"/>
  <c r="S60" i="49"/>
  <c r="T60" i="49"/>
  <c r="U60" i="49"/>
  <c r="V60" i="49"/>
  <c r="W60" i="49"/>
  <c r="Y60" i="49"/>
  <c r="AA60" i="49"/>
  <c r="AC60" i="49"/>
  <c r="F62" i="49"/>
  <c r="G62" i="49"/>
  <c r="H62" i="49"/>
  <c r="J62" i="49"/>
  <c r="K62" i="49"/>
  <c r="L62" i="49"/>
  <c r="N62" i="49"/>
  <c r="O62" i="49"/>
  <c r="P62" i="49"/>
  <c r="R62" i="49"/>
  <c r="S62" i="49"/>
  <c r="T62" i="49"/>
  <c r="V62" i="49"/>
  <c r="W62" i="49"/>
  <c r="X62" i="49"/>
  <c r="Z62" i="49"/>
  <c r="AA62" i="49"/>
  <c r="AB62" i="49"/>
  <c r="AD62" i="49"/>
  <c r="AE62" i="49"/>
  <c r="D63" i="49"/>
  <c r="C65" i="49"/>
  <c r="D65" i="49"/>
  <c r="E65" i="49"/>
  <c r="F65" i="49"/>
  <c r="G65" i="49"/>
  <c r="H65" i="49"/>
  <c r="I65" i="49"/>
  <c r="J65" i="49"/>
  <c r="K65" i="49"/>
  <c r="L65" i="49"/>
  <c r="M65" i="49"/>
  <c r="N65" i="49"/>
  <c r="O65" i="49"/>
  <c r="P65" i="49"/>
  <c r="Q65" i="49"/>
  <c r="R65" i="49"/>
  <c r="S65" i="49"/>
  <c r="T65" i="49"/>
  <c r="U65" i="49"/>
  <c r="V65" i="49"/>
  <c r="W65" i="49"/>
  <c r="X65" i="49"/>
  <c r="Y65" i="49"/>
  <c r="Z65" i="49"/>
  <c r="AA65" i="49"/>
  <c r="AB65" i="49"/>
  <c r="AC65" i="49"/>
  <c r="AD65" i="49"/>
  <c r="AE65" i="49"/>
  <c r="C66" i="49"/>
  <c r="D66" i="49"/>
  <c r="E66" i="49"/>
  <c r="F66" i="49"/>
  <c r="G66" i="49"/>
  <c r="H66" i="49"/>
  <c r="I66" i="49"/>
  <c r="J66" i="49"/>
  <c r="K66" i="49"/>
  <c r="L66" i="49"/>
  <c r="M66" i="49"/>
  <c r="N66" i="49"/>
  <c r="O66" i="49"/>
  <c r="P66" i="49"/>
  <c r="Q66" i="49"/>
  <c r="R66" i="49"/>
  <c r="S66" i="49"/>
  <c r="T66" i="49"/>
  <c r="U66" i="49"/>
  <c r="V66" i="49"/>
  <c r="W66" i="49"/>
  <c r="X66" i="49"/>
  <c r="Y66" i="49"/>
  <c r="Z66" i="49"/>
  <c r="AA66" i="49"/>
  <c r="AB66" i="49"/>
  <c r="AC66" i="49"/>
  <c r="AD66" i="49"/>
  <c r="AE66" i="49"/>
  <c r="C67" i="49"/>
  <c r="D67" i="49"/>
  <c r="E67" i="49"/>
  <c r="F67" i="49"/>
  <c r="G67" i="49"/>
  <c r="H67" i="49"/>
  <c r="I67" i="49"/>
  <c r="J67" i="49"/>
  <c r="K67" i="49"/>
  <c r="L67" i="49"/>
  <c r="M67" i="49"/>
  <c r="N67" i="49"/>
  <c r="O67" i="49"/>
  <c r="P67" i="49"/>
  <c r="Q67" i="49"/>
  <c r="R67" i="49"/>
  <c r="S67" i="49"/>
  <c r="T67" i="49"/>
  <c r="U67" i="49"/>
  <c r="V67" i="49"/>
  <c r="W67" i="49"/>
  <c r="X67" i="49"/>
  <c r="Y67" i="49"/>
  <c r="Z67" i="49"/>
  <c r="AA67" i="49"/>
  <c r="AB67" i="49"/>
  <c r="AC67" i="49"/>
  <c r="AD67" i="49"/>
  <c r="AE67" i="49"/>
  <c r="O69" i="49"/>
  <c r="O27" i="49" s="1"/>
  <c r="P69" i="49"/>
  <c r="P27" i="49" s="1"/>
  <c r="Q69" i="49"/>
  <c r="Q27" i="49" s="1"/>
  <c r="R69" i="49"/>
  <c r="R27" i="49" s="1"/>
  <c r="S69" i="49"/>
  <c r="S27" i="49" s="1"/>
  <c r="T69" i="49"/>
  <c r="T27" i="49" s="1"/>
  <c r="U69" i="49"/>
  <c r="U27" i="49" s="1"/>
  <c r="V69" i="49"/>
  <c r="V27" i="49" s="1"/>
  <c r="W69" i="49"/>
  <c r="W27" i="49" s="1"/>
  <c r="X69" i="49"/>
  <c r="X27" i="49" s="1"/>
  <c r="Y69" i="49"/>
  <c r="Y27" i="49" s="1"/>
  <c r="Z69" i="49"/>
  <c r="Z27" i="49" s="1"/>
  <c r="AA69" i="49"/>
  <c r="AA27" i="49" s="1"/>
  <c r="AB69" i="49"/>
  <c r="AB27" i="49" s="1"/>
  <c r="AC69" i="49"/>
  <c r="AC27" i="49" s="1"/>
  <c r="AD69" i="49"/>
  <c r="AD27" i="49" s="1"/>
  <c r="AE69" i="49"/>
  <c r="AE27" i="49" s="1"/>
  <c r="AD12" i="50"/>
  <c r="V12" i="50"/>
  <c r="AC62" i="49"/>
  <c r="Y62" i="49"/>
  <c r="U62" i="49"/>
  <c r="Q62" i="49"/>
  <c r="M62" i="49"/>
  <c r="I62" i="49"/>
  <c r="E62" i="49"/>
  <c r="AB51" i="49"/>
  <c r="X51" i="49"/>
  <c r="T51" i="49"/>
  <c r="P51" i="49"/>
  <c r="L51" i="49"/>
  <c r="H51" i="49"/>
  <c r="D51" i="49"/>
  <c r="P30" i="45" l="1"/>
  <c r="P45" i="54"/>
  <c r="H30" i="45"/>
  <c r="H45" i="54"/>
  <c r="W30" i="45"/>
  <c r="W45" i="54"/>
  <c r="O30" i="45"/>
  <c r="O45" i="54"/>
  <c r="G30" i="45"/>
  <c r="G45" i="54"/>
  <c r="V30" i="45"/>
  <c r="V45" i="54"/>
  <c r="N30" i="45"/>
  <c r="N45" i="54"/>
  <c r="F30" i="45"/>
  <c r="F45" i="54"/>
  <c r="U30" i="45"/>
  <c r="U45" i="54"/>
  <c r="M30" i="45"/>
  <c r="M45" i="54"/>
  <c r="E30" i="45"/>
  <c r="E45" i="54"/>
  <c r="T30" i="45"/>
  <c r="T45" i="54"/>
  <c r="L30" i="45"/>
  <c r="L45" i="54"/>
  <c r="S30" i="45"/>
  <c r="S45" i="54"/>
  <c r="K30" i="45"/>
  <c r="K45" i="54"/>
  <c r="R30" i="45"/>
  <c r="R45" i="54"/>
  <c r="J30" i="45"/>
  <c r="J45" i="54"/>
  <c r="Q30" i="45"/>
  <c r="Q45" i="54"/>
  <c r="I30" i="45"/>
  <c r="I45" i="54"/>
  <c r="C56" i="29"/>
  <c r="D38" i="45" s="1"/>
  <c r="D47" i="50" s="1"/>
  <c r="BC63" i="50" s="1"/>
  <c r="K14" i="45"/>
  <c r="K12" i="45" s="1"/>
  <c r="K43" i="50" s="1"/>
  <c r="K11" i="54"/>
  <c r="K9" i="54" s="1"/>
  <c r="K12" i="54" s="1"/>
  <c r="AA14" i="45"/>
  <c r="AA12" i="45" s="1"/>
  <c r="AA11" i="54"/>
  <c r="AA9" i="54" s="1"/>
  <c r="AA12" i="54" s="1"/>
  <c r="S14" i="45"/>
  <c r="S12" i="45" s="1"/>
  <c r="S43" i="50" s="1"/>
  <c r="S11" i="54"/>
  <c r="S9" i="54" s="1"/>
  <c r="S12" i="54" s="1"/>
  <c r="G14" i="45"/>
  <c r="G12" i="45" s="1"/>
  <c r="G43" i="50" s="1"/>
  <c r="G11" i="54"/>
  <c r="G9" i="54" s="1"/>
  <c r="G12" i="54" s="1"/>
  <c r="Z14" i="45"/>
  <c r="Z12" i="45" s="1"/>
  <c r="Z43" i="50" s="1"/>
  <c r="Z11" i="54"/>
  <c r="Z9" i="54" s="1"/>
  <c r="Z12" i="54" s="1"/>
  <c r="R14" i="45"/>
  <c r="R12" i="45" s="1"/>
  <c r="R11" i="54"/>
  <c r="R9" i="54" s="1"/>
  <c r="R12" i="54" s="1"/>
  <c r="J14" i="45"/>
  <c r="J12" i="45" s="1"/>
  <c r="J11" i="54"/>
  <c r="J9" i="54" s="1"/>
  <c r="J12" i="54" s="1"/>
  <c r="Y14" i="45"/>
  <c r="Y12" i="45" s="1"/>
  <c r="Y43" i="50" s="1"/>
  <c r="Y11" i="54"/>
  <c r="Y9" i="54" s="1"/>
  <c r="Y12" i="54" s="1"/>
  <c r="Q14" i="45"/>
  <c r="Q12" i="45" s="1"/>
  <c r="Q43" i="50" s="1"/>
  <c r="Q11" i="54"/>
  <c r="Q9" i="54" s="1"/>
  <c r="Q12" i="54" s="1"/>
  <c r="I14" i="45"/>
  <c r="I12" i="45" s="1"/>
  <c r="I11" i="54"/>
  <c r="I9" i="54" s="1"/>
  <c r="I12" i="54" s="1"/>
  <c r="X14" i="45"/>
  <c r="X12" i="45" s="1"/>
  <c r="X43" i="50" s="1"/>
  <c r="X11" i="54"/>
  <c r="X9" i="54" s="1"/>
  <c r="X12" i="54" s="1"/>
  <c r="P14" i="45"/>
  <c r="P12" i="45" s="1"/>
  <c r="P43" i="50" s="1"/>
  <c r="P11" i="54"/>
  <c r="P9" i="54" s="1"/>
  <c r="P12" i="54" s="1"/>
  <c r="H14" i="45"/>
  <c r="H12" i="45" s="1"/>
  <c r="H43" i="50" s="1"/>
  <c r="H11" i="54"/>
  <c r="H9" i="54" s="1"/>
  <c r="H12" i="54" s="1"/>
  <c r="AE14" i="45"/>
  <c r="AE11" i="54"/>
  <c r="AE9" i="54" s="1"/>
  <c r="AE12" i="54" s="1"/>
  <c r="W14" i="45"/>
  <c r="W12" i="45" s="1"/>
  <c r="W43" i="50" s="1"/>
  <c r="W11" i="54"/>
  <c r="W9" i="54" s="1"/>
  <c r="W12" i="54" s="1"/>
  <c r="AD14" i="45"/>
  <c r="AD12" i="45" s="1"/>
  <c r="AD43" i="50" s="1"/>
  <c r="AD11" i="54"/>
  <c r="AD9" i="54" s="1"/>
  <c r="AD12" i="54" s="1"/>
  <c r="V14" i="45"/>
  <c r="V12" i="45" s="1"/>
  <c r="V43" i="50" s="1"/>
  <c r="V11" i="54"/>
  <c r="V9" i="54" s="1"/>
  <c r="V12" i="54" s="1"/>
  <c r="N14" i="45"/>
  <c r="N12" i="45" s="1"/>
  <c r="N11" i="54"/>
  <c r="N9" i="54" s="1"/>
  <c r="N12" i="54" s="1"/>
  <c r="F14" i="45"/>
  <c r="F12" i="45" s="1"/>
  <c r="F43" i="50" s="1"/>
  <c r="F11" i="54"/>
  <c r="F9" i="54" s="1"/>
  <c r="F12" i="54" s="1"/>
  <c r="T14" i="45"/>
  <c r="T12" i="45" s="1"/>
  <c r="T43" i="50" s="1"/>
  <c r="T11" i="54"/>
  <c r="T9" i="54" s="1"/>
  <c r="T12" i="54" s="1"/>
  <c r="AC14" i="45"/>
  <c r="AC12" i="45" s="1"/>
  <c r="AC43" i="50" s="1"/>
  <c r="AC11" i="54"/>
  <c r="AC9" i="54" s="1"/>
  <c r="AC12" i="54" s="1"/>
  <c r="U14" i="45"/>
  <c r="U12" i="45" s="1"/>
  <c r="U11" i="54"/>
  <c r="U9" i="54" s="1"/>
  <c r="U12" i="54" s="1"/>
  <c r="M14" i="45"/>
  <c r="M12" i="45" s="1"/>
  <c r="M43" i="50" s="1"/>
  <c r="M11" i="54"/>
  <c r="M9" i="54" s="1"/>
  <c r="M12" i="54" s="1"/>
  <c r="O14" i="45"/>
  <c r="O12" i="45" s="1"/>
  <c r="O43" i="50" s="1"/>
  <c r="O11" i="54"/>
  <c r="O9" i="54" s="1"/>
  <c r="O12" i="54" s="1"/>
  <c r="AB14" i="45"/>
  <c r="AB12" i="45" s="1"/>
  <c r="AB43" i="50" s="1"/>
  <c r="AB11" i="54"/>
  <c r="AB9" i="54" s="1"/>
  <c r="AB12" i="54" s="1"/>
  <c r="L14" i="45"/>
  <c r="L12" i="45" s="1"/>
  <c r="L11" i="54"/>
  <c r="L9" i="54" s="1"/>
  <c r="L12" i="54" s="1"/>
  <c r="D9" i="54"/>
  <c r="D12" i="54" s="1"/>
  <c r="W185" i="27"/>
  <c r="P191" i="27"/>
  <c r="P188" i="27"/>
  <c r="H191" i="27"/>
  <c r="H188" i="27"/>
  <c r="W191" i="27"/>
  <c r="W188" i="27"/>
  <c r="O191" i="27"/>
  <c r="O188" i="27"/>
  <c r="G191" i="27"/>
  <c r="G188" i="27"/>
  <c r="V191" i="27"/>
  <c r="V188" i="27"/>
  <c r="N188" i="27"/>
  <c r="N191" i="27"/>
  <c r="F188" i="27"/>
  <c r="F191" i="27"/>
  <c r="U191" i="27"/>
  <c r="U188" i="27"/>
  <c r="M191" i="27"/>
  <c r="M188" i="27"/>
  <c r="E191" i="27"/>
  <c r="E188" i="27"/>
  <c r="T188" i="27"/>
  <c r="T191" i="27"/>
  <c r="L191" i="27"/>
  <c r="L188" i="27"/>
  <c r="D191" i="27"/>
  <c r="D188" i="27"/>
  <c r="S188" i="27"/>
  <c r="S191" i="27"/>
  <c r="K188" i="27"/>
  <c r="K191" i="27"/>
  <c r="R188" i="27"/>
  <c r="R191" i="27"/>
  <c r="J191" i="27"/>
  <c r="J188" i="27"/>
  <c r="Q188" i="27"/>
  <c r="Q191" i="27"/>
  <c r="I188" i="27"/>
  <c r="I191" i="27"/>
  <c r="M187" i="27"/>
  <c r="AE187" i="27"/>
  <c r="AE189" i="27" s="1"/>
  <c r="AE212" i="27" s="1"/>
  <c r="W187" i="27"/>
  <c r="O187" i="27"/>
  <c r="G187" i="27"/>
  <c r="AD187" i="27"/>
  <c r="AD189" i="27" s="1"/>
  <c r="AD212" i="27" s="1"/>
  <c r="V187" i="27"/>
  <c r="V189" i="27" s="1"/>
  <c r="N187" i="27"/>
  <c r="F187" i="27"/>
  <c r="AC187" i="27"/>
  <c r="AC189" i="27" s="1"/>
  <c r="AC212" i="27" s="1"/>
  <c r="AB187" i="27"/>
  <c r="AB189" i="27" s="1"/>
  <c r="AB212" i="27" s="1"/>
  <c r="T187" i="27"/>
  <c r="L187" i="27"/>
  <c r="D187" i="27"/>
  <c r="E187" i="27"/>
  <c r="AA187" i="27"/>
  <c r="AA189" i="27" s="1"/>
  <c r="AA212" i="27" s="1"/>
  <c r="S187" i="27"/>
  <c r="K187" i="27"/>
  <c r="Z187" i="27"/>
  <c r="Z189" i="27" s="1"/>
  <c r="Z212" i="27" s="1"/>
  <c r="R187" i="27"/>
  <c r="J187" i="27"/>
  <c r="J189" i="27" s="1"/>
  <c r="U187" i="27"/>
  <c r="Y187" i="27"/>
  <c r="Y189" i="27" s="1"/>
  <c r="Y212" i="27" s="1"/>
  <c r="Q187" i="27"/>
  <c r="I187" i="27"/>
  <c r="V205" i="27"/>
  <c r="V182" i="27"/>
  <c r="V185" i="27" s="1"/>
  <c r="X187" i="27"/>
  <c r="X189" i="27" s="1"/>
  <c r="X212" i="27" s="1"/>
  <c r="P187" i="27"/>
  <c r="H187" i="27"/>
  <c r="H189" i="27" s="1"/>
  <c r="V206" i="27"/>
  <c r="V328" i="27" s="1"/>
  <c r="V331" i="27" s="1"/>
  <c r="W206" i="27"/>
  <c r="W328" i="27" s="1"/>
  <c r="W331" i="27" s="1"/>
  <c r="AI12" i="27"/>
  <c r="AI50" i="49" s="1"/>
  <c r="AI9" i="27"/>
  <c r="AI54" i="54" s="1"/>
  <c r="AI53" i="54" s="1"/>
  <c r="AI56" i="54" s="1"/>
  <c r="V307" i="27"/>
  <c r="W306" i="27"/>
  <c r="V306" i="27"/>
  <c r="V305" i="27"/>
  <c r="W307" i="27"/>
  <c r="AE58" i="25"/>
  <c r="AG58" i="25"/>
  <c r="AF58" i="25"/>
  <c r="AG46" i="49" s="1"/>
  <c r="AE57" i="25"/>
  <c r="AE56" i="25" s="1"/>
  <c r="AF26" i="54" s="1"/>
  <c r="AF57" i="25"/>
  <c r="E14" i="45"/>
  <c r="E12" i="45" s="1"/>
  <c r="D14" i="45"/>
  <c r="D12" i="45" s="1"/>
  <c r="AB26" i="49"/>
  <c r="T26" i="49"/>
  <c r="AF36" i="49"/>
  <c r="I132" i="26"/>
  <c r="L26" i="49"/>
  <c r="AB44" i="50"/>
  <c r="L44" i="50"/>
  <c r="AA44" i="50"/>
  <c r="K44" i="50"/>
  <c r="Z44" i="50"/>
  <c r="J44" i="50"/>
  <c r="AE36" i="45"/>
  <c r="AE35" i="45"/>
  <c r="AE44" i="50" s="1"/>
  <c r="I44" i="50"/>
  <c r="X26" i="49"/>
  <c r="P26" i="49"/>
  <c r="W40" i="49"/>
  <c r="N44" i="50"/>
  <c r="M44" i="50"/>
  <c r="K12" i="50"/>
  <c r="Y12" i="50"/>
  <c r="O12" i="50"/>
  <c r="AB12" i="50"/>
  <c r="P12" i="50"/>
  <c r="J12" i="50"/>
  <c r="AE12" i="50"/>
  <c r="Z12" i="50"/>
  <c r="X12" i="50"/>
  <c r="AA12" i="50"/>
  <c r="G12" i="50"/>
  <c r="W12" i="50"/>
  <c r="AC12" i="50"/>
  <c r="N12" i="50"/>
  <c r="AB52" i="49"/>
  <c r="J71" i="31"/>
  <c r="J72" i="31" s="1"/>
  <c r="J52" i="31" s="1"/>
  <c r="J78" i="31"/>
  <c r="J79" i="31" s="1"/>
  <c r="J80" i="31" s="1"/>
  <c r="F71" i="31"/>
  <c r="F72" i="31" s="1"/>
  <c r="F52" i="31" s="1"/>
  <c r="L71" i="31"/>
  <c r="L72" i="31" s="1"/>
  <c r="L52" i="31" s="1"/>
  <c r="AB16" i="47"/>
  <c r="C8" i="31"/>
  <c r="D42" i="49" s="1"/>
  <c r="C57" i="31"/>
  <c r="C55" i="31"/>
  <c r="C56" i="31" s="1"/>
  <c r="I78" i="31"/>
  <c r="I79" i="31" s="1"/>
  <c r="I80" i="31" s="1"/>
  <c r="E71" i="31"/>
  <c r="E72" i="31" s="1"/>
  <c r="E52" i="31" s="1"/>
  <c r="U74" i="31"/>
  <c r="U75" i="31" s="1"/>
  <c r="U76" i="31" s="1"/>
  <c r="U71" i="31"/>
  <c r="U72" i="31" s="1"/>
  <c r="U52" i="31" s="1"/>
  <c r="D26" i="49"/>
  <c r="AD41" i="50"/>
  <c r="R12" i="50"/>
  <c r="H26" i="49"/>
  <c r="AB312" i="27"/>
  <c r="AB310" i="27"/>
  <c r="AB309" i="27"/>
  <c r="X312" i="27"/>
  <c r="X310" i="27"/>
  <c r="X309" i="27"/>
  <c r="T312" i="27"/>
  <c r="T310" i="27"/>
  <c r="T309" i="27"/>
  <c r="P312" i="27"/>
  <c r="P310" i="27"/>
  <c r="P309" i="27"/>
  <c r="L312" i="27"/>
  <c r="L310" i="27"/>
  <c r="L309" i="27"/>
  <c r="H312" i="27"/>
  <c r="H310" i="27"/>
  <c r="H309" i="27"/>
  <c r="D312" i="27"/>
  <c r="D310" i="27"/>
  <c r="D309" i="27"/>
  <c r="AE310" i="27"/>
  <c r="AE309" i="27"/>
  <c r="AE312" i="27"/>
  <c r="AA310" i="27"/>
  <c r="AA309" i="27"/>
  <c r="AA312" i="27"/>
  <c r="W310" i="27"/>
  <c r="W309" i="27"/>
  <c r="W312" i="27"/>
  <c r="S310" i="27"/>
  <c r="S309" i="27"/>
  <c r="S312" i="27"/>
  <c r="O310" i="27"/>
  <c r="O309" i="27"/>
  <c r="O312" i="27"/>
  <c r="K310" i="27"/>
  <c r="K309" i="27"/>
  <c r="K312" i="27"/>
  <c r="G310" i="27"/>
  <c r="G309" i="27"/>
  <c r="G312" i="27"/>
  <c r="AD309" i="27"/>
  <c r="AD310" i="27"/>
  <c r="AD312" i="27"/>
  <c r="Z309" i="27"/>
  <c r="Z310" i="27"/>
  <c r="Z312" i="27"/>
  <c r="V309" i="27"/>
  <c r="V310" i="27"/>
  <c r="V312" i="27"/>
  <c r="R309" i="27"/>
  <c r="R310" i="27"/>
  <c r="R312" i="27"/>
  <c r="N309" i="27"/>
  <c r="N310" i="27"/>
  <c r="N312" i="27"/>
  <c r="J309" i="27"/>
  <c r="J312" i="27"/>
  <c r="J310" i="27"/>
  <c r="F309" i="27"/>
  <c r="F310" i="27"/>
  <c r="F312" i="27"/>
  <c r="AC312" i="27"/>
  <c r="AC309" i="27"/>
  <c r="AC310" i="27"/>
  <c r="Y312" i="27"/>
  <c r="Y309" i="27"/>
  <c r="Y310" i="27"/>
  <c r="U312" i="27"/>
  <c r="U310" i="27"/>
  <c r="U309" i="27"/>
  <c r="Q312" i="27"/>
  <c r="Q310" i="27"/>
  <c r="Q309" i="27"/>
  <c r="M312" i="27"/>
  <c r="M310" i="27"/>
  <c r="M309" i="27"/>
  <c r="I312" i="27"/>
  <c r="I310" i="27"/>
  <c r="I309" i="27"/>
  <c r="E309" i="27"/>
  <c r="E310" i="27"/>
  <c r="E312" i="27"/>
  <c r="AE26" i="49"/>
  <c r="W26" i="49"/>
  <c r="K26" i="49"/>
  <c r="AD26" i="49"/>
  <c r="V26" i="49"/>
  <c r="F26" i="49"/>
  <c r="AA26" i="49"/>
  <c r="S26" i="49"/>
  <c r="O26" i="49"/>
  <c r="G26" i="49"/>
  <c r="Z26" i="49"/>
  <c r="R26" i="49"/>
  <c r="N26" i="49"/>
  <c r="J26" i="49"/>
  <c r="AC26" i="49"/>
  <c r="Y26" i="49"/>
  <c r="U26" i="49"/>
  <c r="Q26" i="49"/>
  <c r="M26" i="49"/>
  <c r="I26" i="49"/>
  <c r="E26" i="49"/>
  <c r="I14" i="44"/>
  <c r="I15" i="44" s="1"/>
  <c r="I11" i="47" s="1"/>
  <c r="I38" i="44"/>
  <c r="I39" i="44" s="1"/>
  <c r="I40" i="44" s="1"/>
  <c r="I33" i="25" s="1"/>
  <c r="I50" i="25" s="1"/>
  <c r="J58" i="49" s="1"/>
  <c r="AE70" i="44"/>
  <c r="AE71" i="44" s="1"/>
  <c r="AE72" i="44" s="1"/>
  <c r="AF70" i="44"/>
  <c r="AF71" i="44" s="1"/>
  <c r="AF72" i="44" s="1"/>
  <c r="E263" i="44"/>
  <c r="E264" i="44" s="1"/>
  <c r="E265" i="44" s="1"/>
  <c r="E15" i="32" s="1"/>
  <c r="E17" i="32" s="1"/>
  <c r="F63" i="49" s="1"/>
  <c r="AF263" i="44"/>
  <c r="AF264" i="44" s="1"/>
  <c r="AF265" i="44" s="1"/>
  <c r="AF15" i="32" s="1"/>
  <c r="AF17" i="32" s="1"/>
  <c r="AG63" i="49" s="1"/>
  <c r="AB219" i="44"/>
  <c r="AB220" i="44" s="1"/>
  <c r="AB9" i="47" s="1"/>
  <c r="X219" i="44"/>
  <c r="X220" i="44" s="1"/>
  <c r="X9" i="47" s="1"/>
  <c r="T219" i="44"/>
  <c r="T220" i="44" s="1"/>
  <c r="T9" i="47" s="1"/>
  <c r="P219" i="44"/>
  <c r="P220" i="44" s="1"/>
  <c r="P9" i="47" s="1"/>
  <c r="AC181" i="44"/>
  <c r="AC182" i="44" s="1"/>
  <c r="AC6" i="47" s="1"/>
  <c r="Y181" i="44"/>
  <c r="Y182" i="44" s="1"/>
  <c r="Y6" i="47" s="1"/>
  <c r="U181" i="44"/>
  <c r="U182" i="44" s="1"/>
  <c r="U6" i="47" s="1"/>
  <c r="Q181" i="44"/>
  <c r="Q182" i="44" s="1"/>
  <c r="Q6" i="47" s="1"/>
  <c r="C163" i="44"/>
  <c r="C164" i="44" s="1"/>
  <c r="AB70" i="44"/>
  <c r="AB71" i="44" s="1"/>
  <c r="AB72" i="44" s="1"/>
  <c r="AB77" i="44" s="1"/>
  <c r="J70" i="44"/>
  <c r="J71" i="44" s="1"/>
  <c r="J72" i="44" s="1"/>
  <c r="L67" i="44"/>
  <c r="L68" i="44" s="1"/>
  <c r="AF67" i="44"/>
  <c r="AF68" i="44" s="1"/>
  <c r="AF7" i="47" s="1"/>
  <c r="N14" i="44"/>
  <c r="N15" i="44" s="1"/>
  <c r="N11" i="47" s="1"/>
  <c r="X259" i="44"/>
  <c r="X260" i="44" s="1"/>
  <c r="X261" i="44" s="1"/>
  <c r="X266" i="44" s="1"/>
  <c r="AF259" i="44"/>
  <c r="AF260" i="44" s="1"/>
  <c r="AF261" i="44" s="1"/>
  <c r="Z70" i="44"/>
  <c r="Z71" i="44" s="1"/>
  <c r="Z72" i="44" s="1"/>
  <c r="D70" i="44"/>
  <c r="D71" i="44" s="1"/>
  <c r="D72" i="44" s="1"/>
  <c r="D256" i="44"/>
  <c r="D257" i="44" s="1"/>
  <c r="D17" i="47" s="1"/>
  <c r="D15" i="47" s="1"/>
  <c r="AF256" i="44"/>
  <c r="AF257" i="44" s="1"/>
  <c r="AF17" i="47" s="1"/>
  <c r="AF15" i="47" s="1"/>
  <c r="T70" i="44"/>
  <c r="T71" i="44" s="1"/>
  <c r="T72" i="44" s="1"/>
  <c r="T77" i="44" s="1"/>
  <c r="AE74" i="44"/>
  <c r="AE75" i="44" s="1"/>
  <c r="AE76" i="44" s="1"/>
  <c r="AF74" i="44"/>
  <c r="AF75" i="44" s="1"/>
  <c r="AF76" i="44" s="1"/>
  <c r="AF27" i="25" s="1"/>
  <c r="AF44" i="25" s="1"/>
  <c r="AG56" i="49" s="1"/>
  <c r="E53" i="31"/>
  <c r="M181" i="44"/>
  <c r="M182" i="44" s="1"/>
  <c r="M6" i="47" s="1"/>
  <c r="I181" i="44"/>
  <c r="I182" i="44" s="1"/>
  <c r="I6" i="47" s="1"/>
  <c r="E181" i="44"/>
  <c r="E182" i="44" s="1"/>
  <c r="E6" i="47" s="1"/>
  <c r="S108" i="44"/>
  <c r="S109" i="44" s="1"/>
  <c r="S110" i="44" s="1"/>
  <c r="E14" i="44"/>
  <c r="E15" i="44" s="1"/>
  <c r="E11" i="47" s="1"/>
  <c r="AB74" i="44"/>
  <c r="AB75" i="44" s="1"/>
  <c r="AB76" i="44" s="1"/>
  <c r="R74" i="44"/>
  <c r="R75" i="44" s="1"/>
  <c r="R76" i="44" s="1"/>
  <c r="G74" i="44"/>
  <c r="G75" i="44" s="1"/>
  <c r="G76" i="44" s="1"/>
  <c r="R70" i="44"/>
  <c r="R71" i="44" s="1"/>
  <c r="R72" i="44" s="1"/>
  <c r="AB67" i="44"/>
  <c r="AB68" i="44" s="1"/>
  <c r="AB7" i="47" s="1"/>
  <c r="Q50" i="44"/>
  <c r="Q51" i="44" s="1"/>
  <c r="Q12" i="47" s="1"/>
  <c r="V38" i="44"/>
  <c r="V39" i="44" s="1"/>
  <c r="V40" i="44" s="1"/>
  <c r="V33" i="25" s="1"/>
  <c r="V50" i="25" s="1"/>
  <c r="W58" i="49" s="1"/>
  <c r="E38" i="44"/>
  <c r="E39" i="44" s="1"/>
  <c r="E40" i="44" s="1"/>
  <c r="E33" i="25" s="1"/>
  <c r="E50" i="25" s="1"/>
  <c r="F58" i="49" s="1"/>
  <c r="K67" i="44"/>
  <c r="K68" i="44" s="1"/>
  <c r="O263" i="44"/>
  <c r="O264" i="44" s="1"/>
  <c r="O265" i="44" s="1"/>
  <c r="O15" i="32" s="1"/>
  <c r="P63" i="49" s="1"/>
  <c r="C259" i="44"/>
  <c r="C260" i="44" s="1"/>
  <c r="C261" i="44" s="1"/>
  <c r="G127" i="44"/>
  <c r="G128" i="44" s="1"/>
  <c r="G129" i="44" s="1"/>
  <c r="G31" i="25" s="1"/>
  <c r="G48" i="25" s="1"/>
  <c r="M108" i="44"/>
  <c r="M109" i="44" s="1"/>
  <c r="M110" i="44" s="1"/>
  <c r="N27" i="25"/>
  <c r="N44" i="25" s="1"/>
  <c r="O56" i="49" s="1"/>
  <c r="L77" i="44"/>
  <c r="AA67" i="44"/>
  <c r="AA68" i="44" s="1"/>
  <c r="D67" i="44"/>
  <c r="D68" i="44" s="1"/>
  <c r="M50" i="44"/>
  <c r="M51" i="44" s="1"/>
  <c r="M12" i="47" s="1"/>
  <c r="M10" i="47" s="1"/>
  <c r="AC38" i="44"/>
  <c r="AC39" i="44" s="1"/>
  <c r="AC40" i="44" s="1"/>
  <c r="AC33" i="25" s="1"/>
  <c r="AC50" i="25" s="1"/>
  <c r="AD58" i="49" s="1"/>
  <c r="Y38" i="44"/>
  <c r="Y39" i="44" s="1"/>
  <c r="Y40" i="44" s="1"/>
  <c r="Y33" i="25" s="1"/>
  <c r="Y50" i="25" s="1"/>
  <c r="Z58" i="49" s="1"/>
  <c r="U38" i="44"/>
  <c r="U39" i="44" s="1"/>
  <c r="U40" i="44" s="1"/>
  <c r="U33" i="25" s="1"/>
  <c r="U50" i="25" s="1"/>
  <c r="V58" i="49" s="1"/>
  <c r="Q38" i="44"/>
  <c r="Q39" i="44" s="1"/>
  <c r="Q40" i="44" s="1"/>
  <c r="Q33" i="25" s="1"/>
  <c r="Q50" i="25" s="1"/>
  <c r="R58" i="49" s="1"/>
  <c r="L38" i="44"/>
  <c r="L39" i="44" s="1"/>
  <c r="L40" i="44" s="1"/>
  <c r="L33" i="25" s="1"/>
  <c r="L50" i="25" s="1"/>
  <c r="M58" i="49" s="1"/>
  <c r="H38" i="44"/>
  <c r="H39" i="44" s="1"/>
  <c r="H40" i="44" s="1"/>
  <c r="H33" i="25" s="1"/>
  <c r="H50" i="25" s="1"/>
  <c r="I58" i="49" s="1"/>
  <c r="D38" i="44"/>
  <c r="D39" i="44" s="1"/>
  <c r="D40" i="44" s="1"/>
  <c r="D33" i="25" s="1"/>
  <c r="D50" i="25" s="1"/>
  <c r="E58" i="49" s="1"/>
  <c r="F53" i="31"/>
  <c r="AB259" i="44"/>
  <c r="AB260" i="44" s="1"/>
  <c r="AB261" i="44" s="1"/>
  <c r="AB14" i="32" s="1"/>
  <c r="H256" i="44"/>
  <c r="H257" i="44" s="1"/>
  <c r="H17" i="47" s="1"/>
  <c r="H15" i="47" s="1"/>
  <c r="Q142" i="44"/>
  <c r="Q143" i="44" s="1"/>
  <c r="K108" i="44"/>
  <c r="K109" i="44" s="1"/>
  <c r="K110" i="44" s="1"/>
  <c r="T67" i="44"/>
  <c r="T68" i="44" s="1"/>
  <c r="U50" i="44"/>
  <c r="U51" i="44" s="1"/>
  <c r="U12" i="47" s="1"/>
  <c r="J50" i="44"/>
  <c r="J51" i="44" s="1"/>
  <c r="J12" i="47" s="1"/>
  <c r="AB38" i="44"/>
  <c r="AB39" i="44" s="1"/>
  <c r="AB40" i="44" s="1"/>
  <c r="AB33" i="25" s="1"/>
  <c r="AB50" i="25" s="1"/>
  <c r="AC58" i="49" s="1"/>
  <c r="X38" i="44"/>
  <c r="X39" i="44" s="1"/>
  <c r="X40" i="44" s="1"/>
  <c r="X33" i="25" s="1"/>
  <c r="X50" i="25" s="1"/>
  <c r="Y58" i="49" s="1"/>
  <c r="T38" i="44"/>
  <c r="T39" i="44" s="1"/>
  <c r="T40" i="44" s="1"/>
  <c r="T33" i="25" s="1"/>
  <c r="T50" i="25" s="1"/>
  <c r="U58" i="49" s="1"/>
  <c r="P38" i="44"/>
  <c r="P39" i="44" s="1"/>
  <c r="P40" i="44" s="1"/>
  <c r="P33" i="25" s="1"/>
  <c r="P50" i="25" s="1"/>
  <c r="Q58" i="49" s="1"/>
  <c r="K38" i="44"/>
  <c r="K39" i="44" s="1"/>
  <c r="K40" i="44" s="1"/>
  <c r="K33" i="25" s="1"/>
  <c r="K50" i="25" s="1"/>
  <c r="L58" i="49" s="1"/>
  <c r="G38" i="44"/>
  <c r="G39" i="44" s="1"/>
  <c r="G40" i="44" s="1"/>
  <c r="G33" i="25" s="1"/>
  <c r="G50" i="25" s="1"/>
  <c r="H58" i="49" s="1"/>
  <c r="G259" i="44"/>
  <c r="G260" i="44" s="1"/>
  <c r="G261" i="44" s="1"/>
  <c r="U53" i="31"/>
  <c r="F142" i="44"/>
  <c r="F143" i="44" s="1"/>
  <c r="R108" i="44"/>
  <c r="R109" i="44" s="1"/>
  <c r="R110" i="44" s="1"/>
  <c r="J108" i="44"/>
  <c r="J109" i="44" s="1"/>
  <c r="J110" i="44" s="1"/>
  <c r="J28" i="25" s="1"/>
  <c r="J45" i="25" s="1"/>
  <c r="K45" i="49" s="1"/>
  <c r="R50" i="44"/>
  <c r="R51" i="44" s="1"/>
  <c r="R12" i="47" s="1"/>
  <c r="F50" i="44"/>
  <c r="F51" i="44" s="1"/>
  <c r="F12" i="47" s="1"/>
  <c r="AA38" i="44"/>
  <c r="AA39" i="44" s="1"/>
  <c r="AA40" i="44" s="1"/>
  <c r="AA33" i="25" s="1"/>
  <c r="AA50" i="25" s="1"/>
  <c r="AB58" i="49" s="1"/>
  <c r="W38" i="44"/>
  <c r="W39" i="44" s="1"/>
  <c r="W40" i="44" s="1"/>
  <c r="W33" i="25" s="1"/>
  <c r="W50" i="25" s="1"/>
  <c r="X58" i="49" s="1"/>
  <c r="S38" i="44"/>
  <c r="S39" i="44" s="1"/>
  <c r="S40" i="44" s="1"/>
  <c r="S33" i="25" s="1"/>
  <c r="S50" i="25" s="1"/>
  <c r="T58" i="49" s="1"/>
  <c r="O38" i="44"/>
  <c r="O39" i="44" s="1"/>
  <c r="O40" i="44" s="1"/>
  <c r="O33" i="25" s="1"/>
  <c r="O50" i="25" s="1"/>
  <c r="P58" i="49" s="1"/>
  <c r="J38" i="44"/>
  <c r="J39" i="44" s="1"/>
  <c r="J40" i="44" s="1"/>
  <c r="J33" i="25" s="1"/>
  <c r="J50" i="25" s="1"/>
  <c r="K58" i="49" s="1"/>
  <c r="F38" i="44"/>
  <c r="F39" i="44" s="1"/>
  <c r="F40" i="44" s="1"/>
  <c r="F33" i="25" s="1"/>
  <c r="F50" i="25" s="1"/>
  <c r="G58" i="49" s="1"/>
  <c r="Q132" i="26"/>
  <c r="BX61" i="17"/>
  <c r="BM61" i="17"/>
  <c r="Y263" i="44"/>
  <c r="Y264" i="44" s="1"/>
  <c r="Y265" i="44" s="1"/>
  <c r="Y15" i="32" s="1"/>
  <c r="D263" i="44"/>
  <c r="D264" i="44" s="1"/>
  <c r="D265" i="44" s="1"/>
  <c r="D15" i="32" s="1"/>
  <c r="D17" i="32" s="1"/>
  <c r="E63" i="49" s="1"/>
  <c r="W142" i="44"/>
  <c r="W143" i="44" s="1"/>
  <c r="W127" i="44"/>
  <c r="W128" i="44" s="1"/>
  <c r="W129" i="44" s="1"/>
  <c r="W31" i="25" s="1"/>
  <c r="W48" i="25" s="1"/>
  <c r="O127" i="44"/>
  <c r="O128" i="44" s="1"/>
  <c r="O129" i="44" s="1"/>
  <c r="O31" i="25" s="1"/>
  <c r="O48" i="25" s="1"/>
  <c r="J112" i="44"/>
  <c r="J113" i="44" s="1"/>
  <c r="J114" i="44" s="1"/>
  <c r="J115" i="44" s="1"/>
  <c r="Y86" i="44"/>
  <c r="Y87" i="44" s="1"/>
  <c r="I86" i="44"/>
  <c r="I87" i="44" s="1"/>
  <c r="Z74" i="44"/>
  <c r="Z75" i="44" s="1"/>
  <c r="Z76" i="44" s="1"/>
  <c r="Z77" i="44" s="1"/>
  <c r="T74" i="44"/>
  <c r="T75" i="44" s="1"/>
  <c r="T76" i="44" s="1"/>
  <c r="O74" i="44"/>
  <c r="O75" i="44" s="1"/>
  <c r="O76" i="44" s="1"/>
  <c r="J74" i="44"/>
  <c r="J75" i="44" s="1"/>
  <c r="J76" i="44" s="1"/>
  <c r="D74" i="44"/>
  <c r="D75" i="44" s="1"/>
  <c r="D76" i="44" s="1"/>
  <c r="AD70" i="44"/>
  <c r="AD71" i="44" s="1"/>
  <c r="AD72" i="44" s="1"/>
  <c r="AD77" i="44" s="1"/>
  <c r="V70" i="44"/>
  <c r="V71" i="44" s="1"/>
  <c r="V72" i="44" s="1"/>
  <c r="N70" i="44"/>
  <c r="N71" i="44" s="1"/>
  <c r="N72" i="44" s="1"/>
  <c r="N77" i="44" s="1"/>
  <c r="F70" i="44"/>
  <c r="F71" i="44" s="1"/>
  <c r="F72" i="44" s="1"/>
  <c r="T263" i="44"/>
  <c r="T264" i="44" s="1"/>
  <c r="T265" i="44" s="1"/>
  <c r="T15" i="32" s="1"/>
  <c r="U63" i="49" s="1"/>
  <c r="J54" i="17"/>
  <c r="Q12" i="50"/>
  <c r="M78" i="31"/>
  <c r="M79" i="31" s="1"/>
  <c r="M80" i="31" s="1"/>
  <c r="M54" i="31" s="1"/>
  <c r="E78" i="31"/>
  <c r="E79" i="31" s="1"/>
  <c r="E80" i="31" s="1"/>
  <c r="I71" i="31"/>
  <c r="I72" i="31" s="1"/>
  <c r="I52" i="31" s="1"/>
  <c r="AA52" i="49"/>
  <c r="J61" i="17"/>
  <c r="AQ60" i="17"/>
  <c r="BM58" i="17"/>
  <c r="I263" i="44"/>
  <c r="I264" i="44" s="1"/>
  <c r="I265" i="44" s="1"/>
  <c r="I15" i="32" s="1"/>
  <c r="I17" i="32" s="1"/>
  <c r="J63" i="49" s="1"/>
  <c r="G163" i="44"/>
  <c r="G164" i="44" s="1"/>
  <c r="P131" i="44"/>
  <c r="P132" i="44" s="1"/>
  <c r="P133" i="44" s="1"/>
  <c r="P30" i="25" s="1"/>
  <c r="P47" i="25" s="1"/>
  <c r="Q57" i="49" s="1"/>
  <c r="AA74" i="44"/>
  <c r="AA75" i="44" s="1"/>
  <c r="AA76" i="44" s="1"/>
  <c r="V74" i="44"/>
  <c r="V75" i="44" s="1"/>
  <c r="V76" i="44" s="1"/>
  <c r="P74" i="44"/>
  <c r="P75" i="44" s="1"/>
  <c r="P76" i="44" s="1"/>
  <c r="K74" i="44"/>
  <c r="K75" i="44" s="1"/>
  <c r="K76" i="44" s="1"/>
  <c r="F74" i="44"/>
  <c r="F75" i="44" s="1"/>
  <c r="F76" i="44" s="1"/>
  <c r="X70" i="44"/>
  <c r="X71" i="44" s="1"/>
  <c r="X72" i="44" s="1"/>
  <c r="X77" i="44" s="1"/>
  <c r="P70" i="44"/>
  <c r="P71" i="44" s="1"/>
  <c r="P72" i="44" s="1"/>
  <c r="P77" i="44" s="1"/>
  <c r="H70" i="44"/>
  <c r="H71" i="44" s="1"/>
  <c r="H72" i="44" s="1"/>
  <c r="H77" i="44" s="1"/>
  <c r="V50" i="44"/>
  <c r="V51" i="44" s="1"/>
  <c r="V12" i="47" s="1"/>
  <c r="N50" i="44"/>
  <c r="N51" i="44" s="1"/>
  <c r="N12" i="47" s="1"/>
  <c r="E50" i="44"/>
  <c r="E51" i="44" s="1"/>
  <c r="E12" i="47" s="1"/>
  <c r="C38" i="44"/>
  <c r="C39" i="44" s="1"/>
  <c r="C40" i="44" s="1"/>
  <c r="C33" i="25" s="1"/>
  <c r="C50" i="25" s="1"/>
  <c r="D58" i="49" s="1"/>
  <c r="W68" i="49"/>
  <c r="AE68" i="49"/>
  <c r="O68" i="49"/>
  <c r="G68" i="49"/>
  <c r="T68" i="49"/>
  <c r="D68" i="49"/>
  <c r="I12" i="50"/>
  <c r="S68" i="49"/>
  <c r="D77" i="44"/>
  <c r="W11" i="31"/>
  <c r="X41" i="45" s="1"/>
  <c r="K166" i="44"/>
  <c r="K167" i="44" s="1"/>
  <c r="K168" i="44" s="1"/>
  <c r="K53" i="31" s="1"/>
  <c r="K163" i="44"/>
  <c r="K164" i="44" s="1"/>
  <c r="G124" i="44"/>
  <c r="G125" i="44" s="1"/>
  <c r="S124" i="44"/>
  <c r="S125" i="44" s="1"/>
  <c r="Z112" i="44"/>
  <c r="Z113" i="44" s="1"/>
  <c r="Z114" i="44" s="1"/>
  <c r="Z108" i="44"/>
  <c r="Z109" i="44" s="1"/>
  <c r="Z110" i="44" s="1"/>
  <c r="V108" i="44"/>
  <c r="V109" i="44" s="1"/>
  <c r="V110" i="44" s="1"/>
  <c r="V28" i="25" s="1"/>
  <c r="V45" i="25" s="1"/>
  <c r="W45" i="49" s="1"/>
  <c r="V112" i="44"/>
  <c r="V113" i="44" s="1"/>
  <c r="V114" i="44" s="1"/>
  <c r="F112" i="44"/>
  <c r="F113" i="44" s="1"/>
  <c r="F114" i="44" s="1"/>
  <c r="F27" i="25" s="1"/>
  <c r="F44" i="25" s="1"/>
  <c r="G56" i="49" s="1"/>
  <c r="F108" i="44"/>
  <c r="F109" i="44" s="1"/>
  <c r="F110" i="44" s="1"/>
  <c r="H112" i="44"/>
  <c r="H113" i="44" s="1"/>
  <c r="H114" i="44" s="1"/>
  <c r="H27" i="25" s="1"/>
  <c r="H44" i="25" s="1"/>
  <c r="I56" i="49" s="1"/>
  <c r="U112" i="44"/>
  <c r="U113" i="44" s="1"/>
  <c r="U114" i="44" s="1"/>
  <c r="U115" i="44" s="1"/>
  <c r="I112" i="44"/>
  <c r="I113" i="44" s="1"/>
  <c r="I114" i="44" s="1"/>
  <c r="Q112" i="44"/>
  <c r="Q113" i="44" s="1"/>
  <c r="Q114" i="44" s="1"/>
  <c r="AC112" i="44"/>
  <c r="AC113" i="44" s="1"/>
  <c r="AC114" i="44" s="1"/>
  <c r="M71" i="31"/>
  <c r="M72" i="31" s="1"/>
  <c r="M52" i="31" s="1"/>
  <c r="BM60" i="17"/>
  <c r="AQ58" i="17"/>
  <c r="AQ56" i="17"/>
  <c r="BX55" i="17"/>
  <c r="AC263" i="44"/>
  <c r="AC264" i="44" s="1"/>
  <c r="AC265" i="44" s="1"/>
  <c r="AC15" i="32" s="1"/>
  <c r="X263" i="44"/>
  <c r="X264" i="44" s="1"/>
  <c r="X265" i="44" s="1"/>
  <c r="X15" i="32" s="1"/>
  <c r="S263" i="44"/>
  <c r="S264" i="44" s="1"/>
  <c r="S265" i="44" s="1"/>
  <c r="M263" i="44"/>
  <c r="M264" i="44" s="1"/>
  <c r="M265" i="44" s="1"/>
  <c r="M15" i="32" s="1"/>
  <c r="N63" i="49" s="1"/>
  <c r="H263" i="44"/>
  <c r="H264" i="44" s="1"/>
  <c r="H265" i="44" s="1"/>
  <c r="H15" i="32" s="1"/>
  <c r="H17" i="32" s="1"/>
  <c r="I63" i="49" s="1"/>
  <c r="C263" i="44"/>
  <c r="C264" i="44" s="1"/>
  <c r="C265" i="44" s="1"/>
  <c r="C266" i="44" s="1"/>
  <c r="AB256" i="44"/>
  <c r="AB257" i="44" s="1"/>
  <c r="AB17" i="47" s="1"/>
  <c r="AB15" i="47" s="1"/>
  <c r="L256" i="44"/>
  <c r="L257" i="44" s="1"/>
  <c r="L17" i="47" s="1"/>
  <c r="L15" i="47" s="1"/>
  <c r="K170" i="44"/>
  <c r="K171" i="44" s="1"/>
  <c r="K172" i="44" s="1"/>
  <c r="J163" i="44"/>
  <c r="J164" i="44" s="1"/>
  <c r="J166" i="44"/>
  <c r="J167" i="44" s="1"/>
  <c r="J168" i="44" s="1"/>
  <c r="N163" i="44"/>
  <c r="N164" i="44" s="1"/>
  <c r="S163" i="44"/>
  <c r="S164" i="44" s="1"/>
  <c r="I124" i="44"/>
  <c r="I125" i="44" s="1"/>
  <c r="W124" i="44"/>
  <c r="W125" i="44" s="1"/>
  <c r="W8" i="47" s="1"/>
  <c r="K124" i="44"/>
  <c r="K125" i="44" s="1"/>
  <c r="E112" i="44"/>
  <c r="E113" i="44" s="1"/>
  <c r="E114" i="44" s="1"/>
  <c r="Y112" i="44"/>
  <c r="Y113" i="44" s="1"/>
  <c r="Y114" i="44" s="1"/>
  <c r="Y115" i="44" s="1"/>
  <c r="M112" i="44"/>
  <c r="M113" i="44" s="1"/>
  <c r="M114" i="44" s="1"/>
  <c r="W44" i="50"/>
  <c r="U78" i="31"/>
  <c r="U79" i="31" s="1"/>
  <c r="U80" i="31" s="1"/>
  <c r="U54" i="31" s="1"/>
  <c r="AQ61" i="17"/>
  <c r="BX60" i="17"/>
  <c r="BM59" i="17"/>
  <c r="CP57" i="17"/>
  <c r="BB56" i="17"/>
  <c r="J56" i="17"/>
  <c r="AQ55" i="17"/>
  <c r="AB263" i="44"/>
  <c r="AB264" i="44" s="1"/>
  <c r="AB265" i="44" s="1"/>
  <c r="AB15" i="32" s="1"/>
  <c r="W263" i="44"/>
  <c r="W264" i="44" s="1"/>
  <c r="W265" i="44" s="1"/>
  <c r="W15" i="32" s="1"/>
  <c r="Q263" i="44"/>
  <c r="Q264" i="44" s="1"/>
  <c r="Q265" i="44" s="1"/>
  <c r="Q15" i="32" s="1"/>
  <c r="R63" i="49" s="1"/>
  <c r="L263" i="44"/>
  <c r="L264" i="44" s="1"/>
  <c r="L265" i="44" s="1"/>
  <c r="L15" i="32" s="1"/>
  <c r="L17" i="32" s="1"/>
  <c r="M63" i="49" s="1"/>
  <c r="G263" i="44"/>
  <c r="G264" i="44" s="1"/>
  <c r="G265" i="44" s="1"/>
  <c r="G15" i="32" s="1"/>
  <c r="G17" i="32" s="1"/>
  <c r="H63" i="49" s="1"/>
  <c r="C124" i="44"/>
  <c r="C125" i="44" s="1"/>
  <c r="X112" i="44"/>
  <c r="X113" i="44" s="1"/>
  <c r="X114" i="44" s="1"/>
  <c r="X27" i="25" s="1"/>
  <c r="X44" i="25" s="1"/>
  <c r="Y56" i="49" s="1"/>
  <c r="T112" i="44"/>
  <c r="T113" i="44" s="1"/>
  <c r="T114" i="44" s="1"/>
  <c r="D112" i="44"/>
  <c r="D113" i="44" s="1"/>
  <c r="D114" i="44" s="1"/>
  <c r="D27" i="25" s="1"/>
  <c r="D44" i="25" s="1"/>
  <c r="E56" i="49" s="1"/>
  <c r="J53" i="31"/>
  <c r="AF61" i="17"/>
  <c r="BX58" i="17"/>
  <c r="CC58" i="17" s="1"/>
  <c r="BX57" i="17"/>
  <c r="AA263" i="44"/>
  <c r="AA264" i="44" s="1"/>
  <c r="AA265" i="44" s="1"/>
  <c r="AA15" i="32" s="1"/>
  <c r="U263" i="44"/>
  <c r="U264" i="44" s="1"/>
  <c r="U265" i="44" s="1"/>
  <c r="P263" i="44"/>
  <c r="P264" i="44" s="1"/>
  <c r="P265" i="44" s="1"/>
  <c r="P15" i="32" s="1"/>
  <c r="Q63" i="49" s="1"/>
  <c r="K263" i="44"/>
  <c r="K264" i="44" s="1"/>
  <c r="K265" i="44" s="1"/>
  <c r="K15" i="32" s="1"/>
  <c r="K17" i="32" s="1"/>
  <c r="L63" i="49" s="1"/>
  <c r="T256" i="44"/>
  <c r="T257" i="44" s="1"/>
  <c r="T17" i="47" s="1"/>
  <c r="T15" i="47" s="1"/>
  <c r="M219" i="44"/>
  <c r="M220" i="44" s="1"/>
  <c r="M9" i="47" s="1"/>
  <c r="G170" i="44"/>
  <c r="G171" i="44" s="1"/>
  <c r="G172" i="44" s="1"/>
  <c r="M166" i="44"/>
  <c r="M167" i="44" s="1"/>
  <c r="M168" i="44" s="1"/>
  <c r="M53" i="31" s="1"/>
  <c r="M163" i="44"/>
  <c r="M164" i="44" s="1"/>
  <c r="U124" i="44"/>
  <c r="U125" i="44" s="1"/>
  <c r="R112" i="44"/>
  <c r="R113" i="44" s="1"/>
  <c r="R114" i="44" s="1"/>
  <c r="N108" i="44"/>
  <c r="N109" i="44" s="1"/>
  <c r="N110" i="44" s="1"/>
  <c r="AA124" i="44"/>
  <c r="AA125" i="44" s="1"/>
  <c r="AC105" i="44"/>
  <c r="AC106" i="44" s="1"/>
  <c r="AA70" i="44"/>
  <c r="AA71" i="44" s="1"/>
  <c r="AA72" i="44" s="1"/>
  <c r="W70" i="44"/>
  <c r="W71" i="44" s="1"/>
  <c r="W72" i="44" s="1"/>
  <c r="W77" i="44" s="1"/>
  <c r="S70" i="44"/>
  <c r="S71" i="44" s="1"/>
  <c r="S72" i="44" s="1"/>
  <c r="S77" i="44" s="1"/>
  <c r="O70" i="44"/>
  <c r="O71" i="44" s="1"/>
  <c r="O72" i="44" s="1"/>
  <c r="O77" i="44" s="1"/>
  <c r="K70" i="44"/>
  <c r="K71" i="44" s="1"/>
  <c r="K72" i="44" s="1"/>
  <c r="K77" i="44" s="1"/>
  <c r="G70" i="44"/>
  <c r="G71" i="44" s="1"/>
  <c r="G72" i="44" s="1"/>
  <c r="G77" i="44" s="1"/>
  <c r="C70" i="44"/>
  <c r="C71" i="44" s="1"/>
  <c r="C72" i="44" s="1"/>
  <c r="AC124" i="44"/>
  <c r="AC125" i="44" s="1"/>
  <c r="M124" i="44"/>
  <c r="M125" i="44" s="1"/>
  <c r="E124" i="44"/>
  <c r="E125" i="44" s="1"/>
  <c r="W112" i="44"/>
  <c r="W113" i="44" s="1"/>
  <c r="W114" i="44" s="1"/>
  <c r="W27" i="25" s="1"/>
  <c r="W44" i="25" s="1"/>
  <c r="X56" i="49" s="1"/>
  <c r="O112" i="44"/>
  <c r="O113" i="44" s="1"/>
  <c r="O114" i="44" s="1"/>
  <c r="O27" i="25" s="1"/>
  <c r="O44" i="25" s="1"/>
  <c r="P56" i="49" s="1"/>
  <c r="G112" i="44"/>
  <c r="G113" i="44" s="1"/>
  <c r="G114" i="44" s="1"/>
  <c r="G27" i="25" s="1"/>
  <c r="G44" i="25" s="1"/>
  <c r="H56" i="49" s="1"/>
  <c r="C108" i="44"/>
  <c r="C109" i="44" s="1"/>
  <c r="C110" i="44" s="1"/>
  <c r="AC74" i="44"/>
  <c r="AC75" i="44" s="1"/>
  <c r="AC76" i="44" s="1"/>
  <c r="Y74" i="44"/>
  <c r="Y75" i="44" s="1"/>
  <c r="Y76" i="44" s="1"/>
  <c r="U74" i="44"/>
  <c r="U75" i="44" s="1"/>
  <c r="U76" i="44" s="1"/>
  <c r="Q74" i="44"/>
  <c r="Q75" i="44" s="1"/>
  <c r="Q76" i="44" s="1"/>
  <c r="M74" i="44"/>
  <c r="M75" i="44" s="1"/>
  <c r="M76" i="44" s="1"/>
  <c r="I74" i="44"/>
  <c r="I75" i="44" s="1"/>
  <c r="I76" i="44" s="1"/>
  <c r="I27" i="25" s="1"/>
  <c r="I44" i="25" s="1"/>
  <c r="J56" i="49" s="1"/>
  <c r="E74" i="44"/>
  <c r="E75" i="44" s="1"/>
  <c r="E76" i="44" s="1"/>
  <c r="AC70" i="44"/>
  <c r="AC71" i="44" s="1"/>
  <c r="AC72" i="44" s="1"/>
  <c r="Y70" i="44"/>
  <c r="Y71" i="44" s="1"/>
  <c r="Y72" i="44" s="1"/>
  <c r="U70" i="44"/>
  <c r="U71" i="44" s="1"/>
  <c r="U72" i="44" s="1"/>
  <c r="Q70" i="44"/>
  <c r="Q71" i="44" s="1"/>
  <c r="Q72" i="44" s="1"/>
  <c r="M70" i="44"/>
  <c r="M71" i="44" s="1"/>
  <c r="M72" i="44" s="1"/>
  <c r="M28" i="25" s="1"/>
  <c r="I70" i="44"/>
  <c r="I71" i="44" s="1"/>
  <c r="I72" i="44" s="1"/>
  <c r="E70" i="44"/>
  <c r="E71" i="44" s="1"/>
  <c r="E72" i="44" s="1"/>
  <c r="AC127" i="44"/>
  <c r="AC128" i="44" s="1"/>
  <c r="AC129" i="44" s="1"/>
  <c r="AC31" i="25" s="1"/>
  <c r="AC48" i="25" s="1"/>
  <c r="Y124" i="44"/>
  <c r="Y125" i="44" s="1"/>
  <c r="Q124" i="44"/>
  <c r="Q125" i="44" s="1"/>
  <c r="G266" i="44"/>
  <c r="G14" i="32"/>
  <c r="G16" i="32" s="1"/>
  <c r="X16" i="47"/>
  <c r="X15" i="47" s="1"/>
  <c r="X29" i="31"/>
  <c r="J57" i="25"/>
  <c r="K57" i="49" s="1"/>
  <c r="AE259" i="44"/>
  <c r="AE260" i="44" s="1"/>
  <c r="AE261" i="44" s="1"/>
  <c r="AE14" i="32" s="1"/>
  <c r="AE16" i="32" s="1"/>
  <c r="F259" i="44"/>
  <c r="F260" i="44" s="1"/>
  <c r="F261" i="44" s="1"/>
  <c r="J259" i="44"/>
  <c r="J260" i="44" s="1"/>
  <c r="J261" i="44" s="1"/>
  <c r="N259" i="44"/>
  <c r="N260" i="44" s="1"/>
  <c r="N261" i="44" s="1"/>
  <c r="R259" i="44"/>
  <c r="R260" i="44" s="1"/>
  <c r="R261" i="44" s="1"/>
  <c r="V259" i="44"/>
  <c r="V260" i="44" s="1"/>
  <c r="V261" i="44" s="1"/>
  <c r="Z259" i="44"/>
  <c r="Z260" i="44" s="1"/>
  <c r="Z261" i="44" s="1"/>
  <c r="AD259" i="44"/>
  <c r="AD260" i="44" s="1"/>
  <c r="AD261" i="44" s="1"/>
  <c r="D259" i="44"/>
  <c r="D260" i="44" s="1"/>
  <c r="D261" i="44" s="1"/>
  <c r="I259" i="44"/>
  <c r="I260" i="44" s="1"/>
  <c r="I261" i="44" s="1"/>
  <c r="O259" i="44"/>
  <c r="O260" i="44" s="1"/>
  <c r="O261" i="44" s="1"/>
  <c r="T259" i="44"/>
  <c r="T260" i="44" s="1"/>
  <c r="T261" i="44" s="1"/>
  <c r="Y259" i="44"/>
  <c r="Y260" i="44" s="1"/>
  <c r="Y261" i="44" s="1"/>
  <c r="E259" i="44"/>
  <c r="E260" i="44" s="1"/>
  <c r="E261" i="44" s="1"/>
  <c r="K259" i="44"/>
  <c r="K260" i="44" s="1"/>
  <c r="K261" i="44" s="1"/>
  <c r="P259" i="44"/>
  <c r="P260" i="44" s="1"/>
  <c r="P261" i="44" s="1"/>
  <c r="U259" i="44"/>
  <c r="U260" i="44" s="1"/>
  <c r="U261" i="44" s="1"/>
  <c r="U14" i="32" s="1"/>
  <c r="AA259" i="44"/>
  <c r="AA260" i="44" s="1"/>
  <c r="AA261" i="44" s="1"/>
  <c r="H259" i="44"/>
  <c r="H260" i="44" s="1"/>
  <c r="H261" i="44" s="1"/>
  <c r="S259" i="44"/>
  <c r="S260" i="44" s="1"/>
  <c r="S261" i="44" s="1"/>
  <c r="S14" i="32" s="1"/>
  <c r="AC259" i="44"/>
  <c r="AC260" i="44" s="1"/>
  <c r="AC261" i="44" s="1"/>
  <c r="L259" i="44"/>
  <c r="L260" i="44" s="1"/>
  <c r="L261" i="44" s="1"/>
  <c r="W259" i="44"/>
  <c r="W260" i="44" s="1"/>
  <c r="W261" i="44" s="1"/>
  <c r="F12" i="50"/>
  <c r="Y40" i="49"/>
  <c r="AD57" i="25"/>
  <c r="V57" i="25"/>
  <c r="N57" i="25"/>
  <c r="O57" i="49" s="1"/>
  <c r="L74" i="31"/>
  <c r="L75" i="31" s="1"/>
  <c r="L76" i="31" s="1"/>
  <c r="L78" i="31"/>
  <c r="L79" i="31" s="1"/>
  <c r="L80" i="31" s="1"/>
  <c r="H74" i="31"/>
  <c r="H75" i="31" s="1"/>
  <c r="H76" i="31" s="1"/>
  <c r="H78" i="31"/>
  <c r="H79" i="31" s="1"/>
  <c r="H80" i="31" s="1"/>
  <c r="H71" i="31"/>
  <c r="H72" i="31" s="1"/>
  <c r="H52" i="31" s="1"/>
  <c r="H57" i="31" s="1"/>
  <c r="D74" i="31"/>
  <c r="D75" i="31" s="1"/>
  <c r="D76" i="31" s="1"/>
  <c r="D53" i="31" s="1"/>
  <c r="D78" i="31"/>
  <c r="D79" i="31" s="1"/>
  <c r="D80" i="31" s="1"/>
  <c r="D71" i="31"/>
  <c r="D72" i="31" s="1"/>
  <c r="O71" i="31"/>
  <c r="O72" i="31" s="1"/>
  <c r="O52" i="31" s="1"/>
  <c r="O74" i="31"/>
  <c r="O75" i="31" s="1"/>
  <c r="O76" i="31" s="1"/>
  <c r="O53" i="31" s="1"/>
  <c r="O78" i="31"/>
  <c r="O79" i="31" s="1"/>
  <c r="O80" i="31" s="1"/>
  <c r="O54" i="31" s="1"/>
  <c r="J184" i="18"/>
  <c r="AC16" i="47"/>
  <c r="Q259" i="44"/>
  <c r="Q260" i="44" s="1"/>
  <c r="Q261" i="44" s="1"/>
  <c r="Z40" i="49"/>
  <c r="Z57" i="25"/>
  <c r="AA57" i="49" s="1"/>
  <c r="F57" i="25"/>
  <c r="G57" i="49" s="1"/>
  <c r="AC57" i="25"/>
  <c r="Y57" i="25"/>
  <c r="U57" i="25"/>
  <c r="Q57" i="25"/>
  <c r="M57" i="25"/>
  <c r="R57" i="25"/>
  <c r="S57" i="49" s="1"/>
  <c r="S74" i="31"/>
  <c r="S75" i="31" s="1"/>
  <c r="S76" i="31" s="1"/>
  <c r="S53" i="31" s="1"/>
  <c r="S78" i="31"/>
  <c r="S79" i="31" s="1"/>
  <c r="S80" i="31" s="1"/>
  <c r="S54" i="31" s="1"/>
  <c r="S71" i="31"/>
  <c r="S72" i="31" s="1"/>
  <c r="S52" i="31" s="1"/>
  <c r="K78" i="31"/>
  <c r="K79" i="31" s="1"/>
  <c r="K80" i="31" s="1"/>
  <c r="K54" i="31" s="1"/>
  <c r="K71" i="31"/>
  <c r="K72" i="31" s="1"/>
  <c r="K52" i="31" s="1"/>
  <c r="G78" i="31"/>
  <c r="G79" i="31" s="1"/>
  <c r="G80" i="31" s="1"/>
  <c r="G54" i="31" s="1"/>
  <c r="G71" i="31"/>
  <c r="G72" i="31" s="1"/>
  <c r="G52" i="31" s="1"/>
  <c r="G8" i="31" s="1"/>
  <c r="H42" i="49" s="1"/>
  <c r="G74" i="31"/>
  <c r="G75" i="31" s="1"/>
  <c r="G76" i="31" s="1"/>
  <c r="G53" i="31" s="1"/>
  <c r="AF58" i="17"/>
  <c r="AK78" i="17"/>
  <c r="AL78" i="17" s="1"/>
  <c r="AM78" i="17" s="1"/>
  <c r="CM54" i="17"/>
  <c r="CP54" i="17"/>
  <c r="M259" i="44"/>
  <c r="M260" i="44" s="1"/>
  <c r="M261" i="44" s="1"/>
  <c r="AA57" i="25"/>
  <c r="W57" i="25"/>
  <c r="S57" i="25"/>
  <c r="O57" i="25"/>
  <c r="K57" i="25"/>
  <c r="H57" i="25"/>
  <c r="D57" i="25"/>
  <c r="I54" i="31"/>
  <c r="Q78" i="31"/>
  <c r="Q79" i="31" s="1"/>
  <c r="Q80" i="31" s="1"/>
  <c r="Q54" i="31" s="1"/>
  <c r="Q71" i="31"/>
  <c r="Q72" i="31" s="1"/>
  <c r="Q52" i="31" s="1"/>
  <c r="Q8" i="31" s="1"/>
  <c r="R42" i="49" s="1"/>
  <c r="AV56" i="17"/>
  <c r="F115" i="44"/>
  <c r="F28" i="25"/>
  <c r="F45" i="25" s="1"/>
  <c r="G45" i="49" s="1"/>
  <c r="Q53" i="31"/>
  <c r="AA11" i="31"/>
  <c r="AB41" i="45" s="1"/>
  <c r="K28" i="25"/>
  <c r="K45" i="25" s="1"/>
  <c r="L45" i="49" s="1"/>
  <c r="AC132" i="26"/>
  <c r="Y132" i="26"/>
  <c r="M132" i="26"/>
  <c r="AL74" i="17"/>
  <c r="AL73" i="17"/>
  <c r="AM73" i="17" s="1"/>
  <c r="CP61" i="17"/>
  <c r="AQ59" i="17"/>
  <c r="J59" i="17"/>
  <c r="AQ57" i="17"/>
  <c r="J57" i="17"/>
  <c r="K57" i="17" s="1"/>
  <c r="BX56" i="17"/>
  <c r="J180" i="18"/>
  <c r="I163" i="44"/>
  <c r="I164" i="44" s="1"/>
  <c r="I166" i="44"/>
  <c r="I167" i="44" s="1"/>
  <c r="I168" i="44" s="1"/>
  <c r="I53" i="31" s="1"/>
  <c r="E163" i="44"/>
  <c r="E164" i="44" s="1"/>
  <c r="E170" i="44"/>
  <c r="E171" i="44" s="1"/>
  <c r="E172" i="44" s="1"/>
  <c r="E54" i="31" s="1"/>
  <c r="AD142" i="44"/>
  <c r="AD143" i="44" s="1"/>
  <c r="AE142" i="44"/>
  <c r="AE143" i="44" s="1"/>
  <c r="M142" i="44"/>
  <c r="M143" i="44" s="1"/>
  <c r="I142" i="44"/>
  <c r="I143" i="44" s="1"/>
  <c r="N142" i="44"/>
  <c r="N143" i="44" s="1"/>
  <c r="U142" i="44"/>
  <c r="U143" i="44" s="1"/>
  <c r="AC142" i="44"/>
  <c r="AC143" i="44" s="1"/>
  <c r="AC8" i="47" s="1"/>
  <c r="Y142" i="44"/>
  <c r="Y143" i="44" s="1"/>
  <c r="E142" i="44"/>
  <c r="E143" i="44" s="1"/>
  <c r="J58" i="17"/>
  <c r="AV55" i="17"/>
  <c r="BM53" i="17"/>
  <c r="AE263" i="44"/>
  <c r="AE264" i="44" s="1"/>
  <c r="AE265" i="44" s="1"/>
  <c r="AE15" i="32" s="1"/>
  <c r="F263" i="44"/>
  <c r="F264" i="44" s="1"/>
  <c r="F265" i="44" s="1"/>
  <c r="F15" i="32" s="1"/>
  <c r="F17" i="32" s="1"/>
  <c r="G63" i="49" s="1"/>
  <c r="J263" i="44"/>
  <c r="J264" i="44" s="1"/>
  <c r="J265" i="44" s="1"/>
  <c r="J15" i="32" s="1"/>
  <c r="J17" i="32" s="1"/>
  <c r="K63" i="49" s="1"/>
  <c r="N263" i="44"/>
  <c r="N264" i="44" s="1"/>
  <c r="N265" i="44" s="1"/>
  <c r="N15" i="32" s="1"/>
  <c r="O63" i="49" s="1"/>
  <c r="R263" i="44"/>
  <c r="R264" i="44" s="1"/>
  <c r="R265" i="44" s="1"/>
  <c r="R15" i="32" s="1"/>
  <c r="S63" i="49" s="1"/>
  <c r="V263" i="44"/>
  <c r="V264" i="44" s="1"/>
  <c r="V265" i="44" s="1"/>
  <c r="V15" i="32" s="1"/>
  <c r="W63" i="49" s="1"/>
  <c r="Z263" i="44"/>
  <c r="Z264" i="44" s="1"/>
  <c r="Z265" i="44" s="1"/>
  <c r="Z15" i="32" s="1"/>
  <c r="AD263" i="44"/>
  <c r="AD264" i="44" s="1"/>
  <c r="AD265" i="44" s="1"/>
  <c r="AD15" i="32" s="1"/>
  <c r="J142" i="44"/>
  <c r="J143" i="44" s="1"/>
  <c r="AA142" i="44"/>
  <c r="AA143" i="44" s="1"/>
  <c r="S142" i="44"/>
  <c r="S143" i="44" s="1"/>
  <c r="O142" i="44"/>
  <c r="O143" i="44" s="1"/>
  <c r="O8" i="47" s="1"/>
  <c r="K142" i="44"/>
  <c r="K143" i="44" s="1"/>
  <c r="G142" i="44"/>
  <c r="G143" i="44" s="1"/>
  <c r="C142" i="44"/>
  <c r="C143" i="44" s="1"/>
  <c r="R115" i="44"/>
  <c r="AB108" i="44"/>
  <c r="AB109" i="44" s="1"/>
  <c r="AB110" i="44" s="1"/>
  <c r="AB105" i="44"/>
  <c r="AB106" i="44" s="1"/>
  <c r="AB112" i="44"/>
  <c r="AB113" i="44" s="1"/>
  <c r="AB114" i="44" s="1"/>
  <c r="AB27" i="25" s="1"/>
  <c r="X108" i="44"/>
  <c r="X109" i="44" s="1"/>
  <c r="X110" i="44" s="1"/>
  <c r="X105" i="44"/>
  <c r="X106" i="44" s="1"/>
  <c r="T108" i="44"/>
  <c r="T109" i="44" s="1"/>
  <c r="T110" i="44" s="1"/>
  <c r="T105" i="44"/>
  <c r="T106" i="44" s="1"/>
  <c r="P108" i="44"/>
  <c r="P109" i="44" s="1"/>
  <c r="P110" i="44" s="1"/>
  <c r="P112" i="44"/>
  <c r="P113" i="44" s="1"/>
  <c r="P114" i="44" s="1"/>
  <c r="P27" i="25" s="1"/>
  <c r="L108" i="44"/>
  <c r="L109" i="44" s="1"/>
  <c r="L110" i="44" s="1"/>
  <c r="L105" i="44"/>
  <c r="L106" i="44" s="1"/>
  <c r="L7" i="47" s="1"/>
  <c r="L112" i="44"/>
  <c r="L113" i="44" s="1"/>
  <c r="L114" i="44" s="1"/>
  <c r="L27" i="25" s="1"/>
  <c r="H108" i="44"/>
  <c r="H109" i="44" s="1"/>
  <c r="H110" i="44" s="1"/>
  <c r="H105" i="44"/>
  <c r="H106" i="44" s="1"/>
  <c r="D108" i="44"/>
  <c r="D109" i="44" s="1"/>
  <c r="D110" i="44" s="1"/>
  <c r="D105" i="44"/>
  <c r="D106" i="44" s="1"/>
  <c r="I105" i="44"/>
  <c r="I106" i="44" s="1"/>
  <c r="Q105" i="44"/>
  <c r="Q106" i="44" s="1"/>
  <c r="Y105" i="44"/>
  <c r="Y106" i="44" s="1"/>
  <c r="E105" i="44"/>
  <c r="E106" i="44" s="1"/>
  <c r="U105" i="44"/>
  <c r="U106" i="44" s="1"/>
  <c r="G34" i="44"/>
  <c r="G35" i="44" s="1"/>
  <c r="G36" i="44" s="1"/>
  <c r="O34" i="44"/>
  <c r="O35" i="44" s="1"/>
  <c r="O36" i="44" s="1"/>
  <c r="O34" i="25" s="1"/>
  <c r="O51" i="25" s="1"/>
  <c r="P47" i="49" s="1"/>
  <c r="S34" i="44"/>
  <c r="S35" i="44" s="1"/>
  <c r="S36" i="44" s="1"/>
  <c r="V127" i="44"/>
  <c r="V128" i="44" s="1"/>
  <c r="V129" i="44" s="1"/>
  <c r="V31" i="25" s="1"/>
  <c r="V48" i="25" s="1"/>
  <c r="V131" i="44"/>
  <c r="V132" i="44" s="1"/>
  <c r="V133" i="44" s="1"/>
  <c r="D131" i="44"/>
  <c r="D132" i="44" s="1"/>
  <c r="D133" i="44" s="1"/>
  <c r="D30" i="25" s="1"/>
  <c r="D47" i="25" s="1"/>
  <c r="L131" i="44"/>
  <c r="L132" i="44" s="1"/>
  <c r="L133" i="44" s="1"/>
  <c r="L30" i="25" s="1"/>
  <c r="L47" i="25" s="1"/>
  <c r="M57" i="49" s="1"/>
  <c r="T131" i="44"/>
  <c r="T132" i="44" s="1"/>
  <c r="T133" i="44" s="1"/>
  <c r="T30" i="25" s="1"/>
  <c r="T47" i="25" s="1"/>
  <c r="U57" i="49" s="1"/>
  <c r="AB131" i="44"/>
  <c r="AB132" i="44" s="1"/>
  <c r="AB133" i="44" s="1"/>
  <c r="AB30" i="25" s="1"/>
  <c r="AB47" i="25" s="1"/>
  <c r="AC57" i="49" s="1"/>
  <c r="AA105" i="44"/>
  <c r="AA106" i="44" s="1"/>
  <c r="AA108" i="44"/>
  <c r="AA109" i="44" s="1"/>
  <c r="AA110" i="44" s="1"/>
  <c r="AA112" i="44"/>
  <c r="AA113" i="44" s="1"/>
  <c r="AA114" i="44" s="1"/>
  <c r="AA27" i="25" s="1"/>
  <c r="S105" i="44"/>
  <c r="S106" i="44" s="1"/>
  <c r="S112" i="44"/>
  <c r="S113" i="44" s="1"/>
  <c r="S114" i="44" s="1"/>
  <c r="S27" i="25" s="1"/>
  <c r="K105" i="44"/>
  <c r="K106" i="44" s="1"/>
  <c r="K112" i="44"/>
  <c r="K113" i="44" s="1"/>
  <c r="K114" i="44" s="1"/>
  <c r="K27" i="25" s="1"/>
  <c r="T7" i="47"/>
  <c r="AD86" i="44"/>
  <c r="AD87" i="44" s="1"/>
  <c r="AE86" i="44"/>
  <c r="AE87" i="44" s="1"/>
  <c r="Q86" i="44"/>
  <c r="Q87" i="44" s="1"/>
  <c r="E86" i="44"/>
  <c r="E87" i="44" s="1"/>
  <c r="U86" i="44"/>
  <c r="U87" i="44" s="1"/>
  <c r="AE67" i="44"/>
  <c r="AE68" i="44" s="1"/>
  <c r="G67" i="44"/>
  <c r="G68" i="44" s="1"/>
  <c r="O67" i="44"/>
  <c r="O68" i="44" s="1"/>
  <c r="W67" i="44"/>
  <c r="W68" i="44" s="1"/>
  <c r="H67" i="44"/>
  <c r="H68" i="44" s="1"/>
  <c r="H7" i="47" s="1"/>
  <c r="P67" i="44"/>
  <c r="P68" i="44" s="1"/>
  <c r="P7" i="47" s="1"/>
  <c r="X67" i="44"/>
  <c r="X68" i="44" s="1"/>
  <c r="F14" i="44"/>
  <c r="F15" i="44" s="1"/>
  <c r="F11" i="47" s="1"/>
  <c r="V14" i="44"/>
  <c r="V15" i="44" s="1"/>
  <c r="V11" i="47" s="1"/>
  <c r="F31" i="44"/>
  <c r="F32" i="44" s="1"/>
  <c r="F13" i="47" s="1"/>
  <c r="N31" i="44"/>
  <c r="N32" i="44" s="1"/>
  <c r="N13" i="47" s="1"/>
  <c r="V31" i="44"/>
  <c r="V32" i="44" s="1"/>
  <c r="V13" i="47" s="1"/>
  <c r="AD31" i="44"/>
  <c r="AD32" i="44" s="1"/>
  <c r="AD13" i="47" s="1"/>
  <c r="J14" i="44"/>
  <c r="J15" i="44" s="1"/>
  <c r="J11" i="47" s="1"/>
  <c r="Z14" i="44"/>
  <c r="Z15" i="44" s="1"/>
  <c r="Z11" i="47" s="1"/>
  <c r="Z10" i="47" s="1"/>
  <c r="G31" i="44"/>
  <c r="G32" i="44" s="1"/>
  <c r="G13" i="47" s="1"/>
  <c r="O31" i="44"/>
  <c r="O32" i="44" s="1"/>
  <c r="O13" i="47" s="1"/>
  <c r="W31" i="44"/>
  <c r="W32" i="44" s="1"/>
  <c r="W13" i="47" s="1"/>
  <c r="Z181" i="44"/>
  <c r="Z182" i="44" s="1"/>
  <c r="Z6" i="47" s="1"/>
  <c r="V181" i="44"/>
  <c r="V182" i="44" s="1"/>
  <c r="V6" i="47" s="1"/>
  <c r="R181" i="44"/>
  <c r="R182" i="44" s="1"/>
  <c r="R6" i="47" s="1"/>
  <c r="N181" i="44"/>
  <c r="N182" i="44" s="1"/>
  <c r="N6" i="47" s="1"/>
  <c r="J181" i="44"/>
  <c r="J182" i="44" s="1"/>
  <c r="J6" i="47" s="1"/>
  <c r="F181" i="44"/>
  <c r="F182" i="44" s="1"/>
  <c r="F6" i="47" s="1"/>
  <c r="X131" i="44"/>
  <c r="X132" i="44" s="1"/>
  <c r="X133" i="44" s="1"/>
  <c r="X30" i="25" s="1"/>
  <c r="X47" i="25" s="1"/>
  <c r="Y57" i="49" s="1"/>
  <c r="H131" i="44"/>
  <c r="H132" i="44" s="1"/>
  <c r="H133" i="44" s="1"/>
  <c r="H30" i="25" s="1"/>
  <c r="H47" i="25" s="1"/>
  <c r="C127" i="44"/>
  <c r="C128" i="44" s="1"/>
  <c r="C129" i="44" s="1"/>
  <c r="C31" i="25" s="1"/>
  <c r="C48" i="25" s="1"/>
  <c r="K127" i="44"/>
  <c r="K128" i="44" s="1"/>
  <c r="K129" i="44" s="1"/>
  <c r="K31" i="25" s="1"/>
  <c r="K48" i="25" s="1"/>
  <c r="S127" i="44"/>
  <c r="S128" i="44" s="1"/>
  <c r="S129" i="44" s="1"/>
  <c r="S31" i="25" s="1"/>
  <c r="S48" i="25" s="1"/>
  <c r="AA127" i="44"/>
  <c r="AA128" i="44" s="1"/>
  <c r="AA129" i="44" s="1"/>
  <c r="AA31" i="25" s="1"/>
  <c r="AA48" i="25" s="1"/>
  <c r="Z115" i="44"/>
  <c r="M86" i="44"/>
  <c r="M87" i="44" s="1"/>
  <c r="S67" i="44"/>
  <c r="S68" i="44" s="1"/>
  <c r="C67" i="44"/>
  <c r="C68" i="44" s="1"/>
  <c r="AA31" i="44"/>
  <c r="AA32" i="44" s="1"/>
  <c r="AA13" i="47" s="1"/>
  <c r="K31" i="44"/>
  <c r="K32" i="44" s="1"/>
  <c r="K13" i="47" s="1"/>
  <c r="R14" i="44"/>
  <c r="R15" i="44" s="1"/>
  <c r="R11" i="47" s="1"/>
  <c r="Z142" i="44"/>
  <c r="Z143" i="44" s="1"/>
  <c r="V142" i="44"/>
  <c r="V143" i="44" s="1"/>
  <c r="R142" i="44"/>
  <c r="R143" i="44" s="1"/>
  <c r="T127" i="44"/>
  <c r="T128" i="44" s="1"/>
  <c r="T129" i="44" s="1"/>
  <c r="Z105" i="44"/>
  <c r="Z106" i="44" s="1"/>
  <c r="V105" i="44"/>
  <c r="V106" i="44" s="1"/>
  <c r="R105" i="44"/>
  <c r="R106" i="44" s="1"/>
  <c r="N105" i="44"/>
  <c r="N106" i="44" s="1"/>
  <c r="J105" i="44"/>
  <c r="J106" i="44" s="1"/>
  <c r="F105" i="44"/>
  <c r="F106" i="44" s="1"/>
  <c r="Z68" i="49"/>
  <c r="J68" i="49"/>
  <c r="AE36" i="49"/>
  <c r="G36" i="49"/>
  <c r="I57" i="25"/>
  <c r="E57" i="25"/>
  <c r="J36" i="49"/>
  <c r="X68" i="49"/>
  <c r="H68" i="49"/>
  <c r="AC68" i="49"/>
  <c r="Y68" i="49"/>
  <c r="U68" i="49"/>
  <c r="Q68" i="49"/>
  <c r="M68" i="49"/>
  <c r="I68" i="49"/>
  <c r="E68" i="49"/>
  <c r="AA36" i="49"/>
  <c r="I36" i="49"/>
  <c r="G57" i="25"/>
  <c r="C57" i="25"/>
  <c r="AD36" i="49"/>
  <c r="H36" i="49"/>
  <c r="U132" i="26"/>
  <c r="E132" i="26"/>
  <c r="C132" i="26"/>
  <c r="Z132" i="26"/>
  <c r="V132" i="26"/>
  <c r="R132" i="26"/>
  <c r="N132" i="26"/>
  <c r="J132" i="26"/>
  <c r="F132" i="26"/>
  <c r="Q57" i="31"/>
  <c r="K8" i="31"/>
  <c r="L42" i="49" s="1"/>
  <c r="K57" i="31"/>
  <c r="T71" i="31"/>
  <c r="T72" i="31" s="1"/>
  <c r="T52" i="31" s="1"/>
  <c r="T74" i="31"/>
  <c r="T75" i="31" s="1"/>
  <c r="T76" i="31" s="1"/>
  <c r="T53" i="31" s="1"/>
  <c r="T78" i="31"/>
  <c r="T79" i="31" s="1"/>
  <c r="T80" i="31" s="1"/>
  <c r="T54" i="31" s="1"/>
  <c r="P71" i="31"/>
  <c r="P72" i="31" s="1"/>
  <c r="P52" i="31" s="1"/>
  <c r="P74" i="31"/>
  <c r="P75" i="31" s="1"/>
  <c r="P76" i="31" s="1"/>
  <c r="P53" i="31" s="1"/>
  <c r="P78" i="31"/>
  <c r="P79" i="31" s="1"/>
  <c r="P80" i="31" s="1"/>
  <c r="P54" i="31" s="1"/>
  <c r="AB11" i="31"/>
  <c r="AC41" i="45" s="1"/>
  <c r="X11" i="31"/>
  <c r="Y41" i="45" s="1"/>
  <c r="Y11" i="31"/>
  <c r="Z41" i="45" s="1"/>
  <c r="AL76" i="17"/>
  <c r="AM76" i="17" s="1"/>
  <c r="O57" i="31"/>
  <c r="J8" i="31"/>
  <c r="J57" i="31"/>
  <c r="F8" i="31"/>
  <c r="F57" i="31"/>
  <c r="U8" i="31"/>
  <c r="V42" i="49" s="1"/>
  <c r="U57" i="31"/>
  <c r="M8" i="31"/>
  <c r="N42" i="49" s="1"/>
  <c r="M57" i="31"/>
  <c r="I8" i="31"/>
  <c r="I57" i="31"/>
  <c r="E8" i="31"/>
  <c r="F42" i="49" s="1"/>
  <c r="E57" i="31"/>
  <c r="V72" i="31"/>
  <c r="V52" i="31" s="1"/>
  <c r="V74" i="31"/>
  <c r="V75" i="31" s="1"/>
  <c r="V76" i="31" s="1"/>
  <c r="V53" i="31" s="1"/>
  <c r="V78" i="31"/>
  <c r="V79" i="31" s="1"/>
  <c r="V80" i="31" s="1"/>
  <c r="V54" i="31" s="1"/>
  <c r="R71" i="31"/>
  <c r="R72" i="31" s="1"/>
  <c r="R52" i="31" s="1"/>
  <c r="R74" i="31"/>
  <c r="R75" i="31" s="1"/>
  <c r="R76" i="31" s="1"/>
  <c r="R53" i="31" s="1"/>
  <c r="R78" i="31"/>
  <c r="R79" i="31" s="1"/>
  <c r="R80" i="31" s="1"/>
  <c r="R54" i="31" s="1"/>
  <c r="N71" i="31"/>
  <c r="N72" i="31" s="1"/>
  <c r="N52" i="31" s="1"/>
  <c r="N74" i="31"/>
  <c r="N75" i="31" s="1"/>
  <c r="N76" i="31" s="1"/>
  <c r="N53" i="31" s="1"/>
  <c r="N78" i="31"/>
  <c r="N79" i="31" s="1"/>
  <c r="N80" i="31" s="1"/>
  <c r="N54" i="31" s="1"/>
  <c r="AD11" i="31"/>
  <c r="AE41" i="45" s="1"/>
  <c r="Z11" i="31"/>
  <c r="AA41" i="45" s="1"/>
  <c r="AC11" i="31"/>
  <c r="AD41" i="45" s="1"/>
  <c r="S8" i="31"/>
  <c r="T42" i="49" s="1"/>
  <c r="S57" i="31"/>
  <c r="L8" i="31"/>
  <c r="M42" i="49" s="1"/>
  <c r="L57" i="31"/>
  <c r="H8" i="31"/>
  <c r="I42" i="49" s="1"/>
  <c r="AL81" i="17"/>
  <c r="AM81" i="17" s="1"/>
  <c r="AV61" i="17"/>
  <c r="J182" i="18"/>
  <c r="G100" i="18"/>
  <c r="G50" i="18"/>
  <c r="H51" i="18"/>
  <c r="F177" i="18" s="1"/>
  <c r="G25" i="18"/>
  <c r="H26" i="18"/>
  <c r="D177" i="18" s="1"/>
  <c r="AA29" i="31"/>
  <c r="W29" i="31"/>
  <c r="AF60" i="17"/>
  <c r="AV59" i="17"/>
  <c r="AF59" i="17"/>
  <c r="BB58" i="17"/>
  <c r="BG58" i="17" s="1"/>
  <c r="BM57" i="17"/>
  <c r="AF57" i="17"/>
  <c r="BM54" i="17"/>
  <c r="BR54" i="17" s="1"/>
  <c r="G150" i="18"/>
  <c r="H151" i="18"/>
  <c r="H177" i="18" s="1"/>
  <c r="G125" i="18"/>
  <c r="H126" i="18"/>
  <c r="E177" i="18" s="1"/>
  <c r="J181" i="18"/>
  <c r="J179" i="18"/>
  <c r="Z29" i="31"/>
  <c r="BR61" i="17"/>
  <c r="CP60" i="17"/>
  <c r="CP56" i="17"/>
  <c r="BG54" i="17"/>
  <c r="CM53" i="17"/>
  <c r="CP53" i="17"/>
  <c r="J185" i="18"/>
  <c r="J183" i="18"/>
  <c r="AE219" i="44"/>
  <c r="AE220" i="44" s="1"/>
  <c r="AE9" i="47" s="1"/>
  <c r="AD219" i="44"/>
  <c r="AD220" i="44" s="1"/>
  <c r="AD9" i="47" s="1"/>
  <c r="C219" i="44"/>
  <c r="C220" i="44" s="1"/>
  <c r="C9" i="47" s="1"/>
  <c r="G219" i="44"/>
  <c r="G220" i="44" s="1"/>
  <c r="G9" i="47" s="1"/>
  <c r="K219" i="44"/>
  <c r="K220" i="44" s="1"/>
  <c r="K9" i="47" s="1"/>
  <c r="O219" i="44"/>
  <c r="O220" i="44" s="1"/>
  <c r="O9" i="47" s="1"/>
  <c r="S219" i="44"/>
  <c r="S220" i="44" s="1"/>
  <c r="S9" i="47" s="1"/>
  <c r="W219" i="44"/>
  <c r="W220" i="44" s="1"/>
  <c r="W9" i="47" s="1"/>
  <c r="AA219" i="44"/>
  <c r="AA220" i="44" s="1"/>
  <c r="AA9" i="47" s="1"/>
  <c r="Q219" i="44"/>
  <c r="Q220" i="44" s="1"/>
  <c r="Q9" i="47" s="1"/>
  <c r="E219" i="44"/>
  <c r="E220" i="44" s="1"/>
  <c r="E9" i="47" s="1"/>
  <c r="U219" i="44"/>
  <c r="U220" i="44" s="1"/>
  <c r="U9" i="47" s="1"/>
  <c r="I219" i="44"/>
  <c r="I220" i="44" s="1"/>
  <c r="I9" i="47" s="1"/>
  <c r="Y219" i="44"/>
  <c r="Y220" i="44" s="1"/>
  <c r="Y9" i="47" s="1"/>
  <c r="Y29" i="31"/>
  <c r="AL77" i="17"/>
  <c r="AM77" i="17" s="1"/>
  <c r="AK75" i="17"/>
  <c r="AL75" i="17" s="1"/>
  <c r="AM75" i="17" s="1"/>
  <c r="BB61" i="17"/>
  <c r="J60" i="17"/>
  <c r="BB59" i="17"/>
  <c r="BB57" i="17"/>
  <c r="BG57" i="17" s="1"/>
  <c r="BM55" i="17"/>
  <c r="J55" i="17"/>
  <c r="K55" i="17" s="1"/>
  <c r="L55" i="17" s="1"/>
  <c r="AQ54" i="17"/>
  <c r="K54" i="17"/>
  <c r="L54" i="17" s="1"/>
  <c r="J178" i="18"/>
  <c r="G75" i="18"/>
  <c r="H76" i="18"/>
  <c r="G177" i="18" s="1"/>
  <c r="P15" i="47"/>
  <c r="AC219" i="44"/>
  <c r="AC220" i="44" s="1"/>
  <c r="AC9" i="47" s="1"/>
  <c r="CC53" i="17"/>
  <c r="AQ53" i="17"/>
  <c r="J53" i="17"/>
  <c r="AE256" i="44"/>
  <c r="AE257" i="44" s="1"/>
  <c r="AE17" i="47" s="1"/>
  <c r="AE15" i="47" s="1"/>
  <c r="E256" i="44"/>
  <c r="E257" i="44" s="1"/>
  <c r="E17" i="47" s="1"/>
  <c r="E15" i="47" s="1"/>
  <c r="I256" i="44"/>
  <c r="I257" i="44" s="1"/>
  <c r="I17" i="47" s="1"/>
  <c r="I15" i="47" s="1"/>
  <c r="M256" i="44"/>
  <c r="M257" i="44" s="1"/>
  <c r="M17" i="47" s="1"/>
  <c r="M15" i="47" s="1"/>
  <c r="Q256" i="44"/>
  <c r="Q257" i="44" s="1"/>
  <c r="Q17" i="47" s="1"/>
  <c r="Q15" i="47" s="1"/>
  <c r="U256" i="44"/>
  <c r="U257" i="44" s="1"/>
  <c r="U17" i="47" s="1"/>
  <c r="U15" i="47" s="1"/>
  <c r="Y256" i="44"/>
  <c r="Y257" i="44" s="1"/>
  <c r="Y17" i="47" s="1"/>
  <c r="Y15" i="47" s="1"/>
  <c r="AC256" i="44"/>
  <c r="AC257" i="44" s="1"/>
  <c r="AC17" i="47" s="1"/>
  <c r="F256" i="44"/>
  <c r="F257" i="44" s="1"/>
  <c r="F17" i="47" s="1"/>
  <c r="F15" i="47" s="1"/>
  <c r="J256" i="44"/>
  <c r="J257" i="44" s="1"/>
  <c r="J17" i="47" s="1"/>
  <c r="J15" i="47" s="1"/>
  <c r="N256" i="44"/>
  <c r="N257" i="44" s="1"/>
  <c r="N17" i="47" s="1"/>
  <c r="N15" i="47" s="1"/>
  <c r="R256" i="44"/>
  <c r="R257" i="44" s="1"/>
  <c r="R17" i="47" s="1"/>
  <c r="R15" i="47" s="1"/>
  <c r="V256" i="44"/>
  <c r="V257" i="44" s="1"/>
  <c r="V17" i="47" s="1"/>
  <c r="V15" i="47" s="1"/>
  <c r="Z256" i="44"/>
  <c r="Z257" i="44" s="1"/>
  <c r="Z17" i="47" s="1"/>
  <c r="Z15" i="47" s="1"/>
  <c r="AD256" i="44"/>
  <c r="AD257" i="44" s="1"/>
  <c r="AD17" i="47" s="1"/>
  <c r="AD15" i="47" s="1"/>
  <c r="C256" i="44"/>
  <c r="C257" i="44" s="1"/>
  <c r="C17" i="47" s="1"/>
  <c r="C15" i="47" s="1"/>
  <c r="G256" i="44"/>
  <c r="G257" i="44" s="1"/>
  <c r="G17" i="47" s="1"/>
  <c r="G15" i="47" s="1"/>
  <c r="K256" i="44"/>
  <c r="K257" i="44" s="1"/>
  <c r="K17" i="47" s="1"/>
  <c r="K15" i="47" s="1"/>
  <c r="O256" i="44"/>
  <c r="O257" i="44" s="1"/>
  <c r="O17" i="47" s="1"/>
  <c r="O15" i="47" s="1"/>
  <c r="S256" i="44"/>
  <c r="S257" i="44" s="1"/>
  <c r="S17" i="47" s="1"/>
  <c r="S15" i="47" s="1"/>
  <c r="W256" i="44"/>
  <c r="W257" i="44" s="1"/>
  <c r="W17" i="47" s="1"/>
  <c r="W15" i="47" s="1"/>
  <c r="AA256" i="44"/>
  <c r="AA257" i="44" s="1"/>
  <c r="AA17" i="47" s="1"/>
  <c r="AA15" i="47" s="1"/>
  <c r="Y8" i="47"/>
  <c r="Q8" i="47"/>
  <c r="U8" i="47"/>
  <c r="BB53" i="17"/>
  <c r="Z219" i="44"/>
  <c r="Z220" i="44" s="1"/>
  <c r="Z9" i="47" s="1"/>
  <c r="V219" i="44"/>
  <c r="V220" i="44" s="1"/>
  <c r="V9" i="47" s="1"/>
  <c r="R219" i="44"/>
  <c r="R220" i="44" s="1"/>
  <c r="R9" i="47" s="1"/>
  <c r="N219" i="44"/>
  <c r="N220" i="44" s="1"/>
  <c r="N9" i="47" s="1"/>
  <c r="J219" i="44"/>
  <c r="J220" i="44" s="1"/>
  <c r="J9" i="47" s="1"/>
  <c r="F219" i="44"/>
  <c r="F220" i="44" s="1"/>
  <c r="F9" i="47" s="1"/>
  <c r="L166" i="44"/>
  <c r="L167" i="44" s="1"/>
  <c r="L168" i="44" s="1"/>
  <c r="L163" i="44"/>
  <c r="L164" i="44" s="1"/>
  <c r="L170" i="44"/>
  <c r="L171" i="44" s="1"/>
  <c r="L172" i="44" s="1"/>
  <c r="L54" i="31" s="1"/>
  <c r="H166" i="44"/>
  <c r="H167" i="44" s="1"/>
  <c r="H168" i="44" s="1"/>
  <c r="H53" i="31" s="1"/>
  <c r="H163" i="44"/>
  <c r="H164" i="44" s="1"/>
  <c r="H170" i="44"/>
  <c r="H171" i="44" s="1"/>
  <c r="H172" i="44" s="1"/>
  <c r="H54" i="31" s="1"/>
  <c r="D166" i="44"/>
  <c r="D167" i="44" s="1"/>
  <c r="D168" i="44" s="1"/>
  <c r="D163" i="44"/>
  <c r="D164" i="44" s="1"/>
  <c r="D170" i="44"/>
  <c r="D171" i="44" s="1"/>
  <c r="D172" i="44" s="1"/>
  <c r="D54" i="31" s="1"/>
  <c r="AD181" i="44"/>
  <c r="AD182" i="44" s="1"/>
  <c r="AD6" i="47" s="1"/>
  <c r="C181" i="44"/>
  <c r="C182" i="44" s="1"/>
  <c r="C6" i="47" s="1"/>
  <c r="G181" i="44"/>
  <c r="G182" i="44" s="1"/>
  <c r="G6" i="47" s="1"/>
  <c r="K181" i="44"/>
  <c r="K182" i="44" s="1"/>
  <c r="K6" i="47" s="1"/>
  <c r="O181" i="44"/>
  <c r="O182" i="44" s="1"/>
  <c r="O6" i="47" s="1"/>
  <c r="S181" i="44"/>
  <c r="S182" i="44" s="1"/>
  <c r="S6" i="47" s="1"/>
  <c r="W181" i="44"/>
  <c r="W182" i="44" s="1"/>
  <c r="W6" i="47" s="1"/>
  <c r="AA181" i="44"/>
  <c r="AA182" i="44" s="1"/>
  <c r="AA6" i="47" s="1"/>
  <c r="T163" i="44"/>
  <c r="T164" i="44" s="1"/>
  <c r="P163" i="44"/>
  <c r="P164" i="44" s="1"/>
  <c r="Z127" i="44"/>
  <c r="Z128" i="44" s="1"/>
  <c r="Z129" i="44" s="1"/>
  <c r="Z124" i="44"/>
  <c r="Z125" i="44" s="1"/>
  <c r="R127" i="44"/>
  <c r="R128" i="44" s="1"/>
  <c r="R129" i="44" s="1"/>
  <c r="R124" i="44"/>
  <c r="R125" i="44" s="1"/>
  <c r="N127" i="44"/>
  <c r="N128" i="44" s="1"/>
  <c r="N129" i="44" s="1"/>
  <c r="N124" i="44"/>
  <c r="N125" i="44" s="1"/>
  <c r="J127" i="44"/>
  <c r="J128" i="44" s="1"/>
  <c r="J129" i="44" s="1"/>
  <c r="J124" i="44"/>
  <c r="J125" i="44" s="1"/>
  <c r="F127" i="44"/>
  <c r="F128" i="44" s="1"/>
  <c r="F129" i="44" s="1"/>
  <c r="F124" i="44"/>
  <c r="F125" i="44" s="1"/>
  <c r="F8" i="47" s="1"/>
  <c r="AE131" i="44"/>
  <c r="AE132" i="44" s="1"/>
  <c r="AE133" i="44" s="1"/>
  <c r="AE30" i="25" s="1"/>
  <c r="AD131" i="44"/>
  <c r="AD132" i="44" s="1"/>
  <c r="AD133" i="44" s="1"/>
  <c r="AD30" i="25" s="1"/>
  <c r="AD47" i="25" s="1"/>
  <c r="E131" i="44"/>
  <c r="E132" i="44" s="1"/>
  <c r="E133" i="44" s="1"/>
  <c r="I131" i="44"/>
  <c r="I132" i="44" s="1"/>
  <c r="I133" i="44" s="1"/>
  <c r="I30" i="25" s="1"/>
  <c r="M131" i="44"/>
  <c r="M132" i="44" s="1"/>
  <c r="M133" i="44" s="1"/>
  <c r="M30" i="25" s="1"/>
  <c r="Q131" i="44"/>
  <c r="Q132" i="44" s="1"/>
  <c r="Q133" i="44" s="1"/>
  <c r="U131" i="44"/>
  <c r="U132" i="44" s="1"/>
  <c r="U133" i="44" s="1"/>
  <c r="Y131" i="44"/>
  <c r="Y132" i="44" s="1"/>
  <c r="Y133" i="44" s="1"/>
  <c r="Y30" i="25" s="1"/>
  <c r="AC131" i="44"/>
  <c r="AC132" i="44" s="1"/>
  <c r="AC133" i="44" s="1"/>
  <c r="AC30" i="25" s="1"/>
  <c r="C131" i="44"/>
  <c r="C132" i="44" s="1"/>
  <c r="C133" i="44" s="1"/>
  <c r="C30" i="25" s="1"/>
  <c r="G131" i="44"/>
  <c r="G132" i="44" s="1"/>
  <c r="G133" i="44" s="1"/>
  <c r="G30" i="25" s="1"/>
  <c r="K131" i="44"/>
  <c r="K132" i="44" s="1"/>
  <c r="K133" i="44" s="1"/>
  <c r="O131" i="44"/>
  <c r="O132" i="44" s="1"/>
  <c r="O133" i="44" s="1"/>
  <c r="O30" i="25" s="1"/>
  <c r="S131" i="44"/>
  <c r="S132" i="44" s="1"/>
  <c r="S133" i="44" s="1"/>
  <c r="S30" i="25" s="1"/>
  <c r="W131" i="44"/>
  <c r="W132" i="44" s="1"/>
  <c r="W133" i="44" s="1"/>
  <c r="W30" i="25" s="1"/>
  <c r="AA131" i="44"/>
  <c r="AA132" i="44" s="1"/>
  <c r="AA133" i="44" s="1"/>
  <c r="W105" i="44"/>
  <c r="W106" i="44" s="1"/>
  <c r="W108" i="44"/>
  <c r="W109" i="44" s="1"/>
  <c r="W110" i="44" s="1"/>
  <c r="O105" i="44"/>
  <c r="O106" i="44" s="1"/>
  <c r="O108" i="44"/>
  <c r="O109" i="44" s="1"/>
  <c r="O110" i="44" s="1"/>
  <c r="G105" i="44"/>
  <c r="G106" i="44" s="1"/>
  <c r="G108" i="44"/>
  <c r="G109" i="44" s="1"/>
  <c r="G110" i="44" s="1"/>
  <c r="C112" i="44"/>
  <c r="C113" i="44" s="1"/>
  <c r="C114" i="44" s="1"/>
  <c r="C27" i="25" s="1"/>
  <c r="C105" i="44"/>
  <c r="C106" i="44" s="1"/>
  <c r="AC115" i="44"/>
  <c r="E115" i="44"/>
  <c r="Q115" i="44"/>
  <c r="J170" i="44"/>
  <c r="J171" i="44" s="1"/>
  <c r="J172" i="44" s="1"/>
  <c r="J54" i="31" s="1"/>
  <c r="F170" i="44"/>
  <c r="F171" i="44" s="1"/>
  <c r="F172" i="44" s="1"/>
  <c r="F54" i="31" s="1"/>
  <c r="V163" i="44"/>
  <c r="V164" i="44" s="1"/>
  <c r="R163" i="44"/>
  <c r="R164" i="44" s="1"/>
  <c r="AB124" i="44"/>
  <c r="AB125" i="44" s="1"/>
  <c r="AB8" i="47" s="1"/>
  <c r="AB127" i="44"/>
  <c r="AB128" i="44" s="1"/>
  <c r="AB129" i="44" s="1"/>
  <c r="X124" i="44"/>
  <c r="X125" i="44" s="1"/>
  <c r="X8" i="47" s="1"/>
  <c r="X127" i="44"/>
  <c r="X128" i="44" s="1"/>
  <c r="X129" i="44" s="1"/>
  <c r="P124" i="44"/>
  <c r="P125" i="44" s="1"/>
  <c r="P127" i="44"/>
  <c r="P128" i="44" s="1"/>
  <c r="P129" i="44" s="1"/>
  <c r="L124" i="44"/>
  <c r="L125" i="44" s="1"/>
  <c r="L127" i="44"/>
  <c r="L128" i="44" s="1"/>
  <c r="L129" i="44" s="1"/>
  <c r="H124" i="44"/>
  <c r="H125" i="44" s="1"/>
  <c r="H127" i="44"/>
  <c r="H128" i="44" s="1"/>
  <c r="H129" i="44" s="1"/>
  <c r="D124" i="44"/>
  <c r="D125" i="44" s="1"/>
  <c r="D127" i="44"/>
  <c r="D128" i="44" s="1"/>
  <c r="D129" i="44" s="1"/>
  <c r="AE124" i="44"/>
  <c r="AE125" i="44" s="1"/>
  <c r="AE8" i="47" s="1"/>
  <c r="AD124" i="44"/>
  <c r="AD125" i="44" s="1"/>
  <c r="T124" i="44"/>
  <c r="T125" i="44" s="1"/>
  <c r="V124" i="44"/>
  <c r="V125" i="44" s="1"/>
  <c r="I115" i="44"/>
  <c r="O41" i="44"/>
  <c r="AE127" i="44"/>
  <c r="AE128" i="44" s="1"/>
  <c r="AE129" i="44" s="1"/>
  <c r="AD127" i="44"/>
  <c r="AD128" i="44" s="1"/>
  <c r="AD129" i="44" s="1"/>
  <c r="Z86" i="44"/>
  <c r="Z87" i="44" s="1"/>
  <c r="R86" i="44"/>
  <c r="R87" i="44" s="1"/>
  <c r="J86" i="44"/>
  <c r="J87" i="44" s="1"/>
  <c r="AC86" i="44"/>
  <c r="AC87" i="44" s="1"/>
  <c r="AE105" i="44"/>
  <c r="AE106" i="44" s="1"/>
  <c r="AD105" i="44"/>
  <c r="AD106" i="44" s="1"/>
  <c r="V86" i="44"/>
  <c r="V87" i="44" s="1"/>
  <c r="N86" i="44"/>
  <c r="N87" i="44" s="1"/>
  <c r="F86" i="44"/>
  <c r="F87" i="44" s="1"/>
  <c r="AA86" i="44"/>
  <c r="AA87" i="44" s="1"/>
  <c r="W86" i="44"/>
  <c r="W87" i="44" s="1"/>
  <c r="S86" i="44"/>
  <c r="S87" i="44" s="1"/>
  <c r="O86" i="44"/>
  <c r="O87" i="44" s="1"/>
  <c r="K86" i="44"/>
  <c r="K87" i="44" s="1"/>
  <c r="G86" i="44"/>
  <c r="G87" i="44" s="1"/>
  <c r="C86" i="44"/>
  <c r="C87" i="44" s="1"/>
  <c r="AE112" i="44"/>
  <c r="AE113" i="44" s="1"/>
  <c r="AE114" i="44" s="1"/>
  <c r="AE27" i="25" s="1"/>
  <c r="AD112" i="44"/>
  <c r="AD113" i="44" s="1"/>
  <c r="AD114" i="44" s="1"/>
  <c r="AD27" i="25" s="1"/>
  <c r="AD44" i="25" s="1"/>
  <c r="AE56" i="49" s="1"/>
  <c r="AD67" i="44"/>
  <c r="AD68" i="44" s="1"/>
  <c r="Z67" i="44"/>
  <c r="Z68" i="44" s="1"/>
  <c r="V67" i="44"/>
  <c r="V68" i="44" s="1"/>
  <c r="R67" i="44"/>
  <c r="R68" i="44" s="1"/>
  <c r="N67" i="44"/>
  <c r="N68" i="44" s="1"/>
  <c r="J67" i="44"/>
  <c r="J68" i="44" s="1"/>
  <c r="F67" i="44"/>
  <c r="F68" i="44" s="1"/>
  <c r="AA34" i="44"/>
  <c r="AA35" i="44" s="1"/>
  <c r="AA36" i="44" s="1"/>
  <c r="K34" i="44"/>
  <c r="K35" i="44" s="1"/>
  <c r="K36" i="44" s="1"/>
  <c r="AE108" i="44"/>
  <c r="AE109" i="44" s="1"/>
  <c r="AE110" i="44" s="1"/>
  <c r="AD108" i="44"/>
  <c r="AD109" i="44" s="1"/>
  <c r="AD110" i="44" s="1"/>
  <c r="AC67" i="44"/>
  <c r="AC68" i="44" s="1"/>
  <c r="Y67" i="44"/>
  <c r="Y68" i="44" s="1"/>
  <c r="Y7" i="47" s="1"/>
  <c r="U67" i="44"/>
  <c r="U68" i="44" s="1"/>
  <c r="Q67" i="44"/>
  <c r="Q68" i="44" s="1"/>
  <c r="Q7" i="47" s="1"/>
  <c r="M67" i="44"/>
  <c r="M68" i="44" s="1"/>
  <c r="I67" i="44"/>
  <c r="I68" i="44" s="1"/>
  <c r="I7" i="47" s="1"/>
  <c r="E67" i="44"/>
  <c r="E68" i="44" s="1"/>
  <c r="AE77" i="44"/>
  <c r="C50" i="44"/>
  <c r="C51" i="44" s="1"/>
  <c r="C12" i="47" s="1"/>
  <c r="G50" i="44"/>
  <c r="G51" i="44" s="1"/>
  <c r="G12" i="47" s="1"/>
  <c r="K50" i="44"/>
  <c r="K51" i="44" s="1"/>
  <c r="K12" i="47" s="1"/>
  <c r="O50" i="44"/>
  <c r="O51" i="44" s="1"/>
  <c r="O12" i="47" s="1"/>
  <c r="S50" i="44"/>
  <c r="S51" i="44" s="1"/>
  <c r="S12" i="47" s="1"/>
  <c r="D50" i="44"/>
  <c r="D51" i="44" s="1"/>
  <c r="D12" i="47" s="1"/>
  <c r="H50" i="44"/>
  <c r="H51" i="44" s="1"/>
  <c r="H12" i="47" s="1"/>
  <c r="L50" i="44"/>
  <c r="L51" i="44" s="1"/>
  <c r="L12" i="47" s="1"/>
  <c r="P50" i="44"/>
  <c r="P51" i="44" s="1"/>
  <c r="P12" i="47" s="1"/>
  <c r="T50" i="44"/>
  <c r="T51" i="44" s="1"/>
  <c r="T12" i="47" s="1"/>
  <c r="W34" i="44"/>
  <c r="W35" i="44" s="1"/>
  <c r="W36" i="44" s="1"/>
  <c r="AE34" i="44"/>
  <c r="AE35" i="44" s="1"/>
  <c r="AE36" i="44" s="1"/>
  <c r="D34" i="44"/>
  <c r="D35" i="44" s="1"/>
  <c r="D36" i="44" s="1"/>
  <c r="H34" i="44"/>
  <c r="H35" i="44" s="1"/>
  <c r="H36" i="44" s="1"/>
  <c r="L34" i="44"/>
  <c r="L35" i="44" s="1"/>
  <c r="L36" i="44" s="1"/>
  <c r="P34" i="44"/>
  <c r="P35" i="44" s="1"/>
  <c r="P36" i="44" s="1"/>
  <c r="T34" i="44"/>
  <c r="T35" i="44" s="1"/>
  <c r="T36" i="44" s="1"/>
  <c r="X34" i="44"/>
  <c r="X35" i="44" s="1"/>
  <c r="X36" i="44" s="1"/>
  <c r="AB34" i="44"/>
  <c r="AB35" i="44" s="1"/>
  <c r="AB36" i="44" s="1"/>
  <c r="E34" i="44"/>
  <c r="E35" i="44" s="1"/>
  <c r="E36" i="44" s="1"/>
  <c r="I34" i="44"/>
  <c r="I35" i="44" s="1"/>
  <c r="I36" i="44" s="1"/>
  <c r="Q34" i="44"/>
  <c r="Q35" i="44" s="1"/>
  <c r="Q36" i="44" s="1"/>
  <c r="U34" i="44"/>
  <c r="U35" i="44" s="1"/>
  <c r="U36" i="44" s="1"/>
  <c r="Y34" i="44"/>
  <c r="Y35" i="44" s="1"/>
  <c r="Y36" i="44" s="1"/>
  <c r="AC34" i="44"/>
  <c r="AC35" i="44" s="1"/>
  <c r="AC36" i="44" s="1"/>
  <c r="F34" i="44"/>
  <c r="F35" i="44" s="1"/>
  <c r="F36" i="44" s="1"/>
  <c r="J34" i="44"/>
  <c r="J35" i="44" s="1"/>
  <c r="J36" i="44" s="1"/>
  <c r="N34" i="44"/>
  <c r="N35" i="44" s="1"/>
  <c r="N36" i="44" s="1"/>
  <c r="R34" i="44"/>
  <c r="R35" i="44" s="1"/>
  <c r="R36" i="44" s="1"/>
  <c r="V34" i="44"/>
  <c r="V35" i="44" s="1"/>
  <c r="V36" i="44" s="1"/>
  <c r="Z34" i="44"/>
  <c r="Z35" i="44" s="1"/>
  <c r="Z36" i="44" s="1"/>
  <c r="AD34" i="44"/>
  <c r="AD35" i="44" s="1"/>
  <c r="AD36" i="44" s="1"/>
  <c r="AE31" i="44"/>
  <c r="AE32" i="44" s="1"/>
  <c r="AE13" i="47" s="1"/>
  <c r="AE14" i="44"/>
  <c r="AE15" i="44" s="1"/>
  <c r="AE11" i="47" s="1"/>
  <c r="AD14" i="44"/>
  <c r="AD15" i="44" s="1"/>
  <c r="AD11" i="47" s="1"/>
  <c r="M38" i="44"/>
  <c r="M39" i="44" s="1"/>
  <c r="M40" i="44" s="1"/>
  <c r="M33" i="25" s="1"/>
  <c r="M34" i="44"/>
  <c r="M35" i="44" s="1"/>
  <c r="M36" i="44" s="1"/>
  <c r="AC31" i="44"/>
  <c r="AC32" i="44" s="1"/>
  <c r="AC13" i="47" s="1"/>
  <c r="AC10" i="47" s="1"/>
  <c r="Y31" i="44"/>
  <c r="Y32" i="44" s="1"/>
  <c r="Y13" i="47" s="1"/>
  <c r="Y10" i="47" s="1"/>
  <c r="U31" i="44"/>
  <c r="U32" i="44" s="1"/>
  <c r="U13" i="47" s="1"/>
  <c r="Q31" i="44"/>
  <c r="Q32" i="44" s="1"/>
  <c r="Q13" i="47" s="1"/>
  <c r="I31" i="44"/>
  <c r="I32" i="44" s="1"/>
  <c r="I13" i="47" s="1"/>
  <c r="E31" i="44"/>
  <c r="E32" i="44" s="1"/>
  <c r="E13" i="47" s="1"/>
  <c r="AB31" i="44"/>
  <c r="AB32" i="44" s="1"/>
  <c r="AB13" i="47" s="1"/>
  <c r="AB10" i="47" s="1"/>
  <c r="X31" i="44"/>
  <c r="X32" i="44" s="1"/>
  <c r="X13" i="47" s="1"/>
  <c r="X10" i="47" s="1"/>
  <c r="T31" i="44"/>
  <c r="T32" i="44" s="1"/>
  <c r="T13" i="47" s="1"/>
  <c r="P31" i="44"/>
  <c r="P32" i="44" s="1"/>
  <c r="P13" i="47" s="1"/>
  <c r="L31" i="44"/>
  <c r="L32" i="44" s="1"/>
  <c r="L13" i="47" s="1"/>
  <c r="H31" i="44"/>
  <c r="H32" i="44" s="1"/>
  <c r="H13" i="47" s="1"/>
  <c r="D31" i="44"/>
  <c r="D32" i="44" s="1"/>
  <c r="D13" i="47" s="1"/>
  <c r="AE50" i="25"/>
  <c r="AF58" i="49" s="1"/>
  <c r="AA14" i="44"/>
  <c r="AA15" i="44" s="1"/>
  <c r="AA11" i="47" s="1"/>
  <c r="W14" i="44"/>
  <c r="W15" i="44" s="1"/>
  <c r="W11" i="47" s="1"/>
  <c r="S14" i="44"/>
  <c r="S15" i="44" s="1"/>
  <c r="S11" i="47" s="1"/>
  <c r="O14" i="44"/>
  <c r="O15" i="44" s="1"/>
  <c r="O11" i="47" s="1"/>
  <c r="K14" i="44"/>
  <c r="K15" i="44" s="1"/>
  <c r="K11" i="47" s="1"/>
  <c r="G14" i="44"/>
  <c r="G15" i="44" s="1"/>
  <c r="G11" i="47" s="1"/>
  <c r="C14" i="44"/>
  <c r="C15" i="44" s="1"/>
  <c r="C11" i="47" s="1"/>
  <c r="K36" i="49"/>
  <c r="AD68" i="49"/>
  <c r="V68" i="49"/>
  <c r="R68" i="49"/>
  <c r="N68" i="49"/>
  <c r="F68" i="49"/>
  <c r="AB68" i="49"/>
  <c r="L68" i="49"/>
  <c r="AA68" i="49"/>
  <c r="K68" i="49"/>
  <c r="P68" i="49"/>
  <c r="J11" i="50"/>
  <c r="AB132" i="26"/>
  <c r="X132" i="26"/>
  <c r="T132" i="26"/>
  <c r="P132" i="26"/>
  <c r="L132" i="26"/>
  <c r="H132" i="26"/>
  <c r="D132" i="26"/>
  <c r="AA132" i="26"/>
  <c r="W132" i="26"/>
  <c r="S132" i="26"/>
  <c r="O132" i="26"/>
  <c r="K132" i="26"/>
  <c r="G132" i="26"/>
  <c r="U12" i="50"/>
  <c r="M12" i="50"/>
  <c r="H12" i="50"/>
  <c r="L12" i="50"/>
  <c r="AM74" i="17"/>
  <c r="BG61" i="17"/>
  <c r="BG59" i="17"/>
  <c r="CC61" i="17"/>
  <c r="AL79" i="17"/>
  <c r="AM79" i="17" s="1"/>
  <c r="CC60" i="17"/>
  <c r="BB60" i="17"/>
  <c r="CP59" i="17"/>
  <c r="BX59" i="17"/>
  <c r="AV58" i="17"/>
  <c r="AK80" i="17"/>
  <c r="AV60" i="17"/>
  <c r="K60" i="17"/>
  <c r="L60" i="17" s="1"/>
  <c r="BR59" i="17"/>
  <c r="K59" i="17"/>
  <c r="L59" i="17" s="1"/>
  <c r="CP58" i="17"/>
  <c r="CC57" i="17"/>
  <c r="BR57" i="17"/>
  <c r="AV57" i="17"/>
  <c r="CC56" i="17"/>
  <c r="AF56" i="17"/>
  <c r="K56" i="17"/>
  <c r="L56" i="17" s="1"/>
  <c r="AW56" i="17" s="1"/>
  <c r="K61" i="17"/>
  <c r="L61" i="17" s="1"/>
  <c r="BR60" i="17"/>
  <c r="CM58" i="17"/>
  <c r="BR58" i="17"/>
  <c r="BR55" i="17"/>
  <c r="BR53" i="17"/>
  <c r="K58" i="17"/>
  <c r="L58" i="17" s="1"/>
  <c r="BG56" i="17"/>
  <c r="CM55" i="17"/>
  <c r="BB55" i="17"/>
  <c r="AV54" i="17"/>
  <c r="BG53" i="17"/>
  <c r="BM56" i="17"/>
  <c r="CP55" i="17"/>
  <c r="CC55" i="17"/>
  <c r="AV53" i="17"/>
  <c r="AF53" i="17"/>
  <c r="V36" i="49"/>
  <c r="R36" i="49"/>
  <c r="N36" i="49"/>
  <c r="F36" i="49"/>
  <c r="AC41" i="50"/>
  <c r="Y41" i="50"/>
  <c r="U41" i="50"/>
  <c r="Q41" i="50"/>
  <c r="M41" i="50"/>
  <c r="I41" i="50"/>
  <c r="AA43" i="50"/>
  <c r="AD58" i="25"/>
  <c r="Z58" i="25"/>
  <c r="V58" i="25"/>
  <c r="R58" i="25"/>
  <c r="N58" i="25"/>
  <c r="J58" i="25"/>
  <c r="F58" i="25"/>
  <c r="AB41" i="50"/>
  <c r="X41" i="50"/>
  <c r="T41" i="50"/>
  <c r="P41" i="50"/>
  <c r="L41" i="50"/>
  <c r="H41" i="50"/>
  <c r="D9" i="50"/>
  <c r="BC23" i="50" s="1"/>
  <c r="R43" i="50"/>
  <c r="N43" i="50"/>
  <c r="J43" i="50"/>
  <c r="AC58" i="25"/>
  <c r="Y58" i="25"/>
  <c r="Z46" i="49" s="1"/>
  <c r="U58" i="25"/>
  <c r="V46" i="49" s="1"/>
  <c r="Q58" i="25"/>
  <c r="R46" i="49" s="1"/>
  <c r="M58" i="25"/>
  <c r="N46" i="49" s="1"/>
  <c r="I58" i="25"/>
  <c r="J46" i="49" s="1"/>
  <c r="E58" i="25"/>
  <c r="F46" i="49" s="1"/>
  <c r="AA41" i="50"/>
  <c r="W41" i="50"/>
  <c r="S41" i="50"/>
  <c r="O41" i="50"/>
  <c r="K41" i="50"/>
  <c r="G41" i="50"/>
  <c r="U43" i="50"/>
  <c r="I43" i="50"/>
  <c r="AB58" i="25"/>
  <c r="X58" i="25"/>
  <c r="T58" i="25"/>
  <c r="P58" i="25"/>
  <c r="L58" i="25"/>
  <c r="H58" i="25"/>
  <c r="D58" i="25"/>
  <c r="Z41" i="50"/>
  <c r="V41" i="50"/>
  <c r="R41" i="50"/>
  <c r="N41" i="50"/>
  <c r="J41" i="50"/>
  <c r="F41" i="50"/>
  <c r="L43" i="50"/>
  <c r="AA58" i="25"/>
  <c r="W58" i="25"/>
  <c r="S58" i="25"/>
  <c r="O58" i="25"/>
  <c r="K58" i="25"/>
  <c r="G58" i="25"/>
  <c r="C58" i="25"/>
  <c r="T12" i="50"/>
  <c r="S12" i="50"/>
  <c r="AE24" i="45"/>
  <c r="AE41" i="50" s="1"/>
  <c r="AE12" i="45"/>
  <c r="D17" i="54" l="1"/>
  <c r="AI14" i="54"/>
  <c r="H212" i="27"/>
  <c r="D12" i="50"/>
  <c r="J212" i="27"/>
  <c r="U313" i="27"/>
  <c r="U333" i="27" s="1"/>
  <c r="U19" i="27" s="1"/>
  <c r="AI54" i="49"/>
  <c r="AS14" i="49"/>
  <c r="AC113" i="49"/>
  <c r="AH46" i="49"/>
  <c r="AG56" i="25"/>
  <c r="E13" i="54"/>
  <c r="AH14" i="54"/>
  <c r="AD10" i="47"/>
  <c r="U10" i="47"/>
  <c r="I10" i="47"/>
  <c r="D25" i="54"/>
  <c r="D22" i="45"/>
  <c r="AG14" i="54"/>
  <c r="AF14" i="54"/>
  <c r="E14" i="54"/>
  <c r="T14" i="54"/>
  <c r="T13" i="54"/>
  <c r="AD14" i="54"/>
  <c r="AD13" i="54"/>
  <c r="P14" i="54"/>
  <c r="P13" i="54"/>
  <c r="Y14" i="54"/>
  <c r="Y13" i="54"/>
  <c r="G14" i="54"/>
  <c r="G13" i="54"/>
  <c r="L14" i="54"/>
  <c r="L13" i="54"/>
  <c r="M14" i="54"/>
  <c r="M13" i="54"/>
  <c r="F13" i="54"/>
  <c r="F14" i="54"/>
  <c r="W14" i="54"/>
  <c r="W13" i="54"/>
  <c r="X13" i="54"/>
  <c r="X14" i="54"/>
  <c r="J13" i="54"/>
  <c r="J14" i="54"/>
  <c r="S14" i="54"/>
  <c r="AB14" i="54"/>
  <c r="AB13" i="54"/>
  <c r="U14" i="54"/>
  <c r="U13" i="54"/>
  <c r="N14" i="54"/>
  <c r="N13" i="54"/>
  <c r="AE14" i="54"/>
  <c r="AE13" i="54"/>
  <c r="AF13" i="54"/>
  <c r="I13" i="54"/>
  <c r="I14" i="54"/>
  <c r="S13" i="54"/>
  <c r="R14" i="54"/>
  <c r="R13" i="54"/>
  <c r="AA13" i="54"/>
  <c r="AA14" i="54"/>
  <c r="H46" i="49"/>
  <c r="O14" i="54"/>
  <c r="O13" i="54"/>
  <c r="AC14" i="54"/>
  <c r="AC13" i="54"/>
  <c r="V14" i="54"/>
  <c r="V13" i="54"/>
  <c r="H14" i="54"/>
  <c r="H13" i="54"/>
  <c r="Q13" i="54"/>
  <c r="Q14" i="54"/>
  <c r="Z13" i="54"/>
  <c r="Z14" i="54"/>
  <c r="K14" i="54"/>
  <c r="K13" i="54"/>
  <c r="AC15" i="47"/>
  <c r="AB266" i="44"/>
  <c r="X14" i="32"/>
  <c r="X16" i="32" s="1"/>
  <c r="U15" i="32"/>
  <c r="U18" i="32" s="1"/>
  <c r="S15" i="32"/>
  <c r="S18" i="32" s="1"/>
  <c r="AF5" i="47"/>
  <c r="AF20" i="47" s="1"/>
  <c r="R77" i="44"/>
  <c r="Y77" i="44"/>
  <c r="V27" i="25"/>
  <c r="V44" i="25" s="1"/>
  <c r="W56" i="49" s="1"/>
  <c r="S7" i="47"/>
  <c r="T27" i="25"/>
  <c r="T44" i="25" s="1"/>
  <c r="U56" i="49" s="1"/>
  <c r="R28" i="25"/>
  <c r="AA77" i="44"/>
  <c r="Z28" i="25"/>
  <c r="Z45" i="25" s="1"/>
  <c r="AA45" i="49" s="1"/>
  <c r="Z27" i="25"/>
  <c r="Z44" i="25" s="1"/>
  <c r="AA56" i="49" s="1"/>
  <c r="Y213" i="27"/>
  <c r="Y14" i="27"/>
  <c r="H14" i="27"/>
  <c r="H213" i="27"/>
  <c r="AD213" i="27"/>
  <c r="AD14" i="27"/>
  <c r="J213" i="27"/>
  <c r="J14" i="27"/>
  <c r="X14" i="27"/>
  <c r="X213" i="27"/>
  <c r="Z213" i="27"/>
  <c r="Z14" i="27"/>
  <c r="AB14" i="27"/>
  <c r="AB213" i="27"/>
  <c r="AC213" i="27"/>
  <c r="AC14" i="27"/>
  <c r="AE213" i="27"/>
  <c r="AE14" i="27"/>
  <c r="AA213" i="27"/>
  <c r="AA14" i="27"/>
  <c r="D189" i="27"/>
  <c r="D212" i="27" s="1"/>
  <c r="S313" i="27"/>
  <c r="S333" i="27" s="1"/>
  <c r="S19" i="27" s="1"/>
  <c r="L313" i="27"/>
  <c r="L333" i="27" s="1"/>
  <c r="L19" i="27" s="1"/>
  <c r="M313" i="27"/>
  <c r="M333" i="27" s="1"/>
  <c r="M19" i="27" s="1"/>
  <c r="X313" i="27"/>
  <c r="X333" i="27" s="1"/>
  <c r="X19" i="27" s="1"/>
  <c r="AD313" i="27"/>
  <c r="AD333" i="27" s="1"/>
  <c r="AD19" i="27" s="1"/>
  <c r="I313" i="27"/>
  <c r="I333" i="27" s="1"/>
  <c r="I19" i="27" s="1"/>
  <c r="AC313" i="27"/>
  <c r="AC333" i="27" s="1"/>
  <c r="AC19" i="27" s="1"/>
  <c r="N313" i="27"/>
  <c r="N333" i="27" s="1"/>
  <c r="N19" i="27" s="1"/>
  <c r="O313" i="27"/>
  <c r="O333" i="27" s="1"/>
  <c r="O19" i="27" s="1"/>
  <c r="G313" i="27"/>
  <c r="G333" i="27" s="1"/>
  <c r="G19" i="27" s="1"/>
  <c r="T313" i="27"/>
  <c r="T333" i="27" s="1"/>
  <c r="T19" i="27" s="1"/>
  <c r="V313" i="27"/>
  <c r="V333" i="27" s="1"/>
  <c r="V19" i="27" s="1"/>
  <c r="AE313" i="27"/>
  <c r="AE333" i="27" s="1"/>
  <c r="AE19" i="27" s="1"/>
  <c r="Z313" i="27"/>
  <c r="Z333" i="27" s="1"/>
  <c r="Z19" i="27" s="1"/>
  <c r="K313" i="27"/>
  <c r="K333" i="27" s="1"/>
  <c r="K19" i="27" s="1"/>
  <c r="W313" i="27"/>
  <c r="W333" i="27" s="1"/>
  <c r="W19" i="27" s="1"/>
  <c r="F313" i="27"/>
  <c r="F333" i="27" s="1"/>
  <c r="F19" i="27" s="1"/>
  <c r="D313" i="27"/>
  <c r="D333" i="27" s="1"/>
  <c r="D19" i="27" s="1"/>
  <c r="Y313" i="27"/>
  <c r="Y333" i="27" s="1"/>
  <c r="Y19" i="27" s="1"/>
  <c r="R313" i="27"/>
  <c r="R333" i="27" s="1"/>
  <c r="R19" i="27" s="1"/>
  <c r="P313" i="27"/>
  <c r="P333" i="27" s="1"/>
  <c r="P19" i="27" s="1"/>
  <c r="Q313" i="27"/>
  <c r="Q333" i="27" s="1"/>
  <c r="Q19" i="27" s="1"/>
  <c r="AB313" i="27"/>
  <c r="AB333" i="27" s="1"/>
  <c r="AB19" i="27" s="1"/>
  <c r="E313" i="27"/>
  <c r="E333" i="27" s="1"/>
  <c r="E19" i="27" s="1"/>
  <c r="J313" i="27"/>
  <c r="J333" i="27" s="1"/>
  <c r="J19" i="27" s="1"/>
  <c r="AA313" i="27"/>
  <c r="AA333" i="27" s="1"/>
  <c r="AA19" i="27" s="1"/>
  <c r="H313" i="27"/>
  <c r="H333" i="27" s="1"/>
  <c r="H19" i="27" s="1"/>
  <c r="U189" i="27"/>
  <c r="U212" i="27" s="1"/>
  <c r="P189" i="27"/>
  <c r="P212" i="27" s="1"/>
  <c r="L189" i="27"/>
  <c r="L212" i="27" s="1"/>
  <c r="G189" i="27"/>
  <c r="G212" i="27" s="1"/>
  <c r="E189" i="27"/>
  <c r="E212" i="27" s="1"/>
  <c r="Q189" i="27"/>
  <c r="Q212" i="27" s="1"/>
  <c r="N189" i="27"/>
  <c r="N212" i="27" s="1"/>
  <c r="R189" i="27"/>
  <c r="R212" i="27" s="1"/>
  <c r="T189" i="27"/>
  <c r="T212" i="27" s="1"/>
  <c r="O189" i="27"/>
  <c r="O212" i="27" s="1"/>
  <c r="W189" i="27"/>
  <c r="K189" i="27"/>
  <c r="K212" i="27" s="1"/>
  <c r="I189" i="27"/>
  <c r="I212" i="27" s="1"/>
  <c r="S189" i="27"/>
  <c r="S212" i="27" s="1"/>
  <c r="F189" i="27"/>
  <c r="F212" i="27" s="1"/>
  <c r="M189" i="27"/>
  <c r="M212" i="27" s="1"/>
  <c r="AI7" i="27"/>
  <c r="AI33" i="45"/>
  <c r="AI45" i="50" s="1"/>
  <c r="W209" i="27"/>
  <c r="D43" i="50"/>
  <c r="BC59" i="50" s="1"/>
  <c r="E43" i="50"/>
  <c r="AE43" i="50"/>
  <c r="V209" i="27"/>
  <c r="V212" i="27" s="1"/>
  <c r="H53" i="49"/>
  <c r="G18" i="32"/>
  <c r="H40" i="45" s="1"/>
  <c r="AG57" i="49"/>
  <c r="AG64" i="49" s="1"/>
  <c r="AF56" i="25"/>
  <c r="AG26" i="54" s="1"/>
  <c r="AG22" i="54" s="1"/>
  <c r="AH57" i="49"/>
  <c r="AD35" i="45"/>
  <c r="AD44" i="50" s="1"/>
  <c r="AC35" i="45"/>
  <c r="AC44" i="50" s="1"/>
  <c r="E57" i="49"/>
  <c r="J56" i="25"/>
  <c r="F56" i="25"/>
  <c r="X36" i="49"/>
  <c r="AG23" i="45"/>
  <c r="AG19" i="45" s="1"/>
  <c r="AG36" i="49"/>
  <c r="M36" i="49"/>
  <c r="Q36" i="49"/>
  <c r="U36" i="49"/>
  <c r="O36" i="49"/>
  <c r="Y36" i="49"/>
  <c r="S36" i="49"/>
  <c r="L36" i="49"/>
  <c r="AC36" i="49"/>
  <c r="Z36" i="49"/>
  <c r="W36" i="49"/>
  <c r="T36" i="49"/>
  <c r="AB36" i="49"/>
  <c r="P36" i="49"/>
  <c r="AF23" i="45"/>
  <c r="L11" i="50"/>
  <c r="H11" i="50"/>
  <c r="H44" i="50"/>
  <c r="X11" i="50"/>
  <c r="X44" i="50"/>
  <c r="Y11" i="50"/>
  <c r="Y44" i="50"/>
  <c r="K8" i="47"/>
  <c r="Q27" i="25"/>
  <c r="Q44" i="25" s="1"/>
  <c r="R56" i="49" s="1"/>
  <c r="AA11" i="50"/>
  <c r="AE57" i="49"/>
  <c r="AB11" i="50"/>
  <c r="D36" i="49"/>
  <c r="K11" i="50"/>
  <c r="Z11" i="50"/>
  <c r="N11" i="50"/>
  <c r="M11" i="50"/>
  <c r="I11" i="50"/>
  <c r="AE11" i="50"/>
  <c r="S9" i="50"/>
  <c r="AE9" i="50"/>
  <c r="AA9" i="50"/>
  <c r="H9" i="50"/>
  <c r="AC9" i="50"/>
  <c r="L9" i="50"/>
  <c r="P9" i="50"/>
  <c r="G9" i="50"/>
  <c r="T9" i="50"/>
  <c r="K9" i="50"/>
  <c r="X9" i="50"/>
  <c r="AD9" i="50"/>
  <c r="Z9" i="50"/>
  <c r="O9" i="50"/>
  <c r="AB9" i="50"/>
  <c r="W9" i="50"/>
  <c r="Y9" i="50"/>
  <c r="W11" i="50"/>
  <c r="C10" i="31"/>
  <c r="C11" i="31" s="1"/>
  <c r="AB16" i="32"/>
  <c r="AC53" i="49" s="1"/>
  <c r="AC17" i="32"/>
  <c r="AE17" i="32"/>
  <c r="AE18" i="32" s="1"/>
  <c r="AA17" i="32"/>
  <c r="AD17" i="32"/>
  <c r="Z17" i="32"/>
  <c r="AA63" i="49" s="1"/>
  <c r="AB17" i="32"/>
  <c r="AC63" i="49" s="1"/>
  <c r="X17" i="32"/>
  <c r="X18" i="32" s="1"/>
  <c r="Y17" i="32"/>
  <c r="Z63" i="49" s="1"/>
  <c r="W17" i="32"/>
  <c r="X63" i="49" s="1"/>
  <c r="G57" i="31"/>
  <c r="D52" i="31"/>
  <c r="D57" i="31" s="1"/>
  <c r="S55" i="31"/>
  <c r="S56" i="31" s="1"/>
  <c r="M8" i="47"/>
  <c r="AF14" i="32"/>
  <c r="AF266" i="44"/>
  <c r="AF77" i="44"/>
  <c r="AF28" i="25"/>
  <c r="AF45" i="25" s="1"/>
  <c r="AG45" i="49" s="1"/>
  <c r="D7" i="47"/>
  <c r="M115" i="44"/>
  <c r="N10" i="47"/>
  <c r="X46" i="49"/>
  <c r="P46" i="49"/>
  <c r="C32" i="25"/>
  <c r="C49" i="25" s="1"/>
  <c r="D44" i="54" s="1"/>
  <c r="D42" i="54" s="1"/>
  <c r="D47" i="54" s="1"/>
  <c r="Q55" i="31"/>
  <c r="Q56" i="31" s="1"/>
  <c r="F59" i="49"/>
  <c r="V26" i="25"/>
  <c r="V43" i="25" s="1"/>
  <c r="T46" i="49"/>
  <c r="AE7" i="47"/>
  <c r="L46" i="49"/>
  <c r="W46" i="49"/>
  <c r="E10" i="47"/>
  <c r="M7" i="47"/>
  <c r="K7" i="47"/>
  <c r="J8" i="47"/>
  <c r="V115" i="44"/>
  <c r="N48" i="49"/>
  <c r="N28" i="25"/>
  <c r="N45" i="25" s="1"/>
  <c r="O45" i="49" s="1"/>
  <c r="L8" i="47"/>
  <c r="AE266" i="44"/>
  <c r="J10" i="47"/>
  <c r="C8" i="47"/>
  <c r="S8" i="47"/>
  <c r="U27" i="25"/>
  <c r="U44" i="25" s="1"/>
  <c r="V56" i="49" s="1"/>
  <c r="R27" i="25"/>
  <c r="R44" i="25" s="1"/>
  <c r="S56" i="49" s="1"/>
  <c r="U55" i="31"/>
  <c r="U56" i="31" s="1"/>
  <c r="Q10" i="47"/>
  <c r="Q5" i="47" s="1"/>
  <c r="Q20" i="47" s="1"/>
  <c r="U7" i="47"/>
  <c r="U5" i="47" s="1"/>
  <c r="U20" i="47" s="1"/>
  <c r="AD8" i="47"/>
  <c r="R10" i="47"/>
  <c r="G8" i="47"/>
  <c r="AA8" i="47"/>
  <c r="S28" i="25"/>
  <c r="S45" i="25" s="1"/>
  <c r="T45" i="49" s="1"/>
  <c r="AD46" i="49"/>
  <c r="R45" i="25"/>
  <c r="S45" i="49" s="1"/>
  <c r="G59" i="49"/>
  <c r="G64" i="49" s="1"/>
  <c r="G74" i="49" s="1"/>
  <c r="G24" i="49" s="1"/>
  <c r="N115" i="44"/>
  <c r="E27" i="25"/>
  <c r="E44" i="25" s="1"/>
  <c r="F56" i="49" s="1"/>
  <c r="V59" i="49"/>
  <c r="O10" i="47"/>
  <c r="AE115" i="44"/>
  <c r="C7" i="47"/>
  <c r="X7" i="47"/>
  <c r="X5" i="47" s="1"/>
  <c r="X20" i="47" s="1"/>
  <c r="G55" i="31"/>
  <c r="G56" i="31" s="1"/>
  <c r="H8" i="47"/>
  <c r="AC27" i="25"/>
  <c r="AC44" i="25" s="1"/>
  <c r="AD56" i="49" s="1"/>
  <c r="C10" i="47"/>
  <c r="S10" i="47"/>
  <c r="W10" i="47"/>
  <c r="AB46" i="49"/>
  <c r="E8" i="47"/>
  <c r="J27" i="25"/>
  <c r="V77" i="44"/>
  <c r="C41" i="44"/>
  <c r="E77" i="44"/>
  <c r="F77" i="44"/>
  <c r="J77" i="44"/>
  <c r="N59" i="49"/>
  <c r="M55" i="31"/>
  <c r="M56" i="31" s="1"/>
  <c r="Z7" i="47"/>
  <c r="V10" i="47"/>
  <c r="O55" i="31"/>
  <c r="O56" i="31" s="1"/>
  <c r="Q77" i="44"/>
  <c r="Q28" i="25"/>
  <c r="C77" i="44"/>
  <c r="C28" i="25"/>
  <c r="C45" i="25" s="1"/>
  <c r="D45" i="49" s="1"/>
  <c r="M27" i="25"/>
  <c r="U77" i="44"/>
  <c r="U28" i="25"/>
  <c r="K59" i="49"/>
  <c r="Y27" i="25"/>
  <c r="L59" i="49"/>
  <c r="P10" i="47"/>
  <c r="K115" i="44"/>
  <c r="I77" i="44"/>
  <c r="I28" i="25"/>
  <c r="E28" i="25"/>
  <c r="BS54" i="17"/>
  <c r="M77" i="44"/>
  <c r="M45" i="25"/>
  <c r="N45" i="49" s="1"/>
  <c r="AC77" i="44"/>
  <c r="AC28" i="25"/>
  <c r="Y28" i="25"/>
  <c r="Y45" i="25" s="1"/>
  <c r="Z45" i="49" s="1"/>
  <c r="V48" i="49"/>
  <c r="I8" i="47"/>
  <c r="I5" i="47" s="1"/>
  <c r="I20" i="47" s="1"/>
  <c r="F10" i="47"/>
  <c r="J7" i="47"/>
  <c r="Y5" i="47"/>
  <c r="Y20" i="47" s="1"/>
  <c r="E10" i="31"/>
  <c r="F48" i="49"/>
  <c r="E55" i="31"/>
  <c r="E56" i="31" s="1"/>
  <c r="J59" i="49"/>
  <c r="I55" i="31"/>
  <c r="I56" i="31" s="1"/>
  <c r="AG54" i="17"/>
  <c r="CU54" i="17"/>
  <c r="CV54" i="17" s="1"/>
  <c r="T10" i="47"/>
  <c r="AB44" i="25"/>
  <c r="AC56" i="49" s="1"/>
  <c r="R48" i="49"/>
  <c r="L48" i="49"/>
  <c r="S266" i="44"/>
  <c r="T266" i="44"/>
  <c r="T14" i="32"/>
  <c r="T18" i="32" s="1"/>
  <c r="N266" i="44"/>
  <c r="N14" i="32"/>
  <c r="N18" i="32" s="1"/>
  <c r="G10" i="47"/>
  <c r="G7" i="47"/>
  <c r="W7" i="47"/>
  <c r="P8" i="47"/>
  <c r="O8" i="31"/>
  <c r="P42" i="49" s="1"/>
  <c r="I57" i="49"/>
  <c r="V134" i="44"/>
  <c r="V30" i="25"/>
  <c r="G41" i="44"/>
  <c r="G34" i="25"/>
  <c r="L115" i="44"/>
  <c r="L28" i="25"/>
  <c r="L45" i="25" s="1"/>
  <c r="M45" i="49" s="1"/>
  <c r="T115" i="44"/>
  <c r="T28" i="25"/>
  <c r="J48" i="49"/>
  <c r="F26" i="25"/>
  <c r="F43" i="25" s="1"/>
  <c r="W266" i="44"/>
  <c r="W14" i="32"/>
  <c r="W16" i="32" s="1"/>
  <c r="H266" i="44"/>
  <c r="H14" i="32"/>
  <c r="H16" i="32" s="1"/>
  <c r="H18" i="32" s="1"/>
  <c r="K266" i="44"/>
  <c r="K14" i="32"/>
  <c r="K16" i="32" s="1"/>
  <c r="K18" i="32" s="1"/>
  <c r="O266" i="44"/>
  <c r="O14" i="32"/>
  <c r="O18" i="32" s="1"/>
  <c r="Z14" i="32"/>
  <c r="Z16" i="32" s="1"/>
  <c r="Z266" i="44"/>
  <c r="J266" i="44"/>
  <c r="J14" i="32"/>
  <c r="J16" i="32" s="1"/>
  <c r="J18" i="32" s="1"/>
  <c r="D10" i="47"/>
  <c r="S44" i="25"/>
  <c r="T56" i="49" s="1"/>
  <c r="D115" i="44"/>
  <c r="D28" i="25"/>
  <c r="R59" i="49"/>
  <c r="H59" i="49"/>
  <c r="P266" i="44"/>
  <c r="P14" i="32"/>
  <c r="P18" i="32" s="1"/>
  <c r="AD14" i="32"/>
  <c r="AD16" i="32" s="1"/>
  <c r="AD266" i="44"/>
  <c r="Y53" i="49"/>
  <c r="D46" i="49"/>
  <c r="L57" i="17"/>
  <c r="K10" i="47"/>
  <c r="AA10" i="47"/>
  <c r="AB5" i="47"/>
  <c r="AB20" i="47" s="1"/>
  <c r="L10" i="47"/>
  <c r="R7" i="47"/>
  <c r="AA7" i="47"/>
  <c r="N8" i="47"/>
  <c r="Z8" i="47"/>
  <c r="K53" i="17"/>
  <c r="L53" i="17" s="1"/>
  <c r="T134" i="44"/>
  <c r="T31" i="25"/>
  <c r="K26" i="25"/>
  <c r="K43" i="25" s="1"/>
  <c r="K44" i="25"/>
  <c r="L56" i="49" s="1"/>
  <c r="AA44" i="25"/>
  <c r="AB56" i="49" s="1"/>
  <c r="H115" i="44"/>
  <c r="H28" i="25"/>
  <c r="P44" i="25"/>
  <c r="Q56" i="49" s="1"/>
  <c r="AB115" i="44"/>
  <c r="AB28" i="25"/>
  <c r="AB45" i="25" s="1"/>
  <c r="AC45" i="49" s="1"/>
  <c r="M266" i="44"/>
  <c r="M14" i="32"/>
  <c r="M18" i="32" s="1"/>
  <c r="H48" i="49"/>
  <c r="T48" i="49"/>
  <c r="Q14" i="32"/>
  <c r="Q18" i="32" s="1"/>
  <c r="Q266" i="44"/>
  <c r="P48" i="49"/>
  <c r="L266" i="44"/>
  <c r="L14" i="32"/>
  <c r="L16" i="32" s="1"/>
  <c r="L18" i="32" s="1"/>
  <c r="AA14" i="32"/>
  <c r="AA16" i="32" s="1"/>
  <c r="AA266" i="44"/>
  <c r="E266" i="44"/>
  <c r="E14" i="32"/>
  <c r="E16" i="32" s="1"/>
  <c r="E18" i="32" s="1"/>
  <c r="I14" i="32"/>
  <c r="I16" i="32" s="1"/>
  <c r="I18" i="32" s="1"/>
  <c r="I266" i="44"/>
  <c r="V266" i="44"/>
  <c r="V14" i="32"/>
  <c r="V18" i="32" s="1"/>
  <c r="F266" i="44"/>
  <c r="F14" i="32"/>
  <c r="F16" i="32" s="1"/>
  <c r="F18" i="32" s="1"/>
  <c r="H10" i="47"/>
  <c r="E7" i="47"/>
  <c r="F7" i="47"/>
  <c r="V7" i="47"/>
  <c r="O7" i="47"/>
  <c r="T8" i="47"/>
  <c r="D8" i="47"/>
  <c r="L53" i="31"/>
  <c r="M59" i="49" s="1"/>
  <c r="K55" i="31"/>
  <c r="K56" i="31" s="1"/>
  <c r="AA115" i="44"/>
  <c r="AA28" i="25"/>
  <c r="AA45" i="25" s="1"/>
  <c r="AB45" i="49" s="1"/>
  <c r="S41" i="44"/>
  <c r="S34" i="25"/>
  <c r="L44" i="25"/>
  <c r="M56" i="49" s="1"/>
  <c r="P115" i="44"/>
  <c r="P28" i="25"/>
  <c r="P45" i="25" s="1"/>
  <c r="Q45" i="49" s="1"/>
  <c r="X115" i="44"/>
  <c r="X28" i="25"/>
  <c r="S115" i="44"/>
  <c r="T59" i="49"/>
  <c r="P59" i="49"/>
  <c r="AC14" i="32"/>
  <c r="AC16" i="32" s="1"/>
  <c r="AC266" i="44"/>
  <c r="U266" i="44"/>
  <c r="Y14" i="32"/>
  <c r="Y16" i="32" s="1"/>
  <c r="Y266" i="44"/>
  <c r="D266" i="44"/>
  <c r="D14" i="32"/>
  <c r="D16" i="32" s="1"/>
  <c r="D18" i="32" s="1"/>
  <c r="R266" i="44"/>
  <c r="R14" i="32"/>
  <c r="R18" i="32" s="1"/>
  <c r="O32" i="25"/>
  <c r="O49" i="25" s="1"/>
  <c r="F10" i="31"/>
  <c r="G48" i="49"/>
  <c r="F55" i="31"/>
  <c r="F56" i="31" s="1"/>
  <c r="K48" i="49"/>
  <c r="J55" i="31"/>
  <c r="J56" i="31" s="1"/>
  <c r="M48" i="49"/>
  <c r="I48" i="49"/>
  <c r="CK55" i="17"/>
  <c r="CZ55" i="17"/>
  <c r="DA55" i="17" s="1"/>
  <c r="AR55" i="17"/>
  <c r="AW55" i="17"/>
  <c r="E48" i="49"/>
  <c r="CD55" i="17"/>
  <c r="BC54" i="17"/>
  <c r="CD54" i="17"/>
  <c r="M50" i="25"/>
  <c r="N58" i="49" s="1"/>
  <c r="Z41" i="44"/>
  <c r="Z34" i="25"/>
  <c r="J41" i="44"/>
  <c r="J34" i="25"/>
  <c r="U41" i="44"/>
  <c r="U34" i="25"/>
  <c r="AB41" i="44"/>
  <c r="AB34" i="25"/>
  <c r="L41" i="44"/>
  <c r="L34" i="25"/>
  <c r="W41" i="44"/>
  <c r="W34" i="25"/>
  <c r="AE28" i="25"/>
  <c r="AE45" i="25" s="1"/>
  <c r="AF45" i="49" s="1"/>
  <c r="AD115" i="44"/>
  <c r="AD28" i="25"/>
  <c r="AA41" i="44"/>
  <c r="AA34" i="25"/>
  <c r="N7" i="47"/>
  <c r="AD7" i="47"/>
  <c r="H134" i="44"/>
  <c r="H31" i="25"/>
  <c r="P134" i="44"/>
  <c r="P31" i="25"/>
  <c r="AB134" i="44"/>
  <c r="AB31" i="25"/>
  <c r="O115" i="44"/>
  <c r="O28" i="25"/>
  <c r="O29" i="25"/>
  <c r="O46" i="25" s="1"/>
  <c r="O47" i="25"/>
  <c r="P57" i="49" s="1"/>
  <c r="AC47" i="25"/>
  <c r="AD57" i="49" s="1"/>
  <c r="AC29" i="25"/>
  <c r="M47" i="25"/>
  <c r="N57" i="49" s="1"/>
  <c r="M29" i="25"/>
  <c r="AE47" i="25"/>
  <c r="AF57" i="49" s="1"/>
  <c r="J134" i="44"/>
  <c r="J31" i="25"/>
  <c r="R134" i="44"/>
  <c r="R31" i="25"/>
  <c r="I59" i="49"/>
  <c r="I134" i="44"/>
  <c r="J177" i="18"/>
  <c r="H100" i="18"/>
  <c r="G99" i="18"/>
  <c r="H55" i="31"/>
  <c r="H56" i="31" s="1"/>
  <c r="O59" i="49"/>
  <c r="O64" i="49" s="1"/>
  <c r="O74" i="49" s="1"/>
  <c r="O24" i="49" s="1"/>
  <c r="R55" i="31"/>
  <c r="R56" i="31" s="1"/>
  <c r="R8" i="31"/>
  <c r="S42" i="49" s="1"/>
  <c r="R57" i="31"/>
  <c r="J42" i="49"/>
  <c r="Q48" i="49"/>
  <c r="U59" i="49"/>
  <c r="M10" i="31"/>
  <c r="CQ55" i="17"/>
  <c r="R55" i="17" s="1"/>
  <c r="CN54" i="17"/>
  <c r="Q54" i="17" s="1"/>
  <c r="V41" i="44"/>
  <c r="V34" i="25"/>
  <c r="F41" i="44"/>
  <c r="F34" i="25"/>
  <c r="Q41" i="44"/>
  <c r="Q34" i="25"/>
  <c r="X41" i="44"/>
  <c r="X34" i="25"/>
  <c r="H41" i="44"/>
  <c r="H34" i="25"/>
  <c r="AE44" i="25"/>
  <c r="AF56" i="49" s="1"/>
  <c r="C26" i="25"/>
  <c r="C44" i="25"/>
  <c r="D56" i="49" s="1"/>
  <c r="AA134" i="44"/>
  <c r="AA30" i="25"/>
  <c r="K134" i="44"/>
  <c r="K30" i="25"/>
  <c r="Y47" i="25"/>
  <c r="Z57" i="49" s="1"/>
  <c r="Y29" i="25"/>
  <c r="I47" i="25"/>
  <c r="J57" i="49" s="1"/>
  <c r="I29" i="25"/>
  <c r="G134" i="44"/>
  <c r="E59" i="49"/>
  <c r="C115" i="44"/>
  <c r="Y134" i="44"/>
  <c r="H150" i="18"/>
  <c r="G149" i="18"/>
  <c r="G24" i="18"/>
  <c r="H25" i="18"/>
  <c r="D55" i="31"/>
  <c r="D56" i="31" s="1"/>
  <c r="N55" i="31"/>
  <c r="N56" i="31" s="1"/>
  <c r="N8" i="31"/>
  <c r="O42" i="49" s="1"/>
  <c r="N57" i="31"/>
  <c r="W48" i="49"/>
  <c r="Q59" i="49"/>
  <c r="T8" i="31"/>
  <c r="U42" i="49" s="1"/>
  <c r="T57" i="31"/>
  <c r="T55" i="31"/>
  <c r="T56" i="31" s="1"/>
  <c r="V56" i="25"/>
  <c r="BY54" i="17"/>
  <c r="AR54" i="17"/>
  <c r="CZ54" i="17"/>
  <c r="DA54" i="17" s="1"/>
  <c r="AE10" i="47"/>
  <c r="R41" i="44"/>
  <c r="R34" i="25"/>
  <c r="AC41" i="44"/>
  <c r="AC34" i="25"/>
  <c r="I41" i="44"/>
  <c r="I34" i="25"/>
  <c r="T41" i="44"/>
  <c r="T34" i="25"/>
  <c r="D41" i="44"/>
  <c r="D34" i="25"/>
  <c r="AC7" i="47"/>
  <c r="AC5" i="47" s="1"/>
  <c r="AC20" i="47" s="1"/>
  <c r="AD134" i="44"/>
  <c r="AD31" i="25"/>
  <c r="V8" i="47"/>
  <c r="D134" i="44"/>
  <c r="D31" i="25"/>
  <c r="L134" i="44"/>
  <c r="L31" i="25"/>
  <c r="X134" i="44"/>
  <c r="X31" i="25"/>
  <c r="AF53" i="49"/>
  <c r="G115" i="44"/>
  <c r="G28" i="25"/>
  <c r="W115" i="44"/>
  <c r="W28" i="25"/>
  <c r="W29" i="25"/>
  <c r="W46" i="25" s="1"/>
  <c r="W47" i="25"/>
  <c r="X57" i="49" s="1"/>
  <c r="G29" i="25"/>
  <c r="G46" i="25" s="1"/>
  <c r="G47" i="25"/>
  <c r="H57" i="49" s="1"/>
  <c r="U134" i="44"/>
  <c r="U30" i="25"/>
  <c r="E134" i="44"/>
  <c r="E30" i="25"/>
  <c r="F134" i="44"/>
  <c r="F31" i="25"/>
  <c r="N134" i="44"/>
  <c r="N31" i="25"/>
  <c r="Z134" i="44"/>
  <c r="Z31" i="25"/>
  <c r="O134" i="44"/>
  <c r="C134" i="44"/>
  <c r="M134" i="44"/>
  <c r="S48" i="49"/>
  <c r="W59" i="49"/>
  <c r="K42" i="49"/>
  <c r="P8" i="31"/>
  <c r="Q42" i="49" s="1"/>
  <c r="P57" i="31"/>
  <c r="P55" i="31"/>
  <c r="P56" i="31" s="1"/>
  <c r="Z56" i="25"/>
  <c r="M41" i="44"/>
  <c r="M34" i="25"/>
  <c r="M51" i="25" s="1"/>
  <c r="N47" i="49" s="1"/>
  <c r="AD41" i="44"/>
  <c r="AD34" i="25"/>
  <c r="N41" i="44"/>
  <c r="N34" i="25"/>
  <c r="Y41" i="44"/>
  <c r="Y34" i="25"/>
  <c r="E41" i="44"/>
  <c r="E34" i="25"/>
  <c r="P41" i="44"/>
  <c r="P34" i="25"/>
  <c r="AE41" i="44"/>
  <c r="AE34" i="25"/>
  <c r="K41" i="44"/>
  <c r="K34" i="25"/>
  <c r="AE134" i="44"/>
  <c r="AE31" i="25"/>
  <c r="AE48" i="25" s="1"/>
  <c r="AF46" i="49" s="1"/>
  <c r="S29" i="25"/>
  <c r="S47" i="25"/>
  <c r="T57" i="49" s="1"/>
  <c r="C29" i="25"/>
  <c r="C46" i="25" s="1"/>
  <c r="C47" i="25"/>
  <c r="D57" i="49" s="1"/>
  <c r="Q134" i="44"/>
  <c r="Q30" i="25"/>
  <c r="R8" i="47"/>
  <c r="W134" i="44"/>
  <c r="S134" i="44"/>
  <c r="H75" i="18"/>
  <c r="G74" i="18"/>
  <c r="AC134" i="44"/>
  <c r="G124" i="18"/>
  <c r="H125" i="18"/>
  <c r="H50" i="18"/>
  <c r="G49" i="18"/>
  <c r="O48" i="49"/>
  <c r="S59" i="49"/>
  <c r="V55" i="31"/>
  <c r="V56" i="31" s="1"/>
  <c r="V8" i="31"/>
  <c r="V57" i="31"/>
  <c r="G42" i="49"/>
  <c r="U48" i="49"/>
  <c r="CZ59" i="17"/>
  <c r="DA59" i="17" s="1"/>
  <c r="CK59" i="17"/>
  <c r="AR59" i="17"/>
  <c r="AW59" i="17"/>
  <c r="BN59" i="17"/>
  <c r="AG59" i="17"/>
  <c r="CU59" i="17"/>
  <c r="CV59" i="17" s="1"/>
  <c r="BC59" i="17"/>
  <c r="CN59" i="17"/>
  <c r="Q59" i="17" s="1"/>
  <c r="CZ61" i="17"/>
  <c r="DA61" i="17" s="1"/>
  <c r="BY61" i="17"/>
  <c r="AG61" i="17"/>
  <c r="CK61" i="17"/>
  <c r="BC61" i="17"/>
  <c r="CN61" i="17"/>
  <c r="Q61" i="17" s="1"/>
  <c r="BS61" i="17"/>
  <c r="BN61" i="17"/>
  <c r="AR61" i="17"/>
  <c r="CU61" i="17"/>
  <c r="CV61" i="17" s="1"/>
  <c r="CQ61" i="17"/>
  <c r="R61" i="17" s="1"/>
  <c r="AW61" i="17"/>
  <c r="CZ58" i="17"/>
  <c r="DA58" i="17" s="1"/>
  <c r="BC58" i="17"/>
  <c r="CU58" i="17"/>
  <c r="CV58" i="17" s="1"/>
  <c r="BH58" i="17"/>
  <c r="BY58" i="17"/>
  <c r="CK58" i="17"/>
  <c r="CD58" i="17"/>
  <c r="AG58" i="17"/>
  <c r="AR58" i="17"/>
  <c r="BN58" i="17"/>
  <c r="AR60" i="17"/>
  <c r="CZ60" i="17"/>
  <c r="DA60" i="17" s="1"/>
  <c r="CU60" i="17"/>
  <c r="CV60" i="17" s="1"/>
  <c r="AG60" i="17"/>
  <c r="CQ60" i="17"/>
  <c r="R60" i="17" s="1"/>
  <c r="BN60" i="17"/>
  <c r="BY60" i="17"/>
  <c r="CN60" i="17"/>
  <c r="Q60" i="17" s="1"/>
  <c r="CK60" i="17"/>
  <c r="BC56" i="17"/>
  <c r="CN58" i="17"/>
  <c r="Q58" i="17" s="1"/>
  <c r="BY56" i="17"/>
  <c r="BS59" i="17"/>
  <c r="CU56" i="17"/>
  <c r="CV56" i="17" s="1"/>
  <c r="AW58" i="17"/>
  <c r="BC60" i="17"/>
  <c r="BG60" i="17"/>
  <c r="BH60" i="17" s="1"/>
  <c r="AW54" i="17"/>
  <c r="CU55" i="17"/>
  <c r="CV55" i="17" s="1"/>
  <c r="BY55" i="17"/>
  <c r="CN55" i="17"/>
  <c r="Q55" i="17" s="1"/>
  <c r="CN56" i="17"/>
  <c r="Q56" i="17" s="1"/>
  <c r="BS60" i="17"/>
  <c r="AL80" i="17"/>
  <c r="AM80" i="17" s="1"/>
  <c r="AM82" i="17" s="1"/>
  <c r="CD60" i="17"/>
  <c r="S54" i="17"/>
  <c r="BN56" i="17"/>
  <c r="AG55" i="17"/>
  <c r="AR56" i="17"/>
  <c r="BS55" i="17"/>
  <c r="AG56" i="17"/>
  <c r="CQ58" i="17"/>
  <c r="R58" i="17" s="1"/>
  <c r="BY59" i="17"/>
  <c r="CD61" i="17"/>
  <c r="CC59" i="17"/>
  <c r="CD59" i="17" s="1"/>
  <c r="CK56" i="17"/>
  <c r="CQ56" i="17"/>
  <c r="R56" i="17" s="1"/>
  <c r="CZ56" i="17"/>
  <c r="DA56" i="17" s="1"/>
  <c r="CK54" i="17"/>
  <c r="N54" i="17" s="1"/>
  <c r="BN54" i="17"/>
  <c r="M54" i="17" s="1"/>
  <c r="BH54" i="17"/>
  <c r="CQ54" i="17"/>
  <c r="R54" i="17" s="1"/>
  <c r="BC55" i="17"/>
  <c r="BG55" i="17"/>
  <c r="BH55" i="17" s="1"/>
  <c r="BH56" i="17"/>
  <c r="BN55" i="17"/>
  <c r="BS58" i="17"/>
  <c r="CD56" i="17"/>
  <c r="AW60" i="17"/>
  <c r="BR56" i="17"/>
  <c r="BS56" i="17" s="1"/>
  <c r="CK57" i="17"/>
  <c r="CN57" i="17"/>
  <c r="Q57" i="17" s="1"/>
  <c r="CQ59" i="17"/>
  <c r="R59" i="17" s="1"/>
  <c r="BH59" i="17"/>
  <c r="BH61" i="17"/>
  <c r="J9" i="50"/>
  <c r="U9" i="50"/>
  <c r="C56" i="25"/>
  <c r="S56" i="25"/>
  <c r="P56" i="25"/>
  <c r="I56" i="25"/>
  <c r="Y56" i="25"/>
  <c r="N9" i="50"/>
  <c r="I9" i="50"/>
  <c r="G56" i="25"/>
  <c r="W56" i="25"/>
  <c r="D56" i="25"/>
  <c r="T56" i="25"/>
  <c r="M56" i="25"/>
  <c r="AC56" i="25"/>
  <c r="N56" i="25"/>
  <c r="AD56" i="25"/>
  <c r="R9" i="50"/>
  <c r="M9" i="50"/>
  <c r="K56" i="25"/>
  <c r="AA56" i="25"/>
  <c r="H56" i="25"/>
  <c r="X56" i="25"/>
  <c r="Q56" i="25"/>
  <c r="R56" i="25"/>
  <c r="F9" i="50"/>
  <c r="V9" i="50"/>
  <c r="Q9" i="50"/>
  <c r="O56" i="25"/>
  <c r="L56" i="25"/>
  <c r="AB56" i="25"/>
  <c r="E56" i="25"/>
  <c r="U56" i="25"/>
  <c r="BC26" i="50"/>
  <c r="U64" i="49" l="1"/>
  <c r="U74" i="49" s="1"/>
  <c r="U24" i="49" s="1"/>
  <c r="D52" i="54"/>
  <c r="AI49" i="54"/>
  <c r="AH49" i="54"/>
  <c r="AG49" i="54"/>
  <c r="Y18" i="32"/>
  <c r="Z40" i="45" s="1"/>
  <c r="Z39" i="45" s="1"/>
  <c r="Z48" i="50" s="1"/>
  <c r="E64" i="49"/>
  <c r="E74" i="49" s="1"/>
  <c r="E24" i="49" s="1"/>
  <c r="W212" i="27"/>
  <c r="AI73" i="49"/>
  <c r="AI23" i="49" s="1"/>
  <c r="AN35" i="49"/>
  <c r="AI70" i="49"/>
  <c r="AH64" i="49"/>
  <c r="F11" i="31"/>
  <c r="G41" i="45" s="1"/>
  <c r="D21" i="45"/>
  <c r="D24" i="54"/>
  <c r="S25" i="54"/>
  <c r="S22" i="45"/>
  <c r="D41" i="45"/>
  <c r="D39" i="45" s="1"/>
  <c r="D48" i="50" s="1"/>
  <c r="BC64" i="50" s="1"/>
  <c r="G25" i="54"/>
  <c r="G22" i="45"/>
  <c r="G17" i="45"/>
  <c r="G15" i="45" s="1"/>
  <c r="G20" i="54"/>
  <c r="G18" i="54" s="1"/>
  <c r="L17" i="45"/>
  <c r="L15" i="45" s="1"/>
  <c r="L20" i="54"/>
  <c r="L18" i="54" s="1"/>
  <c r="F25" i="54"/>
  <c r="F22" i="45"/>
  <c r="P25" i="54"/>
  <c r="P22" i="45"/>
  <c r="V25" i="54"/>
  <c r="V22" i="45"/>
  <c r="I25" i="54"/>
  <c r="I22" i="45"/>
  <c r="T25" i="54"/>
  <c r="T22" i="45"/>
  <c r="T63" i="49"/>
  <c r="T64" i="49" s="1"/>
  <c r="T74" i="49" s="1"/>
  <c r="T24" i="49" s="1"/>
  <c r="H21" i="45"/>
  <c r="H24" i="54"/>
  <c r="P21" i="45"/>
  <c r="P24" i="54"/>
  <c r="P29" i="45"/>
  <c r="P27" i="45" s="1"/>
  <c r="P40" i="50" s="1"/>
  <c r="P44" i="54"/>
  <c r="P42" i="54" s="1"/>
  <c r="P47" i="54" s="1"/>
  <c r="P49" i="54" s="1"/>
  <c r="L25" i="54"/>
  <c r="L22" i="45"/>
  <c r="U25" i="54"/>
  <c r="U22" i="45"/>
  <c r="N25" i="54"/>
  <c r="N22" i="45"/>
  <c r="H25" i="54"/>
  <c r="H22" i="45"/>
  <c r="W25" i="54"/>
  <c r="W22" i="45"/>
  <c r="K25" i="54"/>
  <c r="K22" i="45"/>
  <c r="Q25" i="54"/>
  <c r="Q22" i="45"/>
  <c r="X21" i="45"/>
  <c r="X24" i="54"/>
  <c r="O25" i="54"/>
  <c r="O22" i="45"/>
  <c r="E25" i="54"/>
  <c r="E22" i="45"/>
  <c r="J25" i="54"/>
  <c r="J22" i="45"/>
  <c r="R25" i="54"/>
  <c r="R22" i="45"/>
  <c r="AA64" i="49"/>
  <c r="AA74" i="49" s="1"/>
  <c r="AA24" i="49" s="1"/>
  <c r="L23" i="45"/>
  <c r="L26" i="54"/>
  <c r="E23" i="45"/>
  <c r="E26" i="54"/>
  <c r="T23" i="45"/>
  <c r="T26" i="54"/>
  <c r="X23" i="45"/>
  <c r="X26" i="54"/>
  <c r="D23" i="45"/>
  <c r="D26" i="54"/>
  <c r="V23" i="45"/>
  <c r="V26" i="54"/>
  <c r="AH23" i="45"/>
  <c r="AH19" i="45" s="1"/>
  <c r="AH11" i="45" s="1"/>
  <c r="AH26" i="54"/>
  <c r="AH22" i="54" s="1"/>
  <c r="AH27" i="54" s="1"/>
  <c r="AI28" i="54" s="1"/>
  <c r="H23" i="45"/>
  <c r="H26" i="54"/>
  <c r="S23" i="45"/>
  <c r="S26" i="54"/>
  <c r="F23" i="45"/>
  <c r="F26" i="54"/>
  <c r="R23" i="45"/>
  <c r="R26" i="54"/>
  <c r="O23" i="45"/>
  <c r="O26" i="54"/>
  <c r="AE23" i="45"/>
  <c r="AE26" i="54"/>
  <c r="AC23" i="45"/>
  <c r="AC26" i="54"/>
  <c r="Y23" i="45"/>
  <c r="Y26" i="54"/>
  <c r="AD23" i="45"/>
  <c r="AD26" i="54"/>
  <c r="Z23" i="45"/>
  <c r="Z26" i="54"/>
  <c r="W23" i="45"/>
  <c r="W26" i="54"/>
  <c r="G23" i="45"/>
  <c r="G26" i="54"/>
  <c r="M23" i="45"/>
  <c r="M26" i="54"/>
  <c r="I23" i="45"/>
  <c r="I26" i="54"/>
  <c r="N23" i="45"/>
  <c r="N26" i="54"/>
  <c r="J23" i="45"/>
  <c r="J26" i="54"/>
  <c r="AA23" i="45"/>
  <c r="AA26" i="54"/>
  <c r="K23" i="45"/>
  <c r="K26" i="54"/>
  <c r="P23" i="45"/>
  <c r="P26" i="54"/>
  <c r="AB23" i="45"/>
  <c r="AB26" i="54"/>
  <c r="U23" i="45"/>
  <c r="U26" i="54"/>
  <c r="Q23" i="45"/>
  <c r="Q26" i="54"/>
  <c r="Z5" i="47"/>
  <c r="Z20" i="47" s="1"/>
  <c r="M5" i="47"/>
  <c r="M20" i="47" s="1"/>
  <c r="T40" i="45"/>
  <c r="V40" i="45"/>
  <c r="AF40" i="45"/>
  <c r="AF39" i="45" s="1"/>
  <c r="AF48" i="50" s="1"/>
  <c r="V63" i="49"/>
  <c r="Z26" i="25"/>
  <c r="Z43" i="25" s="1"/>
  <c r="AA17" i="45" s="1"/>
  <c r="AA15" i="45" s="1"/>
  <c r="W17" i="45"/>
  <c r="W15" i="45" s="1"/>
  <c r="W20" i="54"/>
  <c r="W18" i="54" s="1"/>
  <c r="S213" i="27"/>
  <c r="S14" i="27"/>
  <c r="Q213" i="27"/>
  <c r="Q14" i="27"/>
  <c r="I213" i="27"/>
  <c r="I14" i="27"/>
  <c r="E213" i="27"/>
  <c r="E14" i="27"/>
  <c r="K213" i="27"/>
  <c r="K14" i="27"/>
  <c r="G14" i="27"/>
  <c r="G213" i="27"/>
  <c r="L213" i="27"/>
  <c r="L14" i="27"/>
  <c r="O213" i="27"/>
  <c r="O14" i="27"/>
  <c r="P14" i="27"/>
  <c r="P213" i="27"/>
  <c r="T213" i="27"/>
  <c r="T14" i="27"/>
  <c r="U213" i="27"/>
  <c r="U14" i="27"/>
  <c r="M213" i="27"/>
  <c r="M14" i="27"/>
  <c r="F213" i="27"/>
  <c r="F14" i="27"/>
  <c r="N213" i="27"/>
  <c r="N14" i="27"/>
  <c r="R14" i="27"/>
  <c r="R213" i="27"/>
  <c r="V213" i="27"/>
  <c r="V14" i="27"/>
  <c r="W213" i="27"/>
  <c r="W14" i="27"/>
  <c r="AI32" i="45"/>
  <c r="AI42" i="45" s="1"/>
  <c r="Y40" i="45"/>
  <c r="Y39" i="45" s="1"/>
  <c r="Y13" i="50" s="1"/>
  <c r="AG74" i="49"/>
  <c r="AG24" i="49" s="1"/>
  <c r="AC11" i="50"/>
  <c r="AD11" i="50"/>
  <c r="D29" i="45"/>
  <c r="D27" i="45" s="1"/>
  <c r="D40" i="50" s="1"/>
  <c r="BC56" i="50" s="1"/>
  <c r="K5" i="47"/>
  <c r="K20" i="47" s="1"/>
  <c r="Y63" i="49"/>
  <c r="Y64" i="49" s="1"/>
  <c r="Y74" i="49" s="1"/>
  <c r="Y24" i="49" s="1"/>
  <c r="AD18" i="32"/>
  <c r="AF16" i="32"/>
  <c r="AA18" i="32"/>
  <c r="AC18" i="32"/>
  <c r="AB63" i="49"/>
  <c r="AD63" i="49"/>
  <c r="AD64" i="49" s="1"/>
  <c r="AD74" i="49" s="1"/>
  <c r="AD24" i="49" s="1"/>
  <c r="AE63" i="49"/>
  <c r="AE64" i="49" s="1"/>
  <c r="AE74" i="49" s="1"/>
  <c r="AE24" i="49" s="1"/>
  <c r="AB18" i="32"/>
  <c r="AC64" i="49"/>
  <c r="AC74" i="49" s="1"/>
  <c r="AC24" i="49" s="1"/>
  <c r="Z18" i="32"/>
  <c r="AF63" i="49"/>
  <c r="X64" i="49"/>
  <c r="X74" i="49" s="1"/>
  <c r="X24" i="49" s="1"/>
  <c r="U10" i="31"/>
  <c r="U11" i="31" s="1"/>
  <c r="D8" i="31"/>
  <c r="E42" i="49" s="1"/>
  <c r="H64" i="49"/>
  <c r="H74" i="49" s="1"/>
  <c r="H24" i="49" s="1"/>
  <c r="J64" i="49"/>
  <c r="J74" i="49" s="1"/>
  <c r="J24" i="49" s="1"/>
  <c r="AF26" i="25"/>
  <c r="E11" i="31"/>
  <c r="F5" i="47"/>
  <c r="F20" i="47" s="1"/>
  <c r="H5" i="47"/>
  <c r="H20" i="47" s="1"/>
  <c r="W5" i="47"/>
  <c r="W20" i="47" s="1"/>
  <c r="N26" i="25"/>
  <c r="N43" i="25" s="1"/>
  <c r="L26" i="25"/>
  <c r="L43" i="25" s="1"/>
  <c r="E5" i="47"/>
  <c r="E20" i="47" s="1"/>
  <c r="M11" i="31"/>
  <c r="S64" i="49"/>
  <c r="S74" i="49" s="1"/>
  <c r="S24" i="49" s="1"/>
  <c r="AD5" i="47"/>
  <c r="AD20" i="47" s="1"/>
  <c r="J10" i="31"/>
  <c r="J11" i="31" s="1"/>
  <c r="I10" i="31"/>
  <c r="I11" i="31" s="1"/>
  <c r="L5" i="47"/>
  <c r="L20" i="47" s="1"/>
  <c r="S5" i="47"/>
  <c r="S20" i="47" s="1"/>
  <c r="J5" i="47"/>
  <c r="J20" i="47" s="1"/>
  <c r="O5" i="47"/>
  <c r="O20" i="47" s="1"/>
  <c r="AE26" i="25"/>
  <c r="AE43" i="25" s="1"/>
  <c r="S26" i="25"/>
  <c r="S43" i="25" s="1"/>
  <c r="R26" i="25"/>
  <c r="R43" i="25" s="1"/>
  <c r="I64" i="49"/>
  <c r="I74" i="49" s="1"/>
  <c r="I24" i="49" s="1"/>
  <c r="AE5" i="47"/>
  <c r="AE20" i="47" s="1"/>
  <c r="K10" i="31"/>
  <c r="K11" i="31" s="1"/>
  <c r="C5" i="47"/>
  <c r="C20" i="47" s="1"/>
  <c r="G10" i="31"/>
  <c r="G11" i="31" s="1"/>
  <c r="P64" i="49"/>
  <c r="P74" i="49" s="1"/>
  <c r="P24" i="49" s="1"/>
  <c r="J44" i="25"/>
  <c r="K56" i="49" s="1"/>
  <c r="K64" i="49" s="1"/>
  <c r="K74" i="49" s="1"/>
  <c r="K24" i="49" s="1"/>
  <c r="J26" i="25"/>
  <c r="J43" i="25" s="1"/>
  <c r="P5" i="47"/>
  <c r="P20" i="47" s="1"/>
  <c r="M64" i="49"/>
  <c r="M74" i="49" s="1"/>
  <c r="M24" i="49" s="1"/>
  <c r="U45" i="25"/>
  <c r="V45" i="49" s="1"/>
  <c r="U26" i="25"/>
  <c r="U43" i="25" s="1"/>
  <c r="M44" i="25"/>
  <c r="N56" i="49" s="1"/>
  <c r="N64" i="49" s="1"/>
  <c r="N74" i="49" s="1"/>
  <c r="N24" i="49" s="1"/>
  <c r="M26" i="25"/>
  <c r="M43" i="25" s="1"/>
  <c r="Q10" i="31"/>
  <c r="Q11" i="31" s="1"/>
  <c r="E45" i="25"/>
  <c r="F45" i="49" s="1"/>
  <c r="E26" i="25"/>
  <c r="E43" i="25" s="1"/>
  <c r="Y26" i="25"/>
  <c r="Y43" i="25" s="1"/>
  <c r="Y44" i="25"/>
  <c r="Z56" i="49" s="1"/>
  <c r="Z64" i="49" s="1"/>
  <c r="Z74" i="49" s="1"/>
  <c r="Z24" i="49" s="1"/>
  <c r="I45" i="25"/>
  <c r="J45" i="49" s="1"/>
  <c r="I26" i="25"/>
  <c r="I43" i="25" s="1"/>
  <c r="T54" i="17"/>
  <c r="AC45" i="25"/>
  <c r="AD45" i="49" s="1"/>
  <c r="AC26" i="25"/>
  <c r="AC43" i="25" s="1"/>
  <c r="Q45" i="25"/>
  <c r="R45" i="49" s="1"/>
  <c r="Q26" i="25"/>
  <c r="Q43" i="25" s="1"/>
  <c r="N5" i="47"/>
  <c r="N20" i="47" s="1"/>
  <c r="T5" i="47"/>
  <c r="T20" i="47" s="1"/>
  <c r="R5" i="47"/>
  <c r="R20" i="47" s="1"/>
  <c r="V5" i="47"/>
  <c r="V20" i="47" s="1"/>
  <c r="Q64" i="49"/>
  <c r="Q74" i="49" s="1"/>
  <c r="Q24" i="49" s="1"/>
  <c r="CU53" i="17"/>
  <c r="CV53" i="17" s="1"/>
  <c r="CK53" i="17"/>
  <c r="AR53" i="17"/>
  <c r="CN53" i="17"/>
  <c r="Q53" i="17" s="1"/>
  <c r="AW53" i="17"/>
  <c r="BY53" i="17"/>
  <c r="CD53" i="17"/>
  <c r="CZ53" i="17"/>
  <c r="DA53" i="17" s="1"/>
  <c r="S53" i="17" s="1"/>
  <c r="CQ53" i="17"/>
  <c r="R53" i="17" s="1"/>
  <c r="BN53" i="17"/>
  <c r="AG53" i="17"/>
  <c r="BC53" i="17"/>
  <c r="BS53" i="17"/>
  <c r="BH53" i="17"/>
  <c r="G53" i="49"/>
  <c r="G40" i="45"/>
  <c r="T48" i="25"/>
  <c r="U46" i="49" s="1"/>
  <c r="T29" i="25"/>
  <c r="T46" i="25" s="1"/>
  <c r="BC57" i="17"/>
  <c r="CU57" i="17"/>
  <c r="CV57" i="17" s="1"/>
  <c r="AR57" i="17"/>
  <c r="BN57" i="17"/>
  <c r="CQ57" i="17"/>
  <c r="R57" i="17" s="1"/>
  <c r="Q53" i="49"/>
  <c r="Q40" i="45"/>
  <c r="K40" i="45"/>
  <c r="K53" i="49"/>
  <c r="P53" i="49"/>
  <c r="P40" i="45"/>
  <c r="I40" i="45"/>
  <c r="I53" i="49"/>
  <c r="BH57" i="17"/>
  <c r="CZ57" i="17"/>
  <c r="DA57" i="17" s="1"/>
  <c r="S55" i="17"/>
  <c r="S61" i="17"/>
  <c r="S40" i="45"/>
  <c r="S53" i="49"/>
  <c r="X45" i="25"/>
  <c r="Y45" i="49" s="1"/>
  <c r="X26" i="25"/>
  <c r="X43" i="25" s="1"/>
  <c r="J53" i="49"/>
  <c r="J40" i="45"/>
  <c r="AB53" i="49"/>
  <c r="O10" i="31"/>
  <c r="O11" i="31" s="1"/>
  <c r="P26" i="25"/>
  <c r="P43" i="25" s="1"/>
  <c r="AA26" i="25"/>
  <c r="AA43" i="25" s="1"/>
  <c r="CD57" i="17"/>
  <c r="T45" i="25"/>
  <c r="U45" i="49" s="1"/>
  <c r="T26" i="25"/>
  <c r="T43" i="25" s="1"/>
  <c r="G51" i="25"/>
  <c r="H47" i="49" s="1"/>
  <c r="G32" i="25"/>
  <c r="G49" i="25" s="1"/>
  <c r="BS57" i="17"/>
  <c r="U40" i="45"/>
  <c r="U53" i="49"/>
  <c r="AG57" i="17"/>
  <c r="T10" i="31"/>
  <c r="T11" i="31" s="1"/>
  <c r="L55" i="31"/>
  <c r="L56" i="31" s="1"/>
  <c r="Z53" i="49"/>
  <c r="AD53" i="49"/>
  <c r="W53" i="49"/>
  <c r="W40" i="45"/>
  <c r="F53" i="49"/>
  <c r="F40" i="45"/>
  <c r="M40" i="45"/>
  <c r="M53" i="49"/>
  <c r="N53" i="49"/>
  <c r="N40" i="45"/>
  <c r="H45" i="25"/>
  <c r="I45" i="49" s="1"/>
  <c r="H26" i="25"/>
  <c r="H43" i="25" s="1"/>
  <c r="D45" i="25"/>
  <c r="E45" i="49" s="1"/>
  <c r="D26" i="25"/>
  <c r="D43" i="25" s="1"/>
  <c r="L53" i="49"/>
  <c r="L40" i="45"/>
  <c r="X53" i="49"/>
  <c r="W18" i="32"/>
  <c r="AB26" i="25"/>
  <c r="AB43" i="25" s="1"/>
  <c r="AW57" i="17"/>
  <c r="BY57" i="17"/>
  <c r="E40" i="45"/>
  <c r="E53" i="49"/>
  <c r="V53" i="49"/>
  <c r="S51" i="25"/>
  <c r="T47" i="49" s="1"/>
  <c r="S32" i="25"/>
  <c r="S49" i="25" s="1"/>
  <c r="R53" i="49"/>
  <c r="R40" i="45"/>
  <c r="S10" i="31"/>
  <c r="S11" i="31" s="1"/>
  <c r="AA5" i="47"/>
  <c r="AA20" i="47" s="1"/>
  <c r="AE53" i="49"/>
  <c r="D5" i="47"/>
  <c r="D20" i="47" s="1"/>
  <c r="AA53" i="49"/>
  <c r="V47" i="25"/>
  <c r="W57" i="49" s="1"/>
  <c r="W64" i="49" s="1"/>
  <c r="W74" i="49" s="1"/>
  <c r="W24" i="49" s="1"/>
  <c r="V29" i="25"/>
  <c r="V46" i="25" s="1"/>
  <c r="W24" i="54" s="1"/>
  <c r="G5" i="47"/>
  <c r="G20" i="47" s="1"/>
  <c r="O40" i="45"/>
  <c r="O53" i="49"/>
  <c r="T53" i="49"/>
  <c r="O54" i="17"/>
  <c r="N56" i="17"/>
  <c r="M56" i="17"/>
  <c r="S60" i="17"/>
  <c r="G73" i="18"/>
  <c r="H74" i="18"/>
  <c r="S46" i="25"/>
  <c r="AD48" i="25"/>
  <c r="AE46" i="49" s="1"/>
  <c r="AD29" i="25"/>
  <c r="AD46" i="25" s="1"/>
  <c r="H176" i="18"/>
  <c r="BU52" i="17"/>
  <c r="BX52" i="17" s="1"/>
  <c r="I46" i="25"/>
  <c r="K29" i="25"/>
  <c r="K47" i="25"/>
  <c r="L57" i="49" s="1"/>
  <c r="L64" i="49" s="1"/>
  <c r="L74" i="49" s="1"/>
  <c r="L24" i="49" s="1"/>
  <c r="D64" i="49"/>
  <c r="D74" i="49" s="1"/>
  <c r="D24" i="49" s="1"/>
  <c r="H51" i="25"/>
  <c r="I47" i="49" s="1"/>
  <c r="H32" i="25"/>
  <c r="H49" i="25" s="1"/>
  <c r="Q51" i="25"/>
  <c r="R47" i="49" s="1"/>
  <c r="Q32" i="25"/>
  <c r="Q49" i="25" s="1"/>
  <c r="V51" i="25"/>
  <c r="W47" i="49" s="1"/>
  <c r="V32" i="25"/>
  <c r="N10" i="31"/>
  <c r="N11" i="31" s="1"/>
  <c r="R48" i="25"/>
  <c r="S46" i="49" s="1"/>
  <c r="R29" i="25"/>
  <c r="AC46" i="25"/>
  <c r="O45" i="25"/>
  <c r="P45" i="49" s="1"/>
  <c r="O26" i="25"/>
  <c r="P48" i="25"/>
  <c r="Q46" i="49" s="1"/>
  <c r="P29" i="25"/>
  <c r="AD45" i="25"/>
  <c r="AE45" i="49" s="1"/>
  <c r="AD26" i="25"/>
  <c r="BJ52" i="17"/>
  <c r="BM52" i="17" s="1"/>
  <c r="E176" i="18"/>
  <c r="G176" i="18"/>
  <c r="AN52" i="17"/>
  <c r="AQ52" i="17" s="1"/>
  <c r="AE51" i="25"/>
  <c r="AF47" i="49" s="1"/>
  <c r="AE32" i="25"/>
  <c r="AE49" i="25" s="1"/>
  <c r="E51" i="25"/>
  <c r="F47" i="49" s="1"/>
  <c r="E32" i="25"/>
  <c r="E49" i="25" s="1"/>
  <c r="N51" i="25"/>
  <c r="O47" i="49" s="1"/>
  <c r="N32" i="25"/>
  <c r="N49" i="25" s="1"/>
  <c r="Z48" i="25"/>
  <c r="AA46" i="49" s="1"/>
  <c r="Z29" i="25"/>
  <c r="F48" i="25"/>
  <c r="G46" i="49" s="1"/>
  <c r="F29" i="25"/>
  <c r="U47" i="25"/>
  <c r="V57" i="49" s="1"/>
  <c r="U29" i="25"/>
  <c r="G45" i="25"/>
  <c r="H45" i="49" s="1"/>
  <c r="G26" i="25"/>
  <c r="X48" i="25"/>
  <c r="Y46" i="49" s="1"/>
  <c r="X29" i="25"/>
  <c r="D48" i="25"/>
  <c r="E46" i="49" s="1"/>
  <c r="D29" i="25"/>
  <c r="T51" i="25"/>
  <c r="U47" i="49" s="1"/>
  <c r="T32" i="25"/>
  <c r="AC51" i="25"/>
  <c r="AD47" i="49" s="1"/>
  <c r="AC32" i="25"/>
  <c r="AC49" i="25" s="1"/>
  <c r="AD44" i="54" s="1"/>
  <c r="AD42" i="54" s="1"/>
  <c r="AD47" i="54" s="1"/>
  <c r="AD49" i="54" s="1"/>
  <c r="D52" i="17"/>
  <c r="J52" i="17" s="1"/>
  <c r="D176" i="18"/>
  <c r="C43" i="25"/>
  <c r="D20" i="54" s="1"/>
  <c r="D18" i="54" s="1"/>
  <c r="C35" i="25"/>
  <c r="C52" i="25" s="1"/>
  <c r="P10" i="31"/>
  <c r="P11" i="31" s="1"/>
  <c r="AE29" i="25"/>
  <c r="AE46" i="25" s="1"/>
  <c r="L51" i="25"/>
  <c r="M47" i="49" s="1"/>
  <c r="L32" i="25"/>
  <c r="L49" i="25" s="1"/>
  <c r="U51" i="25"/>
  <c r="V47" i="49" s="1"/>
  <c r="U32" i="25"/>
  <c r="U49" i="25" s="1"/>
  <c r="Z51" i="25"/>
  <c r="AA47" i="49" s="1"/>
  <c r="Z32" i="25"/>
  <c r="Z49" i="25" s="1"/>
  <c r="AA44" i="54" s="1"/>
  <c r="AA42" i="54" s="1"/>
  <c r="AA47" i="54" s="1"/>
  <c r="AA49" i="54" s="1"/>
  <c r="M32" i="25"/>
  <c r="M49" i="25" s="1"/>
  <c r="L10" i="31"/>
  <c r="H49" i="18"/>
  <c r="G48" i="18"/>
  <c r="H124" i="18"/>
  <c r="G123" i="18"/>
  <c r="R10" i="31"/>
  <c r="R11" i="31" s="1"/>
  <c r="H24" i="18"/>
  <c r="G23" i="18"/>
  <c r="Y46" i="25"/>
  <c r="AA29" i="25"/>
  <c r="AA47" i="25"/>
  <c r="AB57" i="49" s="1"/>
  <c r="X51" i="25"/>
  <c r="Y47" i="49" s="1"/>
  <c r="X32" i="25"/>
  <c r="X49" i="25" s="1"/>
  <c r="Y44" i="54" s="1"/>
  <c r="Y42" i="54" s="1"/>
  <c r="Y47" i="54" s="1"/>
  <c r="Y49" i="54" s="1"/>
  <c r="F51" i="25"/>
  <c r="G47" i="49" s="1"/>
  <c r="F32" i="25"/>
  <c r="F49" i="25" s="1"/>
  <c r="H99" i="18"/>
  <c r="G98" i="18"/>
  <c r="J48" i="25"/>
  <c r="K46" i="49" s="1"/>
  <c r="J29" i="25"/>
  <c r="M46" i="25"/>
  <c r="AB48" i="25"/>
  <c r="AC46" i="49" s="1"/>
  <c r="AB29" i="25"/>
  <c r="H48" i="25"/>
  <c r="I46" i="49" s="1"/>
  <c r="H29" i="25"/>
  <c r="AA51" i="25"/>
  <c r="AB47" i="49" s="1"/>
  <c r="AA32" i="25"/>
  <c r="AA49" i="25" s="1"/>
  <c r="AB44" i="54" s="1"/>
  <c r="AB42" i="54" s="1"/>
  <c r="AB47" i="54" s="1"/>
  <c r="AB49" i="54" s="1"/>
  <c r="D10" i="31"/>
  <c r="D11" i="31" s="1"/>
  <c r="H10" i="31"/>
  <c r="H11" i="31" s="1"/>
  <c r="N57" i="17"/>
  <c r="N53" i="17"/>
  <c r="N61" i="17"/>
  <c r="S59" i="17"/>
  <c r="V10" i="31"/>
  <c r="V11" i="31" s="1"/>
  <c r="W42" i="49"/>
  <c r="F176" i="18"/>
  <c r="AC52" i="17"/>
  <c r="Q47" i="25"/>
  <c r="R57" i="49" s="1"/>
  <c r="R64" i="49" s="1"/>
  <c r="R74" i="49" s="1"/>
  <c r="R24" i="49" s="1"/>
  <c r="Q29" i="25"/>
  <c r="K51" i="25"/>
  <c r="L47" i="49" s="1"/>
  <c r="K32" i="25"/>
  <c r="K49" i="25" s="1"/>
  <c r="P51" i="25"/>
  <c r="Q47" i="49" s="1"/>
  <c r="P32" i="25"/>
  <c r="P49" i="25" s="1"/>
  <c r="Y51" i="25"/>
  <c r="Z47" i="49" s="1"/>
  <c r="Y32" i="25"/>
  <c r="Y49" i="25" s="1"/>
  <c r="Z44" i="54" s="1"/>
  <c r="Z42" i="54" s="1"/>
  <c r="Z47" i="54" s="1"/>
  <c r="Z49" i="54" s="1"/>
  <c r="AD51" i="25"/>
  <c r="AE47" i="49" s="1"/>
  <c r="AD32" i="25"/>
  <c r="AD49" i="25" s="1"/>
  <c r="N48" i="25"/>
  <c r="O46" i="49" s="1"/>
  <c r="N29" i="25"/>
  <c r="E47" i="25"/>
  <c r="F57" i="49" s="1"/>
  <c r="F64" i="49" s="1"/>
  <c r="F74" i="49" s="1"/>
  <c r="F24" i="49" s="1"/>
  <c r="E29" i="25"/>
  <c r="W45" i="25"/>
  <c r="X45" i="49" s="1"/>
  <c r="W26" i="25"/>
  <c r="L48" i="25"/>
  <c r="M46" i="49" s="1"/>
  <c r="L29" i="25"/>
  <c r="D51" i="25"/>
  <c r="E47" i="49" s="1"/>
  <c r="D32" i="25"/>
  <c r="D49" i="25" s="1"/>
  <c r="E44" i="54" s="1"/>
  <c r="E42" i="54" s="1"/>
  <c r="E47" i="54" s="1"/>
  <c r="E49" i="54" s="1"/>
  <c r="I51" i="25"/>
  <c r="J47" i="49" s="1"/>
  <c r="I32" i="25"/>
  <c r="I49" i="25" s="1"/>
  <c r="R51" i="25"/>
  <c r="S47" i="49" s="1"/>
  <c r="R32" i="25"/>
  <c r="R49" i="25" s="1"/>
  <c r="H149" i="18"/>
  <c r="G148" i="18"/>
  <c r="AY52" i="17"/>
  <c r="BB52" i="17" s="1"/>
  <c r="I176" i="18"/>
  <c r="W51" i="25"/>
  <c r="X47" i="49" s="1"/>
  <c r="W32" i="25"/>
  <c r="W49" i="25" s="1"/>
  <c r="X44" i="54" s="1"/>
  <c r="X42" i="54" s="1"/>
  <c r="X47" i="54" s="1"/>
  <c r="X49" i="54" s="1"/>
  <c r="AB51" i="25"/>
  <c r="AC47" i="49" s="1"/>
  <c r="AB32" i="25"/>
  <c r="AB49" i="25" s="1"/>
  <c r="AC44" i="54" s="1"/>
  <c r="AC42" i="54" s="1"/>
  <c r="AC47" i="54" s="1"/>
  <c r="AC49" i="54" s="1"/>
  <c r="J51" i="25"/>
  <c r="K47" i="49" s="1"/>
  <c r="J32" i="25"/>
  <c r="J49" i="25" s="1"/>
  <c r="AH43" i="17"/>
  <c r="AH44" i="17"/>
  <c r="AH45" i="17"/>
  <c r="AH46" i="17"/>
  <c r="AI43" i="17"/>
  <c r="AI44" i="17"/>
  <c r="AI45" i="17"/>
  <c r="AI46" i="17"/>
  <c r="AI47" i="17"/>
  <c r="AI48" i="17"/>
  <c r="AI54" i="17"/>
  <c r="AI56" i="17"/>
  <c r="AH49" i="17"/>
  <c r="AH50" i="17"/>
  <c r="AH53" i="17"/>
  <c r="AI49" i="17"/>
  <c r="AI50" i="17"/>
  <c r="AH51" i="17"/>
  <c r="AH52" i="17"/>
  <c r="AI53" i="17"/>
  <c r="AI55" i="17"/>
  <c r="AH47" i="17"/>
  <c r="AH48" i="17"/>
  <c r="AI51" i="17"/>
  <c r="AI52" i="17"/>
  <c r="AH54" i="17"/>
  <c r="AH55" i="17"/>
  <c r="AJ55" i="17" s="1"/>
  <c r="AH57" i="17"/>
  <c r="AH59" i="17"/>
  <c r="AH61" i="17"/>
  <c r="AI57" i="17"/>
  <c r="AH58" i="17"/>
  <c r="AI61" i="17"/>
  <c r="AI59" i="17"/>
  <c r="AH60" i="17"/>
  <c r="AJ60" i="17" s="1"/>
  <c r="AI58" i="17"/>
  <c r="AI60" i="17"/>
  <c r="AH56" i="17"/>
  <c r="O56" i="17"/>
  <c r="M55" i="17"/>
  <c r="T79" i="17"/>
  <c r="S56" i="17"/>
  <c r="T56" i="17" s="1"/>
  <c r="T81" i="17" s="1"/>
  <c r="M58" i="17"/>
  <c r="M61" i="17"/>
  <c r="O61" i="17" s="1"/>
  <c r="M59" i="17"/>
  <c r="N59" i="17"/>
  <c r="T55" i="17"/>
  <c r="N55" i="17"/>
  <c r="N60" i="17"/>
  <c r="S58" i="17"/>
  <c r="T58" i="17" s="1"/>
  <c r="T61" i="17"/>
  <c r="T86" i="17" s="1"/>
  <c r="T59" i="17"/>
  <c r="T60" i="17"/>
  <c r="M60" i="17"/>
  <c r="N58" i="17"/>
  <c r="BC43" i="50" l="1"/>
  <c r="AI49" i="50"/>
  <c r="BC47" i="50" s="1"/>
  <c r="AN40" i="49"/>
  <c r="AR4" i="49"/>
  <c r="AI28" i="49"/>
  <c r="D19" i="45"/>
  <c r="AA20" i="54"/>
  <c r="AA18" i="54" s="1"/>
  <c r="AH74" i="49"/>
  <c r="AH24" i="49" s="1"/>
  <c r="P19" i="45"/>
  <c r="AI10" i="50"/>
  <c r="D22" i="54"/>
  <c r="D27" i="54" s="1"/>
  <c r="AI29" i="54" s="1"/>
  <c r="P22" i="54"/>
  <c r="G39" i="45"/>
  <c r="G48" i="50" s="1"/>
  <c r="V64" i="49"/>
  <c r="V74" i="49" s="1"/>
  <c r="V24" i="49" s="1"/>
  <c r="Z48" i="54"/>
  <c r="P41" i="45"/>
  <c r="P39" i="45" s="1"/>
  <c r="P48" i="50" s="1"/>
  <c r="L41" i="45"/>
  <c r="L39" i="45" s="1"/>
  <c r="L48" i="50" s="1"/>
  <c r="AC48" i="54"/>
  <c r="E41" i="45"/>
  <c r="E39" i="45" s="1"/>
  <c r="E48" i="50" s="1"/>
  <c r="M29" i="45"/>
  <c r="M27" i="45" s="1"/>
  <c r="M44" i="54"/>
  <c r="M42" i="54" s="1"/>
  <c r="M47" i="54" s="1"/>
  <c r="M49" i="54" s="1"/>
  <c r="AD48" i="54"/>
  <c r="O29" i="45"/>
  <c r="O27" i="45" s="1"/>
  <c r="O40" i="50" s="1"/>
  <c r="O44" i="54"/>
  <c r="O42" i="54" s="1"/>
  <c r="O47" i="54" s="1"/>
  <c r="AD21" i="45"/>
  <c r="AD19" i="45" s="1"/>
  <c r="AD24" i="54"/>
  <c r="AD22" i="54" s="1"/>
  <c r="I29" i="45"/>
  <c r="I27" i="45" s="1"/>
  <c r="I44" i="54"/>
  <c r="I42" i="54" s="1"/>
  <c r="I47" i="54" s="1"/>
  <c r="I49" i="54" s="1"/>
  <c r="AE21" i="45"/>
  <c r="AE19" i="45" s="1"/>
  <c r="AE24" i="54"/>
  <c r="AE22" i="54" s="1"/>
  <c r="H29" i="45"/>
  <c r="H27" i="45" s="1"/>
  <c r="H44" i="54"/>
  <c r="H42" i="54" s="1"/>
  <c r="H47" i="54" s="1"/>
  <c r="H49" i="54" s="1"/>
  <c r="U21" i="45"/>
  <c r="U24" i="54"/>
  <c r="U22" i="54" s="1"/>
  <c r="R17" i="45"/>
  <c r="R15" i="45" s="1"/>
  <c r="R20" i="54"/>
  <c r="R18" i="54" s="1"/>
  <c r="M17" i="45"/>
  <c r="M15" i="45" s="1"/>
  <c r="M20" i="54"/>
  <c r="M18" i="54" s="1"/>
  <c r="W22" i="54"/>
  <c r="W27" i="54" s="1"/>
  <c r="W29" i="54" s="1"/>
  <c r="S29" i="45"/>
  <c r="S27" i="45" s="1"/>
  <c r="S40" i="50" s="1"/>
  <c r="S44" i="54"/>
  <c r="S42" i="54" s="1"/>
  <c r="S47" i="54" s="1"/>
  <c r="S49" i="54" s="1"/>
  <c r="J29" i="45"/>
  <c r="J27" i="45" s="1"/>
  <c r="J44" i="54"/>
  <c r="J42" i="54" s="1"/>
  <c r="J47" i="54" s="1"/>
  <c r="J49" i="54" s="1"/>
  <c r="Q29" i="45"/>
  <c r="Q27" i="45" s="1"/>
  <c r="Q40" i="50" s="1"/>
  <c r="Q44" i="54"/>
  <c r="Q42" i="54" s="1"/>
  <c r="Q47" i="54" s="1"/>
  <c r="Q49" i="54" s="1"/>
  <c r="AB48" i="54"/>
  <c r="F17" i="45"/>
  <c r="F15" i="45" s="1"/>
  <c r="F20" i="54"/>
  <c r="F18" i="54" s="1"/>
  <c r="J41" i="45"/>
  <c r="J39" i="45" s="1"/>
  <c r="J48" i="50" s="1"/>
  <c r="O17" i="45"/>
  <c r="O15" i="45" s="1"/>
  <c r="O20" i="54"/>
  <c r="O18" i="54" s="1"/>
  <c r="AF21" i="45"/>
  <c r="AF19" i="45" s="1"/>
  <c r="AF24" i="54"/>
  <c r="AF22" i="54" s="1"/>
  <c r="F29" i="45"/>
  <c r="F27" i="45" s="1"/>
  <c r="F44" i="54"/>
  <c r="F42" i="54" s="1"/>
  <c r="F47" i="54" s="1"/>
  <c r="F49" i="54" s="1"/>
  <c r="T21" i="45"/>
  <c r="T19" i="45" s="1"/>
  <c r="T24" i="54"/>
  <c r="T22" i="54" s="1"/>
  <c r="M25" i="54"/>
  <c r="M22" i="45"/>
  <c r="K17" i="45"/>
  <c r="K15" i="45" s="1"/>
  <c r="K20" i="54"/>
  <c r="K18" i="54" s="1"/>
  <c r="K41" i="45"/>
  <c r="K39" i="45" s="1"/>
  <c r="K48" i="50" s="1"/>
  <c r="V41" i="45"/>
  <c r="V39" i="45" s="1"/>
  <c r="V48" i="50" s="1"/>
  <c r="N21" i="45"/>
  <c r="N19" i="45" s="1"/>
  <c r="N24" i="54"/>
  <c r="N22" i="54" s="1"/>
  <c r="E48" i="54"/>
  <c r="N29" i="45"/>
  <c r="N27" i="45" s="1"/>
  <c r="N44" i="54"/>
  <c r="N42" i="54" s="1"/>
  <c r="N47" i="54" s="1"/>
  <c r="N49" i="54" s="1"/>
  <c r="O41" i="45"/>
  <c r="O39" i="45" s="1"/>
  <c r="O48" i="50" s="1"/>
  <c r="T41" i="45"/>
  <c r="T39" i="45" s="1"/>
  <c r="T48" i="50" s="1"/>
  <c r="E17" i="45"/>
  <c r="E15" i="45" s="1"/>
  <c r="E20" i="54"/>
  <c r="E18" i="54" s="1"/>
  <c r="U41" i="45"/>
  <c r="U39" i="45" s="1"/>
  <c r="U48" i="50" s="1"/>
  <c r="R41" i="45"/>
  <c r="R39" i="45" s="1"/>
  <c r="R48" i="50" s="1"/>
  <c r="I41" i="45"/>
  <c r="I39" i="45" s="1"/>
  <c r="I48" i="50" s="1"/>
  <c r="L29" i="45"/>
  <c r="L27" i="45" s="1"/>
  <c r="L44" i="54"/>
  <c r="L42" i="54" s="1"/>
  <c r="L47" i="54" s="1"/>
  <c r="L49" i="54" s="1"/>
  <c r="Q41" i="45"/>
  <c r="Q39" i="45" s="1"/>
  <c r="Q48" i="50" s="1"/>
  <c r="G29" i="45"/>
  <c r="G27" i="45" s="1"/>
  <c r="G44" i="54"/>
  <c r="G42" i="54" s="1"/>
  <c r="G47" i="54" s="1"/>
  <c r="G49" i="54" s="1"/>
  <c r="AA48" i="54"/>
  <c r="AF29" i="45"/>
  <c r="AF27" i="45" s="1"/>
  <c r="AF40" i="50" s="1"/>
  <c r="AF44" i="54"/>
  <c r="AF42" i="54" s="1"/>
  <c r="AF47" i="54" s="1"/>
  <c r="AF49" i="54" s="1"/>
  <c r="N17" i="45"/>
  <c r="N15" i="45" s="1"/>
  <c r="N20" i="54"/>
  <c r="N18" i="54" s="1"/>
  <c r="H22" i="54"/>
  <c r="X22" i="54"/>
  <c r="Z21" i="45"/>
  <c r="Z19" i="45" s="1"/>
  <c r="Z24" i="54"/>
  <c r="Z22" i="54" s="1"/>
  <c r="K29" i="45"/>
  <c r="K27" i="45" s="1"/>
  <c r="K44" i="54"/>
  <c r="K42" i="54" s="1"/>
  <c r="K47" i="54" s="1"/>
  <c r="K49" i="54" s="1"/>
  <c r="AE29" i="45"/>
  <c r="AE27" i="45" s="1"/>
  <c r="AE40" i="50" s="1"/>
  <c r="AE44" i="54"/>
  <c r="AE42" i="54" s="1"/>
  <c r="AE47" i="54" s="1"/>
  <c r="AE49" i="54" s="1"/>
  <c r="S41" i="45"/>
  <c r="S39" i="45" s="1"/>
  <c r="S48" i="50" s="1"/>
  <c r="J21" i="45"/>
  <c r="J19" i="45" s="1"/>
  <c r="J24" i="54"/>
  <c r="J22" i="54" s="1"/>
  <c r="I17" i="45"/>
  <c r="I15" i="45" s="1"/>
  <c r="I20" i="54"/>
  <c r="I18" i="54" s="1"/>
  <c r="J17" i="45"/>
  <c r="J15" i="45" s="1"/>
  <c r="J20" i="54"/>
  <c r="J18" i="54" s="1"/>
  <c r="H41" i="45"/>
  <c r="H39" i="45" s="1"/>
  <c r="H48" i="50" s="1"/>
  <c r="F41" i="45"/>
  <c r="F39" i="45" s="1"/>
  <c r="F48" i="50" s="1"/>
  <c r="AH42" i="50"/>
  <c r="H19" i="45"/>
  <c r="X19" i="45"/>
  <c r="W41" i="45"/>
  <c r="W39" i="45" s="1"/>
  <c r="W48" i="50" s="1"/>
  <c r="Y48" i="54"/>
  <c r="V29" i="45"/>
  <c r="V27" i="45" s="1"/>
  <c r="V40" i="50" s="1"/>
  <c r="V44" i="54"/>
  <c r="V42" i="54" s="1"/>
  <c r="V47" i="54" s="1"/>
  <c r="V49" i="54" s="1"/>
  <c r="R29" i="45"/>
  <c r="R27" i="45" s="1"/>
  <c r="R40" i="50" s="1"/>
  <c r="R44" i="54"/>
  <c r="R42" i="54" s="1"/>
  <c r="R47" i="54" s="1"/>
  <c r="R49" i="54" s="1"/>
  <c r="T29" i="45"/>
  <c r="T27" i="45" s="1"/>
  <c r="T40" i="50" s="1"/>
  <c r="T44" i="54"/>
  <c r="T42" i="54" s="1"/>
  <c r="T47" i="54" s="1"/>
  <c r="T49" i="54" s="1"/>
  <c r="Q17" i="45"/>
  <c r="Q15" i="45" s="1"/>
  <c r="Q20" i="54"/>
  <c r="Q18" i="54" s="1"/>
  <c r="N41" i="45"/>
  <c r="N39" i="45" s="1"/>
  <c r="N48" i="50" s="1"/>
  <c r="AH7" i="50"/>
  <c r="U19" i="45"/>
  <c r="AE40" i="45"/>
  <c r="AE39" i="45" s="1"/>
  <c r="AE48" i="50" s="1"/>
  <c r="AF13" i="50"/>
  <c r="AC17" i="45"/>
  <c r="AC15" i="45" s="1"/>
  <c r="AC20" i="54"/>
  <c r="AC18" i="54" s="1"/>
  <c r="V17" i="45"/>
  <c r="V15" i="45" s="1"/>
  <c r="V20" i="54"/>
  <c r="V18" i="54" s="1"/>
  <c r="AF17" i="45"/>
  <c r="AF15" i="45" s="1"/>
  <c r="AF20" i="54"/>
  <c r="AF18" i="54" s="1"/>
  <c r="Z17" i="45"/>
  <c r="Z15" i="45" s="1"/>
  <c r="Z20" i="54"/>
  <c r="Z18" i="54" s="1"/>
  <c r="U17" i="45"/>
  <c r="U15" i="45" s="1"/>
  <c r="U20" i="54"/>
  <c r="U18" i="54" s="1"/>
  <c r="AD17" i="45"/>
  <c r="AD15" i="45" s="1"/>
  <c r="AD20" i="54"/>
  <c r="AD18" i="54" s="1"/>
  <c r="AB17" i="45"/>
  <c r="AB15" i="45" s="1"/>
  <c r="AB20" i="54"/>
  <c r="AB18" i="54" s="1"/>
  <c r="Y17" i="45"/>
  <c r="Y15" i="45" s="1"/>
  <c r="Y20" i="54"/>
  <c r="Y18" i="54" s="1"/>
  <c r="S17" i="45"/>
  <c r="S15" i="45" s="1"/>
  <c r="S20" i="54"/>
  <c r="S18" i="54" s="1"/>
  <c r="T17" i="45"/>
  <c r="T15" i="45" s="1"/>
  <c r="T20" i="54"/>
  <c r="T18" i="54" s="1"/>
  <c r="D213" i="27"/>
  <c r="D14" i="27"/>
  <c r="AH12" i="27"/>
  <c r="AH50" i="49" s="1"/>
  <c r="AC12" i="27"/>
  <c r="AC50" i="49" s="1"/>
  <c r="AF12" i="27"/>
  <c r="AF50" i="49" s="1"/>
  <c r="AF54" i="49" s="1"/>
  <c r="AF18" i="32"/>
  <c r="AG53" i="49"/>
  <c r="X40" i="45"/>
  <c r="X39" i="45" s="1"/>
  <c r="X48" i="50" s="1"/>
  <c r="AC40" i="45"/>
  <c r="AC39" i="45" s="1"/>
  <c r="AC13" i="50" s="1"/>
  <c r="AA40" i="45"/>
  <c r="AA39" i="45" s="1"/>
  <c r="AA48" i="50" s="1"/>
  <c r="AD40" i="45"/>
  <c r="AD39" i="45" s="1"/>
  <c r="AD13" i="50" s="1"/>
  <c r="Y48" i="50"/>
  <c r="AB40" i="45"/>
  <c r="AB39" i="45" s="1"/>
  <c r="AB48" i="50" s="1"/>
  <c r="AF43" i="25"/>
  <c r="AA29" i="45"/>
  <c r="AA27" i="45" s="1"/>
  <c r="AA40" i="50" s="1"/>
  <c r="Y29" i="45"/>
  <c r="Y27" i="45" s="1"/>
  <c r="Y40" i="50" s="1"/>
  <c r="AC29" i="45"/>
  <c r="AC27" i="45" s="1"/>
  <c r="AC40" i="50" s="1"/>
  <c r="Z29" i="45"/>
  <c r="Z27" i="45" s="1"/>
  <c r="Z8" i="50" s="1"/>
  <c r="AD29" i="45"/>
  <c r="AD27" i="45" s="1"/>
  <c r="X29" i="45"/>
  <c r="X27" i="45" s="1"/>
  <c r="X40" i="50" s="1"/>
  <c r="AB29" i="45"/>
  <c r="AB27" i="45" s="1"/>
  <c r="AB40" i="50" s="1"/>
  <c r="D17" i="45"/>
  <c r="D15" i="45" s="1"/>
  <c r="E29" i="45"/>
  <c r="E27" i="45" s="1"/>
  <c r="E40" i="50" s="1"/>
  <c r="W21" i="45"/>
  <c r="W19" i="45" s="1"/>
  <c r="AB64" i="49"/>
  <c r="AB74" i="49" s="1"/>
  <c r="AB24" i="49" s="1"/>
  <c r="AD12" i="27"/>
  <c r="AD50" i="49" s="1"/>
  <c r="AD54" i="49" s="1"/>
  <c r="P8" i="50"/>
  <c r="D13" i="50"/>
  <c r="BC27" i="50" s="1"/>
  <c r="Z13" i="50"/>
  <c r="AF35" i="25"/>
  <c r="AF52" i="25" s="1"/>
  <c r="AF64" i="49"/>
  <c r="AF74" i="49" s="1"/>
  <c r="AF24" i="49" s="1"/>
  <c r="AE12" i="27"/>
  <c r="AE50" i="49" s="1"/>
  <c r="AG12" i="27"/>
  <c r="AG50" i="49" s="1"/>
  <c r="T84" i="17"/>
  <c r="S57" i="17"/>
  <c r="T57" i="17" s="1"/>
  <c r="T82" i="17" s="1"/>
  <c r="L11" i="31"/>
  <c r="M35" i="25"/>
  <c r="M52" i="25" s="1"/>
  <c r="AE35" i="25"/>
  <c r="AE52" i="25" s="1"/>
  <c r="S35" i="25"/>
  <c r="S52" i="25" s="1"/>
  <c r="AJ61" i="17"/>
  <c r="AJ54" i="17"/>
  <c r="AJ47" i="17"/>
  <c r="AJ50" i="17"/>
  <c r="M57" i="17"/>
  <c r="O57" i="17" s="1"/>
  <c r="M53" i="17"/>
  <c r="O53" i="17" s="1"/>
  <c r="T53" i="17"/>
  <c r="H175" i="18"/>
  <c r="BU51" i="17"/>
  <c r="BX51" i="17" s="1"/>
  <c r="G13" i="50"/>
  <c r="AY51" i="17"/>
  <c r="BB51" i="17" s="1"/>
  <c r="BG51" i="17" s="1"/>
  <c r="I175" i="18"/>
  <c r="H48" i="18"/>
  <c r="G47" i="18"/>
  <c r="D35" i="25"/>
  <c r="D52" i="25" s="1"/>
  <c r="D46" i="25"/>
  <c r="E24" i="54" s="1"/>
  <c r="E22" i="54" s="1"/>
  <c r="G43" i="25"/>
  <c r="G35" i="25"/>
  <c r="G52" i="25" s="1"/>
  <c r="F35" i="25"/>
  <c r="F52" i="25" s="1"/>
  <c r="F46" i="25"/>
  <c r="H73" i="18"/>
  <c r="G72" i="18"/>
  <c r="O60" i="17"/>
  <c r="BG52" i="17"/>
  <c r="W43" i="25"/>
  <c r="X20" i="54" s="1"/>
  <c r="X18" i="54" s="1"/>
  <c r="W35" i="25"/>
  <c r="W52" i="25" s="1"/>
  <c r="N35" i="25"/>
  <c r="N52" i="25" s="1"/>
  <c r="N46" i="25"/>
  <c r="AF52" i="17"/>
  <c r="K52" i="17"/>
  <c r="L52" i="17" s="1"/>
  <c r="BC52" i="17" s="1"/>
  <c r="AB35" i="25"/>
  <c r="AB52" i="25" s="1"/>
  <c r="AB46" i="25"/>
  <c r="J35" i="25"/>
  <c r="J52" i="25" s="1"/>
  <c r="J46" i="25"/>
  <c r="G22" i="18"/>
  <c r="H23" i="18"/>
  <c r="F175" i="18"/>
  <c r="AC51" i="17"/>
  <c r="AF51" i="17" s="1"/>
  <c r="BR52" i="17"/>
  <c r="P35" i="25"/>
  <c r="P52" i="25" s="1"/>
  <c r="P46" i="25"/>
  <c r="AC35" i="25"/>
  <c r="AC52" i="25" s="1"/>
  <c r="CC52" i="17"/>
  <c r="T85" i="17"/>
  <c r="T83" i="17"/>
  <c r="AJ57" i="17"/>
  <c r="AJ46" i="17"/>
  <c r="AA46" i="25"/>
  <c r="AA35" i="25"/>
  <c r="AA52" i="25" s="1"/>
  <c r="D175" i="18"/>
  <c r="D51" i="17"/>
  <c r="J51" i="17" s="1"/>
  <c r="G122" i="18"/>
  <c r="H123" i="18"/>
  <c r="T49" i="25"/>
  <c r="T35" i="25"/>
  <c r="T52" i="25" s="1"/>
  <c r="X35" i="25"/>
  <c r="X52" i="25" s="1"/>
  <c r="X46" i="25"/>
  <c r="U46" i="25"/>
  <c r="U35" i="25"/>
  <c r="U52" i="25" s="1"/>
  <c r="Z35" i="25"/>
  <c r="Z52" i="25" s="1"/>
  <c r="Z46" i="25"/>
  <c r="AA24" i="54" s="1"/>
  <c r="AA22" i="54" s="1"/>
  <c r="AV52" i="17"/>
  <c r="T78" i="17"/>
  <c r="V49" i="25"/>
  <c r="W44" i="54" s="1"/>
  <c r="W42" i="54" s="1"/>
  <c r="W47" i="54" s="1"/>
  <c r="V35" i="25"/>
  <c r="V52" i="25" s="1"/>
  <c r="K46" i="25"/>
  <c r="K35" i="25"/>
  <c r="K52" i="25" s="1"/>
  <c r="AJ48" i="17"/>
  <c r="H148" i="18"/>
  <c r="G147" i="18"/>
  <c r="L35" i="25"/>
  <c r="L52" i="25" s="1"/>
  <c r="L46" i="25"/>
  <c r="E46" i="25"/>
  <c r="E35" i="25"/>
  <c r="E52" i="25" s="1"/>
  <c r="Q46" i="25"/>
  <c r="Q35" i="25"/>
  <c r="Q52" i="25" s="1"/>
  <c r="H35" i="25"/>
  <c r="H52" i="25" s="1"/>
  <c r="H46" i="25"/>
  <c r="H98" i="18"/>
  <c r="G97" i="18"/>
  <c r="Y35" i="25"/>
  <c r="Y52" i="25" s="1"/>
  <c r="BJ51" i="17"/>
  <c r="E175" i="18"/>
  <c r="J176" i="18"/>
  <c r="DE52" i="17" s="1"/>
  <c r="DI52" i="17" s="1"/>
  <c r="N52" i="17" s="1"/>
  <c r="AD35" i="25"/>
  <c r="AD52" i="25" s="1"/>
  <c r="AD43" i="25"/>
  <c r="O43" i="25"/>
  <c r="O35" i="25"/>
  <c r="O52" i="25" s="1"/>
  <c r="R35" i="25"/>
  <c r="R52" i="25" s="1"/>
  <c r="R46" i="25"/>
  <c r="I35" i="25"/>
  <c r="I52" i="25" s="1"/>
  <c r="AN51" i="17"/>
  <c r="AQ51" i="17" s="1"/>
  <c r="G175" i="18"/>
  <c r="AJ58" i="17"/>
  <c r="DJ60" i="17"/>
  <c r="DK60" i="17" s="1"/>
  <c r="DL60" i="17" s="1"/>
  <c r="AK60" i="17"/>
  <c r="AL60" i="17" s="1"/>
  <c r="P60" i="17" s="1"/>
  <c r="U60" i="17" s="1"/>
  <c r="V60" i="17" s="1"/>
  <c r="AK55" i="17"/>
  <c r="AL55" i="17" s="1"/>
  <c r="P55" i="17" s="1"/>
  <c r="U55" i="17" s="1"/>
  <c r="V55" i="17" s="1"/>
  <c r="DJ55" i="17"/>
  <c r="DK55" i="17" s="1"/>
  <c r="DL55" i="17" s="1"/>
  <c r="AJ52" i="17"/>
  <c r="AK52" i="17"/>
  <c r="AL52" i="17" s="1"/>
  <c r="AJ53" i="17"/>
  <c r="AJ45" i="17"/>
  <c r="AK57" i="17"/>
  <c r="AL57" i="17" s="1"/>
  <c r="P57" i="17" s="1"/>
  <c r="U57" i="17" s="1"/>
  <c r="V57" i="17" s="1"/>
  <c r="DJ57" i="17"/>
  <c r="DK57" i="17" s="1"/>
  <c r="DL57" i="17" s="1"/>
  <c r="T80" i="17"/>
  <c r="O55" i="17"/>
  <c r="AJ56" i="17"/>
  <c r="AK61" i="17"/>
  <c r="AL61" i="17" s="1"/>
  <c r="P61" i="17" s="1"/>
  <c r="U61" i="17" s="1"/>
  <c r="V61" i="17" s="1"/>
  <c r="DJ61" i="17"/>
  <c r="DK61" i="17" s="1"/>
  <c r="DL61" i="17" s="1"/>
  <c r="AK54" i="17"/>
  <c r="AL54" i="17" s="1"/>
  <c r="P54" i="17" s="1"/>
  <c r="U54" i="17" s="1"/>
  <c r="V54" i="17" s="1"/>
  <c r="DJ54" i="17"/>
  <c r="DK54" i="17" s="1"/>
  <c r="DL54" i="17" s="1"/>
  <c r="AJ51" i="17"/>
  <c r="AJ44" i="17"/>
  <c r="O59" i="17"/>
  <c r="O58" i="17"/>
  <c r="AJ59" i="17"/>
  <c r="AJ49" i="17"/>
  <c r="AJ43" i="17"/>
  <c r="D11" i="45" l="1"/>
  <c r="X27" i="54"/>
  <c r="X28" i="54" s="1"/>
  <c r="AA27" i="54"/>
  <c r="AA29" i="54" s="1"/>
  <c r="Z42" i="50"/>
  <c r="P48" i="54"/>
  <c r="O49" i="54"/>
  <c r="X48" i="54"/>
  <c r="W49" i="54"/>
  <c r="AI14" i="50"/>
  <c r="BC7" i="50"/>
  <c r="AE8" i="50"/>
  <c r="N42" i="50"/>
  <c r="AH54" i="49"/>
  <c r="AF8" i="50"/>
  <c r="AD42" i="50"/>
  <c r="AF11" i="45"/>
  <c r="J42" i="50"/>
  <c r="N11" i="45"/>
  <c r="AH6" i="50"/>
  <c r="AH29" i="54"/>
  <c r="D32" i="54"/>
  <c r="H13" i="50"/>
  <c r="E27" i="54"/>
  <c r="E28" i="54" s="1"/>
  <c r="AF27" i="54"/>
  <c r="AF29" i="54" s="1"/>
  <c r="AD7" i="50"/>
  <c r="J27" i="54"/>
  <c r="J29" i="54" s="1"/>
  <c r="AB13" i="50"/>
  <c r="J11" i="45"/>
  <c r="AD27" i="54"/>
  <c r="AD29" i="54" s="1"/>
  <c r="U27" i="54"/>
  <c r="U29" i="54" s="1"/>
  <c r="T27" i="54"/>
  <c r="T29" i="54" s="1"/>
  <c r="T11" i="45"/>
  <c r="N27" i="54"/>
  <c r="N29" i="54" s="1"/>
  <c r="AC21" i="45"/>
  <c r="AC19" i="45" s="1"/>
  <c r="AC7" i="50" s="1"/>
  <c r="AC24" i="54"/>
  <c r="AC22" i="54" s="1"/>
  <c r="AC27" i="54" s="1"/>
  <c r="G21" i="45"/>
  <c r="G19" i="45" s="1"/>
  <c r="G11" i="45" s="1"/>
  <c r="G24" i="54"/>
  <c r="G22" i="54" s="1"/>
  <c r="G27" i="54" s="1"/>
  <c r="Q48" i="54"/>
  <c r="Z27" i="54"/>
  <c r="Z29" i="54" s="1"/>
  <c r="K48" i="54"/>
  <c r="I48" i="54"/>
  <c r="M48" i="54"/>
  <c r="M41" i="45"/>
  <c r="M39" i="45" s="1"/>
  <c r="M48" i="50" s="1"/>
  <c r="G48" i="54"/>
  <c r="J48" i="54"/>
  <c r="R21" i="45"/>
  <c r="R19" i="45" s="1"/>
  <c r="R11" i="45" s="1"/>
  <c r="R24" i="54"/>
  <c r="R22" i="54" s="1"/>
  <c r="R27" i="54" s="1"/>
  <c r="H17" i="45"/>
  <c r="H15" i="45" s="1"/>
  <c r="H11" i="45" s="1"/>
  <c r="H20" i="54"/>
  <c r="H18" i="54" s="1"/>
  <c r="H27" i="54" s="1"/>
  <c r="O21" i="45"/>
  <c r="O19" i="45" s="1"/>
  <c r="O11" i="45" s="1"/>
  <c r="O24" i="54"/>
  <c r="O22" i="54" s="1"/>
  <c r="O27" i="54" s="1"/>
  <c r="N48" i="54"/>
  <c r="F48" i="54"/>
  <c r="S21" i="45"/>
  <c r="S19" i="45" s="1"/>
  <c r="S11" i="45" s="1"/>
  <c r="S24" i="54"/>
  <c r="S22" i="54" s="1"/>
  <c r="S27" i="54" s="1"/>
  <c r="S29" i="54" s="1"/>
  <c r="L21" i="45"/>
  <c r="L19" i="45" s="1"/>
  <c r="L11" i="45" s="1"/>
  <c r="L24" i="54"/>
  <c r="L22" i="54" s="1"/>
  <c r="L27" i="54" s="1"/>
  <c r="V21" i="45"/>
  <c r="V19" i="45" s="1"/>
  <c r="V11" i="45" s="1"/>
  <c r="V24" i="54"/>
  <c r="V22" i="54" s="1"/>
  <c r="V27" i="54" s="1"/>
  <c r="W28" i="54" s="1"/>
  <c r="T48" i="54"/>
  <c r="H48" i="54"/>
  <c r="O48" i="54"/>
  <c r="I21" i="45"/>
  <c r="I19" i="45" s="1"/>
  <c r="I11" i="45" s="1"/>
  <c r="I24" i="54"/>
  <c r="I22" i="54" s="1"/>
  <c r="I27" i="54" s="1"/>
  <c r="U29" i="45"/>
  <c r="U27" i="45" s="1"/>
  <c r="U11" i="45" s="1"/>
  <c r="U44" i="54"/>
  <c r="U42" i="54" s="1"/>
  <c r="U47" i="54" s="1"/>
  <c r="U49" i="54" s="1"/>
  <c r="F21" i="45"/>
  <c r="F19" i="45" s="1"/>
  <c r="F11" i="45" s="1"/>
  <c r="F24" i="54"/>
  <c r="F22" i="54" s="1"/>
  <c r="F27" i="54" s="1"/>
  <c r="Y21" i="45"/>
  <c r="Y19" i="45" s="1"/>
  <c r="Y7" i="50" s="1"/>
  <c r="Y24" i="54"/>
  <c r="Y22" i="54" s="1"/>
  <c r="Y27" i="54" s="1"/>
  <c r="Q21" i="45"/>
  <c r="Q19" i="45" s="1"/>
  <c r="Q11" i="45" s="1"/>
  <c r="Q24" i="54"/>
  <c r="Q22" i="54" s="1"/>
  <c r="Q27" i="54" s="1"/>
  <c r="K21" i="45"/>
  <c r="K19" i="45" s="1"/>
  <c r="K11" i="45" s="1"/>
  <c r="K24" i="54"/>
  <c r="K22" i="54" s="1"/>
  <c r="K27" i="54" s="1"/>
  <c r="AF48" i="54"/>
  <c r="AG48" i="54"/>
  <c r="L48" i="54"/>
  <c r="S48" i="54"/>
  <c r="P17" i="45"/>
  <c r="P15" i="45" s="1"/>
  <c r="P11" i="45" s="1"/>
  <c r="P20" i="54"/>
  <c r="P18" i="54" s="1"/>
  <c r="P27" i="54" s="1"/>
  <c r="M21" i="45"/>
  <c r="M19" i="45" s="1"/>
  <c r="M11" i="45" s="1"/>
  <c r="M24" i="54"/>
  <c r="M22" i="54" s="1"/>
  <c r="M27" i="54" s="1"/>
  <c r="W48" i="54"/>
  <c r="AB21" i="45"/>
  <c r="AB19" i="45" s="1"/>
  <c r="AB11" i="45" s="1"/>
  <c r="AB24" i="54"/>
  <c r="AB22" i="54" s="1"/>
  <c r="AB27" i="54" s="1"/>
  <c r="R48" i="54"/>
  <c r="AE48" i="54"/>
  <c r="AE13" i="50"/>
  <c r="X13" i="50"/>
  <c r="Z7" i="50"/>
  <c r="Z6" i="50" s="1"/>
  <c r="AD11" i="45"/>
  <c r="AF7" i="50"/>
  <c r="T42" i="50"/>
  <c r="AG40" i="45"/>
  <c r="AG39" i="45" s="1"/>
  <c r="AG48" i="50" s="1"/>
  <c r="AF42" i="50"/>
  <c r="X29" i="54"/>
  <c r="AG17" i="45"/>
  <c r="AG15" i="45" s="1"/>
  <c r="AG11" i="45" s="1"/>
  <c r="AG20" i="54"/>
  <c r="AG18" i="54" s="1"/>
  <c r="AG27" i="54" s="1"/>
  <c r="AH28" i="54" s="1"/>
  <c r="AE17" i="45"/>
  <c r="AE15" i="45" s="1"/>
  <c r="AE11" i="45" s="1"/>
  <c r="AE20" i="54"/>
  <c r="AE18" i="54" s="1"/>
  <c r="AE27" i="54" s="1"/>
  <c r="AA13" i="50"/>
  <c r="AD48" i="50"/>
  <c r="Z11" i="45"/>
  <c r="W7" i="50"/>
  <c r="AG54" i="49"/>
  <c r="AC116" i="49"/>
  <c r="N13" i="50"/>
  <c r="AC48" i="50"/>
  <c r="AB8" i="50"/>
  <c r="X8" i="50"/>
  <c r="Y8" i="50"/>
  <c r="AA8" i="50"/>
  <c r="D42" i="50"/>
  <c r="Z40" i="50"/>
  <c r="D7" i="50"/>
  <c r="BC21" i="50" s="1"/>
  <c r="AC8" i="50"/>
  <c r="AD8" i="50"/>
  <c r="AD40" i="50"/>
  <c r="X17" i="45"/>
  <c r="X15" i="45" s="1"/>
  <c r="X11" i="45" s="1"/>
  <c r="W29" i="45"/>
  <c r="W27" i="45" s="1"/>
  <c r="W40" i="50" s="1"/>
  <c r="AA21" i="45"/>
  <c r="AA19" i="45" s="1"/>
  <c r="AA11" i="45" s="1"/>
  <c r="E21" i="45"/>
  <c r="E19" i="45" s="1"/>
  <c r="E11" i="45" s="1"/>
  <c r="W42" i="50"/>
  <c r="U42" i="50"/>
  <c r="J7" i="50"/>
  <c r="N7" i="50"/>
  <c r="T7" i="50"/>
  <c r="U7" i="50"/>
  <c r="F13" i="50"/>
  <c r="AC54" i="49"/>
  <c r="AC73" i="49" s="1"/>
  <c r="AC23" i="49" s="1"/>
  <c r="V13" i="50"/>
  <c r="R13" i="50"/>
  <c r="P13" i="50"/>
  <c r="K13" i="50"/>
  <c r="W13" i="50"/>
  <c r="L13" i="50"/>
  <c r="T8" i="50"/>
  <c r="J13" i="50"/>
  <c r="T13" i="50"/>
  <c r="U13" i="50"/>
  <c r="AE54" i="49"/>
  <c r="BN52" i="17"/>
  <c r="AD73" i="49"/>
  <c r="AD23" i="49" s="1"/>
  <c r="AF73" i="49"/>
  <c r="J175" i="18"/>
  <c r="DE51" i="17" s="1"/>
  <c r="DI51" i="17" s="1"/>
  <c r="H97" i="18"/>
  <c r="G96" i="18"/>
  <c r="BU50" i="17"/>
  <c r="BX50" i="17" s="1"/>
  <c r="H174" i="18"/>
  <c r="AR52" i="17"/>
  <c r="E174" i="18"/>
  <c r="BJ50" i="17"/>
  <c r="BM50" i="17" s="1"/>
  <c r="BY52" i="17"/>
  <c r="AG52" i="17"/>
  <c r="G71" i="18"/>
  <c r="H72" i="18"/>
  <c r="O8" i="50"/>
  <c r="Q13" i="50"/>
  <c r="CC51" i="17"/>
  <c r="I174" i="18"/>
  <c r="AY50" i="17"/>
  <c r="BB50" i="17" s="1"/>
  <c r="I13" i="50"/>
  <c r="AW52" i="17"/>
  <c r="H122" i="18"/>
  <c r="G121" i="18"/>
  <c r="CD52" i="17"/>
  <c r="V8" i="50"/>
  <c r="D174" i="18"/>
  <c r="D50" i="17"/>
  <c r="J50" i="17" s="1"/>
  <c r="S8" i="50"/>
  <c r="AN50" i="17"/>
  <c r="AQ50" i="17" s="1"/>
  <c r="G174" i="18"/>
  <c r="T77" i="17"/>
  <c r="Q8" i="50"/>
  <c r="F42" i="50"/>
  <c r="O13" i="50"/>
  <c r="BS52" i="17"/>
  <c r="H22" i="18"/>
  <c r="G21" i="18"/>
  <c r="BH52" i="17"/>
  <c r="R8" i="50"/>
  <c r="H47" i="18"/>
  <c r="G46" i="18"/>
  <c r="S13" i="50"/>
  <c r="AV51" i="17"/>
  <c r="K51" i="17"/>
  <c r="L51" i="17" s="1"/>
  <c r="BM51" i="17"/>
  <c r="H147" i="18"/>
  <c r="G146" i="18"/>
  <c r="F174" i="18"/>
  <c r="AC50" i="17"/>
  <c r="T76" i="17"/>
  <c r="T52" i="17"/>
  <c r="DJ52" i="17" s="1"/>
  <c r="DK52" i="17" s="1"/>
  <c r="DL52" i="17" s="1"/>
  <c r="AK56" i="17"/>
  <c r="AL56" i="17" s="1"/>
  <c r="P56" i="17" s="1"/>
  <c r="U56" i="17" s="1"/>
  <c r="V56" i="17" s="1"/>
  <c r="DJ56" i="17"/>
  <c r="DK56" i="17" s="1"/>
  <c r="DL56" i="17" s="1"/>
  <c r="AK53" i="17"/>
  <c r="AL53" i="17" s="1"/>
  <c r="P53" i="17" s="1"/>
  <c r="U53" i="17" s="1"/>
  <c r="DJ53" i="17"/>
  <c r="DK53" i="17" s="1"/>
  <c r="DL53" i="17" s="1"/>
  <c r="AK59" i="17"/>
  <c r="AL59" i="17" s="1"/>
  <c r="P59" i="17" s="1"/>
  <c r="U59" i="17" s="1"/>
  <c r="V59" i="17" s="1"/>
  <c r="DJ59" i="17"/>
  <c r="DK59" i="17" s="1"/>
  <c r="DL59" i="17" s="1"/>
  <c r="AK51" i="17"/>
  <c r="AK58" i="17"/>
  <c r="AL58" i="17" s="1"/>
  <c r="P58" i="17" s="1"/>
  <c r="U58" i="17" s="1"/>
  <c r="V58" i="17" s="1"/>
  <c r="DJ58" i="17"/>
  <c r="DK58" i="17" s="1"/>
  <c r="DL58" i="17" s="1"/>
  <c r="AF6" i="50" l="1"/>
  <c r="H42" i="50"/>
  <c r="S42" i="50"/>
  <c r="AD6" i="50"/>
  <c r="L42" i="50"/>
  <c r="AC11" i="45"/>
  <c r="U40" i="50"/>
  <c r="K42" i="50"/>
  <c r="G42" i="50"/>
  <c r="O42" i="50"/>
  <c r="AH73" i="49"/>
  <c r="AH23" i="49" s="1"/>
  <c r="AC42" i="50"/>
  <c r="I42" i="50"/>
  <c r="AB7" i="50"/>
  <c r="AB6" i="50" s="1"/>
  <c r="AF28" i="54"/>
  <c r="M13" i="50"/>
  <c r="AA28" i="54"/>
  <c r="E29" i="54"/>
  <c r="U28" i="54"/>
  <c r="T28" i="54"/>
  <c r="V29" i="54"/>
  <c r="P42" i="50"/>
  <c r="V28" i="54"/>
  <c r="Y42" i="50"/>
  <c r="Y11" i="45"/>
  <c r="M42" i="50"/>
  <c r="AB42" i="50"/>
  <c r="AE42" i="50"/>
  <c r="Y29" i="54"/>
  <c r="Y28" i="54"/>
  <c r="AC28" i="54"/>
  <c r="AD28" i="54"/>
  <c r="AC29" i="54"/>
  <c r="H29" i="54"/>
  <c r="H28" i="54"/>
  <c r="Z28" i="54"/>
  <c r="AB29" i="54"/>
  <c r="AB28" i="54"/>
  <c r="K29" i="54"/>
  <c r="K28" i="54"/>
  <c r="U48" i="54"/>
  <c r="V48" i="54"/>
  <c r="R29" i="54"/>
  <c r="R28" i="54"/>
  <c r="Q29" i="54"/>
  <c r="Q28" i="54"/>
  <c r="I29" i="54"/>
  <c r="I28" i="54"/>
  <c r="M28" i="54"/>
  <c r="M29" i="54"/>
  <c r="N28" i="54"/>
  <c r="S28" i="54"/>
  <c r="P28" i="54"/>
  <c r="P29" i="54"/>
  <c r="L28" i="54"/>
  <c r="L29" i="54"/>
  <c r="O28" i="54"/>
  <c r="O29" i="54"/>
  <c r="F28" i="54"/>
  <c r="F29" i="54"/>
  <c r="G29" i="54"/>
  <c r="G28" i="54"/>
  <c r="J28" i="54"/>
  <c r="AG13" i="50"/>
  <c r="AG7" i="50"/>
  <c r="AG6" i="50" s="1"/>
  <c r="AE7" i="50"/>
  <c r="AE6" i="50" s="1"/>
  <c r="AG42" i="50"/>
  <c r="AE29" i="54"/>
  <c r="AE28" i="54"/>
  <c r="AG29" i="54"/>
  <c r="AG28" i="54"/>
  <c r="W11" i="45"/>
  <c r="AG73" i="49"/>
  <c r="AG23" i="49" s="1"/>
  <c r="Y6" i="50"/>
  <c r="W8" i="50"/>
  <c r="W6" i="50" s="1"/>
  <c r="AC6" i="50"/>
  <c r="BC58" i="50"/>
  <c r="X7" i="50"/>
  <c r="X6" i="50" s="1"/>
  <c r="AA7" i="50"/>
  <c r="AA6" i="50" s="1"/>
  <c r="E7" i="50"/>
  <c r="X42" i="50"/>
  <c r="E42" i="50"/>
  <c r="AA42" i="50"/>
  <c r="M7" i="50"/>
  <c r="Q42" i="50"/>
  <c r="R42" i="50"/>
  <c r="F7" i="50"/>
  <c r="V42" i="50"/>
  <c r="L7" i="50"/>
  <c r="G7" i="50"/>
  <c r="P7" i="50"/>
  <c r="P6" i="50" s="1"/>
  <c r="I7" i="50"/>
  <c r="K7" i="50"/>
  <c r="O7" i="50"/>
  <c r="O6" i="50" s="1"/>
  <c r="S7" i="50"/>
  <c r="S6" i="50" s="1"/>
  <c r="R7" i="50"/>
  <c r="R6" i="50" s="1"/>
  <c r="V7" i="50"/>
  <c r="V6" i="50" s="1"/>
  <c r="Q7" i="50"/>
  <c r="Q6" i="50" s="1"/>
  <c r="H7" i="50"/>
  <c r="T6" i="50"/>
  <c r="AE73" i="49"/>
  <c r="AE23" i="49" s="1"/>
  <c r="AF23" i="49"/>
  <c r="P52" i="17"/>
  <c r="M52" i="17"/>
  <c r="O52" i="17" s="1"/>
  <c r="BC51" i="17"/>
  <c r="AG51" i="17"/>
  <c r="N51" i="17"/>
  <c r="AR51" i="17"/>
  <c r="BY51" i="17"/>
  <c r="BH51" i="17"/>
  <c r="AW51" i="17"/>
  <c r="AB115" i="49"/>
  <c r="AB113" i="49"/>
  <c r="AB114" i="49"/>
  <c r="G20" i="18"/>
  <c r="H21" i="18"/>
  <c r="J174" i="18"/>
  <c r="DE50" i="17" s="1"/>
  <c r="DI50" i="17" s="1"/>
  <c r="G120" i="18"/>
  <c r="H121" i="18"/>
  <c r="I173" i="18"/>
  <c r="AY49" i="17"/>
  <c r="BB49" i="17" s="1"/>
  <c r="AL51" i="17"/>
  <c r="H146" i="18"/>
  <c r="G145" i="18"/>
  <c r="H46" i="18"/>
  <c r="G45" i="18"/>
  <c r="D173" i="18"/>
  <c r="D49" i="17"/>
  <c r="J49" i="17" s="1"/>
  <c r="AV50" i="17"/>
  <c r="AW50" i="17" s="1"/>
  <c r="E173" i="18"/>
  <c r="BJ49" i="17"/>
  <c r="BM49" i="17" s="1"/>
  <c r="BG50" i="17"/>
  <c r="CD51" i="17"/>
  <c r="K50" i="17"/>
  <c r="L50" i="17" s="1"/>
  <c r="AR50" i="17" s="1"/>
  <c r="AF50" i="17"/>
  <c r="H173" i="18"/>
  <c r="BU49" i="17"/>
  <c r="BX49" i="17" s="1"/>
  <c r="BN51" i="17"/>
  <c r="BR51" i="17"/>
  <c r="BS51" i="17" s="1"/>
  <c r="F173" i="18"/>
  <c r="AC49" i="17"/>
  <c r="AN49" i="17"/>
  <c r="AQ49" i="17" s="1"/>
  <c r="G173" i="18"/>
  <c r="BR50" i="17"/>
  <c r="BS50" i="17" s="1"/>
  <c r="CC50" i="17"/>
  <c r="BY50" i="17"/>
  <c r="U8" i="50"/>
  <c r="U6" i="50" s="1"/>
  <c r="AB112" i="49"/>
  <c r="H71" i="18"/>
  <c r="G70" i="18"/>
  <c r="H96" i="18"/>
  <c r="G95" i="18"/>
  <c r="U52" i="17"/>
  <c r="N8" i="17"/>
  <c r="V53" i="17"/>
  <c r="T75" i="17"/>
  <c r="T51" i="17"/>
  <c r="DJ51" i="17" s="1"/>
  <c r="DK51" i="17" s="1"/>
  <c r="DL51" i="17" s="1"/>
  <c r="BN50" i="17" l="1"/>
  <c r="BH50" i="17"/>
  <c r="G172" i="18"/>
  <c r="AN48" i="17"/>
  <c r="AQ48" i="17" s="1"/>
  <c r="BR49" i="17"/>
  <c r="H45" i="18"/>
  <c r="G44" i="18"/>
  <c r="E172" i="18"/>
  <c r="BJ48" i="17"/>
  <c r="BM48" i="17" s="1"/>
  <c r="D172" i="18"/>
  <c r="D48" i="17"/>
  <c r="J48" i="17" s="1"/>
  <c r="M51" i="17"/>
  <c r="O51" i="17" s="1"/>
  <c r="AG50" i="17"/>
  <c r="AK50" i="17"/>
  <c r="AL50" i="17" s="1"/>
  <c r="CD50" i="17"/>
  <c r="AV49" i="17"/>
  <c r="AC48" i="17"/>
  <c r="F172" i="18"/>
  <c r="BG49" i="17"/>
  <c r="H120" i="18"/>
  <c r="G119" i="18"/>
  <c r="H20" i="18"/>
  <c r="G19" i="18"/>
  <c r="H95" i="18"/>
  <c r="G94" i="18"/>
  <c r="G69" i="18"/>
  <c r="H70" i="18"/>
  <c r="AF49" i="17"/>
  <c r="K49" i="17"/>
  <c r="L49" i="17" s="1"/>
  <c r="BN49" i="17" s="1"/>
  <c r="CC49" i="17"/>
  <c r="BC50" i="17"/>
  <c r="H145" i="18"/>
  <c r="G144" i="18"/>
  <c r="P51" i="17"/>
  <c r="U51" i="17" s="1"/>
  <c r="N50" i="17"/>
  <c r="I172" i="18"/>
  <c r="AY48" i="17"/>
  <c r="BB48" i="17" s="1"/>
  <c r="J173" i="18"/>
  <c r="DE49" i="17" s="1"/>
  <c r="DI49" i="17" s="1"/>
  <c r="N49" i="17" s="1"/>
  <c r="H172" i="18"/>
  <c r="BU48" i="17"/>
  <c r="BX48" i="17" s="1"/>
  <c r="L8" i="17"/>
  <c r="V51" i="17"/>
  <c r="N69" i="49"/>
  <c r="N27" i="49" s="1"/>
  <c r="T74" i="17"/>
  <c r="T50" i="17"/>
  <c r="M8" i="17"/>
  <c r="V52" i="17"/>
  <c r="P50" i="17" l="1"/>
  <c r="CD49" i="17"/>
  <c r="H144" i="18"/>
  <c r="G143" i="18"/>
  <c r="BY49" i="17"/>
  <c r="H69" i="18"/>
  <c r="G68" i="18"/>
  <c r="D171" i="18"/>
  <c r="D47" i="17"/>
  <c r="J47" i="17" s="1"/>
  <c r="BC49" i="17"/>
  <c r="AR49" i="17"/>
  <c r="J172" i="18"/>
  <c r="DE48" i="17" s="1"/>
  <c r="DI48" i="17" s="1"/>
  <c r="H44" i="18"/>
  <c r="G43" i="18"/>
  <c r="CC48" i="17"/>
  <c r="BG48" i="17"/>
  <c r="BU47" i="17"/>
  <c r="BX47" i="17" s="1"/>
  <c r="H171" i="18"/>
  <c r="H94" i="18"/>
  <c r="G93" i="18"/>
  <c r="G118" i="18"/>
  <c r="H119" i="18"/>
  <c r="AF48" i="17"/>
  <c r="K48" i="17"/>
  <c r="L48" i="17" s="1"/>
  <c r="BC48" i="17" s="1"/>
  <c r="AW49" i="17"/>
  <c r="M50" i="17"/>
  <c r="O50" i="17" s="1"/>
  <c r="BR48" i="17"/>
  <c r="BN48" i="17"/>
  <c r="F171" i="18"/>
  <c r="AC47" i="17"/>
  <c r="AY47" i="17"/>
  <c r="BB47" i="17" s="1"/>
  <c r="I171" i="18"/>
  <c r="BJ47" i="17"/>
  <c r="BM47" i="17" s="1"/>
  <c r="E171" i="18"/>
  <c r="AV48" i="17"/>
  <c r="AR48" i="17"/>
  <c r="AG49" i="17"/>
  <c r="M49" i="17" s="1"/>
  <c r="O49" i="17" s="1"/>
  <c r="AK49" i="17"/>
  <c r="AL49" i="17" s="1"/>
  <c r="AN47" i="17"/>
  <c r="AQ47" i="17" s="1"/>
  <c r="AV47" i="17" s="1"/>
  <c r="G171" i="18"/>
  <c r="G18" i="18"/>
  <c r="H19" i="18"/>
  <c r="BH49" i="17"/>
  <c r="BS49" i="17"/>
  <c r="M69" i="49"/>
  <c r="M27" i="49" s="1"/>
  <c r="N40" i="50"/>
  <c r="DJ50" i="17"/>
  <c r="DK50" i="17" s="1"/>
  <c r="DL50" i="17" s="1"/>
  <c r="U50" i="17"/>
  <c r="T73" i="17"/>
  <c r="T49" i="17"/>
  <c r="L69" i="49"/>
  <c r="L27" i="49" s="1"/>
  <c r="P49" i="17" l="1"/>
  <c r="D170" i="18"/>
  <c r="D46" i="17"/>
  <c r="J46" i="17" s="1"/>
  <c r="H93" i="18"/>
  <c r="G92" i="18"/>
  <c r="BY48" i="17"/>
  <c r="N48" i="17"/>
  <c r="J171" i="18"/>
  <c r="DE47" i="17" s="1"/>
  <c r="DI47" i="17" s="1"/>
  <c r="H143" i="18"/>
  <c r="G142" i="18"/>
  <c r="H18" i="18"/>
  <c r="G17" i="18"/>
  <c r="AW48" i="17"/>
  <c r="BG47" i="17"/>
  <c r="BS48" i="17"/>
  <c r="AG48" i="17"/>
  <c r="M48" i="17" s="1"/>
  <c r="O48" i="17" s="1"/>
  <c r="AK48" i="17"/>
  <c r="AL48" i="17" s="1"/>
  <c r="I170" i="18"/>
  <c r="AY46" i="17"/>
  <c r="BB46" i="17" s="1"/>
  <c r="CC47" i="17"/>
  <c r="CD48" i="17"/>
  <c r="G67" i="18"/>
  <c r="H68" i="18"/>
  <c r="BU46" i="17"/>
  <c r="BX46" i="17" s="1"/>
  <c r="H170" i="18"/>
  <c r="AF47" i="17"/>
  <c r="K47" i="17"/>
  <c r="L47" i="17" s="1"/>
  <c r="E170" i="18"/>
  <c r="BJ46" i="17"/>
  <c r="BM46" i="17" s="1"/>
  <c r="H43" i="18"/>
  <c r="G42" i="18"/>
  <c r="AN46" i="17"/>
  <c r="AQ46" i="17" s="1"/>
  <c r="G170" i="18"/>
  <c r="BR47" i="17"/>
  <c r="H118" i="18"/>
  <c r="G117" i="18"/>
  <c r="BH48" i="17"/>
  <c r="F170" i="18"/>
  <c r="AC46" i="17"/>
  <c r="T72" i="17"/>
  <c r="T48" i="17"/>
  <c r="K8" i="17"/>
  <c r="V50" i="17"/>
  <c r="M40" i="50"/>
  <c r="L40" i="50"/>
  <c r="DJ49" i="17"/>
  <c r="DK49" i="17" s="1"/>
  <c r="DL49" i="17" s="1"/>
  <c r="U49" i="17"/>
  <c r="N8" i="50"/>
  <c r="N6" i="50" s="1"/>
  <c r="AR47" i="17" l="1"/>
  <c r="BN47" i="17"/>
  <c r="AW47" i="17"/>
  <c r="BY47" i="17"/>
  <c r="BC47" i="17"/>
  <c r="K46" i="17"/>
  <c r="L46" i="17" s="1"/>
  <c r="AF46" i="17"/>
  <c r="BS47" i="17"/>
  <c r="AV46" i="17"/>
  <c r="D169" i="18"/>
  <c r="D45" i="17"/>
  <c r="J45" i="17" s="1"/>
  <c r="H169" i="18"/>
  <c r="BU45" i="17"/>
  <c r="BX45" i="17" s="1"/>
  <c r="H92" i="18"/>
  <c r="G91" i="18"/>
  <c r="H91" i="18" s="1"/>
  <c r="G116" i="18"/>
  <c r="H116" i="18" s="1"/>
  <c r="H117" i="18"/>
  <c r="H42" i="18"/>
  <c r="G41" i="18"/>
  <c r="H41" i="18" s="1"/>
  <c r="CC46" i="17"/>
  <c r="P48" i="17"/>
  <c r="BH47" i="17"/>
  <c r="N47" i="17"/>
  <c r="I169" i="18"/>
  <c r="AY45" i="17"/>
  <c r="BB45" i="17" s="1"/>
  <c r="E169" i="18"/>
  <c r="BJ45" i="17"/>
  <c r="BM45" i="17" s="1"/>
  <c r="F169" i="18"/>
  <c r="AC45" i="17"/>
  <c r="AG47" i="17"/>
  <c r="M47" i="17" s="1"/>
  <c r="O47" i="17" s="1"/>
  <c r="AK47" i="17"/>
  <c r="AL47" i="17" s="1"/>
  <c r="AN45" i="17"/>
  <c r="AQ45" i="17" s="1"/>
  <c r="G169" i="18"/>
  <c r="CD47" i="17"/>
  <c r="BR46" i="17"/>
  <c r="H67" i="18"/>
  <c r="G66" i="18"/>
  <c r="H66" i="18" s="1"/>
  <c r="BG46" i="17"/>
  <c r="G16" i="18"/>
  <c r="H16" i="18" s="1"/>
  <c r="H17" i="18"/>
  <c r="H142" i="18"/>
  <c r="G141" i="18"/>
  <c r="H141" i="18" s="1"/>
  <c r="J170" i="18"/>
  <c r="DE46" i="17" s="1"/>
  <c r="DI46" i="17" s="1"/>
  <c r="L8" i="50"/>
  <c r="L6" i="50" s="1"/>
  <c r="DJ48" i="17"/>
  <c r="DK48" i="17" s="1"/>
  <c r="DL48" i="17" s="1"/>
  <c r="U48" i="17"/>
  <c r="J8" i="17"/>
  <c r="V49" i="17"/>
  <c r="M8" i="50"/>
  <c r="M6" i="50" s="1"/>
  <c r="K69" i="49"/>
  <c r="K27" i="49" s="1"/>
  <c r="T71" i="17"/>
  <c r="T47" i="17"/>
  <c r="CD46" i="17" l="1"/>
  <c r="BN46" i="17"/>
  <c r="BC46" i="17"/>
  <c r="N46" i="17"/>
  <c r="BU43" i="17"/>
  <c r="BX43" i="17" s="1"/>
  <c r="H167" i="18"/>
  <c r="H168" i="18"/>
  <c r="BU44" i="17"/>
  <c r="BX44" i="17" s="1"/>
  <c r="BH46" i="17"/>
  <c r="BS46" i="17"/>
  <c r="AF45" i="17"/>
  <c r="K45" i="17"/>
  <c r="L45" i="17" s="1"/>
  <c r="BY45" i="17" s="1"/>
  <c r="BY46" i="17"/>
  <c r="AW46" i="17"/>
  <c r="AG46" i="17"/>
  <c r="AK46" i="17"/>
  <c r="AL46" i="17" s="1"/>
  <c r="D168" i="18"/>
  <c r="D44" i="17"/>
  <c r="J44" i="17" s="1"/>
  <c r="AN43" i="17"/>
  <c r="AQ43" i="17" s="1"/>
  <c r="G167" i="18"/>
  <c r="AV45" i="17"/>
  <c r="AY43" i="17"/>
  <c r="BB43" i="17" s="1"/>
  <c r="I167" i="18"/>
  <c r="D167" i="18"/>
  <c r="D43" i="17"/>
  <c r="G168" i="18"/>
  <c r="AN44" i="17"/>
  <c r="AQ44" i="17" s="1"/>
  <c r="P47" i="17"/>
  <c r="F167" i="18"/>
  <c r="AC43" i="17"/>
  <c r="E168" i="18"/>
  <c r="BJ44" i="17"/>
  <c r="BM44" i="17" s="1"/>
  <c r="I168" i="18"/>
  <c r="AY44" i="17"/>
  <c r="BB44" i="17" s="1"/>
  <c r="J169" i="18"/>
  <c r="DE45" i="17" s="1"/>
  <c r="DI45" i="17" s="1"/>
  <c r="BR45" i="17"/>
  <c r="BN45" i="17"/>
  <c r="BG45" i="17"/>
  <c r="AC44" i="17"/>
  <c r="F168" i="18"/>
  <c r="BJ43" i="17"/>
  <c r="BM43" i="17" s="1"/>
  <c r="E167" i="18"/>
  <c r="CC45" i="17"/>
  <c r="CD45" i="17" s="1"/>
  <c r="AR46" i="17"/>
  <c r="K40" i="50"/>
  <c r="I8" i="17"/>
  <c r="V48" i="17"/>
  <c r="T70" i="17"/>
  <c r="T46" i="17"/>
  <c r="DJ47" i="17"/>
  <c r="DK47" i="17" s="1"/>
  <c r="DL47" i="17" s="1"/>
  <c r="U47" i="17"/>
  <c r="J69" i="49"/>
  <c r="J27" i="49" s="1"/>
  <c r="K44" i="17" l="1"/>
  <c r="L44" i="17" s="1"/>
  <c r="BN44" i="17" s="1"/>
  <c r="AF44" i="17"/>
  <c r="BC45" i="17"/>
  <c r="BR44" i="17"/>
  <c r="J167" i="18"/>
  <c r="DE43" i="17" s="1"/>
  <c r="DI43" i="17" s="1"/>
  <c r="J168" i="18"/>
  <c r="DE44" i="17" s="1"/>
  <c r="DI44" i="17" s="1"/>
  <c r="BR43" i="17"/>
  <c r="BH45" i="17"/>
  <c r="N45" i="17"/>
  <c r="AV44" i="17"/>
  <c r="AW44" i="17" s="1"/>
  <c r="BG43" i="17"/>
  <c r="P46" i="17"/>
  <c r="U46" i="17" s="1"/>
  <c r="AR45" i="17"/>
  <c r="CC44" i="17"/>
  <c r="BS45" i="17"/>
  <c r="AW45" i="17"/>
  <c r="AG45" i="17"/>
  <c r="AK45" i="17"/>
  <c r="AL45" i="17" s="1"/>
  <c r="BG44" i="17"/>
  <c r="BC44" i="17"/>
  <c r="K43" i="17"/>
  <c r="L43" i="17" s="1"/>
  <c r="AR43" i="17" s="1"/>
  <c r="AF43" i="17"/>
  <c r="AV43" i="17"/>
  <c r="M46" i="17"/>
  <c r="O46" i="17" s="1"/>
  <c r="CC43" i="17"/>
  <c r="DJ46" i="17"/>
  <c r="DK46" i="17" s="1"/>
  <c r="DL46" i="17" s="1"/>
  <c r="T69" i="17"/>
  <c r="T45" i="17"/>
  <c r="I69" i="49"/>
  <c r="I27" i="49" s="1"/>
  <c r="K8" i="50"/>
  <c r="K6" i="50" s="1"/>
  <c r="H8" i="17"/>
  <c r="V47" i="17"/>
  <c r="J40" i="50"/>
  <c r="M45" i="17" l="1"/>
  <c r="O45" i="17" s="1"/>
  <c r="N44" i="17"/>
  <c r="P45" i="17"/>
  <c r="BY44" i="17"/>
  <c r="AR44" i="17"/>
  <c r="BS44" i="17"/>
  <c r="BH44" i="17"/>
  <c r="BN43" i="17"/>
  <c r="AW43" i="17"/>
  <c r="AG43" i="17"/>
  <c r="AK43" i="17"/>
  <c r="AL43" i="17" s="1"/>
  <c r="CD44" i="17"/>
  <c r="BC43" i="17"/>
  <c r="N43" i="17"/>
  <c r="BY43" i="17"/>
  <c r="BS43" i="17"/>
  <c r="AG44" i="17"/>
  <c r="M44" i="17" s="1"/>
  <c r="AK44" i="17"/>
  <c r="AL44" i="17" s="1"/>
  <c r="P44" i="17" s="1"/>
  <c r="CD43" i="17"/>
  <c r="BH43" i="17"/>
  <c r="T68" i="17"/>
  <c r="T43" i="17" s="1"/>
  <c r="T44" i="17"/>
  <c r="G8" i="17"/>
  <c r="V46" i="17"/>
  <c r="DJ45" i="17"/>
  <c r="DK45" i="17" s="1"/>
  <c r="DL45" i="17" s="1"/>
  <c r="U45" i="17"/>
  <c r="J8" i="50"/>
  <c r="J6" i="50" s="1"/>
  <c r="H69" i="49"/>
  <c r="H27" i="49" s="1"/>
  <c r="I40" i="50"/>
  <c r="O44" i="17" l="1"/>
  <c r="P43" i="17"/>
  <c r="U43" i="17" s="1"/>
  <c r="M43" i="17"/>
  <c r="O43" i="17" s="1"/>
  <c r="DJ43" i="17"/>
  <c r="DK43" i="17" s="1"/>
  <c r="DL43" i="17" s="1"/>
  <c r="DJ44" i="17"/>
  <c r="DK44" i="17" s="1"/>
  <c r="DL44" i="17" s="1"/>
  <c r="U44" i="17"/>
  <c r="G69" i="49"/>
  <c r="G27" i="49" s="1"/>
  <c r="I8" i="50"/>
  <c r="I6" i="50" s="1"/>
  <c r="H40" i="50"/>
  <c r="F8" i="17"/>
  <c r="V45" i="17"/>
  <c r="H8" i="50" l="1"/>
  <c r="H6" i="50" s="1"/>
  <c r="G40" i="50"/>
  <c r="V43" i="17"/>
  <c r="D8" i="17"/>
  <c r="E8" i="17"/>
  <c r="V44" i="17"/>
  <c r="F69" i="49"/>
  <c r="F27" i="49" s="1"/>
  <c r="E69" i="49" l="1"/>
  <c r="E27" i="49" s="1"/>
  <c r="F40" i="50"/>
  <c r="D69" i="49"/>
  <c r="D27" i="49" s="1"/>
  <c r="G8" i="50"/>
  <c r="G6" i="50" s="1"/>
  <c r="F8" i="50" l="1"/>
  <c r="F6" i="50" s="1"/>
  <c r="D8" i="50" l="1"/>
  <c r="BC22" i="50" l="1"/>
  <c r="D6" i="50"/>
  <c r="V12" i="27" l="1"/>
  <c r="V50" i="49" s="1"/>
  <c r="V54" i="49" s="1"/>
  <c r="S12" i="27"/>
  <c r="S50" i="49" s="1"/>
  <c r="S54" i="49" s="1"/>
  <c r="I12" i="27"/>
  <c r="I50" i="49" s="1"/>
  <c r="I54" i="49" s="1"/>
  <c r="U12" i="27"/>
  <c r="U50" i="49" s="1"/>
  <c r="U54" i="49" s="1"/>
  <c r="U73" i="49" s="1"/>
  <c r="U23" i="49" s="1"/>
  <c r="Y12" i="27"/>
  <c r="Y50" i="49" s="1"/>
  <c r="Y54" i="49" s="1"/>
  <c r="Y73" i="49" s="1"/>
  <c r="Y23" i="49" s="1"/>
  <c r="M12" i="27"/>
  <c r="M50" i="49" s="1"/>
  <c r="M54" i="49" s="1"/>
  <c r="K12" i="27"/>
  <c r="K50" i="49" s="1"/>
  <c r="K54" i="49" s="1"/>
  <c r="F12" i="27"/>
  <c r="F50" i="49" s="1"/>
  <c r="F54" i="49" s="1"/>
  <c r="N12" i="27"/>
  <c r="N50" i="49" s="1"/>
  <c r="N54" i="49" s="1"/>
  <c r="N73" i="49" s="1"/>
  <c r="N23" i="49" s="1"/>
  <c r="T12" i="27"/>
  <c r="T50" i="49" s="1"/>
  <c r="T54" i="49" s="1"/>
  <c r="T73" i="49" s="1"/>
  <c r="T23" i="49" s="1"/>
  <c r="Q12" i="27"/>
  <c r="Q50" i="49" s="1"/>
  <c r="Q54" i="49" s="1"/>
  <c r="R12" i="27"/>
  <c r="R50" i="49" s="1"/>
  <c r="R54" i="49" s="1"/>
  <c r="R73" i="49" s="1"/>
  <c r="R23" i="49" s="1"/>
  <c r="Z12" i="27"/>
  <c r="Z50" i="49" s="1"/>
  <c r="Z54" i="49" s="1"/>
  <c r="P12" i="27"/>
  <c r="P50" i="49" s="1"/>
  <c r="P54" i="49" s="1"/>
  <c r="AA12" i="27"/>
  <c r="AA50" i="49" s="1"/>
  <c r="O12" i="27"/>
  <c r="O50" i="49" s="1"/>
  <c r="O54" i="49" s="1"/>
  <c r="O73" i="49" s="1"/>
  <c r="O23" i="49" s="1"/>
  <c r="L12" i="27"/>
  <c r="L50" i="49" s="1"/>
  <c r="L54" i="49" s="1"/>
  <c r="J12" i="27"/>
  <c r="J50" i="49" s="1"/>
  <c r="J54" i="49" s="1"/>
  <c r="J73" i="49" s="1"/>
  <c r="J23" i="49" s="1"/>
  <c r="W12" i="27"/>
  <c r="W50" i="49" s="1"/>
  <c r="W54" i="49" s="1"/>
  <c r="W73" i="49" s="1"/>
  <c r="W23" i="49" s="1"/>
  <c r="AB12" i="27"/>
  <c r="AB50" i="49" s="1"/>
  <c r="AB54" i="49" s="1"/>
  <c r="AB73" i="49" s="1"/>
  <c r="AB23" i="49" s="1"/>
  <c r="E12" i="27"/>
  <c r="E50" i="49" s="1"/>
  <c r="E54" i="49" s="1"/>
  <c r="H12" i="27"/>
  <c r="H50" i="49" s="1"/>
  <c r="H54" i="49" s="1"/>
  <c r="H73" i="49" s="1"/>
  <c r="H23" i="49" s="1"/>
  <c r="G12" i="27"/>
  <c r="G50" i="49" s="1"/>
  <c r="G54" i="49" s="1"/>
  <c r="G73" i="49" s="1"/>
  <c r="G23" i="49" s="1"/>
  <c r="X12" i="27" l="1"/>
  <c r="X50" i="49" s="1"/>
  <c r="X54" i="49" s="1"/>
  <c r="X73" i="49" s="1"/>
  <c r="X23" i="49" s="1"/>
  <c r="X15" i="27"/>
  <c r="S73" i="49"/>
  <c r="S23" i="49" s="1"/>
  <c r="P73" i="49"/>
  <c r="P23" i="49" s="1"/>
  <c r="L73" i="49"/>
  <c r="L23" i="49" s="1"/>
  <c r="M73" i="49"/>
  <c r="M23" i="49" s="1"/>
  <c r="Z73" i="49"/>
  <c r="Z23" i="49" s="1"/>
  <c r="I73" i="49"/>
  <c r="I23" i="49" s="1"/>
  <c r="E73" i="49"/>
  <c r="E23" i="49" s="1"/>
  <c r="Q73" i="49"/>
  <c r="Q23" i="49" s="1"/>
  <c r="V73" i="49"/>
  <c r="V23" i="49" s="1"/>
  <c r="F73" i="49"/>
  <c r="F23" i="49" s="1"/>
  <c r="K73" i="49"/>
  <c r="K23" i="49" s="1"/>
  <c r="AA54" i="49"/>
  <c r="AA73" i="49" l="1"/>
  <c r="AA23" i="49" s="1"/>
  <c r="D12" i="27" l="1"/>
  <c r="D50" i="49" s="1"/>
  <c r="D54" i="49" l="1"/>
  <c r="D73" i="49" l="1"/>
  <c r="D23" i="49" s="1"/>
  <c r="E36" i="49" l="1"/>
  <c r="E9" i="50"/>
  <c r="E13" i="50"/>
  <c r="E8" i="50"/>
  <c r="E12" i="50"/>
  <c r="E6" i="50" l="1"/>
  <c r="D17" i="27"/>
  <c r="D39" i="49" s="1"/>
  <c r="D43" i="49" s="1"/>
  <c r="D70" i="49" l="1"/>
  <c r="AI78" i="49" s="1"/>
  <c r="D72" i="49"/>
  <c r="D22" i="49" s="1"/>
  <c r="D28" i="49" s="1"/>
  <c r="D9" i="27"/>
  <c r="D7" i="27" l="1"/>
  <c r="D54" i="54"/>
  <c r="D53" i="54" s="1"/>
  <c r="D56" i="54" s="1"/>
  <c r="D33" i="45"/>
  <c r="D61" i="54" l="1"/>
  <c r="AI58" i="54"/>
  <c r="D32" i="45"/>
  <c r="D45" i="50"/>
  <c r="D49" i="50" l="1"/>
  <c r="AI51" i="50" s="1"/>
  <c r="BC61" i="50"/>
  <c r="D42" i="45"/>
  <c r="D10" i="50"/>
  <c r="BC24" i="50" l="1"/>
  <c r="D14" i="50"/>
  <c r="AI16" i="50" s="1"/>
  <c r="BC65" i="50"/>
  <c r="AH17" i="50" l="1"/>
  <c r="D20" i="50"/>
  <c r="D55" i="50" s="1"/>
  <c r="BD62" i="50"/>
  <c r="BD63" i="50"/>
  <c r="BD58" i="50"/>
  <c r="BD65" i="50"/>
  <c r="BD64" i="50"/>
  <c r="BD60" i="50"/>
  <c r="BD56" i="50"/>
  <c r="BD59" i="50"/>
  <c r="BD57" i="50"/>
  <c r="BD61" i="50"/>
  <c r="D17" i="50"/>
  <c r="BC28" i="50"/>
  <c r="D52" i="50" l="1"/>
  <c r="AH52" i="50" s="1"/>
  <c r="BD23" i="50"/>
  <c r="BD27" i="50"/>
  <c r="BD21" i="50"/>
  <c r="BD25" i="50"/>
  <c r="BD26" i="50"/>
  <c r="BD22" i="50"/>
  <c r="BD24" i="50"/>
  <c r="BD28" i="50" l="1"/>
  <c r="G17" i="27"/>
  <c r="G39" i="49" s="1"/>
  <c r="E9" i="27"/>
  <c r="H17" i="27"/>
  <c r="H39" i="49" s="1"/>
  <c r="H43" i="49" s="1"/>
  <c r="G9" i="27"/>
  <c r="AA17" i="27"/>
  <c r="AA39" i="49" s="1"/>
  <c r="AA43" i="49" s="1"/>
  <c r="AA9" i="27"/>
  <c r="AA7" i="27" s="1"/>
  <c r="I17" i="27"/>
  <c r="I39" i="49" s="1"/>
  <c r="I43" i="49" s="1"/>
  <c r="R17" i="27"/>
  <c r="R39" i="49" s="1"/>
  <c r="R9" i="27"/>
  <c r="R33" i="45" s="1"/>
  <c r="Y17" i="27"/>
  <c r="Y39" i="49" s="1"/>
  <c r="Y43" i="49" s="1"/>
  <c r="O9" i="27"/>
  <c r="Z17" i="27"/>
  <c r="Z39" i="49" s="1"/>
  <c r="Z43" i="49" s="1"/>
  <c r="X17" i="27"/>
  <c r="X39" i="49" s="1"/>
  <c r="X43" i="49" s="1"/>
  <c r="X9" i="27"/>
  <c r="X7" i="27" s="1"/>
  <c r="AF17" i="27"/>
  <c r="AB9" i="27"/>
  <c r="M9" i="27"/>
  <c r="S9" i="27"/>
  <c r="N17" i="27"/>
  <c r="N39" i="49" s="1"/>
  <c r="N43" i="49" s="1"/>
  <c r="N72" i="49" s="1"/>
  <c r="N22" i="49" s="1"/>
  <c r="N28" i="49" s="1"/>
  <c r="AC17" i="27"/>
  <c r="AC39" i="49" s="1"/>
  <c r="AC43" i="49" s="1"/>
  <c r="AC9" i="27"/>
  <c r="V17" i="27"/>
  <c r="V39" i="49" s="1"/>
  <c r="L17" i="27"/>
  <c r="L39" i="49" s="1"/>
  <c r="L43" i="49" s="1"/>
  <c r="F17" i="27"/>
  <c r="F39" i="49" s="1"/>
  <c r="F9" i="27"/>
  <c r="F54" i="54" s="1"/>
  <c r="F53" i="54" s="1"/>
  <c r="F56" i="54" s="1"/>
  <c r="F58" i="54" s="1"/>
  <c r="AE9" i="27"/>
  <c r="K17" i="27"/>
  <c r="K39" i="49" s="1"/>
  <c r="K43" i="49" s="1"/>
  <c r="AG17" i="27"/>
  <c r="AG9" i="27"/>
  <c r="AG54" i="54" s="1"/>
  <c r="AG53" i="54" s="1"/>
  <c r="AG56" i="54" s="1"/>
  <c r="AG58" i="54" s="1"/>
  <c r="W17" i="27"/>
  <c r="W39" i="49" s="1"/>
  <c r="W43" i="49" s="1"/>
  <c r="W9" i="27"/>
  <c r="W7" i="27" s="1"/>
  <c r="AH17" i="27"/>
  <c r="T17" i="27"/>
  <c r="T39" i="49" s="1"/>
  <c r="P17" i="27"/>
  <c r="P39" i="49" s="1"/>
  <c r="Q9" i="27"/>
  <c r="Q17" i="27"/>
  <c r="Q39" i="49" s="1"/>
  <c r="J9" i="27"/>
  <c r="J33" i="45" s="1"/>
  <c r="J45" i="50" s="1"/>
  <c r="J49" i="50" s="1"/>
  <c r="J17" i="27"/>
  <c r="J39" i="49" s="1"/>
  <c r="J43" i="49" s="1"/>
  <c r="AD9" i="27"/>
  <c r="AG39" i="49" l="1"/>
  <c r="J70" i="49"/>
  <c r="J78" i="49" s="1"/>
  <c r="J72" i="49"/>
  <c r="J22" i="49" s="1"/>
  <c r="J28" i="49" s="1"/>
  <c r="Z9" i="27"/>
  <c r="Z7" i="27" s="1"/>
  <c r="I9" i="27"/>
  <c r="I54" i="54" s="1"/>
  <c r="I53" i="54" s="1"/>
  <c r="I56" i="54" s="1"/>
  <c r="I58" i="54" s="1"/>
  <c r="H9" i="27"/>
  <c r="H54" i="54" s="1"/>
  <c r="H53" i="54" s="1"/>
  <c r="H56" i="54" s="1"/>
  <c r="H58" i="54" s="1"/>
  <c r="T9" i="27"/>
  <c r="T33" i="45" s="1"/>
  <c r="V9" i="27"/>
  <c r="V7" i="27" s="1"/>
  <c r="AB17" i="27"/>
  <c r="AB39" i="49" s="1"/>
  <c r="AB43" i="49" s="1"/>
  <c r="AB72" i="49" s="1"/>
  <c r="AB22" i="49" s="1"/>
  <c r="AB28" i="49" s="1"/>
  <c r="AA33" i="45"/>
  <c r="AA32" i="45" s="1"/>
  <c r="AA10" i="50" s="1"/>
  <c r="AA14" i="50" s="1"/>
  <c r="AA16" i="50" s="1"/>
  <c r="Y9" i="27"/>
  <c r="Y33" i="45" s="1"/>
  <c r="Y45" i="50" s="1"/>
  <c r="Y49" i="50" s="1"/>
  <c r="Y51" i="50" s="1"/>
  <c r="X33" i="45"/>
  <c r="X45" i="50" s="1"/>
  <c r="X49" i="50" s="1"/>
  <c r="X51" i="50" s="1"/>
  <c r="AG7" i="27"/>
  <c r="P9" i="27"/>
  <c r="P33" i="45" s="1"/>
  <c r="P45" i="50" s="1"/>
  <c r="Z70" i="49"/>
  <c r="Z72" i="49"/>
  <c r="Z22" i="49" s="1"/>
  <c r="Z28" i="49" s="1"/>
  <c r="AD54" i="54"/>
  <c r="AD53" i="54" s="1"/>
  <c r="AD56" i="54" s="1"/>
  <c r="AD58" i="54" s="1"/>
  <c r="AD7" i="27"/>
  <c r="AD33" i="45"/>
  <c r="O7" i="27"/>
  <c r="O33" i="45"/>
  <c r="O54" i="54"/>
  <c r="O53" i="54" s="1"/>
  <c r="O56" i="54" s="1"/>
  <c r="O58" i="54" s="1"/>
  <c r="AH39" i="49"/>
  <c r="M7" i="27"/>
  <c r="M54" i="54"/>
  <c r="M53" i="54" s="1"/>
  <c r="M56" i="54" s="1"/>
  <c r="M58" i="54" s="1"/>
  <c r="M33" i="45"/>
  <c r="AC72" i="49"/>
  <c r="AC22" i="49" s="1"/>
  <c r="AC28" i="49" s="1"/>
  <c r="AC70" i="49"/>
  <c r="R45" i="50"/>
  <c r="R32" i="45"/>
  <c r="L70" i="49"/>
  <c r="L72" i="49"/>
  <c r="L22" i="49" s="1"/>
  <c r="L28" i="49" s="1"/>
  <c r="AE54" i="54"/>
  <c r="AE53" i="54" s="1"/>
  <c r="AE56" i="54" s="1"/>
  <c r="AE58" i="54" s="1"/>
  <c r="AE7" i="27"/>
  <c r="AE33" i="45"/>
  <c r="Q33" i="45"/>
  <c r="Q54" i="54"/>
  <c r="Q53" i="54" s="1"/>
  <c r="Q56" i="54" s="1"/>
  <c r="Q58" i="54" s="1"/>
  <c r="Q7" i="27"/>
  <c r="X72" i="49"/>
  <c r="X22" i="49" s="1"/>
  <c r="X28" i="49" s="1"/>
  <c r="X70" i="49"/>
  <c r="W72" i="49"/>
  <c r="W22" i="49" s="1"/>
  <c r="W28" i="49" s="1"/>
  <c r="W70" i="49"/>
  <c r="K9" i="27"/>
  <c r="L9" i="27"/>
  <c r="J7" i="27"/>
  <c r="J54" i="54"/>
  <c r="J53" i="54" s="1"/>
  <c r="J56" i="54" s="1"/>
  <c r="J58" i="54" s="1"/>
  <c r="S17" i="27"/>
  <c r="S39" i="49" s="1"/>
  <c r="O17" i="27"/>
  <c r="O39" i="49" s="1"/>
  <c r="Y72" i="49"/>
  <c r="Y22" i="49" s="1"/>
  <c r="Y28" i="49" s="1"/>
  <c r="Y70" i="49"/>
  <c r="AA45" i="50"/>
  <c r="AA49" i="50" s="1"/>
  <c r="E7" i="27"/>
  <c r="E33" i="45"/>
  <c r="E54" i="54"/>
  <c r="E53" i="54" s="1"/>
  <c r="E56" i="54" s="1"/>
  <c r="E58" i="54" s="1"/>
  <c r="S54" i="54"/>
  <c r="S53" i="54" s="1"/>
  <c r="S56" i="54" s="1"/>
  <c r="S58" i="54" s="1"/>
  <c r="S33" i="45"/>
  <c r="S7" i="27"/>
  <c r="U9" i="27"/>
  <c r="U17" i="27"/>
  <c r="U39" i="49" s="1"/>
  <c r="M17" i="27"/>
  <c r="M39" i="49" s="1"/>
  <c r="M43" i="49" s="1"/>
  <c r="J51" i="50"/>
  <c r="AE17" i="27"/>
  <c r="AD17" i="27"/>
  <c r="Z33" i="45"/>
  <c r="H70" i="49"/>
  <c r="H72" i="49"/>
  <c r="H22" i="49" s="1"/>
  <c r="H28" i="49" s="1"/>
  <c r="AA54" i="54"/>
  <c r="AA53" i="54" s="1"/>
  <c r="AA56" i="54" s="1"/>
  <c r="AA58" i="54" s="1"/>
  <c r="I70" i="49"/>
  <c r="I72" i="49"/>
  <c r="I22" i="49" s="1"/>
  <c r="I28" i="49" s="1"/>
  <c r="X54" i="54"/>
  <c r="X53" i="54" s="1"/>
  <c r="X56" i="54" s="1"/>
  <c r="X58" i="54" s="1"/>
  <c r="W54" i="54"/>
  <c r="W53" i="54" s="1"/>
  <c r="W56" i="54" s="1"/>
  <c r="W58" i="54" s="1"/>
  <c r="AA70" i="49"/>
  <c r="AA72" i="49"/>
  <c r="AA22" i="49" s="1"/>
  <c r="AA28" i="49" s="1"/>
  <c r="G54" i="54"/>
  <c r="G53" i="54" s="1"/>
  <c r="G56" i="54" s="1"/>
  <c r="G58" i="54" s="1"/>
  <c r="G33" i="45"/>
  <c r="G7" i="27"/>
  <c r="AC54" i="54"/>
  <c r="AC53" i="54" s="1"/>
  <c r="AC56" i="54" s="1"/>
  <c r="AC58" i="54" s="1"/>
  <c r="AC7" i="27"/>
  <c r="AG33" i="45"/>
  <c r="AF9" i="27"/>
  <c r="F7" i="27"/>
  <c r="AH9" i="27"/>
  <c r="AF39" i="49"/>
  <c r="AF43" i="49" s="1"/>
  <c r="R54" i="54"/>
  <c r="R53" i="54" s="1"/>
  <c r="R56" i="54" s="1"/>
  <c r="R58" i="54" s="1"/>
  <c r="R7" i="27"/>
  <c r="N70" i="49"/>
  <c r="K70" i="49"/>
  <c r="K72" i="49"/>
  <c r="K22" i="49" s="1"/>
  <c r="K28" i="49" s="1"/>
  <c r="W33" i="45"/>
  <c r="AG43" i="49"/>
  <c r="F33" i="45"/>
  <c r="J32" i="45"/>
  <c r="V33" i="45"/>
  <c r="AC33" i="45"/>
  <c r="N9" i="27"/>
  <c r="AB33" i="45"/>
  <c r="AB7" i="27"/>
  <c r="AB54" i="54"/>
  <c r="AB53" i="54" s="1"/>
  <c r="AB56" i="54" s="1"/>
  <c r="AB58" i="54" s="1"/>
  <c r="E17" i="27"/>
  <c r="E39" i="49" s="1"/>
  <c r="V54" i="54" l="1"/>
  <c r="V53" i="54" s="1"/>
  <c r="V56" i="54" s="1"/>
  <c r="V58" i="54" s="1"/>
  <c r="Y7" i="27"/>
  <c r="H7" i="27"/>
  <c r="H33" i="45"/>
  <c r="P7" i="27"/>
  <c r="P54" i="54"/>
  <c r="P53" i="54" s="1"/>
  <c r="P56" i="54" s="1"/>
  <c r="P58" i="54" s="1"/>
  <c r="AA42" i="45"/>
  <c r="AH43" i="49"/>
  <c r="AS18" i="49"/>
  <c r="AT14" i="49" s="1"/>
  <c r="P32" i="45"/>
  <c r="Z54" i="54"/>
  <c r="Z53" i="54" s="1"/>
  <c r="Z56" i="54" s="1"/>
  <c r="Z58" i="54" s="1"/>
  <c r="X32" i="45"/>
  <c r="X42" i="45" s="1"/>
  <c r="Y54" i="54"/>
  <c r="Y53" i="54" s="1"/>
  <c r="Y56" i="54" s="1"/>
  <c r="I33" i="45"/>
  <c r="I32" i="45" s="1"/>
  <c r="I7" i="27"/>
  <c r="Y50" i="50"/>
  <c r="Y32" i="45"/>
  <c r="Y42" i="45" s="1"/>
  <c r="AB70" i="49"/>
  <c r="AB78" i="49" s="1"/>
  <c r="I57" i="54"/>
  <c r="T54" i="54"/>
  <c r="T53" i="54" s="1"/>
  <c r="T56" i="54" s="1"/>
  <c r="T58" i="54" s="1"/>
  <c r="T7" i="27"/>
  <c r="AC32" i="45"/>
  <c r="AC45" i="50"/>
  <c r="AC49" i="50" s="1"/>
  <c r="R57" i="54"/>
  <c r="AA78" i="49"/>
  <c r="AA77" i="49"/>
  <c r="E45" i="50"/>
  <c r="E32" i="45"/>
  <c r="K54" i="54"/>
  <c r="K53" i="54" s="1"/>
  <c r="K56" i="54" s="1"/>
  <c r="K58" i="54" s="1"/>
  <c r="K33" i="45"/>
  <c r="K7" i="27"/>
  <c r="L78" i="49"/>
  <c r="L77" i="49"/>
  <c r="O32" i="45"/>
  <c r="O45" i="50"/>
  <c r="E57" i="54"/>
  <c r="AC57" i="54"/>
  <c r="W57" i="54"/>
  <c r="H78" i="49"/>
  <c r="W78" i="49"/>
  <c r="Q45" i="50"/>
  <c r="Q32" i="45"/>
  <c r="R10" i="50"/>
  <c r="AA57" i="54"/>
  <c r="K78" i="49"/>
  <c r="K77" i="49"/>
  <c r="N78" i="49"/>
  <c r="Z32" i="45"/>
  <c r="Z45" i="50"/>
  <c r="Z49" i="50" s="1"/>
  <c r="S45" i="50"/>
  <c r="S32" i="45"/>
  <c r="AA51" i="50"/>
  <c r="AD45" i="50"/>
  <c r="AD49" i="50" s="1"/>
  <c r="AD32" i="45"/>
  <c r="M32" i="45"/>
  <c r="M45" i="50"/>
  <c r="M49" i="50" s="1"/>
  <c r="V45" i="50"/>
  <c r="V32" i="45"/>
  <c r="T45" i="50"/>
  <c r="T32" i="45"/>
  <c r="AD39" i="49"/>
  <c r="AD43" i="49" s="1"/>
  <c r="U54" i="54"/>
  <c r="U53" i="54" s="1"/>
  <c r="U56" i="54" s="1"/>
  <c r="U33" i="45"/>
  <c r="U7" i="27"/>
  <c r="S57" i="54"/>
  <c r="F57" i="54"/>
  <c r="AC78" i="49"/>
  <c r="N54" i="54"/>
  <c r="N53" i="54" s="1"/>
  <c r="N56" i="54" s="1"/>
  <c r="N58" i="54" s="1"/>
  <c r="N7" i="27"/>
  <c r="N33" i="45"/>
  <c r="M70" i="49"/>
  <c r="M72" i="49"/>
  <c r="M22" i="49" s="1"/>
  <c r="M28" i="49" s="1"/>
  <c r="L54" i="54"/>
  <c r="L53" i="54" s="1"/>
  <c r="L56" i="54" s="1"/>
  <c r="L7" i="27"/>
  <c r="L33" i="45"/>
  <c r="AF70" i="49"/>
  <c r="AF72" i="49"/>
  <c r="AF22" i="49" s="1"/>
  <c r="AF28" i="49" s="1"/>
  <c r="J42" i="45"/>
  <c r="J10" i="50"/>
  <c r="J14" i="50" s="1"/>
  <c r="F45" i="50"/>
  <c r="F32" i="45"/>
  <c r="AB57" i="54"/>
  <c r="AG70" i="49"/>
  <c r="AG72" i="49"/>
  <c r="AG22" i="49" s="1"/>
  <c r="AH7" i="27"/>
  <c r="AH54" i="54"/>
  <c r="AH53" i="54" s="1"/>
  <c r="AH56" i="54" s="1"/>
  <c r="AH33" i="45"/>
  <c r="AE39" i="49"/>
  <c r="AE43" i="49" s="1"/>
  <c r="P57" i="54"/>
  <c r="AE45" i="50"/>
  <c r="AE49" i="50" s="1"/>
  <c r="AE32" i="45"/>
  <c r="AD57" i="54"/>
  <c r="AG32" i="45"/>
  <c r="AG45" i="50"/>
  <c r="H32" i="45"/>
  <c r="H45" i="50"/>
  <c r="H49" i="50" s="1"/>
  <c r="G32" i="45"/>
  <c r="G45" i="50"/>
  <c r="Y77" i="49"/>
  <c r="Y78" i="49"/>
  <c r="J57" i="54"/>
  <c r="X77" i="49"/>
  <c r="X78" i="49"/>
  <c r="X57" i="54"/>
  <c r="W32" i="45"/>
  <c r="W45" i="50"/>
  <c r="W49" i="50" s="1"/>
  <c r="AB32" i="45"/>
  <c r="AB45" i="50"/>
  <c r="AB49" i="50" s="1"/>
  <c r="AF7" i="27"/>
  <c r="AF33" i="45"/>
  <c r="AF54" i="54"/>
  <c r="AF53" i="54" s="1"/>
  <c r="AF56" i="54" s="1"/>
  <c r="AF58" i="54" s="1"/>
  <c r="G57" i="54"/>
  <c r="H57" i="54"/>
  <c r="I78" i="49"/>
  <c r="I77" i="49"/>
  <c r="AE57" i="54"/>
  <c r="J77" i="49"/>
  <c r="Z77" i="49"/>
  <c r="Z78" i="49"/>
  <c r="X10" i="50" l="1"/>
  <c r="X14" i="50" s="1"/>
  <c r="X16" i="50" s="1"/>
  <c r="Q57" i="54"/>
  <c r="I45" i="50"/>
  <c r="I49" i="50" s="1"/>
  <c r="I51" i="50" s="1"/>
  <c r="Y57" i="54"/>
  <c r="Y58" i="54"/>
  <c r="AI57" i="54"/>
  <c r="AH58" i="54"/>
  <c r="V57" i="54"/>
  <c r="U58" i="54"/>
  <c r="M57" i="54"/>
  <c r="L58" i="54"/>
  <c r="AT13" i="49"/>
  <c r="AT17" i="49"/>
  <c r="AT11" i="49"/>
  <c r="AT12" i="49"/>
  <c r="AT16" i="49"/>
  <c r="AT15" i="49"/>
  <c r="AH72" i="49"/>
  <c r="AH22" i="49" s="1"/>
  <c r="AH28" i="49" s="1"/>
  <c r="AH70" i="49"/>
  <c r="AI77" i="49" s="1"/>
  <c r="Z57" i="54"/>
  <c r="P10" i="50"/>
  <c r="Y10" i="50"/>
  <c r="Y14" i="50" s="1"/>
  <c r="Y16" i="50" s="1"/>
  <c r="AC77" i="49"/>
  <c r="AB77" i="49"/>
  <c r="T57" i="54"/>
  <c r="AG10" i="50"/>
  <c r="AG42" i="45"/>
  <c r="F10" i="50"/>
  <c r="L57" i="54"/>
  <c r="U32" i="45"/>
  <c r="U45" i="50"/>
  <c r="V10" i="50"/>
  <c r="K57" i="54"/>
  <c r="AG49" i="50"/>
  <c r="U57" i="54"/>
  <c r="J16" i="50"/>
  <c r="M77" i="49"/>
  <c r="M78" i="49"/>
  <c r="M51" i="50"/>
  <c r="Z51" i="50"/>
  <c r="Z50" i="50"/>
  <c r="AF45" i="50"/>
  <c r="AF49" i="50" s="1"/>
  <c r="AF32" i="45"/>
  <c r="N45" i="50"/>
  <c r="N49" i="50" s="1"/>
  <c r="N32" i="45"/>
  <c r="I42" i="45"/>
  <c r="I10" i="50"/>
  <c r="I14" i="50" s="1"/>
  <c r="J15" i="50" s="1"/>
  <c r="AD70" i="49"/>
  <c r="AD72" i="49"/>
  <c r="AD22" i="49" s="1"/>
  <c r="AD28" i="49" s="1"/>
  <c r="M10" i="50"/>
  <c r="M14" i="50" s="1"/>
  <c r="M42" i="45"/>
  <c r="Z42" i="45"/>
  <c r="Z10" i="50"/>
  <c r="Z14" i="50" s="1"/>
  <c r="E10" i="50"/>
  <c r="AC51" i="50"/>
  <c r="AC50" i="50"/>
  <c r="AB51" i="50"/>
  <c r="AB50" i="50"/>
  <c r="AE50" i="50"/>
  <c r="AE51" i="50"/>
  <c r="AE70" i="49"/>
  <c r="AF77" i="49" s="1"/>
  <c r="AE72" i="49"/>
  <c r="AE22" i="49" s="1"/>
  <c r="AE28" i="49" s="1"/>
  <c r="AG77" i="49"/>
  <c r="AG78" i="49"/>
  <c r="T10" i="50"/>
  <c r="AD42" i="45"/>
  <c r="AD10" i="50"/>
  <c r="AD14" i="50" s="1"/>
  <c r="AA50" i="50"/>
  <c r="AC42" i="45"/>
  <c r="AC10" i="50"/>
  <c r="AC14" i="50" s="1"/>
  <c r="AH57" i="54"/>
  <c r="AG28" i="49"/>
  <c r="AB42" i="45"/>
  <c r="AB10" i="50"/>
  <c r="AB14" i="50" s="1"/>
  <c r="H51" i="50"/>
  <c r="AF78" i="49"/>
  <c r="N57" i="54"/>
  <c r="AD51" i="50"/>
  <c r="AD50" i="50"/>
  <c r="N77" i="49"/>
  <c r="O10" i="50"/>
  <c r="O57" i="54"/>
  <c r="K45" i="50"/>
  <c r="K49" i="50" s="1"/>
  <c r="K32" i="45"/>
  <c r="AE42" i="45"/>
  <c r="AE10" i="50"/>
  <c r="AE14" i="50" s="1"/>
  <c r="W51" i="50"/>
  <c r="X50" i="50"/>
  <c r="AF57" i="54"/>
  <c r="AG57" i="54"/>
  <c r="W42" i="45"/>
  <c r="W10" i="50"/>
  <c r="W14" i="50" s="1"/>
  <c r="G10" i="50"/>
  <c r="H42" i="45"/>
  <c r="H10" i="50"/>
  <c r="H14" i="50" s="1"/>
  <c r="AH32" i="45"/>
  <c r="AH42" i="45" s="1"/>
  <c r="AH45" i="50"/>
  <c r="L32" i="45"/>
  <c r="L45" i="50"/>
  <c r="L49" i="50" s="1"/>
  <c r="S10" i="50"/>
  <c r="Q10" i="50"/>
  <c r="J50" i="50" l="1"/>
  <c r="X15" i="50"/>
  <c r="I50" i="50"/>
  <c r="AT18" i="49"/>
  <c r="AM34" i="49"/>
  <c r="AH78" i="49"/>
  <c r="AH77" i="49"/>
  <c r="AH49" i="50"/>
  <c r="AI50" i="50" s="1"/>
  <c r="Y15" i="50"/>
  <c r="K10" i="50"/>
  <c r="K14" i="50" s="1"/>
  <c r="K42" i="45"/>
  <c r="AR8" i="49"/>
  <c r="AQ3" i="49" s="1"/>
  <c r="AG50" i="50"/>
  <c r="AG51" i="50"/>
  <c r="U10" i="50"/>
  <c r="K50" i="50"/>
  <c r="K51" i="50"/>
  <c r="M16" i="50"/>
  <c r="W16" i="50"/>
  <c r="AF10" i="50"/>
  <c r="AF14" i="50" s="1"/>
  <c r="AF42" i="45"/>
  <c r="L51" i="50"/>
  <c r="L50" i="50"/>
  <c r="AD16" i="50"/>
  <c r="AD15" i="50"/>
  <c r="AD77" i="49"/>
  <c r="AD78" i="49"/>
  <c r="AF51" i="50"/>
  <c r="AF50" i="50"/>
  <c r="L42" i="45"/>
  <c r="L10" i="50"/>
  <c r="L14" i="50" s="1"/>
  <c r="M15" i="50" s="1"/>
  <c r="AE15" i="50"/>
  <c r="AE16" i="50"/>
  <c r="AC16" i="50"/>
  <c r="AC15" i="50"/>
  <c r="Z16" i="50"/>
  <c r="Z15" i="50"/>
  <c r="AA15" i="50"/>
  <c r="I16" i="50"/>
  <c r="I15" i="50"/>
  <c r="M50" i="50"/>
  <c r="N51" i="50"/>
  <c r="N50" i="50"/>
  <c r="AB16" i="50"/>
  <c r="AB15" i="50"/>
  <c r="AG14" i="50"/>
  <c r="AH10" i="50"/>
  <c r="H16" i="50"/>
  <c r="AE77" i="49"/>
  <c r="AE78" i="49"/>
  <c r="N10" i="50"/>
  <c r="N14" i="50" s="1"/>
  <c r="N42" i="45"/>
  <c r="AM37" i="49" l="1"/>
  <c r="AM35" i="49"/>
  <c r="AM36" i="49"/>
  <c r="AM38" i="49"/>
  <c r="BC11" i="50"/>
  <c r="BD7" i="50" s="1"/>
  <c r="AH14" i="50"/>
  <c r="AI15" i="50" s="1"/>
  <c r="AH51" i="50"/>
  <c r="BD43" i="50"/>
  <c r="AH50" i="50"/>
  <c r="AQ4" i="49"/>
  <c r="AQ5" i="49"/>
  <c r="AQ7" i="49"/>
  <c r="AQ6" i="49"/>
  <c r="AF15" i="50"/>
  <c r="AF16" i="50"/>
  <c r="L15" i="50"/>
  <c r="L16" i="50"/>
  <c r="K15" i="50"/>
  <c r="K16" i="50"/>
  <c r="AG15" i="50"/>
  <c r="AG16" i="50"/>
  <c r="N15" i="50"/>
  <c r="N16" i="50"/>
  <c r="BD44" i="50" l="1"/>
  <c r="BD47" i="50"/>
  <c r="BD40" i="50"/>
  <c r="BD45" i="50"/>
  <c r="BD42" i="50"/>
  <c r="BD39" i="50"/>
  <c r="BD38" i="50"/>
  <c r="BD41" i="50"/>
  <c r="AH15" i="50"/>
  <c r="AH16" i="50"/>
  <c r="BD46" i="50"/>
  <c r="AQ8" i="49"/>
  <c r="BD6" i="50"/>
  <c r="BD9" i="50"/>
  <c r="BD5" i="50"/>
  <c r="BD10" i="50"/>
  <c r="BD4" i="50"/>
  <c r="BD8" i="50"/>
  <c r="BD11" i="50" l="1"/>
  <c r="F5" i="28"/>
  <c r="G40" i="49" s="1"/>
  <c r="G43" i="49" s="1"/>
  <c r="E7" i="28" a="1"/>
  <c r="E7" i="28" s="1"/>
  <c r="E5" i="28" s="1"/>
  <c r="D7" i="28" a="1"/>
  <c r="D7" i="28" s="1"/>
  <c r="D5" i="28" s="1"/>
  <c r="G36" i="45" l="1"/>
  <c r="F24" i="28"/>
  <c r="G62" i="54" s="1"/>
  <c r="G68" i="54" s="1"/>
  <c r="G70" i="54" s="1"/>
  <c r="U36" i="45"/>
  <c r="U63" i="54"/>
  <c r="T24" i="28"/>
  <c r="U40" i="49"/>
  <c r="U43" i="49" s="1"/>
  <c r="R24" i="28"/>
  <c r="S36" i="45"/>
  <c r="S63" i="54"/>
  <c r="S40" i="49"/>
  <c r="S43" i="49" s="1"/>
  <c r="G70" i="49"/>
  <c r="G72" i="49"/>
  <c r="G22" i="49" s="1"/>
  <c r="G28" i="49" s="1"/>
  <c r="V40" i="49"/>
  <c r="V43" i="49" s="1"/>
  <c r="U24" i="28"/>
  <c r="V36" i="45"/>
  <c r="V63" i="54"/>
  <c r="R36" i="45"/>
  <c r="R63" i="54"/>
  <c r="R40" i="49"/>
  <c r="R43" i="49" s="1"/>
  <c r="Q24" i="28"/>
  <c r="P36" i="45"/>
  <c r="P63" i="54"/>
  <c r="P40" i="49"/>
  <c r="P43" i="49" s="1"/>
  <c r="O24" i="28"/>
  <c r="D24" i="28"/>
  <c r="E40" i="49"/>
  <c r="E43" i="49" s="1"/>
  <c r="E36" i="45"/>
  <c r="E63" i="54"/>
  <c r="Q36" i="45"/>
  <c r="Q63" i="54"/>
  <c r="P24" i="28"/>
  <c r="Q40" i="49"/>
  <c r="Q43" i="49" s="1"/>
  <c r="S24" i="28"/>
  <c r="T40" i="49"/>
  <c r="T43" i="49" s="1"/>
  <c r="T36" i="45"/>
  <c r="T63" i="54"/>
  <c r="E24" i="28"/>
  <c r="F36" i="45"/>
  <c r="F63" i="54"/>
  <c r="F40" i="49"/>
  <c r="F43" i="49" s="1"/>
  <c r="O40" i="49"/>
  <c r="O43" i="49" s="1"/>
  <c r="O63" i="54"/>
  <c r="N24" i="28"/>
  <c r="O36" i="45"/>
  <c r="G35" i="45"/>
  <c r="G63" i="54"/>
  <c r="H69" i="54" l="1"/>
  <c r="E70" i="49"/>
  <c r="E72" i="49"/>
  <c r="E22" i="49" s="1"/>
  <c r="E28" i="49" s="1"/>
  <c r="T35" i="45"/>
  <c r="T62" i="54"/>
  <c r="T68" i="54" s="1"/>
  <c r="T70" i="49"/>
  <c r="T72" i="49"/>
  <c r="T22" i="49" s="1"/>
  <c r="T28" i="49" s="1"/>
  <c r="P35" i="45"/>
  <c r="P62" i="54"/>
  <c r="P68" i="54" s="1"/>
  <c r="S62" i="54"/>
  <c r="S68" i="54" s="1"/>
  <c r="S35" i="45"/>
  <c r="E62" i="54"/>
  <c r="E68" i="54" s="1"/>
  <c r="E35" i="45"/>
  <c r="G44" i="50"/>
  <c r="G49" i="50" s="1"/>
  <c r="G11" i="50"/>
  <c r="G14" i="50" s="1"/>
  <c r="G42" i="45"/>
  <c r="Q70" i="49"/>
  <c r="Q72" i="49"/>
  <c r="Q22" i="49" s="1"/>
  <c r="Q28" i="49" s="1"/>
  <c r="Q62" i="54"/>
  <c r="Q68" i="54" s="1"/>
  <c r="Q35" i="45"/>
  <c r="U70" i="49"/>
  <c r="U72" i="49"/>
  <c r="U22" i="49" s="1"/>
  <c r="U28" i="49" s="1"/>
  <c r="F35" i="45"/>
  <c r="F62" i="54"/>
  <c r="F68" i="54" s="1"/>
  <c r="V72" i="49"/>
  <c r="V22" i="49" s="1"/>
  <c r="V28" i="49" s="1"/>
  <c r="V70" i="49"/>
  <c r="U35" i="45"/>
  <c r="U62" i="54"/>
  <c r="U68" i="54" s="1"/>
  <c r="F72" i="49"/>
  <c r="F22" i="49" s="1"/>
  <c r="F28" i="49" s="1"/>
  <c r="F70" i="49"/>
  <c r="R62" i="54"/>
  <c r="R68" i="54" s="1"/>
  <c r="R35" i="45"/>
  <c r="S72" i="49"/>
  <c r="S22" i="49" s="1"/>
  <c r="S28" i="49" s="1"/>
  <c r="S70" i="49"/>
  <c r="P70" i="49"/>
  <c r="P72" i="49"/>
  <c r="P22" i="49" s="1"/>
  <c r="P28" i="49" s="1"/>
  <c r="O35" i="45"/>
  <c r="O62" i="54"/>
  <c r="O68" i="54" s="1"/>
  <c r="V35" i="45"/>
  <c r="V62" i="54"/>
  <c r="V68" i="54" s="1"/>
  <c r="O70" i="49"/>
  <c r="O72" i="49"/>
  <c r="O22" i="49" s="1"/>
  <c r="O28" i="49" s="1"/>
  <c r="R70" i="49"/>
  <c r="R72" i="49"/>
  <c r="R22" i="49" s="1"/>
  <c r="R28" i="49" s="1"/>
  <c r="H77" i="49"/>
  <c r="G78" i="49"/>
  <c r="P70" i="54" l="1"/>
  <c r="P69" i="54"/>
  <c r="P42" i="45"/>
  <c r="P44" i="50"/>
  <c r="P49" i="50" s="1"/>
  <c r="P11" i="50"/>
  <c r="P14" i="50" s="1"/>
  <c r="G16" i="50"/>
  <c r="H15" i="50"/>
  <c r="O70" i="54"/>
  <c r="O69" i="54"/>
  <c r="T78" i="49"/>
  <c r="T77" i="49"/>
  <c r="O77" i="49"/>
  <c r="O78" i="49"/>
  <c r="F70" i="54"/>
  <c r="F69" i="54"/>
  <c r="G69" i="54"/>
  <c r="F77" i="49"/>
  <c r="F78" i="49"/>
  <c r="E42" i="45"/>
  <c r="E11" i="50"/>
  <c r="E14" i="50" s="1"/>
  <c r="E44" i="50"/>
  <c r="E49" i="50" s="1"/>
  <c r="T69" i="54"/>
  <c r="T70" i="54"/>
  <c r="V70" i="54"/>
  <c r="W69" i="54"/>
  <c r="V69" i="54"/>
  <c r="F42" i="45"/>
  <c r="F44" i="50"/>
  <c r="F49" i="50" s="1"/>
  <c r="G50" i="50" s="1"/>
  <c r="F11" i="50"/>
  <c r="F14" i="50" s="1"/>
  <c r="G15" i="50" s="1"/>
  <c r="U70" i="54"/>
  <c r="U69" i="54"/>
  <c r="E69" i="54"/>
  <c r="E70" i="54"/>
  <c r="T11" i="50"/>
  <c r="T14" i="50" s="1"/>
  <c r="T42" i="45"/>
  <c r="T44" i="50"/>
  <c r="T49" i="50" s="1"/>
  <c r="Q78" i="49"/>
  <c r="Q77" i="49"/>
  <c r="R44" i="50"/>
  <c r="R49" i="50" s="1"/>
  <c r="R11" i="50"/>
  <c r="R14" i="50" s="1"/>
  <c r="R42" i="45"/>
  <c r="R70" i="54"/>
  <c r="R69" i="54"/>
  <c r="G77" i="49"/>
  <c r="U77" i="49"/>
  <c r="U78" i="49"/>
  <c r="R78" i="49"/>
  <c r="R77" i="49"/>
  <c r="Q70" i="54"/>
  <c r="Q69" i="54"/>
  <c r="S42" i="45"/>
  <c r="S44" i="50"/>
  <c r="S49" i="50" s="1"/>
  <c r="S11" i="50"/>
  <c r="S14" i="50" s="1"/>
  <c r="V11" i="50"/>
  <c r="V14" i="50" s="1"/>
  <c r="V44" i="50"/>
  <c r="V49" i="50" s="1"/>
  <c r="V42" i="45"/>
  <c r="H50" i="50"/>
  <c r="G51" i="50"/>
  <c r="O42" i="45"/>
  <c r="O11" i="50"/>
  <c r="O14" i="50" s="1"/>
  <c r="O44" i="50"/>
  <c r="O49" i="50" s="1"/>
  <c r="Q11" i="50"/>
  <c r="Q14" i="50" s="1"/>
  <c r="Q44" i="50"/>
  <c r="Q49" i="50" s="1"/>
  <c r="Q42" i="45"/>
  <c r="P77" i="49"/>
  <c r="P78" i="49"/>
  <c r="U11" i="50"/>
  <c r="U14" i="50" s="1"/>
  <c r="U44" i="50"/>
  <c r="U49" i="50" s="1"/>
  <c r="U42" i="45"/>
  <c r="S77" i="49"/>
  <c r="S78" i="49"/>
  <c r="W77" i="49"/>
  <c r="V77" i="49"/>
  <c r="V78" i="49"/>
  <c r="S70" i="54"/>
  <c r="S69" i="54"/>
  <c r="E77" i="49"/>
  <c r="E78" i="49"/>
  <c r="S50" i="50" l="1"/>
  <c r="S51" i="50"/>
  <c r="Q16" i="50"/>
  <c r="Q15" i="50"/>
  <c r="V51" i="50"/>
  <c r="W50" i="50"/>
  <c r="V50" i="50"/>
  <c r="R50" i="50"/>
  <c r="R51" i="50"/>
  <c r="O50" i="50"/>
  <c r="O51" i="50"/>
  <c r="W15" i="50"/>
  <c r="V15" i="50"/>
  <c r="V16" i="50"/>
  <c r="F15" i="50"/>
  <c r="F16" i="50"/>
  <c r="T51" i="50"/>
  <c r="T50" i="50"/>
  <c r="F50" i="50"/>
  <c r="F51" i="50"/>
  <c r="E16" i="50"/>
  <c r="E15" i="50"/>
  <c r="P16" i="50"/>
  <c r="P15" i="50"/>
  <c r="P50" i="50"/>
  <c r="P51" i="50"/>
  <c r="U51" i="50"/>
  <c r="U50" i="50"/>
  <c r="T16" i="50"/>
  <c r="T15" i="50"/>
  <c r="O16" i="50"/>
  <c r="O15" i="50"/>
  <c r="S15" i="50"/>
  <c r="S16" i="50"/>
  <c r="E50" i="50"/>
  <c r="E51" i="50"/>
  <c r="U15" i="50"/>
  <c r="U16" i="50"/>
  <c r="Q51" i="50"/>
  <c r="Q50" i="50"/>
  <c r="R15" i="50"/>
  <c r="R1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3" authorId="0" shapeId="0" xr:uid="{7FA1F816-E861-4B92-AFF9-56AE6FDCC275}">
      <text>
        <r>
          <rPr>
            <b/>
            <sz val="9"/>
            <color indexed="81"/>
            <rFont val="Tahoma"/>
            <family val="2"/>
          </rPr>
          <t>Author:</t>
        </r>
        <r>
          <rPr>
            <sz val="9"/>
            <color indexed="81"/>
            <rFont val="Tahoma"/>
            <family val="2"/>
          </rPr>
          <t xml:space="preserve">
12/9/21: http://www.eia.gov/dnav/ng/ng_cons_sum_dcu_sma_a.htm</t>
        </r>
      </text>
    </comment>
    <comment ref="C31" authorId="0" shapeId="0" xr:uid="{62AD7AA8-8E89-4857-8C94-DC1A1F847720}">
      <text>
        <r>
          <rPr>
            <b/>
            <sz val="9"/>
            <color indexed="81"/>
            <rFont val="Tahoma"/>
            <family val="2"/>
          </rPr>
          <t>Author:</t>
        </r>
        <r>
          <rPr>
            <sz val="9"/>
            <color indexed="81"/>
            <rFont val="Tahoma"/>
            <family val="2"/>
          </rPr>
          <t xml:space="preserve">
1.04 if internaltional/domestic jet fuel split were updated.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0" authorId="0" shapeId="0" xr:uid="{0D0E96D8-F184-440A-82D5-D706D3666797}">
      <text>
        <r>
          <rPr>
            <sz val="9"/>
            <color indexed="81"/>
            <rFont val="Tahoma"/>
            <family val="2"/>
          </rPr>
          <t>Value will be 36,762 with corrections to international/domestic jet fuel split (which have already been implemented for 1991+)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29" authorId="0" shapeId="0" xr:uid="{00000000-0006-0000-0900-000003000000}">
      <text>
        <r>
          <rPr>
            <b/>
            <sz val="9"/>
            <color rgb="FF000000"/>
            <rFont val="Tahoma"/>
            <family val="2"/>
          </rPr>
          <t>Author:</t>
        </r>
        <r>
          <rPr>
            <sz val="9"/>
            <color rgb="FF000000"/>
            <rFont val="Tahoma"/>
            <family val="2"/>
          </rPr>
          <t xml:space="preserve">
</t>
        </r>
        <r>
          <rPr>
            <sz val="9"/>
            <color rgb="FF000000"/>
            <rFont val="Tahoma"/>
            <family val="2"/>
          </rPr>
          <t>PLASTIC=PLASTIC=RCI</t>
        </r>
      </text>
    </comment>
    <comment ref="N47" authorId="0" shapeId="0" xr:uid="{ABA78453-8D85-470D-865F-CD19CA81B82B}">
      <text>
        <r>
          <rPr>
            <b/>
            <sz val="9"/>
            <color indexed="81"/>
            <rFont val="Tahoma"/>
            <family val="2"/>
          </rPr>
          <t>Author:</t>
        </r>
        <r>
          <rPr>
            <sz val="9"/>
            <color indexed="81"/>
            <rFont val="Tahoma"/>
            <family val="2"/>
          </rPr>
          <t xml:space="preserve">
decrease due to changes in 'average length of services' reported to PHMSA</t>
        </r>
      </text>
    </comment>
    <comment ref="X49" authorId="0" shapeId="0" xr:uid="{B90B87EC-5AA8-4943-B192-C29FEC350A39}">
      <text>
        <r>
          <rPr>
            <b/>
            <sz val="9"/>
            <color indexed="81"/>
            <rFont val="Tahoma"/>
            <family val="2"/>
          </rPr>
          <t>Author:</t>
        </r>
        <r>
          <rPr>
            <sz val="9"/>
            <color indexed="81"/>
            <rFont val="Tahoma"/>
            <family val="2"/>
          </rPr>
          <t xml:space="preserve">
This value now comes directly from PHMSA.</t>
        </r>
      </text>
    </comment>
    <comment ref="V65" authorId="0" shapeId="0" xr:uid="{00000000-0006-0000-0900-000004000000}">
      <text>
        <r>
          <rPr>
            <b/>
            <sz val="9"/>
            <color rgb="FF000000"/>
            <rFont val="Tahoma"/>
            <family val="2"/>
          </rPr>
          <t>Author:</t>
        </r>
        <r>
          <rPr>
            <sz val="9"/>
            <color rgb="FF000000"/>
            <rFont val="Tahoma"/>
            <family val="2"/>
          </rPr>
          <t xml:space="preserve">
</t>
        </r>
        <r>
          <rPr>
            <sz val="9"/>
            <color rgb="FF000000"/>
            <rFont val="Tahoma"/>
            <family val="2"/>
          </rPr>
          <t>originally 1,236,480</t>
        </r>
      </text>
    </comment>
    <comment ref="V66" authorId="0" shapeId="0" xr:uid="{00000000-0006-0000-0900-000005000000}">
      <text>
        <r>
          <rPr>
            <b/>
            <sz val="9"/>
            <color rgb="FF000000"/>
            <rFont val="Tahoma"/>
            <family val="2"/>
          </rPr>
          <t>Author:</t>
        </r>
        <r>
          <rPr>
            <sz val="9"/>
            <color rgb="FF000000"/>
            <rFont val="Tahoma"/>
            <family val="2"/>
          </rPr>
          <t xml:space="preserve">
</t>
        </r>
        <r>
          <rPr>
            <sz val="9"/>
            <color rgb="FF000000"/>
            <rFont val="Tahoma"/>
            <family val="2"/>
          </rPr>
          <t>originally 242,693</t>
        </r>
      </text>
    </comment>
    <comment ref="W66" authorId="0" shapeId="0" xr:uid="{00000000-0006-0000-0900-000006000000}">
      <text>
        <r>
          <rPr>
            <b/>
            <sz val="9"/>
            <color rgb="FF000000"/>
            <rFont val="Tahoma"/>
            <family val="2"/>
          </rPr>
          <t>Author:</t>
        </r>
        <r>
          <rPr>
            <sz val="9"/>
            <color rgb="FF000000"/>
            <rFont val="Tahoma"/>
            <family val="2"/>
          </rPr>
          <t xml:space="preserve">
</t>
        </r>
        <r>
          <rPr>
            <sz val="9"/>
            <color rgb="FF000000"/>
            <rFont val="Tahoma"/>
            <family val="2"/>
          </rPr>
          <t>originally 153,826</t>
        </r>
      </text>
    </comment>
    <comment ref="V67" authorId="0" shapeId="0" xr:uid="{00000000-0006-0000-0900-000007000000}">
      <text>
        <r>
          <rPr>
            <b/>
            <sz val="9"/>
            <color rgb="FF000000"/>
            <rFont val="Tahoma"/>
            <family val="2"/>
          </rPr>
          <t>Author:</t>
        </r>
        <r>
          <rPr>
            <sz val="9"/>
            <color rgb="FF000000"/>
            <rFont val="Tahoma"/>
            <family val="2"/>
          </rPr>
          <t xml:space="preserve">
</t>
        </r>
        <r>
          <rPr>
            <sz val="9"/>
            <color rgb="FF000000"/>
            <rFont val="Tahoma"/>
            <family val="2"/>
          </rPr>
          <t>originally 36,928</t>
        </r>
      </text>
    </comment>
    <comment ref="W67" authorId="0" shapeId="0" xr:uid="{00000000-0006-0000-0900-000008000000}">
      <text>
        <r>
          <rPr>
            <b/>
            <sz val="9"/>
            <color rgb="FF000000"/>
            <rFont val="Tahoma"/>
            <family val="2"/>
          </rPr>
          <t>Author:</t>
        </r>
        <r>
          <rPr>
            <sz val="9"/>
            <color rgb="FF000000"/>
            <rFont val="Tahoma"/>
            <family val="2"/>
          </rPr>
          <t xml:space="preserve">
</t>
        </r>
        <r>
          <rPr>
            <sz val="9"/>
            <color rgb="FF000000"/>
            <rFont val="Tahoma"/>
            <family val="2"/>
          </rPr>
          <t>originally 19,208</t>
        </r>
      </text>
    </comment>
    <comment ref="AJ70" authorId="0" shapeId="0" xr:uid="{1013B47C-9B8A-47E4-AD8A-1CBED154CFF0}">
      <text>
        <r>
          <rPr>
            <sz val="9"/>
            <color indexed="81"/>
            <rFont val="Tahoma"/>
            <family val="2"/>
          </rPr>
          <t xml:space="preserve">Placeholder 2021 value until 2023 value is available
</t>
        </r>
      </text>
    </comment>
    <comment ref="B289" authorId="0" shapeId="0" xr:uid="{968BB501-4AA6-034A-BF8A-D1FD1E914048}">
      <text>
        <r>
          <rPr>
            <sz val="10"/>
            <color rgb="FF000000"/>
            <rFont val="Calibri"/>
            <family val="2"/>
          </rPr>
          <t xml:space="preserve">Author:
</t>
        </r>
        <r>
          <rPr>
            <sz val="10"/>
            <color rgb="FF000000"/>
            <rFont val="Calibri"/>
            <family val="2"/>
          </rPr>
          <t xml:space="preserve">Includes Cast/Wrought/Ductile Iron and Other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9" authorId="0" shapeId="0" xr:uid="{543AE039-7008-1A43-8ACE-2B7C38625BF0}">
      <text>
        <r>
          <rPr>
            <b/>
            <sz val="10"/>
            <color rgb="FF000000"/>
            <rFont val="Tahoma"/>
            <family val="2"/>
          </rPr>
          <t>Author:</t>
        </r>
        <r>
          <rPr>
            <sz val="10"/>
            <color rgb="FF000000"/>
            <rFont val="Tahoma"/>
            <family val="2"/>
          </rPr>
          <t xml:space="preserve">
</t>
        </r>
        <r>
          <rPr>
            <sz val="10"/>
            <color rgb="FF000000"/>
            <rFont val="Tahoma"/>
            <family val="2"/>
          </rPr>
          <t>Southwick started</t>
        </r>
      </text>
    </comment>
    <comment ref="AI9" authorId="0" shapeId="0" xr:uid="{508E91E9-FEBE-4A83-B3F1-9E292A1798FC}">
      <text>
        <r>
          <rPr>
            <b/>
            <sz val="9"/>
            <color indexed="81"/>
            <rFont val="Tahoma"/>
            <family val="2"/>
          </rPr>
          <t>Author:</t>
        </r>
        <r>
          <rPr>
            <sz val="9"/>
            <color indexed="81"/>
            <rFont val="Tahoma"/>
            <family val="2"/>
          </rPr>
          <t xml:space="preserve">
Weymouth start up January 2021</t>
        </r>
      </text>
    </comment>
    <comment ref="Y11" authorId="0" shapeId="0" xr:uid="{7F9B8463-D7BB-B349-85C1-F8157129CE3F}">
      <text>
        <r>
          <rPr>
            <b/>
            <sz val="10"/>
            <color rgb="FF000000"/>
            <rFont val="Tahoma"/>
            <family val="2"/>
          </rPr>
          <t>Author:</t>
        </r>
        <r>
          <rPr>
            <sz val="10"/>
            <color rgb="FF000000"/>
            <rFont val="Tahoma"/>
            <family val="2"/>
          </rPr>
          <t xml:space="preserve">
</t>
        </r>
        <r>
          <rPr>
            <sz val="10"/>
            <color rgb="FF000000"/>
            <rFont val="Tahoma"/>
            <family val="2"/>
          </rPr>
          <t>The change from 3 to 1 reciprocating compressor probably happened in earlier years but we do not have data (FLIGHT began in 2011)</t>
        </r>
      </text>
    </comment>
    <comment ref="Y12" authorId="0" shapeId="0" xr:uid="{D41F31F3-1DD7-4AAB-8E2A-465A84326F00}">
      <text>
        <r>
          <rPr>
            <sz val="9"/>
            <color indexed="81"/>
            <rFont val="Tahoma"/>
            <family val="2"/>
          </rPr>
          <t>3/9/22 email from TGP Hopkinton correction - there were 5 WS compressors starting 2011</t>
        </r>
      </text>
    </comment>
    <comment ref="AH12" authorId="0" shapeId="0" xr:uid="{8B39E57B-7E04-4CC6-B1B4-7E5F547152F0}">
      <text>
        <r>
          <rPr>
            <b/>
            <sz val="9"/>
            <color indexed="81"/>
            <rFont val="Tahoma"/>
            <family val="2"/>
          </rPr>
          <t xml:space="preserve">Author: </t>
        </r>
        <r>
          <rPr>
            <sz val="9"/>
            <color indexed="81"/>
            <rFont val="Tahoma"/>
            <family val="2"/>
          </rPr>
          <t xml:space="preserve">
4 below + 5 hopkinton</t>
        </r>
      </text>
    </comment>
    <comment ref="Z13" authorId="0" shapeId="0" xr:uid="{64F726BE-4B90-9946-BC52-A7759765A5CE}">
      <text>
        <r>
          <rPr>
            <b/>
            <sz val="10"/>
            <color rgb="FF000000"/>
            <rFont val="Tahoma"/>
            <family val="2"/>
          </rPr>
          <t>Author:</t>
        </r>
        <r>
          <rPr>
            <sz val="10"/>
            <color rgb="FF000000"/>
            <rFont val="Tahoma"/>
            <family val="2"/>
          </rPr>
          <t xml:space="preserve">
</t>
        </r>
        <r>
          <rPr>
            <sz val="10"/>
            <color rgb="FF000000"/>
            <rFont val="Tahoma"/>
            <family val="2"/>
          </rPr>
          <t>Southwick started</t>
        </r>
      </text>
    </comment>
    <comment ref="AI13" authorId="0" shapeId="0" xr:uid="{CB145F5C-2425-49B1-8471-29AD549F1A37}">
      <text>
        <r>
          <rPr>
            <b/>
            <sz val="9"/>
            <color indexed="81"/>
            <rFont val="Tahoma"/>
            <family val="2"/>
          </rPr>
          <t>Author:</t>
        </r>
        <r>
          <rPr>
            <sz val="9"/>
            <color indexed="81"/>
            <rFont val="Tahoma"/>
            <family val="2"/>
          </rPr>
          <t xml:space="preserve">
Weymouth 1 dry-seal centrifugul compressor</t>
        </r>
      </text>
    </comment>
    <comment ref="B15" authorId="0" shapeId="0" xr:uid="{35F9BD91-BF2F-C14E-BBDA-9B42CD28EAD3}">
      <text>
        <r>
          <rPr>
            <sz val="10"/>
            <color rgb="FF000000"/>
            <rFont val="Tahoma"/>
            <family val="2"/>
          </rPr>
          <t xml:space="preserve">Author:
</t>
        </r>
        <r>
          <rPr>
            <sz val="10"/>
            <color rgb="FF000000"/>
            <rFont val="Tahoma"/>
            <family val="2"/>
          </rPr>
          <t>7/10/20 - TGP: no dehydrator vents. Confirmed with FLIGHT reports - there are no dehydrator vents at TGP stations.</t>
        </r>
      </text>
    </comment>
    <comment ref="B16" authorId="0" shapeId="0" xr:uid="{39A7A510-132D-ED4D-9B28-5617B945FEA5}">
      <text>
        <r>
          <rPr>
            <b/>
            <sz val="10"/>
            <color rgb="FF000000"/>
            <rFont val="Calibri"/>
            <family val="2"/>
          </rPr>
          <t>Author:</t>
        </r>
        <r>
          <rPr>
            <sz val="10"/>
            <color rgb="FF000000"/>
            <rFont val="Calibri"/>
            <family val="2"/>
          </rPr>
          <t xml:space="preserve">
</t>
        </r>
        <r>
          <rPr>
            <sz val="10"/>
            <color rgb="FF000000"/>
            <rFont val="Calibri"/>
            <family val="2"/>
          </rPr>
          <t xml:space="preserve">7/10/20 - TGP: no station flaring. Confirmed with FLIGHT reports: there are no flare stacks at TGP stations.
</t>
        </r>
      </text>
    </comment>
    <comment ref="Y18" authorId="0" shapeId="0" xr:uid="{237EA8AC-D04E-FE4D-A329-114CCED14BDA}">
      <text>
        <r>
          <rPr>
            <b/>
            <sz val="10"/>
            <color rgb="FF000000"/>
            <rFont val="Tahoma"/>
            <family val="2"/>
          </rPr>
          <t>Author:</t>
        </r>
        <r>
          <rPr>
            <sz val="10"/>
            <color rgb="FF000000"/>
            <rFont val="Tahoma"/>
            <family val="2"/>
          </rPr>
          <t xml:space="preserve">
</t>
        </r>
        <r>
          <rPr>
            <sz val="10"/>
            <color rgb="FF000000"/>
            <rFont val="Tahoma"/>
            <family val="2"/>
          </rPr>
          <t>FLIGHT data begins. Not sure when Mendon (33) started up. Southwick does not have gas driven pneumatic devices.</t>
        </r>
      </text>
    </comment>
    <comment ref="Y20" authorId="0" shapeId="0" xr:uid="{AB737CB4-9FD4-9145-AFBC-C4BF8691B315}">
      <text>
        <r>
          <rPr>
            <b/>
            <sz val="10"/>
            <color rgb="FF000000"/>
            <rFont val="Tahoma"/>
            <family val="2"/>
          </rPr>
          <t>Author:</t>
        </r>
        <r>
          <rPr>
            <sz val="10"/>
            <color rgb="FF000000"/>
            <rFont val="Tahoma"/>
            <family val="2"/>
          </rPr>
          <t xml:space="preserve">
</t>
        </r>
        <r>
          <rPr>
            <sz val="10"/>
            <color rgb="FF000000"/>
            <rFont val="Tahoma"/>
            <family val="2"/>
          </rPr>
          <t>As above</t>
        </r>
      </text>
    </comment>
    <comment ref="AH20" authorId="0" shapeId="0" xr:uid="{8974997D-1D6B-483F-8DCE-3EA51E1A8B1D}">
      <text>
        <r>
          <rPr>
            <b/>
            <sz val="9"/>
            <color indexed="81"/>
            <rFont val="Tahoma"/>
            <family val="2"/>
          </rPr>
          <t>Author:</t>
        </r>
        <r>
          <rPr>
            <sz val="9"/>
            <color indexed="81"/>
            <rFont val="Tahoma"/>
            <family val="2"/>
          </rPr>
          <t xml:space="preserve">
133 from (FLIGHT) + 47 hopkinton (TGP)</t>
        </r>
      </text>
    </comment>
    <comment ref="AI20" authorId="0" shapeId="0" xr:uid="{9F513471-EBD1-4141-ACDA-69A9E249DFB2}">
      <text>
        <r>
          <rPr>
            <b/>
            <sz val="9"/>
            <color indexed="81"/>
            <rFont val="Tahoma"/>
            <family val="2"/>
          </rPr>
          <t>Author:</t>
        </r>
        <r>
          <rPr>
            <sz val="9"/>
            <color indexed="81"/>
            <rFont val="Tahoma"/>
            <family val="2"/>
          </rPr>
          <t xml:space="preserve">
6 pneumatic intermittent-bleed devices from Weymouth</t>
        </r>
      </text>
    </comment>
    <comment ref="Z25" authorId="0" shapeId="0" xr:uid="{A58FC584-9548-6C4A-8C46-B0B5159E424D}">
      <text>
        <r>
          <rPr>
            <b/>
            <sz val="10"/>
            <color rgb="FF000000"/>
            <rFont val="Tahoma"/>
            <family val="2"/>
          </rPr>
          <t>Author:</t>
        </r>
        <r>
          <rPr>
            <sz val="10"/>
            <color rgb="FF000000"/>
            <rFont val="Tahoma"/>
            <family val="2"/>
          </rPr>
          <t xml:space="preserve">
</t>
        </r>
        <r>
          <rPr>
            <sz val="10"/>
            <color rgb="FF000000"/>
            <rFont val="Tahoma"/>
            <family val="2"/>
          </rPr>
          <t>Southwick started</t>
        </r>
      </text>
    </comment>
    <comment ref="C27" authorId="0" shapeId="0" xr:uid="{68302835-BB79-1749-8723-A859866F1A2F}">
      <text>
        <r>
          <rPr>
            <sz val="10"/>
            <color rgb="FF000000"/>
            <rFont val="Calibri"/>
            <family val="2"/>
          </rPr>
          <t xml:space="preserve">Author:
</t>
        </r>
        <r>
          <rPr>
            <sz val="10"/>
            <color rgb="FF000000"/>
            <rFont val="Calibri"/>
            <family val="2"/>
          </rPr>
          <t xml:space="preserve">The 10 portable vaporizers in Lowell have been included as a single LNG station since they appear to have essentially replaced the Westford LNG Station that retired in 1972.
</t>
        </r>
      </text>
    </comment>
    <comment ref="N27" authorId="0" shapeId="0" xr:uid="{1AE249B4-ECE0-634D-AD5F-D78209DA017B}">
      <text>
        <r>
          <rPr>
            <b/>
            <sz val="10"/>
            <color rgb="FF000000"/>
            <rFont val="Tahoma"/>
            <family val="2"/>
          </rPr>
          <t>Author:</t>
        </r>
        <r>
          <rPr>
            <sz val="10"/>
            <color rgb="FF000000"/>
            <rFont val="Tahoma"/>
            <family val="2"/>
          </rPr>
          <t xml:space="preserve">
Whately - new in 2000</t>
        </r>
      </text>
    </comment>
    <comment ref="AG27" authorId="0" shapeId="0" xr:uid="{934E9502-A3C3-4FE7-9D8B-3BFC213B107C}">
      <text>
        <r>
          <rPr>
            <b/>
            <sz val="9"/>
            <color indexed="81"/>
            <rFont val="Tahoma"/>
            <family val="2"/>
          </rPr>
          <t>Author:</t>
        </r>
        <r>
          <rPr>
            <sz val="9"/>
            <color indexed="81"/>
            <rFont val="Tahoma"/>
            <family val="2"/>
          </rPr>
          <t xml:space="preserve">
Starting 4/1/2019 there were 12 portable units at Lowell. 
</t>
        </r>
      </text>
    </comment>
    <comment ref="AJ27" authorId="0" shapeId="0" xr:uid="{36100C8B-47C9-429C-90C6-132FD100CE2B}">
      <text>
        <r>
          <rPr>
            <b/>
            <sz val="9"/>
            <color indexed="81"/>
            <rFont val="Tahoma"/>
            <family val="2"/>
          </rPr>
          <t>Author:</t>
        </r>
        <r>
          <rPr>
            <sz val="9"/>
            <color indexed="81"/>
            <rFont val="Tahoma"/>
            <family val="2"/>
          </rPr>
          <t xml:space="preserve">
8 portable vaporizer units in service in Lowell, 6 additional 'abandoned'</t>
        </r>
      </text>
    </comment>
    <comment ref="AK27" authorId="0" shapeId="0" xr:uid="{62752E7F-9171-4CE0-82C9-986CCB3F9580}">
      <text>
        <r>
          <rPr>
            <b/>
            <sz val="9"/>
            <color indexed="81"/>
            <rFont val="Tahoma"/>
            <family val="2"/>
          </rPr>
          <t>Author:</t>
        </r>
        <r>
          <rPr>
            <sz val="9"/>
            <color indexed="81"/>
            <rFont val="Tahoma"/>
            <family val="2"/>
          </rPr>
          <t xml:space="preserve">
6 portable vavporizer units in service in Lowell, 2 additional 'abandoned'</t>
        </r>
      </text>
    </comment>
    <comment ref="C28" authorId="0" shapeId="0" xr:uid="{EED378D1-FF2E-7E4C-B8B5-1F8C3CAD9DEE}">
      <text>
        <r>
          <rPr>
            <sz val="10"/>
            <color rgb="FF000000"/>
            <rFont val="Tahoma"/>
            <family val="2"/>
          </rPr>
          <t xml:space="preserve">Author:
</t>
        </r>
        <r>
          <rPr>
            <sz val="10"/>
            <color rgb="FF000000"/>
            <rFont val="Tahoma"/>
            <family val="2"/>
          </rPr>
          <t>see note directly above</t>
        </r>
      </text>
    </comment>
    <comment ref="C30" authorId="0" shapeId="0" xr:uid="{448C659C-2022-B146-A5C0-96E302B5808C}">
      <text>
        <r>
          <rPr>
            <b/>
            <sz val="10"/>
            <color rgb="FF000000"/>
            <rFont val="Tahoma"/>
            <family val="2"/>
          </rPr>
          <t xml:space="preserve">Author: </t>
        </r>
        <r>
          <rPr>
            <sz val="10"/>
            <color rgb="FF000000"/>
            <rFont val="Tahoma"/>
            <family val="2"/>
          </rPr>
          <t>Distrigas has operated continuously. Operation of the 2 offshore terminals [Northeast Gateway/Excelerate and 
and Neptune/ENGIE (rec'd gas only in 2010, shut down until 2022)] determined by EIA-176 data.</t>
        </r>
      </text>
    </comment>
    <comment ref="V30" authorId="0" shapeId="0" xr:uid="{205B8E52-9B48-684D-957B-42604802BA72}">
      <text>
        <r>
          <rPr>
            <b/>
            <sz val="10"/>
            <color rgb="FF000000"/>
            <rFont val="Tahoma"/>
            <family val="2"/>
          </rPr>
          <t>Author:</t>
        </r>
        <r>
          <rPr>
            <sz val="10"/>
            <color rgb="FF000000"/>
            <rFont val="Tahoma"/>
            <family val="2"/>
          </rPr>
          <t xml:space="preserve">
Distrigas &amp; Excelerate</t>
        </r>
      </text>
    </comment>
    <comment ref="X30" authorId="0" shapeId="0" xr:uid="{2AAE9766-A804-6642-9E35-3EF704CEEB7E}">
      <text>
        <r>
          <rPr>
            <b/>
            <sz val="10"/>
            <color rgb="FF000000"/>
            <rFont val="Tahoma"/>
            <family val="2"/>
          </rPr>
          <t>Author:</t>
        </r>
        <r>
          <rPr>
            <sz val="10"/>
            <color rgb="FF000000"/>
            <rFont val="Tahoma"/>
            <family val="2"/>
          </rPr>
          <t xml:space="preserve">
Distrigas, Northeast Gateway, Neptune</t>
        </r>
      </text>
    </comment>
    <comment ref="AC30" authorId="0" shapeId="0" xr:uid="{2B7CA414-694F-D84B-BF3A-374954DA66F2}">
      <text>
        <r>
          <rPr>
            <b/>
            <sz val="10"/>
            <color rgb="FF000000"/>
            <rFont val="Tahoma"/>
            <family val="2"/>
          </rPr>
          <t>Author:</t>
        </r>
        <r>
          <rPr>
            <sz val="10"/>
            <color rgb="FF000000"/>
            <rFont val="Tahoma"/>
            <family val="2"/>
          </rPr>
          <t xml:space="preserve">
</t>
        </r>
        <r>
          <rPr>
            <sz val="10"/>
            <color rgb="FF000000"/>
            <rFont val="Tahoma"/>
            <family val="2"/>
          </rPr>
          <t>Distrigas &amp; Excelerate</t>
        </r>
      </text>
    </comment>
    <comment ref="AG30" authorId="0" shapeId="0" xr:uid="{D9EEEE41-A29B-BB45-A30B-D45D8501B5A1}">
      <text>
        <r>
          <rPr>
            <b/>
            <sz val="10"/>
            <color rgb="FF000000"/>
            <rFont val="Tahoma"/>
            <family val="2"/>
          </rPr>
          <t>Author:</t>
        </r>
        <r>
          <rPr>
            <sz val="10"/>
            <color rgb="FF000000"/>
            <rFont val="Tahoma"/>
            <family val="2"/>
          </rPr>
          <t xml:space="preserve">
Distrigas and Excelerate
https://www.eia.gov/naturalgas/weekly/archivenew_ngwu/2022/01_20/#itn-tabs-1</t>
        </r>
      </text>
    </comment>
    <comment ref="AJ30" authorId="0" shapeId="0" xr:uid="{C21BF476-263B-4C19-8B50-F11DBCC38FD8}">
      <text>
        <r>
          <rPr>
            <b/>
            <sz val="10"/>
            <color rgb="FF000000"/>
            <rFont val="Tahoma"/>
            <family val="2"/>
          </rPr>
          <t>Author:</t>
        </r>
        <r>
          <rPr>
            <sz val="10"/>
            <color rgb="FF000000"/>
            <rFont val="Tahoma"/>
            <family val="2"/>
          </rPr>
          <t xml:space="preserve">
Distrigas and Excelerate
https://www.eia.gov/naturalgas/weekly/archivenew_ngwu/2022/01_20/#itn-tabs-1</t>
        </r>
      </text>
    </comment>
    <comment ref="C31" authorId="0" shapeId="0" xr:uid="{F64974F5-954B-514D-8E06-86C0337F8D62}">
      <text>
        <r>
          <rPr>
            <sz val="10"/>
            <color rgb="FF000000"/>
            <rFont val="Tahoma"/>
            <family val="2"/>
          </rPr>
          <t xml:space="preserve">Author:
</t>
        </r>
        <r>
          <rPr>
            <sz val="10"/>
            <color rgb="FF000000"/>
            <rFont val="Tahoma"/>
            <family val="2"/>
          </rPr>
          <t>see note directly above</t>
        </r>
      </text>
    </comment>
    <comment ref="B97" authorId="0" shapeId="0" xr:uid="{57405B49-30E4-EF46-B0A8-402FADCBF48D}">
      <text>
        <r>
          <rPr>
            <b/>
            <sz val="10"/>
            <color rgb="FF000000"/>
            <rFont val="Calibri"/>
            <family val="2"/>
            <scheme val="minor"/>
          </rPr>
          <t>Author:</t>
        </r>
        <r>
          <rPr>
            <sz val="10"/>
            <color rgb="FF000000"/>
            <rFont val="Calibri"/>
            <family val="2"/>
            <scheme val="minor"/>
          </rPr>
          <t xml:space="preserve">
Beginning 2015, number of stations is subtracted for stations that report to EPA FLIGHT and methane emissions from Other Station Leaks reported to FLIGHT are added back in. 
</t>
        </r>
      </text>
    </comment>
    <comment ref="B98" authorId="0" shapeId="0" xr:uid="{6ACA0498-FFDD-7D41-A0AA-AB1A1866CDCF}">
      <text>
        <r>
          <rPr>
            <b/>
            <sz val="10"/>
            <color rgb="FF000000"/>
            <rFont val="Calibri"/>
            <family val="2"/>
            <scheme val="minor"/>
          </rPr>
          <t>Author:</t>
        </r>
        <r>
          <rPr>
            <sz val="10"/>
            <color rgb="FF000000"/>
            <rFont val="Calibri"/>
            <family val="2"/>
            <scheme val="minor"/>
          </rPr>
          <t xml:space="preserve">
Beginning 2015, number of reciprocating compressors is subtracted for stations that report to EPA FLIGHT and methane emissions from compressor leaks reported to FLIGHT are added back in. 
</t>
        </r>
      </text>
    </comment>
    <comment ref="B99" authorId="0" shapeId="0" xr:uid="{DC38A785-6750-9E48-99AE-E57A3D9884EC}">
      <text>
        <r>
          <rPr>
            <b/>
            <sz val="10"/>
            <color rgb="FF000000"/>
            <rFont val="Calibri"/>
            <family val="2"/>
            <scheme val="minor"/>
          </rPr>
          <t>Author:</t>
        </r>
        <r>
          <rPr>
            <sz val="10"/>
            <color rgb="FF000000"/>
            <rFont val="Calibri"/>
            <family val="2"/>
            <scheme val="minor"/>
          </rPr>
          <t xml:space="preserve">
Beginning 2015, number of centrifugal wet seal compressors is subtracted for stations that report to EPA FLIGHT and methane emissions from centrifugal wet seal compressor leaks reported to FLIGHT are added back in. 
. 
</t>
        </r>
      </text>
    </comment>
    <comment ref="B100" authorId="0" shapeId="0" xr:uid="{FA570323-C7F4-6045-91C7-645C3C070B6C}">
      <text>
        <r>
          <rPr>
            <b/>
            <sz val="10"/>
            <color rgb="FF000000"/>
            <rFont val="Calibri"/>
            <family val="2"/>
            <scheme val="minor"/>
          </rPr>
          <t>Author:</t>
        </r>
        <r>
          <rPr>
            <sz val="10"/>
            <color rgb="FF000000"/>
            <rFont val="Calibri"/>
            <family val="2"/>
            <scheme val="minor"/>
          </rPr>
          <t xml:space="preserve">
Beginning 2015, number of centrifugal dry seal compressors is subtracted for stations that report to EPA FLIGHT and methane emissions from centrifugal dry seal compressor leaks reported to FLIGHT are added back in. 
</t>
        </r>
      </text>
    </comment>
    <comment ref="B103" authorId="0" shapeId="0" xr:uid="{E4A5F25E-1827-2243-A5F3-A9646A8F12C3}">
      <text>
        <r>
          <rPr>
            <b/>
            <sz val="10"/>
            <color rgb="FF000000"/>
            <rFont val="Calibri"/>
            <family val="2"/>
            <scheme val="minor"/>
          </rPr>
          <t>Author:</t>
        </r>
        <r>
          <rPr>
            <sz val="10"/>
            <color rgb="FF000000"/>
            <rFont val="Calibri"/>
            <family val="2"/>
            <scheme val="minor"/>
          </rPr>
          <t xml:space="preserve">
Number of dehydrator vents set to 0 above in the inventory because MA compressor stations do not have dehydrator vents.
</t>
        </r>
      </text>
    </comment>
    <comment ref="B104" authorId="0" shapeId="0" xr:uid="{AB46055D-ACA1-D344-A04A-1F4BAD51D0B0}">
      <text>
        <r>
          <rPr>
            <b/>
            <sz val="10"/>
            <color rgb="FF000000"/>
            <rFont val="Tahoma"/>
            <family val="2"/>
          </rPr>
          <t>Author:</t>
        </r>
        <r>
          <rPr>
            <sz val="10"/>
            <color rgb="FF000000"/>
            <rFont val="Tahoma"/>
            <family val="2"/>
          </rPr>
          <t xml:space="preserve">
Number of compressor stations set to 0 above in the inventory because MA compressor stations do not have flares.</t>
        </r>
      </text>
    </comment>
    <comment ref="B108" authorId="0" shapeId="0" xr:uid="{0DC0598A-0187-234F-B431-A601BB010447}">
      <text>
        <r>
          <rPr>
            <sz val="10"/>
            <color rgb="FF000000"/>
            <rFont val="Tahoma"/>
            <family val="2"/>
          </rPr>
          <t xml:space="preserve">Author:
</t>
        </r>
        <r>
          <rPr>
            <sz val="10"/>
            <color rgb="FF000000"/>
            <rFont val="Tahoma"/>
            <family val="2"/>
          </rPr>
          <t>GHGI emission factors are used for all pneumatic devices since the emissions reported to FLIGHT use the same per device EF.</t>
        </r>
      </text>
    </comment>
    <comment ref="B112" authorId="0" shapeId="0" xr:uid="{870BB011-C09D-634C-B0B0-B2AF584BA599}">
      <text>
        <r>
          <rPr>
            <sz val="10"/>
            <color rgb="FF000000"/>
            <rFont val="Tahoma"/>
            <family val="2"/>
          </rPr>
          <t>Author: Beginning 2016, p</t>
        </r>
        <r>
          <rPr>
            <sz val="10"/>
            <color rgb="FF000000"/>
            <rFont val="Calibri"/>
            <family val="2"/>
          </rPr>
          <t>ipeline miles subtracted for companies that report to EPA FLIGHT and m</t>
        </r>
        <r>
          <rPr>
            <sz val="10"/>
            <color rgb="FF000000"/>
            <rFont val="Tahoma"/>
            <family val="2"/>
          </rPr>
          <t>ethane emissions from transmission pipeline venting reported to FLIGHT are added back in.</t>
        </r>
      </text>
    </comment>
    <comment ref="B114" authorId="0" shapeId="0" xr:uid="{6FE51877-ED05-F64D-A5BB-B143D81944D1}">
      <text>
        <r>
          <rPr>
            <b/>
            <sz val="10"/>
            <color rgb="FF000000"/>
            <rFont val="Tahoma"/>
            <family val="2"/>
          </rPr>
          <t xml:space="preserve">Microsoft Office User: </t>
        </r>
        <r>
          <rPr>
            <sz val="10"/>
            <color rgb="FF000000"/>
            <rFont val="Calibri"/>
            <family val="2"/>
          </rPr>
          <t xml:space="preserve">Beginning 2015, number of stations is subtracted for stations that report to EPA FLIGHT and methane emissions from station venting reported to FLIGHT are added back in. </t>
        </r>
        <r>
          <rPr>
            <sz val="10"/>
            <color rgb="FF000000"/>
            <rFont val="Tahoma"/>
            <family val="2"/>
          </rPr>
          <t xml:space="preserve">
</t>
        </r>
      </text>
    </comment>
    <comment ref="B119" authorId="0" shapeId="0" xr:uid="{79402F58-5CEC-1C46-9041-C0788322666B}">
      <text>
        <r>
          <rPr>
            <b/>
            <sz val="10"/>
            <color rgb="FF000000"/>
            <rFont val="Tahoma"/>
            <family val="2"/>
          </rPr>
          <t>Author:</t>
        </r>
        <r>
          <rPr>
            <sz val="10"/>
            <color rgb="FF000000"/>
            <rFont val="Tahoma"/>
            <family val="2"/>
          </rPr>
          <t xml:space="preserve">
</t>
        </r>
        <r>
          <rPr>
            <sz val="10"/>
            <color rgb="FF000000"/>
            <rFont val="Calibri"/>
            <family val="2"/>
            <scheme val="minor"/>
          </rPr>
          <t>Beginning 2014, number of terminals is subtracted for terminals that report to EPA FLIGHT and methane emissions from terminal leaks reported to FLIGHT are added back in.</t>
        </r>
        <r>
          <rPr>
            <sz val="10"/>
            <color rgb="FF000000"/>
            <rFont val="Calibri"/>
            <family val="2"/>
            <scheme val="minor"/>
          </rPr>
          <t xml:space="preserve"> </t>
        </r>
      </text>
    </comment>
    <comment ref="B120" authorId="0" shapeId="0" xr:uid="{87377075-1CB4-9949-9CD3-48B82F343539}">
      <text>
        <r>
          <rPr>
            <b/>
            <sz val="10"/>
            <color rgb="FF000000"/>
            <rFont val="Tahoma"/>
            <family val="2"/>
          </rPr>
          <t>Author:</t>
        </r>
        <r>
          <rPr>
            <sz val="10"/>
            <color rgb="FF000000"/>
            <rFont val="Tahoma"/>
            <family val="2"/>
          </rPr>
          <t xml:space="preserve">
</t>
        </r>
        <r>
          <rPr>
            <sz val="10"/>
            <color rgb="FF000000"/>
            <rFont val="Calibri"/>
            <family val="2"/>
            <scheme val="minor"/>
          </rPr>
          <t>Beginning 2011, number of terminals is subtracted for terminals that report to EPA FLIGHT and methane emissions from terminal blowdowns reported to FLIGHT are added back in.</t>
        </r>
        <r>
          <rPr>
            <sz val="10"/>
            <color rgb="FF000000"/>
            <rFont val="Calibri"/>
            <family val="2"/>
            <scheme val="minor"/>
          </rPr>
          <t xml:space="preserve"> </t>
        </r>
      </text>
    </comment>
    <comment ref="Y121" authorId="0" shapeId="0" xr:uid="{23EA09DE-9082-414C-AFEA-82A75F6D1761}">
      <text>
        <r>
          <rPr>
            <b/>
            <sz val="10"/>
            <color rgb="FF000000"/>
            <rFont val="Tahoma"/>
            <family val="2"/>
          </rPr>
          <t xml:space="preserve">Microsoft Office User: </t>
        </r>
        <r>
          <rPr>
            <sz val="10"/>
            <color rgb="FF000000"/>
            <rFont val="Tahoma"/>
            <family val="2"/>
          </rPr>
          <t>2011: Switch to equipment-specific values where available.</t>
        </r>
      </text>
    </comment>
    <comment ref="C185" authorId="0" shapeId="0" xr:uid="{59B53D3F-5ADB-6948-8CCB-FBC40AB3AE86}">
      <text>
        <r>
          <rPr>
            <b/>
            <sz val="10"/>
            <color rgb="FF000000"/>
            <rFont val="Tahoma"/>
            <family val="2"/>
          </rPr>
          <t>Microsoft Office User: from EPA GHGI:</t>
        </r>
        <r>
          <rPr>
            <sz val="10"/>
            <color rgb="FF000000"/>
            <rFont val="Tahoma"/>
            <family val="2"/>
          </rPr>
          <t xml:space="preserve">
</t>
        </r>
        <r>
          <rPr>
            <sz val="10"/>
            <color rgb="FF000000"/>
            <rFont val="Calibri"/>
            <family val="2"/>
          </rPr>
          <t xml:space="preserve">[CH4 EF] / [CH4 content in whole gas (GRI/EPA 1996)] * [CO2 content in whole gas (EIA 1994)]. </t>
        </r>
      </text>
    </comment>
    <comment ref="B188" authorId="0" shapeId="0" xr:uid="{FF9D0D3E-D929-7847-93CC-3A9BF331B1D5}">
      <text>
        <r>
          <rPr>
            <b/>
            <sz val="10"/>
            <color rgb="FF000000"/>
            <rFont val="Calibri"/>
            <family val="2"/>
            <scheme val="minor"/>
          </rPr>
          <t>Author:</t>
        </r>
        <r>
          <rPr>
            <sz val="10"/>
            <color rgb="FF000000"/>
            <rFont val="Calibri"/>
            <family val="2"/>
            <scheme val="minor"/>
          </rPr>
          <t xml:space="preserve">
Beginning 2015, number of stations is subtracted for stations that report to EPA FLIGHT and CO2 emissions from Other Station Leaks reported to FLIGHT are added back in. 
</t>
        </r>
      </text>
    </comment>
    <comment ref="B189" authorId="0" shapeId="0" xr:uid="{47D5BA2E-50BE-254F-9363-BEBB731D19F1}">
      <text>
        <r>
          <rPr>
            <b/>
            <sz val="10"/>
            <color rgb="FF000000"/>
            <rFont val="Calibri"/>
            <family val="2"/>
          </rPr>
          <t>Author:</t>
        </r>
        <r>
          <rPr>
            <sz val="10"/>
            <color rgb="FF000000"/>
            <rFont val="Calibri"/>
            <family val="2"/>
          </rPr>
          <t xml:space="preserve">
</t>
        </r>
        <r>
          <rPr>
            <sz val="10"/>
            <color rgb="FF000000"/>
            <rFont val="Calibri"/>
            <family val="2"/>
          </rPr>
          <t xml:space="preserve">Beginning 2015, number of reciprocating compressors is subtracted for stations that report to EPA FLIGHT and CO2 emissions from compressor leaks reported to FLIGHT are added back in. 
</t>
        </r>
      </text>
    </comment>
    <comment ref="B190" authorId="0" shapeId="0" xr:uid="{D98E2369-BDD4-9F47-8449-1340B128CAF5}">
      <text>
        <r>
          <rPr>
            <b/>
            <sz val="10"/>
            <color rgb="FF000000"/>
            <rFont val="Calibri"/>
            <family val="2"/>
            <scheme val="minor"/>
          </rPr>
          <t>Author:</t>
        </r>
        <r>
          <rPr>
            <sz val="10"/>
            <color rgb="FF000000"/>
            <rFont val="Calibri"/>
            <family val="2"/>
            <scheme val="minor"/>
          </rPr>
          <t xml:space="preserve">
Beginning 2015, number of centrifugal wet seal compressors is subtracted for stations that report to EPA FLIGHT and CO2 emissions from centrifugal wet seal compressor leaks reported to FLIGHT are added back in. 
</t>
        </r>
      </text>
    </comment>
    <comment ref="B191" authorId="0" shapeId="0" xr:uid="{8E78315C-7FE4-7547-A28B-3715D05A584D}">
      <text>
        <r>
          <rPr>
            <b/>
            <sz val="10"/>
            <color rgb="FF000000"/>
            <rFont val="Calibri"/>
            <family val="2"/>
            <scheme val="minor"/>
          </rPr>
          <t>Author:</t>
        </r>
        <r>
          <rPr>
            <sz val="10"/>
            <color rgb="FF000000"/>
            <rFont val="Calibri"/>
            <family val="2"/>
            <scheme val="minor"/>
          </rPr>
          <t xml:space="preserve">
Beginning 2015, number of centrifugal dry seal compressors is subtracted for stations that report to EPA FLIGHT and CO2 emissions from centrifugal dry seal compressor leaks reported to FLIGHT are added back in. 
</t>
        </r>
      </text>
    </comment>
    <comment ref="B193" authorId="0" shapeId="0" xr:uid="{DC2B9D80-E869-0D47-9FAA-D609AE00618B}">
      <text>
        <r>
          <rPr>
            <b/>
            <sz val="10"/>
            <color rgb="FF000000"/>
            <rFont val="Calibri"/>
            <family val="2"/>
            <scheme val="minor"/>
          </rPr>
          <t>Author:</t>
        </r>
        <r>
          <rPr>
            <sz val="10"/>
            <color rgb="FF000000"/>
            <rFont val="Calibri"/>
            <family val="2"/>
            <scheme val="minor"/>
          </rPr>
          <t xml:space="preserve">
Number of dehydrator vents set to 0 above in the inventory because MA compressor stations do not have dehydrator vents.
</t>
        </r>
      </text>
    </comment>
    <comment ref="B194" authorId="0" shapeId="0" xr:uid="{68F8DF77-139A-024E-B4AB-A4796368DA4B}">
      <text>
        <r>
          <rPr>
            <b/>
            <sz val="10"/>
            <color rgb="FF000000"/>
            <rFont val="Calibri"/>
            <family val="2"/>
            <scheme val="minor"/>
          </rPr>
          <t>Author:</t>
        </r>
        <r>
          <rPr>
            <sz val="10"/>
            <color rgb="FF000000"/>
            <rFont val="Calibri"/>
            <family val="2"/>
            <scheme val="minor"/>
          </rPr>
          <t xml:space="preserve">
Number of compressor stations set to 0 above in the inventory because MA compressor stations do not have flares.
</t>
        </r>
      </text>
    </comment>
    <comment ref="B198" authorId="0" shapeId="0" xr:uid="{EFE46FBD-CAA7-084E-9FB6-3ED9872BB3D9}">
      <text>
        <r>
          <rPr>
            <b/>
            <sz val="10"/>
            <color rgb="FF000000"/>
            <rFont val="Calibri"/>
            <family val="2"/>
            <scheme val="minor"/>
          </rPr>
          <t>Author:</t>
        </r>
        <r>
          <rPr>
            <sz val="10"/>
            <color rgb="FF000000"/>
            <rFont val="Calibri"/>
            <family val="2"/>
            <scheme val="minor"/>
          </rPr>
          <t xml:space="preserve">
GHGI emission factors are used for all pneumatic devices since the emissions reported to FLIGHT use the same per device EF.
</t>
        </r>
      </text>
    </comment>
    <comment ref="B201" authorId="0" shapeId="0" xr:uid="{F9881476-7925-D848-97BE-3B0F05143003}">
      <text>
        <r>
          <rPr>
            <sz val="10"/>
            <color rgb="FF000000"/>
            <rFont val="Calibri"/>
            <family val="2"/>
          </rPr>
          <t xml:space="preserve">Author:
</t>
        </r>
        <r>
          <rPr>
            <sz val="10"/>
            <color rgb="FF000000"/>
            <rFont val="Calibri"/>
            <family val="2"/>
          </rPr>
          <t xml:space="preserve">GHGI emission factors are used for all pneumatic devices since the emissions reported to FLIGHT use the same per device EF.
</t>
        </r>
      </text>
    </comment>
    <comment ref="B203" authorId="0" shapeId="0" xr:uid="{F7C204A7-74B1-1C45-AEE9-0F5106D11BCE}">
      <text>
        <r>
          <rPr>
            <b/>
            <sz val="10"/>
            <color rgb="FF000000"/>
            <rFont val="Calibri"/>
            <family val="2"/>
          </rPr>
          <t>Author:</t>
        </r>
        <r>
          <rPr>
            <sz val="10"/>
            <color rgb="FF000000"/>
            <rFont val="Calibri"/>
            <family val="2"/>
          </rPr>
          <t xml:space="preserve">
</t>
        </r>
        <r>
          <rPr>
            <sz val="10"/>
            <color rgb="FF000000"/>
            <rFont val="Calibri"/>
            <family val="2"/>
          </rPr>
          <t xml:space="preserve">Beginning 2015, number of stations is subtracted for stations that report to EPA FLIGHT and CO2 emissions from station venting reported to FLIGHT are added back in. 
</t>
        </r>
      </text>
    </comment>
    <comment ref="B205" authorId="0" shapeId="0" xr:uid="{4F67F6A4-5A03-5C41-BF02-DDEDA50D961C}">
      <text>
        <r>
          <rPr>
            <b/>
            <sz val="10"/>
            <color rgb="FF000000"/>
            <rFont val="Tahoma"/>
            <family val="2"/>
          </rPr>
          <t>Author:</t>
        </r>
        <r>
          <rPr>
            <sz val="10"/>
            <color rgb="FF000000"/>
            <rFont val="Tahoma"/>
            <family val="2"/>
          </rPr>
          <t xml:space="preserve">
CO2 emissions from LNG facilities are primarily from flaring. MA does not have flare stacks on its LNG facilities so the number of facilities has been set to 0.</t>
        </r>
      </text>
    </comment>
    <comment ref="B208" authorId="0" shapeId="0" xr:uid="{3037159D-F70C-3441-A788-C7E94F4E5504}">
      <text>
        <r>
          <rPr>
            <b/>
            <sz val="10"/>
            <color rgb="FF000000"/>
            <rFont val="Calibri"/>
            <family val="2"/>
          </rPr>
          <t>Author:</t>
        </r>
        <r>
          <rPr>
            <sz val="10"/>
            <color rgb="FF000000"/>
            <rFont val="Calibri"/>
            <family val="2"/>
          </rPr>
          <t xml:space="preserve">
</t>
        </r>
        <r>
          <rPr>
            <sz val="10"/>
            <color rgb="FF000000"/>
            <rFont val="Calibri"/>
            <family val="2"/>
          </rPr>
          <t xml:space="preserve">CO2 emissions from LNG terminals are primarily from flaring. Beginning 1990, the Distrigas Import terminal is subtracted from the number of stations because Distrigas has no flare stacks.
</t>
        </r>
        <r>
          <rPr>
            <sz val="10"/>
            <color rgb="FF000000"/>
            <rFont val="Calibri"/>
            <family val="2"/>
          </rPr>
          <t xml:space="preserve">Beginning 2014, number of terminals is subtracted for terminals that report to EPA FLIGHT and CO2 emissions from terminal leaks reported to FLIGHT are added back in. </t>
        </r>
      </text>
    </comment>
    <comment ref="B209" authorId="0" shapeId="0" xr:uid="{B8701BBE-D0F5-3B49-8C90-116E7AF3B641}">
      <text>
        <r>
          <rPr>
            <b/>
            <sz val="10"/>
            <color rgb="FF000000"/>
            <rFont val="Calibri"/>
            <family val="2"/>
          </rPr>
          <t>Author:</t>
        </r>
        <r>
          <rPr>
            <sz val="10"/>
            <color rgb="FF000000"/>
            <rFont val="Calibri"/>
            <family val="2"/>
          </rPr>
          <t xml:space="preserve">
</t>
        </r>
        <r>
          <rPr>
            <sz val="10"/>
            <color rgb="FF000000"/>
            <rFont val="Calibri"/>
            <family val="2"/>
          </rPr>
          <t xml:space="preserve">Beginning 2011, number of terminals is subtracted for terminals that report to EPA FLIGHT and CO2 emissions from terminal blowdowns reported to FLIGHT are added back in. 
</t>
        </r>
      </text>
    </comment>
    <comment ref="Y210" authorId="0" shapeId="0" xr:uid="{A7C17D50-61E4-C347-8825-977C47A1AD15}">
      <text>
        <r>
          <rPr>
            <sz val="10"/>
            <color rgb="FF000000"/>
            <rFont val="Calibri"/>
            <family val="2"/>
          </rPr>
          <t xml:space="preserve">Author:
</t>
        </r>
        <r>
          <rPr>
            <sz val="10"/>
            <color rgb="FF000000"/>
            <rFont val="Calibri"/>
            <family val="2"/>
          </rPr>
          <t xml:space="preserve">2011: Switch to equipment-specific values where available. </t>
        </r>
      </text>
    </comment>
    <comment ref="C221" authorId="0" shapeId="0" xr:uid="{3901252C-FEC9-BD46-BBCE-40F8481DDBCF}">
      <text>
        <r>
          <rPr>
            <sz val="10"/>
            <color rgb="FF000000"/>
            <rFont val="Tahoma"/>
            <family val="2"/>
          </rPr>
          <t xml:space="preserve">Author:
</t>
        </r>
        <r>
          <rPr>
            <sz val="10"/>
            <color rgb="FF000000"/>
            <rFont val="Tahoma"/>
            <family val="2"/>
          </rPr>
          <t>Algonquins number of miles is from PHMSA reports.</t>
        </r>
      </text>
    </comment>
    <comment ref="AJ221" authorId="0" shapeId="0" xr:uid="{30DBEF93-DC9D-47DA-8F97-D976CCFD20B5}">
      <text>
        <r>
          <rPr>
            <b/>
            <sz val="9"/>
            <color indexed="81"/>
            <rFont val="Tahoma"/>
            <family val="2"/>
          </rPr>
          <t>Author:</t>
        </r>
        <r>
          <rPr>
            <sz val="9"/>
            <color indexed="81"/>
            <rFont val="Tahoma"/>
            <family val="2"/>
          </rPr>
          <t xml:space="preserve">
450.75 PHMSA 2023</t>
        </r>
      </text>
    </comment>
    <comment ref="B240" authorId="0" shapeId="0" xr:uid="{AED8A098-D074-C041-A0A1-9DF8F06F683B}">
      <text>
        <r>
          <rPr>
            <b/>
            <sz val="10"/>
            <color rgb="FF000000"/>
            <rFont val="Tahoma"/>
            <family val="2"/>
          </rPr>
          <t>Author:</t>
        </r>
        <r>
          <rPr>
            <sz val="10"/>
            <color rgb="FF000000"/>
            <rFont val="Tahoma"/>
            <family val="2"/>
          </rPr>
          <t xml:space="preserve">
</t>
        </r>
        <r>
          <rPr>
            <sz val="10"/>
            <color rgb="FF000000"/>
            <rFont val="Tahoma"/>
            <family val="2"/>
          </rPr>
          <t>Compressors 2, 3 and 4 (2018 FLIGHT)</t>
        </r>
      </text>
    </comment>
    <comment ref="B243" authorId="0" shapeId="0" xr:uid="{28B1E919-A830-894C-AF9E-9DA5A85E908E}">
      <text>
        <r>
          <rPr>
            <b/>
            <sz val="10"/>
            <color rgb="FF000000"/>
            <rFont val="Tahoma"/>
            <family val="2"/>
          </rPr>
          <t>Author:</t>
        </r>
        <r>
          <rPr>
            <sz val="10"/>
            <color rgb="FF000000"/>
            <rFont val="Tahoma"/>
            <family val="2"/>
          </rPr>
          <t xml:space="preserve">
</t>
        </r>
        <r>
          <rPr>
            <sz val="10"/>
            <color rgb="FF000000"/>
            <rFont val="Tahoma"/>
            <family val="2"/>
          </rPr>
          <t>Compressor #1 (2018 FLIGHT)</t>
        </r>
      </text>
    </comment>
    <comment ref="B263" authorId="0" shapeId="0" xr:uid="{B6674AC6-2D36-084C-AAE7-0572F14A65A9}">
      <text>
        <r>
          <rPr>
            <sz val="10"/>
            <color rgb="FF000000"/>
            <rFont val="Tahoma"/>
            <family val="2"/>
          </rPr>
          <t>Author:
Started 2016
Stopped reporting to FLIGHT after 2021.</t>
        </r>
      </text>
    </comment>
    <comment ref="B300" authorId="0" shapeId="0" xr:uid="{52721E90-0F38-374C-AB67-1C38F7BBAD86}">
      <text>
        <r>
          <rPr>
            <sz val="10"/>
            <color rgb="FF000000"/>
            <rFont val="Tahoma"/>
            <family val="2"/>
          </rPr>
          <t xml:space="preserve">Author:
From valves, connectors, pump seals, other
</t>
        </r>
      </text>
    </comment>
    <comment ref="AB300" authorId="0" shapeId="0" xr:uid="{D36BF877-6AF0-4A47-A6BE-18CA5221882E}">
      <text>
        <r>
          <rPr>
            <b/>
            <sz val="10"/>
            <color rgb="FF000000"/>
            <rFont val="Tahoma"/>
            <family val="2"/>
          </rPr>
          <t>Author:</t>
        </r>
        <r>
          <rPr>
            <sz val="10"/>
            <color rgb="FF000000"/>
            <rFont val="Tahoma"/>
            <family val="2"/>
          </rPr>
          <t xml:space="preserve">
</t>
        </r>
        <r>
          <rPr>
            <sz val="10"/>
            <color rgb="FF000000"/>
            <rFont val="Tahoma"/>
            <family val="2"/>
          </rPr>
          <t>Methodology for leaks reporting changes with 2014 or 2015. 2011 through 2013 data is not comparable.</t>
        </r>
      </text>
    </comment>
    <comment ref="B303" authorId="0" shapeId="0" xr:uid="{8BF4E5A9-639D-7440-BF93-072438D4B68E}">
      <text>
        <r>
          <rPr>
            <b/>
            <sz val="10"/>
            <color rgb="FF000000"/>
            <rFont val="Tahoma"/>
            <family val="2"/>
          </rPr>
          <t>Author:</t>
        </r>
        <r>
          <rPr>
            <sz val="10"/>
            <color rgb="FF000000"/>
            <rFont val="Tahoma"/>
            <family val="2"/>
          </rPr>
          <t xml:space="preserve">
the # of terminals reporting to FLIGHT value is needed to subtract from total number or terminals beginning with 2011.</t>
        </r>
      </text>
    </comment>
    <comment ref="AF304" authorId="0" shapeId="0" xr:uid="{E690AAD8-D74A-1447-ACE7-850E598908F5}">
      <text>
        <r>
          <rPr>
            <b/>
            <sz val="10"/>
            <color rgb="FF000000"/>
            <rFont val="Tahoma"/>
            <family val="2"/>
          </rPr>
          <t>Author:</t>
        </r>
        <r>
          <rPr>
            <sz val="10"/>
            <color rgb="FF000000"/>
            <rFont val="Tahoma"/>
            <family val="2"/>
          </rPr>
          <t xml:space="preserve">
These emissions do not seem to be included in Distrigas 2018 total Subpart W FLIGHT emissions, but they were included in previous years so they have been included here for 2018.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0" authorId="0" shapeId="0" xr:uid="{54E42B2A-EA44-4938-8441-55E610585C56}">
      <text>
        <r>
          <rPr>
            <sz val="9"/>
            <color indexed="81"/>
            <rFont val="Tahoma"/>
            <family val="2"/>
          </rPr>
          <t xml:space="preserve">Data Source changes from SIT Solid Waste Module (Row 23) to TCR CRIS data in 2010-2014, to approximation of SIT methodology in 2015.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2" authorId="0" shapeId="0" xr:uid="{41E47DB5-6C61-4899-9D5D-0C342A02B8C9}">
      <text>
        <r>
          <rPr>
            <b/>
            <sz val="9"/>
            <color indexed="81"/>
            <rFont val="Tahoma"/>
            <family val="2"/>
          </rPr>
          <t>Author:</t>
        </r>
        <r>
          <rPr>
            <sz val="9"/>
            <color indexed="81"/>
            <rFont val="Tahoma"/>
            <family val="2"/>
          </rPr>
          <t xml:space="preserve">
Emission factors are calculated by multiplying the maximum CH4-producing capacity of domestic wastewater (B0, 0.6 kg CH4/kg BOD) and the appropriate methane correction factors (MCF) for aerobic (0.03) and anaerobic (0.8) systems (IPCC 2019,  Table 6.3) and constructed wetlands (0.4) (IPCC 2014, Table 6.4).</t>
        </r>
      </text>
    </comment>
    <comment ref="B44" authorId="0" shapeId="0" xr:uid="{9B992F2C-88E9-4419-B2AB-08E2F918F404}">
      <text>
        <r>
          <rPr>
            <b/>
            <sz val="9"/>
            <color indexed="81"/>
            <rFont val="Tahoma"/>
            <family val="2"/>
          </rPr>
          <t>Author:</t>
        </r>
        <r>
          <rPr>
            <sz val="9"/>
            <color indexed="81"/>
            <rFont val="Tahoma"/>
            <family val="2"/>
          </rPr>
          <t xml:space="preserve">
= fraction of the population managing their septic tank in compliance with the sludge removal 
instruction of their septic system (according to pg. 28 of 72 in IPCC Ch. 1 Vol. 5: Waste of the 2019 Refinement to the 2006 Guidelines for National GHG Inventories).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B7" authorId="0" shapeId="0" xr:uid="{00000000-0006-0000-0E00-000001000000}">
      <text>
        <r>
          <rPr>
            <b/>
            <sz val="9"/>
            <color rgb="FF000000"/>
            <rFont val="Tahoma"/>
            <family val="2"/>
          </rPr>
          <t>Author:</t>
        </r>
        <r>
          <rPr>
            <sz val="9"/>
            <color rgb="FF000000"/>
            <rFont val="Tahoma"/>
            <family val="2"/>
          </rPr>
          <t xml:space="preserve">
</t>
        </r>
        <r>
          <rPr>
            <sz val="9"/>
            <color rgb="FF000000"/>
            <rFont val="Tahoma"/>
            <family val="2"/>
          </rPr>
          <t>This value was updated to reflect the inclusion of Reserved GIS Certificates and posted as a revised App. Q March 2017.</t>
        </r>
      </text>
    </comment>
    <comment ref="AB10" authorId="0" shapeId="0" xr:uid="{00000000-0006-0000-0E00-000002000000}">
      <text>
        <r>
          <rPr>
            <b/>
            <sz val="9"/>
            <color rgb="FF000000"/>
            <rFont val="Tahoma"/>
            <family val="2"/>
          </rPr>
          <t>Author:</t>
        </r>
        <r>
          <rPr>
            <sz val="9"/>
            <color rgb="FF000000"/>
            <rFont val="Tahoma"/>
            <family val="2"/>
          </rPr>
          <t xml:space="preserve">
</t>
        </r>
        <r>
          <rPr>
            <sz val="9"/>
            <color rgb="FF000000"/>
            <rFont val="Tahoma"/>
            <family val="2"/>
          </rPr>
          <t>This value was updated to reflect the inclusion of Reserved GIS Certificates and posted as a revised App. Q March 2017.</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1100-000001000000}">
      <text>
        <r>
          <rPr>
            <b/>
            <sz val="9"/>
            <color rgb="FF000000"/>
            <rFont val="Tahoma"/>
            <family val="2"/>
          </rPr>
          <t>Author:</t>
        </r>
        <r>
          <rPr>
            <sz val="9"/>
            <color rgb="FF000000"/>
            <rFont val="Tahoma"/>
            <family val="2"/>
          </rPr>
          <t xml:space="preserve">
</t>
        </r>
        <r>
          <rPr>
            <sz val="9"/>
            <color rgb="FF000000"/>
            <rFont val="Tahoma"/>
            <family val="2"/>
          </rPr>
          <t>Methodology update - see Biogenic calcs tab</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9" authorId="0" shapeId="0" xr:uid="{00000000-0006-0000-1200-000001000000}">
      <text>
        <r>
          <rPr>
            <b/>
            <sz val="9"/>
            <color rgb="FF000000"/>
            <rFont val="Tahoma"/>
            <family val="2"/>
          </rPr>
          <t>Author:</t>
        </r>
        <r>
          <rPr>
            <sz val="9"/>
            <color rgb="FF000000"/>
            <rFont val="Tahoma"/>
            <family val="2"/>
          </rPr>
          <t xml:space="preserve">
</t>
        </r>
        <r>
          <rPr>
            <sz val="9"/>
            <color rgb="FF000000"/>
            <rFont val="Tahoma"/>
            <family val="2"/>
          </rPr>
          <t>Methodology for 1990-1998 updated with March 2017 posted spreadsheet.</t>
        </r>
      </text>
    </comment>
    <comment ref="C166" authorId="0" shapeId="0" xr:uid="{00000000-0006-0000-1200-000002000000}">
      <text>
        <r>
          <rPr>
            <b/>
            <sz val="9"/>
            <color rgb="FF000000"/>
            <rFont val="Tahoma"/>
            <family val="2"/>
          </rPr>
          <t>Author:</t>
        </r>
        <r>
          <rPr>
            <sz val="9"/>
            <color rgb="FF000000"/>
            <rFont val="Tahoma"/>
            <family val="2"/>
          </rPr>
          <t xml:space="preserve"> Using the corrected value for 1990 MSB (shown above) this value should be 123,645 lb CH4.</t>
        </r>
      </text>
    </comment>
    <comment ref="C167" authorId="0" shapeId="0" xr:uid="{00000000-0006-0000-1200-000003000000}">
      <text>
        <r>
          <rPr>
            <b/>
            <sz val="9"/>
            <color rgb="FF000000"/>
            <rFont val="Tahoma"/>
            <family val="2"/>
          </rPr>
          <t xml:space="preserve">Author: </t>
        </r>
        <r>
          <rPr>
            <sz val="9"/>
            <color rgb="FF000000"/>
            <rFont val="Tahoma"/>
            <family val="2"/>
          </rPr>
          <t xml:space="preserve">Using the corrected value for 1990 MSB (shown above) this value should be 3,091,120 lb CO2e.
</t>
        </r>
      </text>
    </comment>
    <comment ref="C170" authorId="0" shapeId="0" xr:uid="{00000000-0006-0000-1200-000004000000}">
      <text>
        <r>
          <rPr>
            <b/>
            <sz val="9"/>
            <color rgb="FF000000"/>
            <rFont val="Tahoma"/>
            <family val="2"/>
          </rPr>
          <t xml:space="preserve">Author: </t>
        </r>
        <r>
          <rPr>
            <sz val="9"/>
            <color rgb="FF000000"/>
            <rFont val="Tahoma"/>
            <family val="2"/>
          </rPr>
          <t xml:space="preserve">Using the corrected value for 1990 MSB (shown above) this value should be 16,486 lb N2O.
</t>
        </r>
      </text>
    </comment>
    <comment ref="C171" authorId="0" shapeId="0" xr:uid="{00000000-0006-0000-1200-000005000000}">
      <text>
        <r>
          <rPr>
            <b/>
            <sz val="9"/>
            <color rgb="FF000000"/>
            <rFont val="Tahoma"/>
            <family val="2"/>
          </rPr>
          <t xml:space="preserve">Author: </t>
        </r>
        <r>
          <rPr>
            <sz val="9"/>
            <color rgb="FF000000"/>
            <rFont val="Tahoma"/>
            <family val="2"/>
          </rPr>
          <t>Using the corrected value for 1990 MSB (shown above) this value should be 4,912,821 lb CO2e.</t>
        </r>
      </text>
    </comment>
  </commentList>
</comments>
</file>

<file path=xl/sharedStrings.xml><?xml version="1.0" encoding="utf-8"?>
<sst xmlns="http://schemas.openxmlformats.org/spreadsheetml/2006/main" count="4936" uniqueCount="972">
  <si>
    <t>Partial Data</t>
  </si>
  <si>
    <t>Building Consumption</t>
  </si>
  <si>
    <t>Emissions (MMTCO2E)</t>
  </si>
  <si>
    <t>Electricity Consumption</t>
  </si>
  <si>
    <r>
      <t>CO</t>
    </r>
    <r>
      <rPr>
        <b/>
        <vertAlign val="subscript"/>
        <sz val="8"/>
        <color indexed="8"/>
        <rFont val="Arial"/>
        <family val="2"/>
      </rPr>
      <t>2</t>
    </r>
    <r>
      <rPr>
        <b/>
        <sz val="8"/>
        <color indexed="8"/>
        <rFont val="Arial"/>
        <family val="2"/>
      </rPr>
      <t xml:space="preserve">e from Fossil Fuel </t>
    </r>
    <r>
      <rPr>
        <b/>
        <sz val="9"/>
        <color indexed="8"/>
        <rFont val="Arial"/>
        <family val="2"/>
      </rPr>
      <t>Consumption</t>
    </r>
  </si>
  <si>
    <t>Mobile Combustion</t>
  </si>
  <si>
    <t>Natural Gas Systems</t>
  </si>
  <si>
    <t>Industrial Processes</t>
  </si>
  <si>
    <t xml:space="preserve">Agriculture </t>
  </si>
  <si>
    <t>Waste</t>
  </si>
  <si>
    <t>Agriculture &amp; Land Use</t>
  </si>
  <si>
    <t>Gross Emissions</t>
  </si>
  <si>
    <t>% Change from previous year</t>
  </si>
  <si>
    <t>% Change from 1990</t>
  </si>
  <si>
    <t>2020 Limit (25% below 1990)</t>
  </si>
  <si>
    <t>% of Total GHG Emissions by Sector (1990)</t>
  </si>
  <si>
    <t>2025 CECP Linit (33% below 1990)</t>
  </si>
  <si>
    <t>2030 CECP Limit (50% below 1990)</t>
  </si>
  <si>
    <t>Alternate Categories Summary</t>
  </si>
  <si>
    <t>Electric Power</t>
  </si>
  <si>
    <t>Transportation</t>
  </si>
  <si>
    <t>Commercial &amp; Industrial Heating and Cooling</t>
  </si>
  <si>
    <t>Residential Heating and Cooling</t>
  </si>
  <si>
    <t>Natural Gas Distribution and Service</t>
  </si>
  <si>
    <t>Natural Gas Transmission and Storage</t>
  </si>
  <si>
    <t>TOTAL</t>
  </si>
  <si>
    <t xml:space="preserve">CO2 </t>
  </si>
  <si>
    <t>Global Warming Potential</t>
  </si>
  <si>
    <t>CH4</t>
  </si>
  <si>
    <t>IPCC Report &amp; Year</t>
  </si>
  <si>
    <t>N2O</t>
  </si>
  <si>
    <t>SF6</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</si>
  <si>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and time horizon whose Global Warming Potentials you would like to use. Do not edit the </t>
    </r>
    <r>
      <rPr>
        <b/>
        <sz val="11"/>
        <color indexed="55"/>
        <rFont val="Arial"/>
        <family val="2"/>
      </rPr>
      <t>gray</t>
    </r>
    <r>
      <rPr>
        <sz val="11"/>
        <rFont val="Arial"/>
        <family val="2"/>
      </rPr>
      <t xml:space="preserve"> cells. Charts shown above Row 30 adjust once an IPCC Report and time horizon are selected.</t>
    </r>
  </si>
  <si>
    <t>AR4, 100-year</t>
  </si>
  <si>
    <t>SF6 &amp; Other GHG Gases</t>
  </si>
  <si>
    <t>Imported Electric Power (CO2, CH4 &amp; N2O combined)</t>
  </si>
  <si>
    <t>IPCC Reports &amp; Years</t>
  </si>
  <si>
    <t>Total GHG Emissions</t>
  </si>
  <si>
    <t>AR5, 100-year</t>
  </si>
  <si>
    <t>AR4, 20-year</t>
  </si>
  <si>
    <t>AR5, 20-year</t>
  </si>
  <si>
    <t>AR4 = 2007 Fourth Assessment Report</t>
  </si>
  <si>
    <t>AR5 = 2014 Fifth Assessment Report</t>
  </si>
  <si>
    <r>
      <t>Emissions (MMTCO</t>
    </r>
    <r>
      <rPr>
        <b/>
        <vertAlign val="subscript"/>
        <sz val="10"/>
        <color indexed="56"/>
        <rFont val="Arial"/>
        <family val="2"/>
      </rPr>
      <t>2</t>
    </r>
    <r>
      <rPr>
        <b/>
        <sz val="10"/>
        <color indexed="56"/>
        <rFont val="Arial"/>
        <family val="2"/>
      </rPr>
      <t>E)</t>
    </r>
  </si>
  <si>
    <r>
      <t>CO</t>
    </r>
    <r>
      <rPr>
        <b/>
        <vertAlign val="subscript"/>
        <sz val="10"/>
        <color indexed="56"/>
        <rFont val="Arial"/>
        <family val="2"/>
      </rPr>
      <t>2</t>
    </r>
    <r>
      <rPr>
        <b/>
        <sz val="10"/>
        <color indexed="56"/>
        <rFont val="Arial"/>
        <family val="2"/>
      </rPr>
      <t xml:space="preserve"> </t>
    </r>
  </si>
  <si>
    <r>
      <t>CH</t>
    </r>
    <r>
      <rPr>
        <b/>
        <vertAlign val="subscript"/>
        <sz val="10"/>
        <color theme="6" tint="-0.499984740745262"/>
        <rFont val="Arial"/>
        <family val="2"/>
      </rPr>
      <t xml:space="preserve">4 </t>
    </r>
  </si>
  <si>
    <r>
      <t>N</t>
    </r>
    <r>
      <rPr>
        <b/>
        <vertAlign val="subscript"/>
        <sz val="10"/>
        <color indexed="10"/>
        <rFont val="Arial"/>
        <family val="2"/>
      </rPr>
      <t>2</t>
    </r>
    <r>
      <rPr>
        <b/>
        <sz val="10"/>
        <color indexed="10"/>
        <rFont val="Arial"/>
        <family val="2"/>
      </rPr>
      <t xml:space="preserve">O </t>
    </r>
  </si>
  <si>
    <r>
      <t>SF</t>
    </r>
    <r>
      <rPr>
        <b/>
        <vertAlign val="subscript"/>
        <sz val="10"/>
        <color rgb="FF00B0F0"/>
        <rFont val="Arial"/>
        <family val="2"/>
      </rPr>
      <t>6</t>
    </r>
    <r>
      <rPr>
        <b/>
        <sz val="10"/>
        <color rgb="FF00B0F0"/>
        <rFont val="Arial"/>
        <family val="2"/>
      </rPr>
      <t xml:space="preserve"> (from Electric Power Trans. &amp; Dist. Services)</t>
    </r>
  </si>
  <si>
    <r>
      <t>*SF</t>
    </r>
    <r>
      <rPr>
        <b/>
        <vertAlign val="subscript"/>
        <sz val="10"/>
        <color theme="7" tint="-0.499984740745262"/>
        <rFont val="Arial"/>
        <family val="2"/>
      </rPr>
      <t>6</t>
    </r>
    <r>
      <rPr>
        <b/>
        <sz val="10"/>
        <color theme="7" tint="-0.499984740745262"/>
        <rFont val="Arial"/>
        <family val="2"/>
      </rPr>
      <t xml:space="preserve"> &amp; Other GHG Gases (MMTCO2e)</t>
    </r>
  </si>
  <si>
    <r>
      <t>*Imported Electric Power (CO</t>
    </r>
    <r>
      <rPr>
        <b/>
        <vertAlign val="subscript"/>
        <sz val="10"/>
        <color theme="1"/>
        <rFont val="Arial"/>
        <family val="2"/>
      </rPr>
      <t>2</t>
    </r>
    <r>
      <rPr>
        <b/>
        <sz val="10"/>
        <color theme="1"/>
        <rFont val="Arial"/>
        <family val="2"/>
      </rPr>
      <t>, CH</t>
    </r>
    <r>
      <rPr>
        <b/>
        <vertAlign val="subscript"/>
        <sz val="10"/>
        <color theme="1"/>
        <rFont val="Arial"/>
        <family val="2"/>
      </rPr>
      <t>4</t>
    </r>
    <r>
      <rPr>
        <b/>
        <sz val="10"/>
        <color theme="1"/>
        <rFont val="Arial"/>
        <family val="2"/>
      </rPr>
      <t xml:space="preserve"> &amp; N</t>
    </r>
    <r>
      <rPr>
        <b/>
        <vertAlign val="subscript"/>
        <sz val="10"/>
        <color theme="1"/>
        <rFont val="Arial"/>
        <family val="2"/>
      </rPr>
      <t>2</t>
    </r>
    <r>
      <rPr>
        <b/>
        <sz val="10"/>
        <color theme="1"/>
        <rFont val="Arial"/>
        <family val="2"/>
      </rPr>
      <t>O combined) MMTCO2e</t>
    </r>
  </si>
  <si>
    <t>*GWP values for Other Gases and Imported Electricity can't be adjusted here.</t>
  </si>
  <si>
    <t/>
  </si>
  <si>
    <r>
      <t>Emissions (MMTCO</t>
    </r>
    <r>
      <rPr>
        <b/>
        <vertAlign val="subscript"/>
        <sz val="8"/>
        <color indexed="56"/>
        <rFont val="Arial"/>
        <family val="2"/>
      </rPr>
      <t>2</t>
    </r>
    <r>
      <rPr>
        <b/>
        <sz val="8"/>
        <color indexed="56"/>
        <rFont val="Arial"/>
        <family val="2"/>
      </rPr>
      <t>E)</t>
    </r>
  </si>
  <si>
    <t>Natural Gas Systems (Leaks)</t>
  </si>
  <si>
    <t>Solid Waste (Electric &amp; Industrial Municipal Waste Combustion)</t>
  </si>
  <si>
    <t>AR4 100-YEAR GWPS</t>
  </si>
  <si>
    <r>
      <t>CH</t>
    </r>
    <r>
      <rPr>
        <vertAlign val="subscript"/>
        <sz val="11"/>
        <color indexed="8"/>
        <rFont val="Calibri"/>
        <family val="2"/>
      </rPr>
      <t>4</t>
    </r>
  </si>
  <si>
    <r>
      <t>N</t>
    </r>
    <r>
      <rPr>
        <vertAlign val="subscript"/>
        <sz val="11"/>
        <color indexed="8"/>
        <rFont val="Calibri"/>
        <family val="2"/>
      </rPr>
      <t>2</t>
    </r>
    <r>
      <rPr>
        <sz val="11"/>
        <color theme="1"/>
        <rFont val="Calibri"/>
        <family val="2"/>
        <scheme val="minor"/>
      </rPr>
      <t>O</t>
    </r>
  </si>
  <si>
    <r>
      <t>SF</t>
    </r>
    <r>
      <rPr>
        <vertAlign val="subscript"/>
        <sz val="11"/>
        <color theme="1"/>
        <rFont val="Calibri (Body)"/>
      </rPr>
      <t>6</t>
    </r>
  </si>
  <si>
    <t>To calculate metric tons of gases from.</t>
  </si>
  <si>
    <t>modules/sector tab data.</t>
  </si>
  <si>
    <t>Solid Waste (Landfill)</t>
  </si>
  <si>
    <t>Wastewater</t>
  </si>
  <si>
    <r>
      <t>CH</t>
    </r>
    <r>
      <rPr>
        <b/>
        <vertAlign val="subscript"/>
        <sz val="10"/>
        <color indexed="57"/>
        <rFont val="Arial"/>
        <family val="2"/>
      </rPr>
      <t>4</t>
    </r>
  </si>
  <si>
    <r>
      <t>N</t>
    </r>
    <r>
      <rPr>
        <b/>
        <vertAlign val="subscript"/>
        <sz val="10"/>
        <color indexed="10"/>
        <rFont val="Arial"/>
        <family val="2"/>
      </rPr>
      <t>2</t>
    </r>
    <r>
      <rPr>
        <b/>
        <sz val="10"/>
        <color indexed="10"/>
        <rFont val="Arial"/>
        <family val="2"/>
      </rPr>
      <t>O</t>
    </r>
  </si>
  <si>
    <r>
      <t>SF</t>
    </r>
    <r>
      <rPr>
        <b/>
        <vertAlign val="subscript"/>
        <sz val="10"/>
        <color indexed="36"/>
        <rFont val="Arial"/>
        <family val="2"/>
      </rPr>
      <t>6</t>
    </r>
    <r>
      <rPr>
        <b/>
        <sz val="10"/>
        <color indexed="36"/>
        <rFont val="Arial"/>
        <family val="2"/>
      </rPr>
      <t xml:space="preserve"> &amp; Other GHG Gases</t>
    </r>
  </si>
  <si>
    <r>
      <t>Imported Electric Power (CO</t>
    </r>
    <r>
      <rPr>
        <b/>
        <vertAlign val="subscript"/>
        <sz val="10"/>
        <color indexed="19"/>
        <rFont val="Arial"/>
        <family val="2"/>
      </rPr>
      <t>2</t>
    </r>
    <r>
      <rPr>
        <b/>
        <sz val="10"/>
        <color indexed="19"/>
        <rFont val="Arial"/>
        <family val="2"/>
      </rPr>
      <t>, CH</t>
    </r>
    <r>
      <rPr>
        <b/>
        <vertAlign val="subscript"/>
        <sz val="10"/>
        <color indexed="19"/>
        <rFont val="Arial"/>
        <family val="2"/>
      </rPr>
      <t>4</t>
    </r>
    <r>
      <rPr>
        <b/>
        <sz val="10"/>
        <color indexed="19"/>
        <rFont val="Arial"/>
        <family val="2"/>
      </rPr>
      <t xml:space="preserve"> &amp; N</t>
    </r>
    <r>
      <rPr>
        <b/>
        <vertAlign val="subscript"/>
        <sz val="10"/>
        <color indexed="19"/>
        <rFont val="Arial"/>
        <family val="2"/>
      </rPr>
      <t>2</t>
    </r>
    <r>
      <rPr>
        <b/>
        <sz val="10"/>
        <color indexed="19"/>
        <rFont val="Arial"/>
        <family val="2"/>
      </rPr>
      <t>O combined)</t>
    </r>
  </si>
  <si>
    <r>
      <t>CO</t>
    </r>
    <r>
      <rPr>
        <b/>
        <vertAlign val="subscript"/>
        <sz val="10"/>
        <color indexed="56"/>
        <rFont val="Arial"/>
        <family val="2"/>
      </rPr>
      <t>2</t>
    </r>
    <r>
      <rPr>
        <b/>
        <sz val="10"/>
        <color indexed="56"/>
        <rFont val="Arial"/>
        <family val="2"/>
      </rPr>
      <t xml:space="preserve"> (Metric Tons CO</t>
    </r>
    <r>
      <rPr>
        <b/>
        <vertAlign val="subscript"/>
        <sz val="10"/>
        <color indexed="56"/>
        <rFont val="Arial"/>
        <family val="2"/>
      </rPr>
      <t>2</t>
    </r>
    <r>
      <rPr>
        <b/>
        <sz val="10"/>
        <color indexed="56"/>
        <rFont val="Arial"/>
        <family val="2"/>
      </rPr>
      <t>)</t>
    </r>
  </si>
  <si>
    <r>
      <t>CH</t>
    </r>
    <r>
      <rPr>
        <b/>
        <vertAlign val="subscript"/>
        <sz val="10"/>
        <color indexed="19"/>
        <rFont val="Arial"/>
        <family val="2"/>
      </rPr>
      <t xml:space="preserve">4 </t>
    </r>
    <r>
      <rPr>
        <b/>
        <sz val="10"/>
        <color indexed="19"/>
        <rFont val="Arial"/>
        <family val="2"/>
      </rPr>
      <t>(Metric Tons CH</t>
    </r>
    <r>
      <rPr>
        <b/>
        <vertAlign val="subscript"/>
        <sz val="10"/>
        <color indexed="19"/>
        <rFont val="Arial"/>
        <family val="2"/>
      </rPr>
      <t>4</t>
    </r>
    <r>
      <rPr>
        <b/>
        <sz val="10"/>
        <color indexed="19"/>
        <rFont val="Arial"/>
        <family val="2"/>
      </rPr>
      <t>)</t>
    </r>
  </si>
  <si>
    <r>
      <t>N</t>
    </r>
    <r>
      <rPr>
        <b/>
        <vertAlign val="subscript"/>
        <sz val="10"/>
        <color indexed="10"/>
        <rFont val="Arial"/>
        <family val="2"/>
      </rPr>
      <t>2</t>
    </r>
    <r>
      <rPr>
        <b/>
        <sz val="10"/>
        <color indexed="10"/>
        <rFont val="Arial"/>
        <family val="2"/>
      </rPr>
      <t>O (Metric Tons N</t>
    </r>
    <r>
      <rPr>
        <b/>
        <vertAlign val="subscript"/>
        <sz val="10"/>
        <color indexed="10"/>
        <rFont val="Arial"/>
        <family val="2"/>
      </rPr>
      <t>2</t>
    </r>
    <r>
      <rPr>
        <b/>
        <sz val="10"/>
        <color indexed="10"/>
        <rFont val="Arial"/>
        <family val="2"/>
      </rPr>
      <t>O)</t>
    </r>
  </si>
  <si>
    <t>% Change from year before</t>
  </si>
  <si>
    <t>% change from 1990</t>
  </si>
  <si>
    <t>in AR4</t>
  </si>
  <si>
    <t>Methane Emissions in MA</t>
  </si>
  <si>
    <t>Combustion of Fuels</t>
  </si>
  <si>
    <t>Agriculture</t>
  </si>
  <si>
    <t>The is file can be found at: http://www.mass.gov/eea/agencies/massdep/climate-energy/climate/ghg/greenhouse-gas-ghg-emissions-in-massachusetts.html</t>
  </si>
  <si>
    <r>
      <t>CO</t>
    </r>
    <r>
      <rPr>
        <b/>
        <vertAlign val="subscript"/>
        <sz val="9"/>
        <color indexed="8"/>
        <rFont val="Comic Sans MS"/>
        <family val="4"/>
      </rPr>
      <t>2</t>
    </r>
    <r>
      <rPr>
        <b/>
        <sz val="9"/>
        <color indexed="8"/>
        <rFont val="Comic Sans MS"/>
        <family val="4"/>
      </rPr>
      <t>e from Energy</t>
    </r>
  </si>
  <si>
    <r>
      <t>Residential CO</t>
    </r>
    <r>
      <rPr>
        <b/>
        <vertAlign val="subscript"/>
        <sz val="8"/>
        <rFont val="Comic Sans MS"/>
        <family val="4"/>
      </rPr>
      <t>2</t>
    </r>
    <r>
      <rPr>
        <b/>
        <sz val="8"/>
        <rFont val="Comic Sans MS"/>
        <family val="4"/>
      </rPr>
      <t>e from Fuel Combustion</t>
    </r>
  </si>
  <si>
    <r>
      <t>Residential CO</t>
    </r>
    <r>
      <rPr>
        <vertAlign val="subscript"/>
        <sz val="8"/>
        <rFont val="Comic Sans MS"/>
        <family val="4"/>
      </rPr>
      <t>2</t>
    </r>
  </si>
  <si>
    <t>Residential Other Gases</t>
  </si>
  <si>
    <r>
      <t>Commercial CO</t>
    </r>
    <r>
      <rPr>
        <b/>
        <vertAlign val="subscript"/>
        <sz val="8"/>
        <rFont val="Comic Sans MS"/>
        <family val="4"/>
      </rPr>
      <t>2</t>
    </r>
    <r>
      <rPr>
        <b/>
        <sz val="8"/>
        <rFont val="Comic Sans MS"/>
        <family val="4"/>
      </rPr>
      <t>e from Fuel Combustion</t>
    </r>
  </si>
  <si>
    <r>
      <t>Commercial CO</t>
    </r>
    <r>
      <rPr>
        <vertAlign val="subscript"/>
        <sz val="8"/>
        <rFont val="Comic Sans MS"/>
        <family val="4"/>
      </rPr>
      <t>2</t>
    </r>
  </si>
  <si>
    <t>Commercial Other Gases</t>
  </si>
  <si>
    <r>
      <t>Commercial CO</t>
    </r>
    <r>
      <rPr>
        <b/>
        <vertAlign val="subscript"/>
        <sz val="8"/>
        <rFont val="Comic Sans MS"/>
        <family val="4"/>
      </rPr>
      <t>2</t>
    </r>
    <r>
      <rPr>
        <b/>
        <sz val="8"/>
        <rFont val="Comic Sans MS"/>
        <family val="4"/>
      </rPr>
      <t xml:space="preserve"> from Fossil Fuel Use by Fuel Cells</t>
    </r>
  </si>
  <si>
    <r>
      <t>Industrial CO</t>
    </r>
    <r>
      <rPr>
        <b/>
        <vertAlign val="subscript"/>
        <sz val="8"/>
        <rFont val="Comic Sans MS"/>
        <family val="4"/>
      </rPr>
      <t>2</t>
    </r>
    <r>
      <rPr>
        <b/>
        <sz val="8"/>
        <rFont val="Comic Sans MS"/>
        <family val="4"/>
      </rPr>
      <t>e from Fuel Combustion</t>
    </r>
  </si>
  <si>
    <r>
      <t>Industrial CO</t>
    </r>
    <r>
      <rPr>
        <vertAlign val="subscript"/>
        <sz val="8"/>
        <rFont val="Comic Sans MS"/>
        <family val="4"/>
      </rPr>
      <t>2</t>
    </r>
  </si>
  <si>
    <t>Industrial Other Gases</t>
  </si>
  <si>
    <r>
      <t>Industrial from MSW (CO</t>
    </r>
    <r>
      <rPr>
        <vertAlign val="subscript"/>
        <sz val="8"/>
        <rFont val="Comic Sans MS"/>
        <family val="4"/>
      </rPr>
      <t>2</t>
    </r>
    <r>
      <rPr>
        <sz val="8"/>
        <rFont val="Comic Sans MS"/>
        <family val="4"/>
      </rPr>
      <t>, CH</t>
    </r>
    <r>
      <rPr>
        <vertAlign val="subscript"/>
        <sz val="8"/>
        <rFont val="Comic Sans MS"/>
        <family val="4"/>
      </rPr>
      <t>4</t>
    </r>
    <r>
      <rPr>
        <sz val="8"/>
        <rFont val="Comic Sans MS"/>
        <family val="4"/>
      </rPr>
      <t xml:space="preserve"> &amp; N</t>
    </r>
    <r>
      <rPr>
        <vertAlign val="subscript"/>
        <sz val="8"/>
        <rFont val="Comic Sans MS"/>
        <family val="4"/>
      </rPr>
      <t>2</t>
    </r>
    <r>
      <rPr>
        <sz val="8"/>
        <rFont val="Comic Sans MS"/>
        <family val="4"/>
      </rPr>
      <t>O)</t>
    </r>
  </si>
  <si>
    <r>
      <t>Industrial from Nat Gas System (CO</t>
    </r>
    <r>
      <rPr>
        <vertAlign val="subscript"/>
        <sz val="8"/>
        <rFont val="Comic Sans MS"/>
        <family val="4"/>
      </rPr>
      <t>2</t>
    </r>
    <r>
      <rPr>
        <sz val="8"/>
        <rFont val="Comic Sans MS"/>
        <family val="4"/>
      </rPr>
      <t>, CH</t>
    </r>
    <r>
      <rPr>
        <vertAlign val="subscript"/>
        <sz val="8"/>
        <rFont val="Comic Sans MS"/>
        <family val="4"/>
      </rPr>
      <t>4</t>
    </r>
    <r>
      <rPr>
        <sz val="8"/>
        <rFont val="Comic Sans MS"/>
        <family val="4"/>
      </rPr>
      <t xml:space="preserve"> &amp; N</t>
    </r>
    <r>
      <rPr>
        <vertAlign val="subscript"/>
        <sz val="8"/>
        <rFont val="Comic Sans MS"/>
        <family val="4"/>
      </rPr>
      <t>2</t>
    </r>
    <r>
      <rPr>
        <sz val="8"/>
        <rFont val="Comic Sans MS"/>
        <family val="4"/>
      </rPr>
      <t>O)</t>
    </r>
  </si>
  <si>
    <r>
      <t>Transportation CO</t>
    </r>
    <r>
      <rPr>
        <b/>
        <vertAlign val="subscript"/>
        <sz val="8"/>
        <rFont val="Comic Sans MS"/>
        <family val="4"/>
      </rPr>
      <t>2</t>
    </r>
    <r>
      <rPr>
        <b/>
        <sz val="8"/>
        <rFont val="Comic Sans MS"/>
        <family val="4"/>
      </rPr>
      <t>e from Fuel Combustion</t>
    </r>
  </si>
  <si>
    <r>
      <t>Transportation CO</t>
    </r>
    <r>
      <rPr>
        <vertAlign val="subscript"/>
        <sz val="8"/>
        <rFont val="Comic Sans MS"/>
        <family val="4"/>
      </rPr>
      <t>2</t>
    </r>
  </si>
  <si>
    <t>Transportation Other Gases</t>
  </si>
  <si>
    <r>
      <t>Electricity Total CO</t>
    </r>
    <r>
      <rPr>
        <b/>
        <vertAlign val="subscript"/>
        <sz val="8"/>
        <color indexed="8"/>
        <rFont val="Comic Sans MS"/>
        <family val="4"/>
      </rPr>
      <t>2</t>
    </r>
    <r>
      <rPr>
        <b/>
        <sz val="8"/>
        <color indexed="8"/>
        <rFont val="Comic Sans MS"/>
        <family val="4"/>
      </rPr>
      <t>e from Fuel Combustion</t>
    </r>
  </si>
  <si>
    <r>
      <t>Electric Generation CO</t>
    </r>
    <r>
      <rPr>
        <vertAlign val="subscript"/>
        <sz val="8"/>
        <rFont val="Comic Sans MS"/>
        <family val="4"/>
      </rPr>
      <t>2</t>
    </r>
  </si>
  <si>
    <r>
      <t>Electric Generation Other Gases (CH</t>
    </r>
    <r>
      <rPr>
        <vertAlign val="subscript"/>
        <sz val="8"/>
        <rFont val="Comic Sans MS"/>
        <family val="4"/>
      </rPr>
      <t>4</t>
    </r>
    <r>
      <rPr>
        <sz val="8"/>
        <rFont val="Comic Sans MS"/>
        <family val="4"/>
      </rPr>
      <t xml:space="preserve"> &amp; N</t>
    </r>
    <r>
      <rPr>
        <vertAlign val="subscript"/>
        <sz val="8"/>
        <rFont val="Comic Sans MS"/>
        <family val="4"/>
      </rPr>
      <t>2</t>
    </r>
    <r>
      <rPr>
        <sz val="8"/>
        <rFont val="Comic Sans MS"/>
        <family val="4"/>
      </rPr>
      <t>O)</t>
    </r>
  </si>
  <si>
    <r>
      <t>Electric Generation from MSW (CO</t>
    </r>
    <r>
      <rPr>
        <vertAlign val="subscript"/>
        <sz val="8"/>
        <rFont val="Comic Sans MS"/>
        <family val="4"/>
      </rPr>
      <t>2</t>
    </r>
    <r>
      <rPr>
        <sz val="8"/>
        <rFont val="Comic Sans MS"/>
        <family val="4"/>
      </rPr>
      <t>, CH</t>
    </r>
    <r>
      <rPr>
        <vertAlign val="subscript"/>
        <sz val="8"/>
        <rFont val="Comic Sans MS"/>
        <family val="4"/>
      </rPr>
      <t>4</t>
    </r>
    <r>
      <rPr>
        <sz val="8"/>
        <rFont val="Comic Sans MS"/>
        <family val="4"/>
      </rPr>
      <t xml:space="preserve"> &amp; N</t>
    </r>
    <r>
      <rPr>
        <vertAlign val="subscript"/>
        <sz val="8"/>
        <rFont val="Comic Sans MS"/>
        <family val="4"/>
      </rPr>
      <t>2</t>
    </r>
    <r>
      <rPr>
        <sz val="8"/>
        <rFont val="Comic Sans MS"/>
        <family val="4"/>
      </rPr>
      <t>O)</t>
    </r>
  </si>
  <si>
    <r>
      <t>Electricity Imports (CO</t>
    </r>
    <r>
      <rPr>
        <vertAlign val="subscript"/>
        <sz val="8"/>
        <color indexed="8"/>
        <rFont val="Comic Sans MS"/>
        <family val="4"/>
      </rPr>
      <t>2</t>
    </r>
    <r>
      <rPr>
        <sz val="8"/>
        <color indexed="8"/>
        <rFont val="Comic Sans MS"/>
        <family val="4"/>
      </rPr>
      <t>, CH</t>
    </r>
    <r>
      <rPr>
        <vertAlign val="subscript"/>
        <sz val="8"/>
        <color indexed="8"/>
        <rFont val="Comic Sans MS"/>
        <family val="4"/>
      </rPr>
      <t>4</t>
    </r>
    <r>
      <rPr>
        <sz val="8"/>
        <color indexed="8"/>
        <rFont val="Comic Sans MS"/>
        <family val="4"/>
      </rPr>
      <t xml:space="preserve"> &amp; N</t>
    </r>
    <r>
      <rPr>
        <vertAlign val="subscript"/>
        <sz val="8"/>
        <color indexed="8"/>
        <rFont val="Comic Sans MS"/>
        <family val="4"/>
      </rPr>
      <t>2</t>
    </r>
    <r>
      <rPr>
        <sz val="8"/>
        <color indexed="8"/>
        <rFont val="Comic Sans MS"/>
        <family val="4"/>
      </rPr>
      <t>O)</t>
    </r>
  </si>
  <si>
    <r>
      <t>Natural Gas Systems (CO</t>
    </r>
    <r>
      <rPr>
        <b/>
        <vertAlign val="subscript"/>
        <sz val="9"/>
        <color rgb="FF000000"/>
        <rFont val="Comic Sans MS"/>
        <family val="4"/>
      </rPr>
      <t>2</t>
    </r>
    <r>
      <rPr>
        <b/>
        <sz val="9"/>
        <color indexed="8"/>
        <rFont val="Comic Sans MS"/>
        <family val="4"/>
      </rPr>
      <t>e)</t>
    </r>
  </si>
  <si>
    <t>Natural Gas Distribution and Post-Meter</t>
  </si>
  <si>
    <r>
      <t>Industrial Processes (CO</t>
    </r>
    <r>
      <rPr>
        <b/>
        <vertAlign val="subscript"/>
        <sz val="9"/>
        <color rgb="FF000000"/>
        <rFont val="Comic Sans MS"/>
        <family val="4"/>
      </rPr>
      <t>2</t>
    </r>
    <r>
      <rPr>
        <b/>
        <sz val="9"/>
        <color indexed="8"/>
        <rFont val="Comic Sans MS"/>
        <family val="4"/>
      </rPr>
      <t>e)</t>
    </r>
  </si>
  <si>
    <r>
      <t>Lime, Dolomite, Soda Ash, Urea (CO</t>
    </r>
    <r>
      <rPr>
        <vertAlign val="subscript"/>
        <sz val="8"/>
        <rFont val="Comic Sans MS"/>
        <family val="4"/>
      </rPr>
      <t>2</t>
    </r>
    <r>
      <rPr>
        <sz val="8"/>
        <rFont val="Comic Sans MS"/>
        <family val="4"/>
      </rPr>
      <t>)</t>
    </r>
  </si>
  <si>
    <t>ODS Substitutes, Semiconductor Mfg., Electricity Trans. (HFCs, PFCs, NF3, SF6)</t>
  </si>
  <si>
    <r>
      <t>Agriculture &amp; Land Use (CO</t>
    </r>
    <r>
      <rPr>
        <b/>
        <vertAlign val="subscript"/>
        <sz val="9"/>
        <rFont val="Comic Sans MS"/>
        <family val="4"/>
      </rPr>
      <t>2</t>
    </r>
    <r>
      <rPr>
        <b/>
        <sz val="9"/>
        <rFont val="Comic Sans MS"/>
        <family val="4"/>
      </rPr>
      <t>e)</t>
    </r>
  </si>
  <si>
    <r>
      <t>Waste (CO</t>
    </r>
    <r>
      <rPr>
        <b/>
        <vertAlign val="subscript"/>
        <sz val="9"/>
        <color rgb="FF000000"/>
        <rFont val="Comic Sans MS"/>
        <family val="4"/>
      </rPr>
      <t>2</t>
    </r>
    <r>
      <rPr>
        <b/>
        <sz val="9"/>
        <color indexed="8"/>
        <rFont val="Comic Sans MS"/>
        <family val="4"/>
      </rPr>
      <t>e)</t>
    </r>
  </si>
  <si>
    <t>Municipal Solid Waste (Landfills Only)</t>
  </si>
  <si>
    <t>Residential Heating and Cooling Total</t>
  </si>
  <si>
    <t>2025 CECP Limit (29% below 1990)</t>
  </si>
  <si>
    <t>2030 CECP Limit (49% below 1990)</t>
  </si>
  <si>
    <r>
      <t>Commercial CO</t>
    </r>
    <r>
      <rPr>
        <b/>
        <vertAlign val="subscript"/>
        <sz val="8"/>
        <rFont val="Comic Sans MS"/>
        <family val="4"/>
      </rPr>
      <t>2</t>
    </r>
    <r>
      <rPr>
        <b/>
        <sz val="8"/>
        <rFont val="Comic Sans MS"/>
        <family val="4"/>
      </rPr>
      <t>e from Fuel Combustion and Fuel Cell</t>
    </r>
  </si>
  <si>
    <r>
      <t>Commercial CO</t>
    </r>
    <r>
      <rPr>
        <vertAlign val="subscript"/>
        <sz val="8"/>
        <rFont val="Comic Sans MS"/>
        <family val="4"/>
      </rPr>
      <t>2</t>
    </r>
    <r>
      <rPr>
        <sz val="8"/>
        <rFont val="Comic Sans MS"/>
        <family val="4"/>
      </rPr>
      <t xml:space="preserve"> from Fossil Fuel Use by Fuel Cells</t>
    </r>
  </si>
  <si>
    <t>Commercial and Industrial Heating and Cooling</t>
  </si>
  <si>
    <t>2025 CECP Limit (35% below 1990)</t>
  </si>
  <si>
    <t>2025 CECP Limit (18% below 1990)</t>
  </si>
  <si>
    <t>2030 CECP Limit (34% below 1990)</t>
  </si>
  <si>
    <t>2025 CECP Limit (53% below 1990)</t>
  </si>
  <si>
    <t>2030 CECP Limit (70% below 1990)</t>
  </si>
  <si>
    <t>2025 CECP Limit (82% below 1990)</t>
  </si>
  <si>
    <t>2030 CECP Limit (82% below 1990)</t>
  </si>
  <si>
    <t>ODS Substitutes</t>
  </si>
  <si>
    <t>Semiconductor Manufacturing</t>
  </si>
  <si>
    <t>Electric Power Transmission and Distribution Systems</t>
  </si>
  <si>
    <t>Indistrial Processes (CO2e)</t>
  </si>
  <si>
    <t>2025 CECP Limit (449% above 1990)</t>
  </si>
  <si>
    <t>2030 CECP Limit (281% above 1990)</t>
  </si>
  <si>
    <r>
      <t>CO</t>
    </r>
    <r>
      <rPr>
        <b/>
        <vertAlign val="subscript"/>
        <sz val="14"/>
        <rFont val="Comic Sans MS"/>
        <family val="4"/>
      </rPr>
      <t>2</t>
    </r>
    <r>
      <rPr>
        <b/>
        <sz val="14"/>
        <rFont val="Comic Sans MS"/>
        <family val="4"/>
      </rPr>
      <t xml:space="preserve"> Emissions from Combustion of Fossil Fuels</t>
    </r>
    <r>
      <rPr>
        <b/>
        <sz val="14"/>
        <rFont val="Comic Sans MS"/>
        <family val="4"/>
      </rPr>
      <t xml:space="preserve"> - MA Summary</t>
    </r>
  </si>
  <si>
    <t>MMTCO2E</t>
  </si>
  <si>
    <t>Residential</t>
  </si>
  <si>
    <t>Coal</t>
  </si>
  <si>
    <t>Petroleum</t>
  </si>
  <si>
    <t>Natural Gas</t>
  </si>
  <si>
    <t>Other</t>
  </si>
  <si>
    <t>Commercial**</t>
  </si>
  <si>
    <t>Industrial*</t>
  </si>
  <si>
    <t>Natural Gas (EIA Natural Gas Consumption)</t>
  </si>
  <si>
    <t>International Bunker Fuels</t>
  </si>
  <si>
    <t>Jet Fuel, Kerosene</t>
  </si>
  <si>
    <t>Distillate Fuel</t>
  </si>
  <si>
    <t>Residual Fuel</t>
  </si>
  <si>
    <t>*additional Industrial category</t>
  </si>
  <si>
    <t>from EIA-176 (Mcf) for the uses listed below</t>
  </si>
  <si>
    <t>1990-1996 from SEDS code NGPZB</t>
  </si>
  <si>
    <t>BBTU</t>
  </si>
  <si>
    <t>(factor to convert Mcf to MMBTU)</t>
  </si>
  <si>
    <t>(factor from CO2FFC module to convert from BBTU Natural gas to MMTCO2e)</t>
  </si>
  <si>
    <t>These emissions are from use of Natural Gas by NG transmission and distribution companies for space heating, combustion in compressors, and liquefaction/vaporization of LNG.</t>
  </si>
  <si>
    <t>**additional Commercial Fuel Cell emissions</t>
  </si>
  <si>
    <t>NEPOOL GIS certificates retired in MA</t>
  </si>
  <si>
    <t>None before 2018</t>
  </si>
  <si>
    <t>MWh</t>
  </si>
  <si>
    <t xml:space="preserve">BBTU </t>
  </si>
  <si>
    <t>(factor to convert certificates to MWh, DOER assigns 1.5 certificates for each MWh or 3,412 MMBTUs of steam generated)</t>
  </si>
  <si>
    <t>(factor to convert MWh to MMBTU; derived from EIA-923 data)</t>
  </si>
  <si>
    <t>lb CO2/MWh based on an average of the emission factors estimated for five different types of fuel cells, with and without heat recovery, obtained by ICF through a manufacturer data collection.</t>
  </si>
  <si>
    <t>See https://www.epa.gov/sites/production/files/2015-07/documents/catalog_of_chp_technologies_section_6._technology_characterization_-_fuel_cells.pdf.</t>
  </si>
  <si>
    <t>These emissions are from conversion of natural gas to hydrogen by commercial facilities for fuel cells. There are no CH4 or N2O emissions from this process.</t>
  </si>
  <si>
    <t>CH4 and N2O Emissions from Stationary Combustion - MA Summary</t>
  </si>
  <si>
    <t>N2O and CH4 from various fuels and sectors have been added to the SGIT data from the 'Biogenic Combustion' tab.
The totals can be found in the TOTALS BY SECTOR table below.</t>
  </si>
  <si>
    <t>FROM SGIT</t>
  </si>
  <si>
    <t>Commercial</t>
  </si>
  <si>
    <t>Industrial</t>
  </si>
  <si>
    <t>FROM BIOGENIC COMBUSTION TAB</t>
  </si>
  <si>
    <t>TOTALS BY SECTOR</t>
  </si>
  <si>
    <t>GHG (MMTCO2e)</t>
  </si>
  <si>
    <t>N2O (MMTCO2e)</t>
  </si>
  <si>
    <t>CH4 (MMTCO2e)</t>
  </si>
  <si>
    <t>Use BBTU (from CO2FFC tab)</t>
  </si>
  <si>
    <t>(factor from Stationary module to convert from BBTU Natural gas to MMTCO2e of N2O)</t>
  </si>
  <si>
    <t>(factor from Stationary module to convert from BBTU Natural gas to MMTCO2e of CH4)</t>
  </si>
  <si>
    <t>CH4 and N2O Emissions from Mobile Combustion - MA Summary</t>
  </si>
  <si>
    <t>Total CH4 and N2O Emissions from Mobile Sources (MTCO2E)</t>
  </si>
  <si>
    <t>Fuel Type/Vehicle Type</t>
  </si>
  <si>
    <t>Gasoline Highway</t>
  </si>
  <si>
    <t>Passenger Cars</t>
  </si>
  <si>
    <t>Light-Duty Trucks</t>
  </si>
  <si>
    <t>Heavy-Duty Vehicles</t>
  </si>
  <si>
    <t>Motorcycles</t>
  </si>
  <si>
    <t>Diesel Highway</t>
  </si>
  <si>
    <t>Non-Highway</t>
  </si>
  <si>
    <t>Boats</t>
  </si>
  <si>
    <t>Locomotives</t>
  </si>
  <si>
    <t>Farm Equipment</t>
  </si>
  <si>
    <t>Construction Equipment</t>
  </si>
  <si>
    <t>Aircraft (Domestic)</t>
  </si>
  <si>
    <t>Other*</t>
  </si>
  <si>
    <t>Alternative Fuel Vehicles</t>
  </si>
  <si>
    <t>Light Duty Vehicles</t>
  </si>
  <si>
    <t>Heavy Duty Vehicles</t>
  </si>
  <si>
    <t>Buses</t>
  </si>
  <si>
    <t>Total</t>
  </si>
  <si>
    <t>* "Other" includes snowmobiles, small gasoline powered utility equipment, heavy-duty gasoline powered utility equipment, and heavy-duty diesel powered utility equipment.</t>
  </si>
  <si>
    <t>CH4 Emissions from Mobile Sources (MTCO2E)</t>
  </si>
  <si>
    <t>N2O Emissions from Mobile Sources (MTCO2E)</t>
  </si>
  <si>
    <r>
      <t>Alternative Mobile Source Emissions Summary, CO</t>
    </r>
    <r>
      <rPr>
        <b/>
        <vertAlign val="subscript"/>
        <sz val="16"/>
        <color indexed="18"/>
        <rFont val="Comic Sans MS"/>
        <family val="4"/>
      </rPr>
      <t>2</t>
    </r>
  </si>
  <si>
    <t>EPA provides CO2 emissions based on vehicle miles traveled. For a comparison with CO2 emissions based on fuel use, see Row 123 below. The fuel-based CO2 mobile emissions on the "CO2FFC" tab have been used in this inventory and not the VMT-based CO2 mobile emissions below.</t>
  </si>
  <si>
    <r>
      <t>Total CO</t>
    </r>
    <r>
      <rPr>
        <b/>
        <vertAlign val="subscript"/>
        <sz val="10"/>
        <rFont val="Comic Sans MS"/>
        <family val="4"/>
      </rPr>
      <t>2</t>
    </r>
    <r>
      <rPr>
        <b/>
        <sz val="10"/>
        <rFont val="Comic Sans MS"/>
        <family val="4"/>
      </rPr>
      <t xml:space="preserve"> Emissions from Mobile Sources (MTCO</t>
    </r>
    <r>
      <rPr>
        <b/>
        <vertAlign val="subscript"/>
        <sz val="10"/>
        <rFont val="Comic Sans MS"/>
        <family val="4"/>
      </rPr>
      <t>2</t>
    </r>
    <r>
      <rPr>
        <b/>
        <sz val="10"/>
        <rFont val="Comic Sans MS"/>
        <family val="4"/>
      </rPr>
      <t>E)</t>
    </r>
  </si>
  <si>
    <t>Aviation (Domestic)</t>
  </si>
  <si>
    <t>Highway and AFVs by Fuel Type</t>
  </si>
  <si>
    <t>Gasoline</t>
  </si>
  <si>
    <t>Distillate Fuel Oil</t>
  </si>
  <si>
    <t>CNG</t>
  </si>
  <si>
    <t>LNG</t>
  </si>
  <si>
    <t>LPG</t>
  </si>
  <si>
    <t>Off-road by Fuel Type</t>
  </si>
  <si>
    <t>Jet Fuel, Kerosene (Domestic)</t>
  </si>
  <si>
    <t>Jet Fuel, Naphtha</t>
  </si>
  <si>
    <t>Aviation Gasoline</t>
  </si>
  <si>
    <t>Diesel</t>
  </si>
  <si>
    <t>Residual Fuel Oil</t>
  </si>
  <si>
    <t>COMPARING CO2 EMISSIONS from "CO2FFC" Fuel Combustion Emissions and "Alternative Mobile" Vehicle/VMT CO2 Emissions</t>
  </si>
  <si>
    <t>(Total CO2 Emissions from Alternative Mobile CO2 have been converted to MMTCO2E)</t>
  </si>
  <si>
    <t>CO2 Based on Fuel Use</t>
  </si>
  <si>
    <t>CO2 Based on VMT</t>
  </si>
  <si>
    <t>Difference</t>
  </si>
  <si>
    <t>Emissions from Natural Gas Systems - MA Summary</t>
  </si>
  <si>
    <t>Emissions from Natural Gas Distribution and Post-Meter leaks are calculated on this tab; emissions from Natural Gas Transmission &amp; Storage are calculated on the next tab in this workbook. Total Distribution, Post-Meter, Transmission and Storage emissions are summarized at the top of this tab. CH4 and CO2 emissions from Distribution, Post-Meter, Transmission and Storage were calculated using emission factors from EPA's GHGI Natural Gas Systems Annex 3.6.</t>
  </si>
  <si>
    <t>Emissions (MMTCO2 Eq.)</t>
  </si>
  <si>
    <t>Transmission and Storage</t>
  </si>
  <si>
    <t>Distribution and Post-Meter</t>
  </si>
  <si>
    <t>Emissions by Gas (MTCH4)</t>
  </si>
  <si>
    <t>Emissions by Gas (MTCO2)</t>
  </si>
  <si>
    <t xml:space="preserve">Natural Gas Distribution and Post-Meter Leaks </t>
  </si>
  <si>
    <t>MA Distribution and Post-Meter Inventory</t>
  </si>
  <si>
    <t>Miles of Pipeline (PHMSA) (see graph below in Row 336)</t>
  </si>
  <si>
    <t>Steel, Cathodically Unprotected and Uncoated</t>
  </si>
  <si>
    <t>Steel, Cathodically Unprotected and Coated</t>
  </si>
  <si>
    <t>Steel, Cathodically Protected and Uncoated</t>
  </si>
  <si>
    <t>Steel, Cathodically Protected and Coated</t>
  </si>
  <si>
    <t>Plastic</t>
  </si>
  <si>
    <t>Cast or Wrought Iron</t>
  </si>
  <si>
    <t>Ductile Iron</t>
  </si>
  <si>
    <t>Copper</t>
  </si>
  <si>
    <t>Number of Services (PHMSA) (see graph below in Row 336)</t>
  </si>
  <si>
    <t>Miles of Services: Sum of (total * Avg length * miles/feet) for each company 1990-2009</t>
  </si>
  <si>
    <t>TOTAL Miles (Mains + Services 1990-2009, from PHMSA 2010+) for Blowdowns and Mishaps</t>
  </si>
  <si>
    <t>M&amp;R Stations (natural gas companies)</t>
  </si>
  <si>
    <t>&gt;300 psi (T-D)</t>
  </si>
  <si>
    <t>100-300 psi (T-D)</t>
  </si>
  <si>
    <t>&lt;100 psi (T-D)</t>
  </si>
  <si>
    <t>&gt;300 psi Above ground (not T-D)</t>
  </si>
  <si>
    <t>&gt;300 psi Vault (not T-D)</t>
  </si>
  <si>
    <t>100-300 psi Above ground (not T-D)</t>
  </si>
  <si>
    <t>100-300 psi Vault (not T-D)</t>
  </si>
  <si>
    <t>40-&lt;100 psi Above ground (not T-D)</t>
  </si>
  <si>
    <t>40-&lt;100 psi Vault (not T-D)</t>
  </si>
  <si>
    <t>&lt;40 psi (not T-D)</t>
  </si>
  <si>
    <t>Number of Customers (EIA) - Total</t>
  </si>
  <si>
    <t>http://www.eia.gov/dnav/ng/ng_cons_num_dcu_nus_a.htm</t>
  </si>
  <si>
    <t>Post-Meter Leaks (as noted below)</t>
  </si>
  <si>
    <r>
      <t xml:space="preserve">Natural Gas Households U.S. Census Bureau’s </t>
    </r>
    <r>
      <rPr>
        <i/>
        <sz val="9"/>
        <rFont val="Calibri"/>
        <family val="2"/>
        <scheme val="minor"/>
      </rPr>
      <t>American Housing Survey</t>
    </r>
    <r>
      <rPr>
        <sz val="9"/>
        <rFont val="Calibri"/>
        <family val="2"/>
        <scheme val="minor"/>
      </rPr>
      <t xml:space="preserve"> (AHS) </t>
    </r>
  </si>
  <si>
    <t>Total Industrial and Power Plants (million cubic feet)</t>
  </si>
  <si>
    <t>Total Industrial and Power Plants (BILLION cubic feet)</t>
  </si>
  <si>
    <t># natural gas vehicles (MA Inspection &amp; Maintenance Program VID)</t>
  </si>
  <si>
    <t>CH4 Emission Factors for Natural Gas Distribution</t>
  </si>
  <si>
    <t>EPA 2022 GHGI Annex 3.6 Electronic Tables</t>
  </si>
  <si>
    <t>Table 3.6-2: Average CH4 Emission Factors (kg/unit activity) for Natural Gas Systems Sources, for All Years</t>
  </si>
  <si>
    <t>Segment/Source</t>
  </si>
  <si>
    <t>Units</t>
  </si>
  <si>
    <t>DISTRIBUTION</t>
  </si>
  <si>
    <t>Pipeline Leaks</t>
  </si>
  <si>
    <t>Mains - Cast Iron</t>
  </si>
  <si>
    <t>kg/mile</t>
  </si>
  <si>
    <t>Mains - Unprotected steel</t>
  </si>
  <si>
    <t>Mains - Protected steel</t>
  </si>
  <si>
    <t>Mains - Plastic</t>
  </si>
  <si>
    <t>Services - Unprotected steel</t>
  </si>
  <si>
    <t>kg/service</t>
  </si>
  <si>
    <t>Services Protected steel</t>
  </si>
  <si>
    <t>Services - Plastic</t>
  </si>
  <si>
    <t>Services - Copper</t>
  </si>
  <si>
    <t>Meter/Regulator (City Gates)</t>
  </si>
  <si>
    <t>M&amp;R &gt;300</t>
  </si>
  <si>
    <t>kg/station</t>
  </si>
  <si>
    <t>M&amp;R 100-300</t>
  </si>
  <si>
    <t>M&amp;R &lt;100</t>
  </si>
  <si>
    <t>Reg &gt;300</t>
  </si>
  <si>
    <t>R-Vault &gt;300</t>
  </si>
  <si>
    <t>Reg 100-300</t>
  </si>
  <si>
    <t>R-Vault 100-300</t>
  </si>
  <si>
    <t>Reg 40-100</t>
  </si>
  <si>
    <t>R-Vault 40-100</t>
  </si>
  <si>
    <t>Reg &lt;40</t>
  </si>
  <si>
    <t>Customer Meters</t>
  </si>
  <si>
    <t>kg/meter</t>
  </si>
  <si>
    <t xml:space="preserve">Commercial </t>
  </si>
  <si>
    <t>Routine Maintenance</t>
  </si>
  <si>
    <t>Pressure Relief Valve Releases</t>
  </si>
  <si>
    <t>Pipeline Blowdown</t>
  </si>
  <si>
    <t>Upsets</t>
  </si>
  <si>
    <t>Mishaps (Dig-ins)</t>
  </si>
  <si>
    <t>Units (metric tons CH4)</t>
  </si>
  <si>
    <t>conversion factor  from kg to metric tons</t>
  </si>
  <si>
    <t>mt/mile</t>
  </si>
  <si>
    <t>mt/service</t>
  </si>
  <si>
    <t>mt/station</t>
  </si>
  <si>
    <t>mt/meter</t>
  </si>
  <si>
    <t xml:space="preserve">CH4 Emissions from Natural Gas Distribution </t>
  </si>
  <si>
    <t>EMISSIONS by Segment/Source</t>
  </si>
  <si>
    <t>mt CH4</t>
  </si>
  <si>
    <t xml:space="preserve">CH4 Emission Factors and Emissions from Post-Meter Leaks </t>
  </si>
  <si>
    <t>Post-Meter Leaks</t>
  </si>
  <si>
    <t>kg/NG house</t>
  </si>
  <si>
    <t>kg/appliance</t>
  </si>
  <si>
    <t>Industrial &amp; Power Plants</t>
  </si>
  <si>
    <t>kg/BCF</t>
  </si>
  <si>
    <t>Natural Gas Vehicles</t>
  </si>
  <si>
    <t>kg/vehicle</t>
  </si>
  <si>
    <t>mt/NG house</t>
  </si>
  <si>
    <t>mt/appliance</t>
  </si>
  <si>
    <t>mt/BCF</t>
  </si>
  <si>
    <t>mt/vehicle</t>
  </si>
  <si>
    <t>Residential (using RESIDENTIAL METERS through 2016; AHS (American Housing Survey) thereafter)</t>
  </si>
  <si>
    <t>Commercial (using COMMERCIAL METERS)</t>
  </si>
  <si>
    <t>Industrial &amp; Power Plants (using EIA SEDS data)</t>
  </si>
  <si>
    <t>Total Distribution &amp; Post-Meter Methane Leaks</t>
  </si>
  <si>
    <t>million mt CH4</t>
  </si>
  <si>
    <t xml:space="preserve">Total Distribution &amp; Post-Meter Methane Leaks </t>
  </si>
  <si>
    <t>MMTCO2e</t>
  </si>
  <si>
    <t xml:space="preserve">CO2 Emission Factors for Natural Gas Distribution System Leaks </t>
  </si>
  <si>
    <t>Table 3.6-12: Average CO2 Emission Factors (kg/unit activity) for Natural Gas Systems Sources, for All Years</t>
  </si>
  <si>
    <t xml:space="preserve">CO2 Emissions from Natural Gas Distribution System Leaks </t>
  </si>
  <si>
    <t>mt CO2</t>
  </si>
  <si>
    <t>mt CO3</t>
  </si>
  <si>
    <t xml:space="preserve">CO2 Emission Factors and Emissions from Post-Meter Leaks </t>
  </si>
  <si>
    <t>NA</t>
  </si>
  <si>
    <t xml:space="preserve">Emissions from Natural Gas Transmission &amp; Storage System Leaks  </t>
  </si>
  <si>
    <t xml:space="preserve">Massachusetts-specific FLIGHT data is used wherever possible, for example, pipeline miles, compressor stations, and LNG import terminals, with corresponding emissions data. </t>
  </si>
  <si>
    <t>"#VALUE" is present in cells where data was not available until more recent years.</t>
  </si>
  <si>
    <t>MA TRANSMISSION AND STORAGE INVENTORY</t>
  </si>
  <si>
    <t>Data Sources for Transmission &amp; Storage Inventory: PHMSA, EPA FLIGHT, Tennessee Gas Pipeline (TGP)</t>
  </si>
  <si>
    <t>MA EQUIPMENT Segment/Source</t>
  </si>
  <si>
    <t xml:space="preserve">Pipeline </t>
  </si>
  <si>
    <t>miles</t>
  </si>
  <si>
    <t>Compressor Stations (Transmission)</t>
  </si>
  <si>
    <t>Station Totals</t>
  </si>
  <si>
    <t>stations</t>
  </si>
  <si>
    <t>Station + Compressors</t>
  </si>
  <si>
    <t>Reciprocating Compressor</t>
  </si>
  <si>
    <t>compressors</t>
  </si>
  <si>
    <t>Centrifugal Compressor (wet seals)</t>
  </si>
  <si>
    <t>Centrifugal Compressor (dry seals)</t>
  </si>
  <si>
    <t>Normal Operation</t>
  </si>
  <si>
    <t>Dehydrator vents (Transmission)</t>
  </si>
  <si>
    <t>MMscf</t>
  </si>
  <si>
    <t>Flaring (Transmission)</t>
  </si>
  <si>
    <t>Pneumatic Devices Transmission</t>
  </si>
  <si>
    <t>controllers</t>
  </si>
  <si>
    <t>(High Bleed)</t>
  </si>
  <si>
    <t>(Intermittent Bleed)</t>
  </si>
  <si>
    <t>(Low Bleed)</t>
  </si>
  <si>
    <t>Routine Maintenance/Upsets</t>
  </si>
  <si>
    <t>Pipeline venting</t>
  </si>
  <si>
    <t>Station Venting Transmission</t>
  </si>
  <si>
    <t>LNG Storage</t>
  </si>
  <si>
    <t>LNG Stations (eq. leaks, compressors, flares)</t>
  </si>
  <si>
    <t>facilities</t>
  </si>
  <si>
    <t>LNG Station Blowdowns</t>
  </si>
  <si>
    <t>LNG Import Terminals</t>
  </si>
  <si>
    <t>LNG Import Terminals (eq. leaks, compressors, flares)</t>
  </si>
  <si>
    <t>terminals</t>
  </si>
  <si>
    <t>LNG Import Terminal Blowdowns</t>
  </si>
  <si>
    <t xml:space="preserve">CH4 Emissions from Natural Gas Transmission &amp; Storage Leaks </t>
  </si>
  <si>
    <t>TRANSMISSION AND STORAGE</t>
  </si>
  <si>
    <t>kg/compressor</t>
  </si>
  <si>
    <t>kg/MMscf</t>
  </si>
  <si>
    <t>kg/controller</t>
  </si>
  <si>
    <t>kg/facility</t>
  </si>
  <si>
    <t>kg/terminal</t>
  </si>
  <si>
    <t>mt/compressor</t>
  </si>
  <si>
    <t>mt/MMscf</t>
  </si>
  <si>
    <t>mt/controller</t>
  </si>
  <si>
    <t>mt/facility</t>
  </si>
  <si>
    <t>mt/terminal</t>
  </si>
  <si>
    <t xml:space="preserve">CO2 Emissions from Natural Gas Transmission &amp; Storage Leaks </t>
  </si>
  <si>
    <t>Units (metric tons CO2)</t>
  </si>
  <si>
    <t>EPA FLIGHT DATA (Inventory &amp; Emissions)</t>
  </si>
  <si>
    <t>PIPELINES</t>
  </si>
  <si>
    <t>Tennessee Gas Pipeline FLIGHT/Sub W data reports</t>
  </si>
  <si>
    <t>Pipeline</t>
  </si>
  <si>
    <t>N/A</t>
  </si>
  <si>
    <t>Pipeline Blowdowns</t>
  </si>
  <si>
    <t># of events</t>
  </si>
  <si>
    <t>Pipeline Blowdown Emissions</t>
  </si>
  <si>
    <t>mtCH4</t>
  </si>
  <si>
    <t>mtCO2</t>
  </si>
  <si>
    <t>Algonquin Gas FLIGHT/Sub W data</t>
  </si>
  <si>
    <t>Total Transmission Pipeline FLIGHT/Sub W data</t>
  </si>
  <si>
    <t>COMPRESSOR STATIONS</t>
  </si>
  <si>
    <t>Tennessee Gas FLIGHT/Sub W data reports</t>
  </si>
  <si>
    <t>Agawam</t>
  </si>
  <si>
    <t># of compressors</t>
  </si>
  <si>
    <t>Blowdowns (Compressors, Facility Piping, Other and Emergency Shutdowns)</t>
  </si>
  <si>
    <t>Blowdown Emissions</t>
  </si>
  <si>
    <t>Charlton</t>
  </si>
  <si>
    <t>Blowdowns (Compressors and Emergency Shutdowns)</t>
  </si>
  <si>
    <t>Mendon</t>
  </si>
  <si>
    <t>Blowdowns (Compressors, Emergency Shutdaowns, Scrubbers/Strainers and Other)</t>
  </si>
  <si>
    <t>Total TGP</t>
  </si>
  <si>
    <t>Compressor Station reporting to FLIGHT</t>
  </si>
  <si>
    <t># of stations</t>
  </si>
  <si>
    <t>Blowdowns (Compressors, Scrubbers/Strainers, Facility Piping, Emergency Shutdowns, and Other)</t>
  </si>
  <si>
    <t>LNG IMPORT/EXPORT</t>
  </si>
  <si>
    <t>Distrigas EPA FLIGHT/Sub W data</t>
  </si>
  <si>
    <t xml:space="preserve">Blowdowns </t>
  </si>
  <si>
    <t>Other leaks</t>
  </si>
  <si>
    <t>Emissions from Other Leaks</t>
  </si>
  <si>
    <t>LNG Import Terminals reporting to FLIGHT</t>
  </si>
  <si>
    <t># of source type</t>
  </si>
  <si>
    <t>Compressor (Gas Service, vapor Recovery Compressor) - Emissions from Source</t>
  </si>
  <si>
    <t>Emissions from Industrial Processes - MA Summary</t>
  </si>
  <si>
    <t>The emissions values for Lime Manufacture are obtained from EPA's Facility Level Information on GHGs Tool (FLIGHT) beginning with 2010.</t>
  </si>
  <si>
    <t>Emissions (MTCO2E)</t>
  </si>
  <si>
    <t>Carbon Dioxide Emissions</t>
  </si>
  <si>
    <t>Cement Manufacture</t>
  </si>
  <si>
    <t>Lime Manufacture</t>
  </si>
  <si>
    <t>Limestone and Dolomite Use</t>
  </si>
  <si>
    <t>Soda Ash</t>
  </si>
  <si>
    <r>
      <t>Aluminum Production, CO</t>
    </r>
    <r>
      <rPr>
        <vertAlign val="subscript"/>
        <sz val="8"/>
        <rFont val="Comic Sans MS"/>
        <family val="4"/>
      </rPr>
      <t>2</t>
    </r>
  </si>
  <si>
    <t>Iron &amp; Steel Production</t>
  </si>
  <si>
    <t>Ammonia Production</t>
  </si>
  <si>
    <t>Urea Consumption</t>
  </si>
  <si>
    <t>Nitrous Oxide Emissions</t>
  </si>
  <si>
    <t>Nitric Acid Production</t>
  </si>
  <si>
    <t>Adipic Acid Production</t>
  </si>
  <si>
    <t>HFC, PFC, NF3 and SF6 Emissions</t>
  </si>
  <si>
    <t>Magnesium Production</t>
  </si>
  <si>
    <t>HCFC-22 Production</t>
  </si>
  <si>
    <t>Aluminum Production</t>
  </si>
  <si>
    <t>Total Emissions</t>
  </si>
  <si>
    <t>Emissions from Agriculture - MA Summary</t>
  </si>
  <si>
    <t>GWPs</t>
  </si>
  <si>
    <t>AR4</t>
  </si>
  <si>
    <t>Enteric Fermentation</t>
  </si>
  <si>
    <t>Manure Management</t>
  </si>
  <si>
    <t>Ag Soils</t>
  </si>
  <si>
    <t>Rice Cultivation</t>
  </si>
  <si>
    <t>Liming</t>
  </si>
  <si>
    <t>Urea Fertilization</t>
  </si>
  <si>
    <t>Agricultural Residue Burning</t>
  </si>
  <si>
    <t>Emissions by Gas (MMTCO2, MMTCH4 or MMTN2O)</t>
  </si>
  <si>
    <t>Carbon Dioxide</t>
  </si>
  <si>
    <t>Methane</t>
  </si>
  <si>
    <t>Nitrous Oxide</t>
  </si>
  <si>
    <t>Nitrous Oxide Emissions from Ag Soils (metric tons N2O)</t>
  </si>
  <si>
    <t>Direct</t>
  </si>
  <si>
    <t>Fertilizers</t>
  </si>
  <si>
    <t>Crop Residues</t>
  </si>
  <si>
    <t>N-Fixing Crops</t>
  </si>
  <si>
    <t>Histosols</t>
  </si>
  <si>
    <t>Livestock</t>
  </si>
  <si>
    <t>Indirect</t>
  </si>
  <si>
    <t>Leaching/Runoff</t>
  </si>
  <si>
    <t>Fertilizer Runoff/Leached</t>
  </si>
  <si>
    <t xml:space="preserve">Manure Runoff/Leached </t>
  </si>
  <si>
    <t>Emissions by Gas (MMTCO2e)</t>
  </si>
  <si>
    <t>Total Emissions from Agriculture - MA Summaries</t>
  </si>
  <si>
    <t>TOTAL from Agriculture &amp; Land Use</t>
  </si>
  <si>
    <t>Emissions from Municipal Solid Waste Combustion and Landfills - MA Summary</t>
  </si>
  <si>
    <t>Total Emissions from LANDFILLS and WASTE COMBUSTION (MMTCO2E)</t>
  </si>
  <si>
    <t>CO2</t>
  </si>
  <si>
    <t>Total CO2e</t>
  </si>
  <si>
    <t>Total CO2e Landfills (without MSW Combustion)</t>
  </si>
  <si>
    <t>LANDFILLS</t>
  </si>
  <si>
    <t>CH4 Emissions from Landfills (MTCO2E)</t>
  </si>
  <si>
    <t>Potential CH4</t>
  </si>
  <si>
    <t>MSW Generation</t>
  </si>
  <si>
    <t>Industrial Generation</t>
  </si>
  <si>
    <t>CH4 Avoided</t>
  </si>
  <si>
    <t>Methodology Change:</t>
  </si>
  <si>
    <t>Flare</t>
  </si>
  <si>
    <t>Total CH4 emissions from MSW landfills now obtained from FLIGHT.</t>
  </si>
  <si>
    <t>Landfill Gas-to-Energy</t>
  </si>
  <si>
    <t>No CH4 emissions (or oxidation) from industrial landfills in MA.</t>
  </si>
  <si>
    <t>Oxidation at MSW Landfills</t>
  </si>
  <si>
    <t>Oxidation data from TCR CRIS 2010-2014.</t>
  </si>
  <si>
    <t>Oxidation at Industrial Landfills</t>
  </si>
  <si>
    <t xml:space="preserve">Total CH4 Emissions </t>
  </si>
  <si>
    <t>CO2 oxidation emissions from MSW Landfills and Emissions from combustion of LFG in flares, engines and turbines at Landfills not already accounted for in Electric sector (MMTCO2E)</t>
  </si>
  <si>
    <t>TCR CRIS data (NOTE: still with SAR GWPs)</t>
  </si>
  <si>
    <t xml:space="preserve">Gas/Waste Product </t>
  </si>
  <si>
    <t>Biogenic CO2</t>
  </si>
  <si>
    <t>Oxidation CO2</t>
  </si>
  <si>
    <t>Combustion CO2</t>
  </si>
  <si>
    <t>Combustion N2O</t>
  </si>
  <si>
    <t>Combustion CH4</t>
  </si>
  <si>
    <t>MUNICIPAL SOLID WASTE (MSW) COMBUSTION for ELECTRIC SECTOR</t>
  </si>
  <si>
    <t>CO2, CH4, and N2O Emissions from Waste Combustion (MTCO2E)</t>
  </si>
  <si>
    <t>NOTE: Tons of trash from Covanta Pittsfield have been removed from SGIT MWC data for 1990 - 2009 and included in the Industrial sector below.</t>
  </si>
  <si>
    <t>Plastics</t>
  </si>
  <si>
    <t>EPA FLIGHT data beginning 2010.</t>
  </si>
  <si>
    <t>Synthetic Rubber in MSW</t>
  </si>
  <si>
    <t xml:space="preserve">Synthetic Fibers </t>
  </si>
  <si>
    <t>Total CO2, CH4 and N2O Emissions</t>
  </si>
  <si>
    <t>MMTCO2e from Solid Waste (to Electricity Sector)</t>
  </si>
  <si>
    <t>MUNICIPAL SOLID WASTE (MSW) COMBUSTION for INDUSTRIAL SECTOR</t>
  </si>
  <si>
    <t>Note: Values in this table are from the Industrial Sector (from Waste) table below for 1990 - 2009, from EPA's FLIGHT beginning with 2010, and from the Industrial Sector (from Waste) table on the 'Biogenic Combustion' tab.</t>
  </si>
  <si>
    <t>EPA FLIGHT data beginning 2010</t>
  </si>
  <si>
    <t>MMTCO2e from Solid Waste (to Industrial Sector)</t>
  </si>
  <si>
    <t>Non-Biogenic CO2 for Industrial Sector (MMTCO2e)</t>
  </si>
  <si>
    <t>NON-BIOGENIC MSW from INDUSTRIAL SECTOR</t>
  </si>
  <si>
    <t>***</t>
  </si>
  <si>
    <r>
      <t xml:space="preserve">1990-1998 Data determined using MSW fuels from EIA </t>
    </r>
    <r>
      <rPr>
        <sz val="11"/>
        <rFont val="Calibri"/>
        <family val="2"/>
      </rPr>
      <t xml:space="preserve">867 Non-Utility Data and calculating MSN from EIA splits. </t>
    </r>
  </si>
  <si>
    <t>THIS GOES TO THE SOLID WASTE TAB section above AND THEN ON TO THE INDUSTRIAL SECTOR</t>
  </si>
  <si>
    <t>CH4 and N2O from MSB already included in Solid Waste Tab.</t>
  </si>
  <si>
    <r>
      <t>1999-2000 Data determined using SEDS WSICB value and calculating MS</t>
    </r>
    <r>
      <rPr>
        <sz val="11"/>
        <rFont val="Calibri"/>
        <family val="2"/>
      </rPr>
      <t>N from EIA National MSN/MSB splits.</t>
    </r>
  </si>
  <si>
    <t>Industrial Sector (from Waste) through 2009</t>
  </si>
  <si>
    <r>
      <t xml:space="preserve">2001-2009 uses SEDS WSICB value as MSB </t>
    </r>
    <r>
      <rPr>
        <sz val="11"/>
        <rFont val="Calibri"/>
        <family val="2"/>
      </rPr>
      <t>and calculates MSN. So, ALL 1990-2009 calcs here are EIA data or are derived from EIA data. Beginning 2010 use FLIGHT Biogenic CO2 value</t>
    </r>
  </si>
  <si>
    <t xml:space="preserve">Fuel Type </t>
  </si>
  <si>
    <t>Fuel Codes from SEDS</t>
  </si>
  <si>
    <t>EPA GHG REPORTING TABLE C-1 (kg CO2/MMBTU)</t>
  </si>
  <si>
    <t>EPA GHG REPORTING TABLE C-1 (lb CO2/MMBTU)</t>
  </si>
  <si>
    <t>IPCC Emission Factors (CH4 lb/MMBtu) HHV</t>
  </si>
  <si>
    <t>IPCC Emission Factors (N2O lb/MMBtu) HHV</t>
  </si>
  <si>
    <t>Beginning 2001, WSICB Waste value is Biomass Waste.</t>
  </si>
  <si>
    <t>NON-biogenic component of municipal solid waste</t>
  </si>
  <si>
    <t>From EIA Heat Input Consumed (BBtu)
(Note: unit/method change(s) for 1999-2009)</t>
  </si>
  <si>
    <t>EIA MSB %</t>
  </si>
  <si>
    <t>EIA MSN %</t>
  </si>
  <si>
    <t xml:space="preserve">Calculated MSW </t>
  </si>
  <si>
    <t>Calculated MSN</t>
  </si>
  <si>
    <t>Calculated NON-Biogenic CO2 (lb)</t>
  </si>
  <si>
    <t>CH4 (lb)</t>
  </si>
  <si>
    <t>CO2e (lb)</t>
  </si>
  <si>
    <t>MMTCO2e from CH4</t>
  </si>
  <si>
    <t>N2O (lb)</t>
  </si>
  <si>
    <t>MMTCO2e from N2O</t>
  </si>
  <si>
    <t>Emissions from Wastewater - MA Summary</t>
  </si>
  <si>
    <t>Additional anaerobic systems online (See Below)</t>
  </si>
  <si>
    <t>Septic (CH4)</t>
  </si>
  <si>
    <t>WWTP (CH4)</t>
  </si>
  <si>
    <t>See Below</t>
  </si>
  <si>
    <t>WWTP (N2O)</t>
  </si>
  <si>
    <t>Effluent (N2O)</t>
  </si>
  <si>
    <t>CH4 from MWRA Flare (beginning 2000)</t>
  </si>
  <si>
    <t>N2O from MWRA Flare (beginning 2000)</t>
  </si>
  <si>
    <t>Total CH4</t>
  </si>
  <si>
    <t>Total N20</t>
  </si>
  <si>
    <t>Total Emissions (MMTCO2e)</t>
  </si>
  <si>
    <t>Population</t>
  </si>
  <si>
    <t>Septic, CH4</t>
  </si>
  <si>
    <t>WWTP, CH4</t>
  </si>
  <si>
    <t>WWTP, N2O</t>
  </si>
  <si>
    <t>GWP</t>
  </si>
  <si>
    <t>Massachusetts</t>
  </si>
  <si>
    <t>BOD</t>
  </si>
  <si>
    <t>kg / cap / day</t>
  </si>
  <si>
    <t>process</t>
  </si>
  <si>
    <t>g N2O / cap / year</t>
  </si>
  <si>
    <t>MWRA</t>
  </si>
  <si>
    <r>
      <t>B</t>
    </r>
    <r>
      <rPr>
        <b/>
        <vertAlign val="subscript"/>
        <sz val="8"/>
        <color theme="1"/>
        <rFont val="Calibri"/>
        <family val="2"/>
        <scheme val="minor"/>
      </rPr>
      <t>o</t>
    </r>
  </si>
  <si>
    <t>kg CH4 / kg BOD</t>
  </si>
  <si>
    <t>Pittsfield</t>
  </si>
  <si>
    <t>MCF</t>
  </si>
  <si>
    <t>Effluent, N2O</t>
  </si>
  <si>
    <t>Greater Lawrence SD</t>
  </si>
  <si>
    <t>EF</t>
  </si>
  <si>
    <t>F_NPR</t>
  </si>
  <si>
    <t>kg N / kg protein</t>
  </si>
  <si>
    <t>Clinton &amp; Lancaster</t>
  </si>
  <si>
    <t>F</t>
  </si>
  <si>
    <t>F_NonCon</t>
  </si>
  <si>
    <t>kg N / kg N</t>
  </si>
  <si>
    <t>Rockland</t>
  </si>
  <si>
    <t>% of Population on Septic</t>
  </si>
  <si>
    <t>EF_biosolids</t>
  </si>
  <si>
    <t>kg N2O-N / kg sewage-N produced</t>
  </si>
  <si>
    <t>Total Population on other AD</t>
  </si>
  <si>
    <t>Population on Septic</t>
  </si>
  <si>
    <t>Population on other WWTP</t>
  </si>
  <si>
    <t>Septic (mt CH4)</t>
  </si>
  <si>
    <t>WWTP (mt CH4)</t>
  </si>
  <si>
    <t>WWTP (mt N2O)</t>
  </si>
  <si>
    <t>Effluent (mt N2O)</t>
  </si>
  <si>
    <t>F_Fertilizer</t>
  </si>
  <si>
    <t>MA Electricity Import Emissions</t>
  </si>
  <si>
    <r>
      <t>MMTCO</t>
    </r>
    <r>
      <rPr>
        <b/>
        <vertAlign val="subscript"/>
        <sz val="11"/>
        <color indexed="8"/>
        <rFont val="Calibri"/>
        <family val="2"/>
      </rPr>
      <t>2</t>
    </r>
    <r>
      <rPr>
        <b/>
        <sz val="11"/>
        <color indexed="8"/>
        <rFont val="Calibri"/>
        <family val="2"/>
      </rPr>
      <t>e (from the Calculations below for 1990 - 2000)</t>
    </r>
  </si>
  <si>
    <r>
      <t>MMTCO</t>
    </r>
    <r>
      <rPr>
        <b/>
        <vertAlign val="subscript"/>
        <sz val="11"/>
        <color indexed="8"/>
        <rFont val="Calibri"/>
        <family val="2"/>
      </rPr>
      <t>2</t>
    </r>
    <r>
      <rPr>
        <b/>
        <sz val="11"/>
        <color indexed="8"/>
        <rFont val="Calibri"/>
        <family val="2"/>
      </rPr>
      <t>e (from Apps. D &amp; E)</t>
    </r>
  </si>
  <si>
    <r>
      <t>MMTCO</t>
    </r>
    <r>
      <rPr>
        <b/>
        <vertAlign val="subscript"/>
        <sz val="11"/>
        <color indexed="8"/>
        <rFont val="Calibri"/>
        <family val="2"/>
      </rPr>
      <t>2</t>
    </r>
    <r>
      <rPr>
        <b/>
        <sz val="11"/>
        <color indexed="8"/>
        <rFont val="Calibri"/>
        <family val="2"/>
      </rPr>
      <t>e (from Appendices F through S) NOTE: 2003 is the beginning of RPS in MA.</t>
    </r>
  </si>
  <si>
    <r>
      <t>lbs CO</t>
    </r>
    <r>
      <rPr>
        <vertAlign val="subscript"/>
        <sz val="11"/>
        <color indexed="8"/>
        <rFont val="Calibri"/>
        <family val="2"/>
      </rPr>
      <t>2</t>
    </r>
    <r>
      <rPr>
        <sz val="11"/>
        <color theme="1"/>
        <rFont val="Calibri"/>
        <family val="2"/>
        <scheme val="minor"/>
      </rPr>
      <t>e</t>
    </r>
  </si>
  <si>
    <r>
      <t>MMTCO</t>
    </r>
    <r>
      <rPr>
        <vertAlign val="subscript"/>
        <sz val="11"/>
        <color indexed="8"/>
        <rFont val="Calibri"/>
        <family val="2"/>
      </rPr>
      <t>2</t>
    </r>
    <r>
      <rPr>
        <sz val="11"/>
        <color theme="1"/>
        <rFont val="Calibri"/>
        <family val="2"/>
        <scheme val="minor"/>
      </rPr>
      <t>e</t>
    </r>
  </si>
  <si>
    <t>&lt;- AR4 GWPs</t>
  </si>
  <si>
    <t>SAR GWPs</t>
  </si>
  <si>
    <t>AR4 GWPs -&gt;</t>
  </si>
  <si>
    <r>
      <t>lbs Biogenic CO</t>
    </r>
    <r>
      <rPr>
        <vertAlign val="subscript"/>
        <sz val="11"/>
        <color indexed="8"/>
        <rFont val="Calibri"/>
        <family val="2"/>
      </rPr>
      <t>2</t>
    </r>
  </si>
  <si>
    <r>
      <t>Biogenic MMTCO</t>
    </r>
    <r>
      <rPr>
        <vertAlign val="subscript"/>
        <sz val="11"/>
        <color indexed="8"/>
        <rFont val="Calibri"/>
        <family val="2"/>
      </rPr>
      <t>2</t>
    </r>
  </si>
  <si>
    <t>DATA SOURCE KEY</t>
  </si>
  <si>
    <t>ISO</t>
  </si>
  <si>
    <t>ISO Adjusted</t>
  </si>
  <si>
    <t>EIA</t>
  </si>
  <si>
    <t>EIA Adjusted</t>
  </si>
  <si>
    <t>ISO + EIA</t>
  </si>
  <si>
    <t>ISO + EIA Adjusted</t>
  </si>
  <si>
    <t>UPDATED TO AR4</t>
  </si>
  <si>
    <t>EPA + EIA (manual entering into SGIT)</t>
  </si>
  <si>
    <t>ACCOUNTED FOR ELSEWHERE</t>
  </si>
  <si>
    <t>ISO + EPA + EIA (manual entering into SGIT)</t>
  </si>
  <si>
    <t>ISO + EIA + EPA Adjusted</t>
  </si>
  <si>
    <t>ISO + Environment Canada</t>
  </si>
  <si>
    <t>RESULT</t>
  </si>
  <si>
    <t>ISO + EPA + EIA + Environment Canada</t>
  </si>
  <si>
    <r>
      <t>BASED ON PLACEHOLDER AVERAGE</t>
    </r>
    <r>
      <rPr>
        <sz val="11"/>
        <color indexed="10"/>
        <rFont val="Calibri"/>
        <family val="2"/>
      </rPr>
      <t>†</t>
    </r>
  </si>
  <si>
    <t>MA Electricity Import Emissions
1990 - 2000</t>
  </si>
  <si>
    <t>ADJUSTED (italics)*</t>
  </si>
  <si>
    <t>† A placeholder average was used as the emissions factor for extra-NE imports in the years 1990-1999 (see T68:86).</t>
  </si>
  <si>
    <r>
      <t xml:space="preserve">* </t>
    </r>
    <r>
      <rPr>
        <i/>
        <sz val="11"/>
        <color indexed="8"/>
        <rFont val="Calibri"/>
        <family val="2"/>
      </rPr>
      <t>Adjusted</t>
    </r>
    <r>
      <rPr>
        <i/>
        <sz val="11"/>
        <color indexed="8"/>
        <rFont val="Calibri"/>
        <family val="2"/>
      </rPr>
      <t xml:space="preserve"> numbers indicate where generation numbers for New England States from 1990-1999 were adjusted to reconcile EIA and ISO generation data (see EIA Adjust sheet).</t>
    </r>
  </si>
  <si>
    <t>NB: Maine emissions (see AE43:AF61) were adjusted using placeholder averages to match the geographic scope of the EPA emissions data for Maine to that of ISO generation data (see Y65:AL86). This adjustment is not marked in italics or red numbering as these indicators would then permeate most of the document.</t>
  </si>
  <si>
    <t>Master Table</t>
  </si>
  <si>
    <t>Intra-ISO-NE Electricity Imports</t>
  </si>
  <si>
    <t>Extra-ISO-NE Electricity Imports</t>
  </si>
  <si>
    <t>MA electricity consumption emissions based on region-wide generation and imports</t>
  </si>
  <si>
    <t>MA Basic Information</t>
  </si>
  <si>
    <t>MA Import Need</t>
  </si>
  <si>
    <t>MA Share of NE Imports</t>
  </si>
  <si>
    <t>MA Total Import (MWh) - Assigned</t>
  </si>
  <si>
    <t>MA Emissions from Intra-NE Imports</t>
  </si>
  <si>
    <t>MA Emissions from Extra-NE Imports</t>
  </si>
  <si>
    <t>MA Electricity Consumption Emissions</t>
  </si>
  <si>
    <t>ME</t>
  </si>
  <si>
    <t>NH</t>
  </si>
  <si>
    <t xml:space="preserve">VT </t>
  </si>
  <si>
    <t>CT</t>
  </si>
  <si>
    <t>RI</t>
  </si>
  <si>
    <t>NY</t>
  </si>
  <si>
    <t>NB</t>
  </si>
  <si>
    <t>Quebec</t>
  </si>
  <si>
    <t>New England</t>
  </si>
  <si>
    <t>Year</t>
  </si>
  <si>
    <t>MA Electric Generation (MWh)</t>
  </si>
  <si>
    <t>MA Electric Load (MWh)</t>
  </si>
  <si>
    <t>MA Electric Load Including Pumping (MWh)</t>
  </si>
  <si>
    <t>CO2 Emissions from Electricity (MMTCDE)</t>
  </si>
  <si>
    <t>CH4 and N2O Emissions from Electricity (MMTCDE)</t>
  </si>
  <si>
    <t>GHG Emissions from Electricity (MMTCDE)</t>
  </si>
  <si>
    <t>MA Electricity Imports [Gen-Load] (MWh)</t>
  </si>
  <si>
    <t>Total of State/Region Shortfalls [incl. NY, NB, Q] (MWh)</t>
  </si>
  <si>
    <t>MA Fraction of Intra-NE imports</t>
  </si>
  <si>
    <t>Imports to MA from other NE States (MWh)</t>
  </si>
  <si>
    <t>Imports to MA from outside NE (MWh)</t>
  </si>
  <si>
    <t>Total Imports to MA (MWh)</t>
  </si>
  <si>
    <t>MA GHG Emissions from Intra-NE Imports (MMTCDE)</t>
  </si>
  <si>
    <t>MA CO2 Emissions from NY Imports (MMTCDE)</t>
  </si>
  <si>
    <t>MA CH4 and N2O Emissions from NY Imports (MMTCDE)</t>
  </si>
  <si>
    <t>MA Total Emissions from NB and Quebec Imports (MMTCDE)</t>
  </si>
  <si>
    <t>MA Total Emissions from Extra-NE Imports (MMTCDE)</t>
  </si>
  <si>
    <t>MA Total Emissions from Electricity Imports (MMTCDE)</t>
  </si>
  <si>
    <t>MA Total Emissions from Electricity Consumption (MMTCDE)</t>
  </si>
  <si>
    <t>Electric Generation (MWh)</t>
  </si>
  <si>
    <t>Electric Load (MWh)</t>
  </si>
  <si>
    <t>Electric Load Including Pumping (MWh)</t>
  </si>
  <si>
    <t>Net Export (MWh)</t>
  </si>
  <si>
    <t>MA Share of Net Exports (MWh)</t>
  </si>
  <si>
    <t>GHG Emissions from Exports (MMTCDE)</t>
  </si>
  <si>
    <t>MA Share of GHG Emissions from Exports (MMTCDE)</t>
  </si>
  <si>
    <t>Generation (MWh)</t>
  </si>
  <si>
    <t>Exports into NE minus Imports from NE (MWh)</t>
  </si>
  <si>
    <t>Net Exports into NE (MWh)</t>
  </si>
  <si>
    <t>MA Share of NY Net Exports (MWh)</t>
  </si>
  <si>
    <t>Electricity CO2 Emissions (MMTCDE)</t>
  </si>
  <si>
    <t>CO2 Emissions from Exports (MMTCDE)</t>
  </si>
  <si>
    <t>MA Share of CO2 Emissions from Exports (MMTCDE)</t>
  </si>
  <si>
    <t>Electricity CH4 and N2O Emissions (MMTCDE)</t>
  </si>
  <si>
    <t>CH4 and N2O Emissions from Exports (MMTCDE)</t>
  </si>
  <si>
    <t>MA Share of CH4 and N2O Emissions from Exports (MMTCDE)</t>
  </si>
  <si>
    <t>Exports into NE minus Imports from NE (GWh)</t>
  </si>
  <si>
    <t>MA Share of NB Net Exports (MWh)</t>
  </si>
  <si>
    <t>MA Share of Total Emissions from Exports (MMTCDE)</t>
  </si>
  <si>
    <t>MA Share of Quebec Net Exports (MWh)</t>
  </si>
  <si>
    <t>Total NE Generation [except N. ME] (MWh)</t>
  </si>
  <si>
    <t>NE Load (MWh)</t>
  </si>
  <si>
    <t>NE Hydro Pumping Load (MWh)</t>
  </si>
  <si>
    <t>Total NE Load (MWh)</t>
  </si>
  <si>
    <t>Actual Imports (MWh)</t>
  </si>
  <si>
    <t>NE GHG Emissions Associated with Load (MMTCDE)</t>
  </si>
  <si>
    <t>NE Average GHG Emission Factor (MMTCDE/MWh)</t>
  </si>
  <si>
    <t>MA Electricity Consumption Emissions based on NE Average GHG Emission Factor (MMTCDE)</t>
  </si>
  <si>
    <t>See T43</t>
  </si>
  <si>
    <t>See T44</t>
  </si>
  <si>
    <t>See T45</t>
  </si>
  <si>
    <t>See T46</t>
  </si>
  <si>
    <t>See T47</t>
  </si>
  <si>
    <t>See T48</t>
  </si>
  <si>
    <t>See T49</t>
  </si>
  <si>
    <t>See T50</t>
  </si>
  <si>
    <t>See T51</t>
  </si>
  <si>
    <t>See T52</t>
  </si>
  <si>
    <t>Emissions Factor for Extra-NE Imports (All Gases)</t>
  </si>
  <si>
    <t>Adjustment for Northern Maine</t>
  </si>
  <si>
    <t>Canadian Provinces' Electricity Generation Greenhouse Gas Intensity</t>
  </si>
  <si>
    <r>
      <t>Includes emissions of CO</t>
    </r>
    <r>
      <rPr>
        <vertAlign val="subscript"/>
        <sz val="11"/>
        <rFont val="Calibri"/>
        <family val="2"/>
      </rPr>
      <t>2</t>
    </r>
    <r>
      <rPr>
        <sz val="11"/>
        <rFont val="Calibri"/>
        <family val="2"/>
      </rPr>
      <t>, CH</t>
    </r>
    <r>
      <rPr>
        <vertAlign val="subscript"/>
        <sz val="11"/>
        <rFont val="Calibri"/>
        <family val="2"/>
      </rPr>
      <t>4</t>
    </r>
    <r>
      <rPr>
        <sz val="11"/>
        <rFont val="Calibri"/>
        <family val="2"/>
      </rPr>
      <t xml:space="preserve"> and N</t>
    </r>
    <r>
      <rPr>
        <vertAlign val="subscript"/>
        <sz val="11"/>
        <rFont val="Calibri"/>
        <family val="2"/>
      </rPr>
      <t>2</t>
    </r>
    <r>
      <rPr>
        <sz val="11"/>
        <rFont val="Calibri"/>
        <family val="2"/>
      </rPr>
      <t>O. Does not include line losses.</t>
    </r>
  </si>
  <si>
    <t>Northern Maine Independent System Administrator (NMISA)</t>
  </si>
  <si>
    <t>Maine Emissions Adjustment to Account for NMISA (2000-2008)</t>
  </si>
  <si>
    <t>(MMTCDE/MWh)</t>
  </si>
  <si>
    <t>Total Load and Total Generation</t>
  </si>
  <si>
    <t>New Brunswick</t>
  </si>
  <si>
    <t>2000 - 2008</t>
  </si>
  <si>
    <r>
      <t>g CO</t>
    </r>
    <r>
      <rPr>
        <vertAlign val="subscript"/>
        <sz val="11"/>
        <rFont val="Calibri"/>
        <family val="2"/>
      </rPr>
      <t>2</t>
    </r>
    <r>
      <rPr>
        <sz val="11"/>
        <rFont val="Calibri"/>
        <family val="2"/>
      </rPr>
      <t>E/ kWh</t>
    </r>
  </si>
  <si>
    <t>MMTCDE/MWh</t>
  </si>
  <si>
    <t>NMISA Generation</t>
  </si>
  <si>
    <t>ISO ME Generation</t>
  </si>
  <si>
    <t>Total ME Generation</t>
  </si>
  <si>
    <t>ISO Gen % of Total ME Generation</t>
  </si>
  <si>
    <t>Total Load</t>
  </si>
  <si>
    <t>Total Gen</t>
  </si>
  <si>
    <t>Average=</t>
  </si>
  <si>
    <t>4/3/2009, NMISA</t>
  </si>
  <si>
    <t>Note: 1990-1999 are the average of the 2000-2008 emissions factors.</t>
  </si>
  <si>
    <t>most recent year available, e.g., Environment Canada, National Inventory Report, 1990-2013: Greenhouse Gas Sources and Sinks in Canada (April 2015), Tables A11-5 and -6: Electricity Generation and GHG Emission Details for each province.</t>
  </si>
  <si>
    <t>http://unfccc.int/national_reports/annex_i_ghg_inventories/national_inventories_submissions/items/8812.php</t>
  </si>
  <si>
    <t>EIA Generation Data Adjustment</t>
  </si>
  <si>
    <t>State-by-State generation data is not available from ISO-NE for the years 1990-1999. The following tables adjust EIA generation data for these years to ameliorate any systematic discrepancies between the two datasets.</t>
  </si>
  <si>
    <t>http://www.iso-ne.com/static-assets/documents/2015/02/gen_nel_iso_states.xls</t>
  </si>
  <si>
    <t>http://www.eia.gov/electricity/data/state/annual_generation_state.xls</t>
  </si>
  <si>
    <t>MA ADJUSTMENT</t>
  </si>
  <si>
    <t>EIA MA Generation (MWh)</t>
  </si>
  <si>
    <t>ISO-NE MA Generation (MWh)</t>
  </si>
  <si>
    <t>Difference (MWh)</t>
  </si>
  <si>
    <t>Difference as Percent</t>
  </si>
  <si>
    <t>Adjusted EIA MA Generation (MWh)</t>
  </si>
  <si>
    <t>ME ADJUSTMENT</t>
  </si>
  <si>
    <t>EIA ME Generation (MWh)</t>
  </si>
  <si>
    <t>ISO-NE ME Generation (MWh)</t>
  </si>
  <si>
    <t>Adjusted EIA ME Generation (MWh)</t>
  </si>
  <si>
    <t>NH ADJUSTMENT</t>
  </si>
  <si>
    <t>EIA NH Generation (MWh)</t>
  </si>
  <si>
    <t>ISO-NE NH Generation (MWh)</t>
  </si>
  <si>
    <t>Adjusted EIA NH Generation (MWh)</t>
  </si>
  <si>
    <t>VT ADJUSTMENT</t>
  </si>
  <si>
    <t>EIA VT Generation (MWh)</t>
  </si>
  <si>
    <t>ISO-NE VT Generation (MWh)</t>
  </si>
  <si>
    <t>Adjusted EIA VT Generation (MWh)</t>
  </si>
  <si>
    <t>CT ADJUSTMENT</t>
  </si>
  <si>
    <t>EIA CT Generation (MWh)</t>
  </si>
  <si>
    <t>ISO-NE CT Generation (MWh)</t>
  </si>
  <si>
    <t>Adjusted EIA CT Generation (MWh)</t>
  </si>
  <si>
    <t>RI ADJUSTMENT</t>
  </si>
  <si>
    <t>EIA RI Generation (MWh)</t>
  </si>
  <si>
    <t>ISO-NE RI Generation (MWh)</t>
  </si>
  <si>
    <t>Adjusted EIA RI Generation (MWh)</t>
  </si>
  <si>
    <t>WHOLE ISO-NE ADJUSTMENT</t>
  </si>
  <si>
    <t>VT</t>
  </si>
  <si>
    <t>EIA Total NE generation (MWh)</t>
  </si>
  <si>
    <r>
      <t>NB: Whole ISO-NE generation numbers for 1990-1999 (ElecImport!DB43:52</t>
    </r>
    <r>
      <rPr>
        <sz val="11"/>
        <color theme="1"/>
        <rFont val="Calibri"/>
        <family val="2"/>
        <scheme val="minor"/>
      </rPr>
      <t>) are the sum of the state-by-state adjustments.</t>
    </r>
  </si>
  <si>
    <r>
      <t>To the extent that biomass harvested in MA is combusted in MA, associated CO</t>
    </r>
    <r>
      <rPr>
        <vertAlign val="subscript"/>
        <sz val="11"/>
        <rFont val="Calibri"/>
        <family val="2"/>
      </rPr>
      <t>2</t>
    </r>
    <r>
      <rPr>
        <sz val="11"/>
        <rFont val="Calibri"/>
        <family val="2"/>
        <scheme val="minor"/>
      </rPr>
      <t xml:space="preserve"> emissions are double-reported in combustion and NWL emissions.</t>
    </r>
  </si>
  <si>
    <r>
      <t>Biogenic CO</t>
    </r>
    <r>
      <rPr>
        <b/>
        <vertAlign val="subscript"/>
        <sz val="14"/>
        <rFont val="Comic Sans MS"/>
        <family val="4"/>
      </rPr>
      <t>2</t>
    </r>
    <r>
      <rPr>
        <b/>
        <sz val="14"/>
        <rFont val="Comic Sans MS"/>
        <family val="4"/>
      </rPr>
      <t xml:space="preserve"> Emissions from Combustion</t>
    </r>
  </si>
  <si>
    <r>
      <t>Combustion emissions values for all combustion sectors except Landfill Combustion and Electricity Imports are from 'Biogenic Calcs' tab. Landfill Combustion values are from the 'Solid Waste' tab. Electricity Imports values are from the 'ElecImport' tab</t>
    </r>
    <r>
      <rPr>
        <sz val="8"/>
        <color indexed="10"/>
        <rFont val="Comic Sans MS"/>
        <family val="4"/>
      </rPr>
      <t>.</t>
    </r>
  </si>
  <si>
    <r>
      <t>MMTCO</t>
    </r>
    <r>
      <rPr>
        <vertAlign val="subscript"/>
        <sz val="8"/>
        <rFont val="Comic Sans MS"/>
        <family val="4"/>
      </rPr>
      <t>2</t>
    </r>
    <r>
      <rPr>
        <sz val="8"/>
        <rFont val="Comic Sans MS"/>
        <family val="4"/>
      </rPr>
      <t>E</t>
    </r>
  </si>
  <si>
    <t>TOTAL Combustion Emissions</t>
  </si>
  <si>
    <t xml:space="preserve">     Residential (Wood and Biodiesel)</t>
  </si>
  <si>
    <t xml:space="preserve">     Commercial (Wood, Ethanol and Biogas)</t>
  </si>
  <si>
    <t xml:space="preserve">     Industrial (Wood, MSW and Ethanol)</t>
  </si>
  <si>
    <t xml:space="preserve">     Transportation (Ethanol and Biodiesel)</t>
  </si>
  <si>
    <t xml:space="preserve">    Electric (Wood, MSW, LFGTE and Imports)</t>
  </si>
  <si>
    <t xml:space="preserve">     Electric (Wood)</t>
  </si>
  <si>
    <t xml:space="preserve">     Electric (MSW)</t>
  </si>
  <si>
    <t xml:space="preserve">     Electric (LFG to Energy)</t>
  </si>
  <si>
    <t xml:space="preserve">     Electric (Imports)</t>
  </si>
  <si>
    <t xml:space="preserve">    Waste (LFG and Digester Gas)</t>
  </si>
  <si>
    <t xml:space="preserve">          Landfill - Combustion of LFG in flares, engines &amp; turbines</t>
  </si>
  <si>
    <t xml:space="preserve">          Wastewater - Combustion of LFG in flares</t>
  </si>
  <si>
    <t>TOTAL Oxidation Emissions</t>
  </si>
  <si>
    <t xml:space="preserve">    Landfill - Oxidation of MSW in landfill surface cover</t>
  </si>
  <si>
    <t>TOTAL Combustion and Oxidation</t>
  </si>
  <si>
    <t>Natural and Working Lands Summary</t>
  </si>
  <si>
    <t>Forest Land</t>
  </si>
  <si>
    <t>Cropland &amp; Grassland</t>
  </si>
  <si>
    <t>Wetlands</t>
  </si>
  <si>
    <t>Settlements</t>
  </si>
  <si>
    <t>Other Land</t>
  </si>
  <si>
    <t>Net NWL Emissions</t>
  </si>
  <si>
    <t>To the extent that biomass harvested in MA is combusted in MA, associated CO2 emissions are double-reported in combustion and NWL emissions.</t>
  </si>
  <si>
    <r>
      <rPr>
        <b/>
        <u/>
        <sz val="14"/>
        <rFont val="Comic Sans MS"/>
        <family val="4"/>
      </rPr>
      <t>Biogenic Combustion Calculations</t>
    </r>
    <r>
      <rPr>
        <b/>
        <sz val="14"/>
        <rFont val="Comic Sans MS"/>
        <family val="4"/>
      </rPr>
      <t xml:space="preserve"> for: Electric, Commercial, Industrial, Residential, Transportation, Waste (for Electric and Industrial sectors), and Wastewater Sectors</t>
    </r>
  </si>
  <si>
    <t>This Tab Calculates:</t>
  </si>
  <si>
    <r>
      <t>CO</t>
    </r>
    <r>
      <rPr>
        <b/>
        <vertAlign val="subscript"/>
        <sz val="11"/>
        <color indexed="8"/>
        <rFont val="Calibri"/>
        <family val="2"/>
      </rPr>
      <t>2</t>
    </r>
    <r>
      <rPr>
        <b/>
        <sz val="11"/>
        <color indexed="8"/>
        <rFont val="Calibri"/>
        <family val="2"/>
      </rPr>
      <t xml:space="preserve"> from Fuel Source(s)</t>
    </r>
  </si>
  <si>
    <r>
      <t>CH</t>
    </r>
    <r>
      <rPr>
        <b/>
        <vertAlign val="subscript"/>
        <sz val="11"/>
        <color indexed="8"/>
        <rFont val="Calibri"/>
        <family val="2"/>
      </rPr>
      <t>4</t>
    </r>
    <r>
      <rPr>
        <b/>
        <sz val="11"/>
        <color indexed="8"/>
        <rFont val="Calibri"/>
        <family val="2"/>
      </rPr>
      <t xml:space="preserve"> &amp; N</t>
    </r>
    <r>
      <rPr>
        <b/>
        <vertAlign val="subscript"/>
        <sz val="11"/>
        <color indexed="8"/>
        <rFont val="Calibri"/>
        <family val="2"/>
      </rPr>
      <t>2</t>
    </r>
    <r>
      <rPr>
        <b/>
        <sz val="11"/>
        <color indexed="8"/>
        <rFont val="Calibri"/>
        <family val="2"/>
      </rPr>
      <t>O from Fuel Source(s)</t>
    </r>
  </si>
  <si>
    <r>
      <rPr>
        <u/>
        <sz val="12"/>
        <rFont val="Calibri"/>
        <family val="2"/>
        <scheme val="minor"/>
      </rPr>
      <t>Biogenic Fuels</t>
    </r>
    <r>
      <rPr>
        <sz val="12"/>
        <rFont val="Calibri"/>
        <family val="2"/>
        <scheme val="minor"/>
      </rPr>
      <t xml:space="preserve"> include: Wood, Landfill Gas, the Biomass portion of Municipal Solid Waste, Ethanol, Biodiesel and Other Biogas</t>
    </r>
  </si>
  <si>
    <t>GWPs AR4</t>
  </si>
  <si>
    <t>Emission Factors (by Fuel)</t>
  </si>
  <si>
    <t>Electric</t>
  </si>
  <si>
    <t>WD, LFG</t>
  </si>
  <si>
    <t>LFG</t>
  </si>
  <si>
    <t>Emission factors from EPA GHG Reporting Rule (Tables C1 &amp; C2) or 2006 IPCC Guidelines for National Greenhouse Gas Inventories, Volume 2: Energy, Chapter 2: Stationary Combustion where EPA values were unavailable</t>
  </si>
  <si>
    <r>
      <t>CH</t>
    </r>
    <r>
      <rPr>
        <b/>
        <vertAlign val="subscript"/>
        <sz val="11"/>
        <rFont val="Calibri"/>
        <family val="2"/>
      </rPr>
      <t>4</t>
    </r>
  </si>
  <si>
    <t>Ethanol (EM) and Biodiesel (BD)</t>
  </si>
  <si>
    <t>all EPA</t>
  </si>
  <si>
    <t>Electric (from Waste)</t>
  </si>
  <si>
    <t>MSB</t>
  </si>
  <si>
    <t>See table below for summary of Electric Sector Biogenic emissions</t>
  </si>
  <si>
    <t>http://www.epa.gov/ghgreporting/reporters/subpart/c.html</t>
  </si>
  <si>
    <r>
      <t>N</t>
    </r>
    <r>
      <rPr>
        <b/>
        <vertAlign val="subscript"/>
        <sz val="11"/>
        <rFont val="Calibri"/>
        <family val="2"/>
      </rPr>
      <t>2</t>
    </r>
    <r>
      <rPr>
        <b/>
        <sz val="11"/>
        <rFont val="Calibri"/>
        <family val="2"/>
      </rPr>
      <t>O</t>
    </r>
  </si>
  <si>
    <t>Wood</t>
  </si>
  <si>
    <r>
      <t>EPA CO</t>
    </r>
    <r>
      <rPr>
        <vertAlign val="subscript"/>
        <sz val="11"/>
        <color indexed="8"/>
        <rFont val="Calibri"/>
        <family val="2"/>
      </rPr>
      <t>2</t>
    </r>
    <r>
      <rPr>
        <sz val="11"/>
        <color theme="1"/>
        <rFont val="Calibri"/>
        <family val="2"/>
        <scheme val="minor"/>
      </rPr>
      <t xml:space="preserve"> only</t>
    </r>
  </si>
  <si>
    <t>OBG, WD, EM</t>
  </si>
  <si>
    <t>OBG, EM</t>
  </si>
  <si>
    <t>http://www.ipcc-nggip.iges.or.jp/public/2006gl/pdf/2_Volume2/V2_2_Ch2_Stationary_Combustion.pdf</t>
  </si>
  <si>
    <t>WD, EM</t>
  </si>
  <si>
    <t>EM</t>
  </si>
  <si>
    <t>OBG</t>
  </si>
  <si>
    <t>Industrial (from Waste)</t>
  </si>
  <si>
    <t>"MSB"</t>
  </si>
  <si>
    <t>NOTE: MSB is derived from total WSICB (which includes all waste) until 2000, and is MSB beginning 2001.</t>
  </si>
  <si>
    <t>WD, 1/2 BD</t>
  </si>
  <si>
    <t>1/2 BD</t>
  </si>
  <si>
    <t>Electric Sector</t>
  </si>
  <si>
    <t>EM, 1/2 BD</t>
  </si>
  <si>
    <t>Fuel Type</t>
  </si>
  <si>
    <t>Fuel Codes from EIA</t>
  </si>
  <si>
    <t>EPA GHG REPORTING TABLE C-2 (kg CH4/MMBTU)</t>
  </si>
  <si>
    <t>EPA GHG REPORTING TABLE C-2 (lb CH4/MMBTU)</t>
  </si>
  <si>
    <t>EPA GHG REPORTING TABLE C-2 (kg N2O/MMBTU)</t>
  </si>
  <si>
    <t>EPA GHG REPORTING TABLE C-2 (lb N2O/MMBTU)</t>
  </si>
  <si>
    <t>WOOD</t>
  </si>
  <si>
    <t>WDEIB</t>
  </si>
  <si>
    <t>2010+ values from EIA 923 (without Covanta Springfield which is already accounted for in MSB from FLIGHT data)</t>
  </si>
  <si>
    <t>EIA Form 923 (2010+)
use_all_btu (1990-2009)</t>
  </si>
  <si>
    <t>Heat Input Consumed (MMBtu)</t>
  </si>
  <si>
    <t>Calculated Biogenic CO2 (lb)</t>
  </si>
  <si>
    <r>
      <t>CH</t>
    </r>
    <r>
      <rPr>
        <vertAlign val="subscript"/>
        <sz val="11"/>
        <color indexed="8"/>
        <rFont val="Calibri"/>
        <family val="2"/>
      </rPr>
      <t>4</t>
    </r>
    <r>
      <rPr>
        <sz val="11"/>
        <color indexed="8"/>
        <rFont val="Calibri"/>
        <family val="2"/>
      </rPr>
      <t xml:space="preserve"> and N</t>
    </r>
    <r>
      <rPr>
        <vertAlign val="subscript"/>
        <sz val="11"/>
        <color indexed="8"/>
        <rFont val="Calibri"/>
        <family val="2"/>
      </rPr>
      <t>2</t>
    </r>
    <r>
      <rPr>
        <sz val="11"/>
        <color indexed="8"/>
        <rFont val="Calibri"/>
        <family val="2"/>
      </rPr>
      <t>O from WOOD are calculated in Stationary Combustion for the Electric Sector.</t>
    </r>
  </si>
  <si>
    <t>MMTCO2e CH4 + N2O</t>
  </si>
  <si>
    <r>
      <t xml:space="preserve">1993-1998 LF/LFG data from EIA 867; </t>
    </r>
    <r>
      <rPr>
        <sz val="11"/>
        <rFont val="Calibri"/>
        <family val="2"/>
      </rPr>
      <t>no data 1999-2000 (average of 1998 and 2001 shown)</t>
    </r>
    <r>
      <rPr>
        <sz val="11"/>
        <rFont val="Calibri"/>
        <family val="2"/>
      </rPr>
      <t>, 923 begins 2001</t>
    </r>
  </si>
  <si>
    <t>landfill gas</t>
  </si>
  <si>
    <t>Form 923 Heat Input Consumed (MMBtu)</t>
  </si>
  <si>
    <t>NOTES:</t>
  </si>
  <si>
    <t>1990-1998 MSB calculated from EIA 867 MSW using EIA national MSN/MSB split (6 facilities; MSW does not include Tires)</t>
  </si>
  <si>
    <t>1999-2000 No data so MSW at 2001 value and MSB calculated EIA national MSN/MSB splits. So ALL 1990-2009 calcs here are from 923 data (6 electricity generating MWCs only.)</t>
  </si>
  <si>
    <t>Electric Sector (from Waste)</t>
  </si>
  <si>
    <t>Beginning 2001 EIA 923 provides MSB data directly (as MSW/MLG in early years) (Non Biogenic is MSW/OTH). MSB beginning 2005</t>
  </si>
  <si>
    <t>Beginning 2010 MSB can come from FLIGHT Biogenic CO2 value</t>
  </si>
  <si>
    <t>biogenic component of municipal solid waste</t>
  </si>
  <si>
    <t>FLIGHT (2010+)
Form 923 Heat Input Consumed (MMBtu) (Note: unit/method change for 1990-2000)</t>
  </si>
  <si>
    <t>FLIGHT data available beginning 2010</t>
  </si>
  <si>
    <t>Commercial Sector</t>
  </si>
  <si>
    <t>Other Biogas (MWRA)</t>
  </si>
  <si>
    <t>Begin MWRA data 2005</t>
  </si>
  <si>
    <t>Generating Electricity</t>
  </si>
  <si>
    <t>Form 923 (2000-2004) MWRA 2005+ Heat Input Consumed (MMBtu)</t>
  </si>
  <si>
    <t>WDCCB</t>
  </si>
  <si>
    <t>use_all_btu</t>
  </si>
  <si>
    <r>
      <t>CH</t>
    </r>
    <r>
      <rPr>
        <vertAlign val="subscript"/>
        <sz val="11"/>
        <color indexed="8"/>
        <rFont val="Calibri"/>
        <family val="2"/>
      </rPr>
      <t>4</t>
    </r>
    <r>
      <rPr>
        <sz val="11"/>
        <color indexed="8"/>
        <rFont val="Calibri"/>
        <family val="2"/>
      </rPr>
      <t xml:space="preserve"> and N</t>
    </r>
    <r>
      <rPr>
        <vertAlign val="subscript"/>
        <sz val="11"/>
        <color indexed="8"/>
        <rFont val="Calibri"/>
        <family val="2"/>
      </rPr>
      <t>2</t>
    </r>
    <r>
      <rPr>
        <sz val="11"/>
        <color indexed="8"/>
        <rFont val="Calibri"/>
        <family val="2"/>
      </rPr>
      <t>O from WOOD are calculated in Stationary Combustion for the Commercial Sector.</t>
    </r>
  </si>
  <si>
    <t>Fuel &amp; Sector Codes from EIA (use_all_btu)</t>
  </si>
  <si>
    <t>Ethanol</t>
  </si>
  <si>
    <t>EMCCB</t>
  </si>
  <si>
    <t>Industrial Sector</t>
  </si>
  <si>
    <t>EMICB</t>
  </si>
  <si>
    <t>WDICB</t>
  </si>
  <si>
    <r>
      <t>CH</t>
    </r>
    <r>
      <rPr>
        <vertAlign val="subscript"/>
        <sz val="11"/>
        <color indexed="8"/>
        <rFont val="Calibri"/>
        <family val="2"/>
      </rPr>
      <t>4</t>
    </r>
    <r>
      <rPr>
        <sz val="11"/>
        <color indexed="8"/>
        <rFont val="Calibri"/>
        <family val="2"/>
      </rPr>
      <t xml:space="preserve"> and N</t>
    </r>
    <r>
      <rPr>
        <vertAlign val="subscript"/>
        <sz val="11"/>
        <color indexed="8"/>
        <rFont val="Calibri"/>
        <family val="2"/>
      </rPr>
      <t>2</t>
    </r>
    <r>
      <rPr>
        <sz val="11"/>
        <color indexed="8"/>
        <rFont val="Calibri"/>
        <family val="2"/>
      </rPr>
      <t>O from WOOD are calculated in Stationary Combustion for the Industrial Sector.</t>
    </r>
  </si>
  <si>
    <t xml:space="preserve">1990-1998 Data determined using MSW fuels from EIA 867 Non-Utility Data and calculating MSB from EIA splits. </t>
  </si>
  <si>
    <t>CH4 &amp; N2O JOIN THE SOLID WASTE TAB AND THEN GO TO THE INDUSTRIAL SECTOR</t>
  </si>
  <si>
    <t>1999-2000 Data determined using SEDS WSICB value and calculating MSB from EIA splits.</t>
  </si>
  <si>
    <t>Industrial Sector (from Waste)</t>
  </si>
  <si>
    <t>2001 - 2009 uses SEDS WSICB value AS MSB. So, ALL 1990-2009 calcs here are EIA data or are derived from EIA data. Beginning 2010 use FLIGHT Biogenic CO2 value</t>
  </si>
  <si>
    <t>Beginning 2001, WSICB Waste value is Biomass (Biogenic) Waste.</t>
  </si>
  <si>
    <t>FLIGHT (2010+)
From EIA Heat Input Consumed (BBtu) (Note: unit/method change(s) for 1999-2009)</t>
  </si>
  <si>
    <t>Calculated MSB</t>
  </si>
  <si>
    <t>Residential Sector</t>
  </si>
  <si>
    <t>WDRCB</t>
  </si>
  <si>
    <r>
      <t>CH</t>
    </r>
    <r>
      <rPr>
        <vertAlign val="subscript"/>
        <sz val="11"/>
        <color indexed="8"/>
        <rFont val="Calibri"/>
        <family val="2"/>
      </rPr>
      <t>4</t>
    </r>
    <r>
      <rPr>
        <sz val="11"/>
        <color indexed="8"/>
        <rFont val="Calibri"/>
        <family val="2"/>
      </rPr>
      <t xml:space="preserve"> and N</t>
    </r>
    <r>
      <rPr>
        <vertAlign val="subscript"/>
        <sz val="11"/>
        <color indexed="8"/>
        <rFont val="Calibri"/>
        <family val="2"/>
      </rPr>
      <t>2</t>
    </r>
    <r>
      <rPr>
        <sz val="11"/>
        <color indexed="8"/>
        <rFont val="Calibri"/>
        <family val="2"/>
      </rPr>
      <t>O from WOOD are calculated in Stationary Combustion for the Residential Sector.</t>
    </r>
  </si>
  <si>
    <t>Residential portion of BDACB is 50%</t>
  </si>
  <si>
    <t>Biodiesel</t>
  </si>
  <si>
    <t>BDACB</t>
  </si>
  <si>
    <t>use_all_btu (1/2 BBTU)</t>
  </si>
  <si>
    <t>Transportation Sector</t>
  </si>
  <si>
    <t>EMACB</t>
  </si>
  <si>
    <t>Transportation portion of BADC is 50%</t>
  </si>
  <si>
    <t>WASTEWATER</t>
  </si>
  <si>
    <t>FLARED GAS</t>
  </si>
  <si>
    <t>MWRA Heat Input Consumed (MMBtu)</t>
  </si>
  <si>
    <r>
      <t xml:space="preserve">The following table summarizes the Massachusetts GHG inventory treatment of </t>
    </r>
    <r>
      <rPr>
        <b/>
        <sz val="11"/>
        <color indexed="8"/>
        <rFont val="Calibri"/>
        <family val="2"/>
      </rPr>
      <t>Electric sector</t>
    </r>
    <r>
      <rPr>
        <sz val="11"/>
        <color theme="1"/>
        <rFont val="Calibri"/>
        <family val="2"/>
        <scheme val="minor"/>
      </rPr>
      <t xml:space="preserve"> wood, landfill gas, and municipal solid waste combustion emissions.</t>
    </r>
  </si>
  <si>
    <t>Calculation location</t>
  </si>
  <si>
    <r>
      <t>CO</t>
    </r>
    <r>
      <rPr>
        <vertAlign val="subscript"/>
        <sz val="11"/>
        <color indexed="8"/>
        <rFont val="Calibri"/>
        <family val="2"/>
      </rPr>
      <t>2</t>
    </r>
  </si>
  <si>
    <r>
      <t>N</t>
    </r>
    <r>
      <rPr>
        <vertAlign val="subscript"/>
        <sz val="11"/>
        <color indexed="8"/>
        <rFont val="Calibri"/>
        <family val="2"/>
      </rPr>
      <t>2</t>
    </r>
    <r>
      <rPr>
        <sz val="11"/>
        <color indexed="8"/>
        <rFont val="Calibri"/>
        <family val="2"/>
      </rPr>
      <t>O</t>
    </r>
  </si>
  <si>
    <t>This tab</t>
  </si>
  <si>
    <t>Stationary module</t>
  </si>
  <si>
    <t>Landfill gas</t>
  </si>
  <si>
    <t>Solid waste</t>
  </si>
  <si>
    <t>Biomass portion</t>
  </si>
  <si>
    <t>This tab from (MSB) 2006 through 2009, then EPA FLIGHT 2010+ (on Solid Waste tab)</t>
  </si>
  <si>
    <t>Solid Waste module, then EPA FLIGHT 2010+ (on Solid Waste tab)</t>
  </si>
  <si>
    <t>Non-biomass portion</t>
  </si>
  <si>
    <t>Reporting Category</t>
  </si>
  <si>
    <t>Forest Land Remaining Forest Land</t>
  </si>
  <si>
    <t>Forest Ecosystem Carbon Stock Change</t>
  </si>
  <si>
    <t>Land Converted to Forest Land</t>
  </si>
  <si>
    <t>Crop/Grassland Remaining Crop/Grassland</t>
  </si>
  <si>
    <t>Cropland Soil Carbon Stock Change</t>
  </si>
  <si>
    <t>Grassland Ecosystem Carbon Stock Change</t>
  </si>
  <si>
    <t>Land Converted to Crop/Grassland</t>
  </si>
  <si>
    <t>Wetlands Remaining Wetlands</t>
  </si>
  <si>
    <t>Coastal Wetlands Ecosystem Carbon Stock Change</t>
  </si>
  <si>
    <t>Land Converted to Wetlands</t>
  </si>
  <si>
    <t>Settlements Remaining Settlements</t>
  </si>
  <si>
    <t>Land Converted to Settlements</t>
  </si>
  <si>
    <t>Total Net NWL Emissions</t>
  </si>
  <si>
    <t>Notes</t>
  </si>
  <si>
    <t>Massachusetts Clean Energy and Climate Plan for 2025 and 2030 - Appendix C</t>
  </si>
  <si>
    <t>2050 CECP Limit (95% below 1990)</t>
  </si>
  <si>
    <t>2050 CECP Limit (92% below 1990)</t>
  </si>
  <si>
    <t>2050 CECP Limit (86% below 1990)</t>
  </si>
  <si>
    <t>2050 CECP Limit (93% below 1990)</t>
  </si>
  <si>
    <t>2050 CECP Limit (72% below 1990)</t>
  </si>
  <si>
    <t>2050 CECP Limit (27% above 1990)</t>
  </si>
  <si>
    <t>2050 CECP Limit (85% below 1990)</t>
  </si>
  <si>
    <t>Total methane generation data from FLIGHT (SIT oxidation value in row 23 is consistently 11.1% of total methane emissions value in row 25)</t>
  </si>
  <si>
    <t>Data from FLIGHT (fewer sources, oxidation calculated as noted above in rows 21 and 22)</t>
  </si>
  <si>
    <t>Heavy-Duty Buses</t>
  </si>
  <si>
    <t>w/HD Vehicles</t>
  </si>
  <si>
    <t>Summary of Massachusetts GHG Emissions with 2025, 2030 and 2050 Sector Sublimits</t>
  </si>
  <si>
    <t>Sector Sublimits for 2025 and 2030 are from the June 30, 2022 CECP for 2025 and 2030 and can be found at https://www.mass.gov/doc/2025-and-2030-ghg-emissions-limit-letter-of-determination/download and https://www.mass.gov/doc/clean-energy-and-climate-plan-for-2025-and-2030/download. Sector Sublimits for 2050 are from the December 21, 2022 CECP for 2050 and can be found at https://www.mass.gov/info-details/massachusetts-clean-energy-and-climate-plan-for-2050</t>
  </si>
  <si>
    <t>% of Total GHG Emissions by Sector (2021)</t>
  </si>
  <si>
    <t>2021 GHG Emissions in MA</t>
  </si>
  <si>
    <t>MMTCO2</t>
  </si>
  <si>
    <t xml:space="preserve"> (MMTCO2)</t>
  </si>
  <si>
    <t>(linear interpolation 1991 through 2014 due to lack of M&amp;R Station data)</t>
  </si>
  <si>
    <t>= interpolated or extrapolated data</t>
  </si>
  <si>
    <t>Extrapolation uses a trendline</t>
  </si>
  <si>
    <t>NEIWPCC-Sludge-End-Use-Disposal-Estimate-Report_FINAL.pdf</t>
  </si>
  <si>
    <t>2022 (Page 19 of 135)</t>
  </si>
  <si>
    <t>Inventory of U.S. Greenhouse Gas Emissions and Sinks: 1990-2021 – Main Report (epa.gov)</t>
  </si>
  <si>
    <t>Protein consumed (Page 730 of 881)</t>
  </si>
  <si>
    <t>Ecosystem Carbon Stock Change</t>
  </si>
  <si>
    <t>Cropland Ecosystem Carbon Stock Change</t>
  </si>
  <si>
    <t>Settlement Tree Biomass Carbon Stock Change</t>
  </si>
  <si>
    <t>Settlement Ecosystem Carbon Stock Change</t>
  </si>
  <si>
    <r>
      <t>MMTCO2e (from Appendices T throu</t>
    </r>
    <r>
      <rPr>
        <b/>
        <sz val="11"/>
        <rFont val="Calibri"/>
        <family val="2"/>
        <scheme val="minor"/>
      </rPr>
      <t>gh X</t>
    </r>
    <r>
      <rPr>
        <b/>
        <sz val="11"/>
        <color theme="1"/>
        <rFont val="Calibri"/>
        <family val="2"/>
        <scheme val="minor"/>
      </rPr>
      <t>)</t>
    </r>
  </si>
  <si>
    <t>RGGI</t>
  </si>
  <si>
    <t>Protein Consumed</t>
  </si>
  <si>
    <t>CHAPTER 1 (iges.or.jp)</t>
  </si>
  <si>
    <t>more details from 2019 IPCC pg. 20 of 72</t>
  </si>
  <si>
    <t>MWRA anaerobic digesters online</t>
  </si>
  <si>
    <t>UPDATED METHODOLOGY (2000+)</t>
  </si>
  <si>
    <t>MCF - Emission factors are calculated by multiplying the maximum CH4-producing capacity of domestic wastewater (B0, 0.6 kg CH4/kg BOD) and the appropriate methane correction factors (MCF) for aerobic (0.03) and anaerobic (0.8) systems (IPCC 2019,  Table 6.3) and constructed wetlands (0.4) (IPCC 2014, Table 6.4).</t>
  </si>
  <si>
    <t>2022 (Page 121 of 135) for % population on septic</t>
  </si>
  <si>
    <t>F_Fertilizer beginning 2010</t>
  </si>
  <si>
    <t>AR6, 100-year</t>
  </si>
  <si>
    <t>AR6, 20-year</t>
  </si>
  <si>
    <t>AR6 = 2021 Sixth Assessment Report</t>
  </si>
  <si>
    <t>Summary of Massachusetts GHG Emissions - June 2024</t>
  </si>
  <si>
    <t>Summary of Massachusetts GHG Emissions by GHG - June 2024</t>
  </si>
  <si>
    <t>Summary of Massachusetts GHG Emissions - with Final 2021 and Partial 2022 &amp; 2023 (June 2024)</t>
  </si>
  <si>
    <t>Services</t>
  </si>
  <si>
    <t>NGEIP (million cubic feet) (EIA)</t>
  </si>
  <si>
    <t>NGICP (million cubic feet) (EIA)</t>
  </si>
  <si>
    <t xml:space="preserve">1990 data are based on the March 2022 release of EPA's January 2022 SGIT as published in the December 2022 Baseline Update. 1991-2021 data are based on the February 2024 release of EPA's January 2024 SGIT. The following sector-by-sector yearly emissions numbers correspond to the SGIT summary tables, which are included as tabs in this spreadsheet. Data from other sources have been added. Some SGIT data and/or methodologies have been modified and/or replaced with alternatives. See individual tabs for information. </t>
  </si>
  <si>
    <t xml:space="preserve">Estimates of emissions from MA electricity imports for 1990-2000 have been derived following the methods on the "ElecImport" tab. Emissions from MA electricity imports for 2001-2021 have been derived on separate spreadsheets (Appendices D through X). </t>
  </si>
  <si>
    <t>interpolation between available points</t>
  </si>
  <si>
    <t>LANDFILLS (SOLID WASTE SECTOR): The 2022 SGIT Module is used for 1990.The 2024 SGIT Module is used from 1991 to 2009. Review of industrial landfills indicates only one active (limestone) industrial landfill in MA. Limestone does not decompose, and therefore does not produce methane emissions, so the percent of methane from industrial landfills in the SGIT Solid Waste module has been set to zero. Beginning with 2010, CH4 emissions from MSW Landfills are based on EPA FLIGHT data. Biogenic CO2 emissions from oxidation and the non-electric sector combustion of LFG (including associated CH4 and N2O) from 2010-2014 were based on MassDEP data. 
MSW COMBUSTION (ELECTRIC and INDUSTRIAL SECTORS): The combustion of MSW in MA is done through Waste-to-Energy facilities that either generate electricity for use by the electric grid or steam for use by industry. Emissions from the combustion of MSW have been removed from the solid waste sector and added to the Electric and Industrial sectors, respectively. The calculations are completed on this tab with Electric sector data from SGIT (after removal of tons of waste from one industrial facility) for 1990-2009 and EPA FLIGHT beginning with 2010, and Industrial sector data from EIA SEDS for 1990-2009 (in a table at the bottom of this tab) and EPA FLIGHT beginning with 2010. Non-biogenic waste is derived using EIA's national % biogenic to non-biogenic waste split for 1990-2000 in order to complete the data set.</t>
  </si>
  <si>
    <t>Municipal CH4 (SGIT 1990-1999)</t>
  </si>
  <si>
    <t>Municipal Direct N2O (SGIT 1990-1999)</t>
  </si>
  <si>
    <t>Municipal Effluent N2O (SGIT 1990-1999)</t>
  </si>
  <si>
    <t>The SGIT Wastewater module was used to calculate Municipal CH4 and N2O emissions. CH4 emissions were calculated after subtracting the population of MA served by MWRA from the total MA population beginning with 2000, and from Pittsfield, Clinton, Rockland, and Greater Lawrence WWTFs beginning 2014. CH4 and N2O from the combustion of MWRA biogas flared instead of combusted for electricity is added in at the bottom of the table below. (MWRA Biogas combusted for electricity is reported to EIA and is included in the Commercial sector.)</t>
  </si>
  <si>
    <t>Harvested Wood Products Carbon Stock Change*</t>
  </si>
  <si>
    <t>Peatlands Soil Carbon Stocks Change</t>
  </si>
  <si>
    <t>Settlement Soil Carbon Stock Change**</t>
  </si>
  <si>
    <t>Landfilled Food Scraps Carbon Stock Change*</t>
  </si>
  <si>
    <t>Massachusetts Natural &amp; Working Lands Net Greenhouse Gas Emissions (MMT CO2e/yr)</t>
  </si>
  <si>
    <t>Coastal Wetlands CH4 Emissions</t>
  </si>
  <si>
    <t>Flooded Land CH4 Emissions</t>
  </si>
  <si>
    <t>Ecosystem Carbon Stock Changea</t>
  </si>
  <si>
    <t>Converted Wetland CH4 Emissionsb</t>
  </si>
  <si>
    <t>Settlement Soil N2O Emissions*</t>
  </si>
  <si>
    <t>This inventory includes all categories with EPA state-level reporting for MA from 1990-2021 where emissions are ≥0.001 MMT CO2e/yr, with the exception of Landfilled Yard Trimmings, which are assumed to be zero since landfilling yard trimmings is illegal in Massachusetts.</t>
  </si>
  <si>
    <r>
      <t xml:space="preserve">Source for all categories </t>
    </r>
    <r>
      <rPr>
        <i/>
        <sz val="10"/>
        <color theme="1"/>
        <rFont val="Calibri"/>
        <family val="2"/>
      </rPr>
      <t>except</t>
    </r>
    <r>
      <rPr>
        <sz val="11"/>
        <color theme="1"/>
        <rFont val="Calibri"/>
        <family val="2"/>
        <scheme val="minor"/>
      </rPr>
      <t xml:space="preserve"> those marked by * or **:</t>
    </r>
  </si>
  <si>
    <t>EPA State GHG Emissions and Removals (1990-2021, downloaded June 2024)</t>
  </si>
  <si>
    <t>* source:</t>
  </si>
  <si>
    <t>EPA State Inventory and Projection Tool (v. 2024.1; default values for Massachusetts)</t>
  </si>
  <si>
    <r>
      <t>** source</t>
    </r>
    <r>
      <rPr>
        <sz val="10"/>
        <rFont val="Calibri"/>
        <family val="2"/>
      </rPr>
      <t>:</t>
    </r>
  </si>
  <si>
    <t>EPA State GHG Emissions and Removals (1990-2020, downloaded Nov 2022)</t>
  </si>
  <si>
    <t>red text indicates values that are not currently available for 2021 are assumed to be equivalent to 2020 emissions levels</t>
  </si>
  <si>
    <r>
      <rPr>
        <i/>
        <vertAlign val="superscript"/>
        <sz val="10"/>
        <rFont val="Calibri"/>
        <family val="2"/>
      </rPr>
      <t xml:space="preserve">a </t>
    </r>
    <r>
      <rPr>
        <sz val="10"/>
        <rFont val="Calibri"/>
        <family val="2"/>
      </rPr>
      <t>This includes emissions from EPA categories "Changes in Ecosystem Carbon Stocks" in "Land Converted to Wetlands" and "Changes in Carbon Stocks in Lands Converted to Flooded Lands"</t>
    </r>
  </si>
  <si>
    <r>
      <rPr>
        <i/>
        <vertAlign val="superscript"/>
        <sz val="10"/>
        <rFont val="Calibri"/>
        <family val="2"/>
      </rPr>
      <t xml:space="preserve">b </t>
    </r>
    <r>
      <rPr>
        <sz val="10"/>
        <rFont val="Calibri"/>
        <family val="2"/>
      </rPr>
      <t>This includes emissions from EPA categories "Land Converted to Flooded Lands" and "Land Converted to Coastal Wetlands"</t>
    </r>
  </si>
  <si>
    <t>Detailed methods and discussion:</t>
  </si>
  <si>
    <t>Methodology Report: Inventory of U.S. Greenhouse Gas Emissions and Sinks by State: 1990-2021 - Chapter 5 Land Use, Land-Use Change, and Forestry</t>
  </si>
  <si>
    <t>Inventory of U.S. Greenhouse Gas Emissions and Sinks: 1990-2021 - Chapter 6 Land Use, Land-Use Change, and Forestry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</si>
</sst>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0.00_);_(* \(#,##0.00\);_(* &quot;-&quot;??_);_(@_)"/>
    <numFmt numFmtId="164" formatCode="0.000"/>
    <numFmt numFmtId="165" formatCode="0.0000"/>
    <numFmt numFmtId="166" formatCode="_(* #,##0_);_(* \(#,##0\);_(* &quot;-&quot;??_);_(@_)"/>
    <numFmt numFmtId="167" formatCode="0.000000000"/>
    <numFmt numFmtId="168" formatCode="0.0"/>
    <numFmt numFmtId="169" formatCode="_(* #,##0.000_);_(* \(#,##0.000\);_(* &quot;-&quot;??_);_(@_)"/>
    <numFmt numFmtId="170" formatCode="[&lt;0.05]&quot;+&quot;_);#,##0.0_)"/>
    <numFmt numFmtId="171" formatCode="0.00000"/>
    <numFmt numFmtId="172" formatCode="0.0%"/>
    <numFmt numFmtId="173" formatCode="#,##0.000"/>
    <numFmt numFmtId="174" formatCode="0.00000000"/>
    <numFmt numFmtId="175" formatCode="#,##0.0"/>
    <numFmt numFmtId="176" formatCode="_(* #,##0.0_);_(* \(#,##0.0\);_(* &quot;-&quot;??_);_(@_)"/>
    <numFmt numFmtId="177" formatCode="#,##0.00000"/>
    <numFmt numFmtId="178" formatCode="#,##0.0000_);\(#,##0.0000\)"/>
    <numFmt numFmtId="179" formatCode="#,##0.0000"/>
    <numFmt numFmtId="180" formatCode="#,##0.000_);\(#,##0.000\)"/>
    <numFmt numFmtId="181" formatCode="_(* #,##0.0_);_(* \(#,##0.0\);_(* &quot;-&quot;?_);_(@_)"/>
    <numFmt numFmtId="182" formatCode="#,##0.0_);\(#,##0.0\)"/>
    <numFmt numFmtId="183" formatCode="0.000000"/>
    <numFmt numFmtId="184" formatCode="_(* #,##0.0000_);_(* \(#,##0.0000\);_(* &quot;-&quot;??_);_(@_)"/>
    <numFmt numFmtId="185" formatCode="_(* #,##0.00000_);_(* \(#,##0.00000\);_(* &quot;-&quot;??_);_(@_)"/>
    <numFmt numFmtId="186" formatCode="_(* #,##0.000000_);_(* \(#,##0.000000\);_(* &quot;-&quot;??_);_(@_)"/>
    <numFmt numFmtId="187" formatCode="_(* #,##0.000_);_(* \(#,##0.000\);_(* &quot;-&quot;???_);_(@_)"/>
    <numFmt numFmtId="188" formatCode="#,##0.00000_);\(#,##0.00000\)"/>
    <numFmt numFmtId="189" formatCode="_(* #,##0.0000000_);_(* \(#,##0.0000000\);_(* &quot;-&quot;??_);_(@_)"/>
  </numFmts>
  <fonts count="239">
    <font>
      <sz val="11"/>
      <color theme="1"/>
      <name val="Calibri"/>
      <family val="2"/>
      <scheme val="minor"/>
    </font>
    <font>
      <sz val="11"/>
      <name val="Calibri"/>
      <family val="2"/>
    </font>
    <font>
      <sz val="11"/>
      <name val="Calibri"/>
      <family val="2"/>
    </font>
    <font>
      <sz val="11"/>
      <name val="Calibri"/>
      <family val="2"/>
    </font>
    <font>
      <sz val="11"/>
      <name val="Calibri"/>
      <family val="2"/>
    </font>
    <font>
      <sz val="11"/>
      <color indexed="8"/>
      <name val="Calibri"/>
      <family val="2"/>
    </font>
    <font>
      <sz val="8"/>
      <name val="Tahoma"/>
      <family val="2"/>
    </font>
    <font>
      <sz val="10"/>
      <name val="Tahoma"/>
      <family val="2"/>
    </font>
    <font>
      <sz val="8"/>
      <name val="Comic Sans MS"/>
      <family val="4"/>
    </font>
    <font>
      <b/>
      <sz val="8"/>
      <name val="Comic Sans MS"/>
      <family val="4"/>
    </font>
    <font>
      <b/>
      <sz val="8"/>
      <color indexed="8"/>
      <name val="Comic Sans MS"/>
      <family val="4"/>
    </font>
    <font>
      <sz val="8"/>
      <color indexed="8"/>
      <name val="Comic Sans MS"/>
      <family val="4"/>
    </font>
    <font>
      <vertAlign val="subscript"/>
      <sz val="8"/>
      <color indexed="8"/>
      <name val="Comic Sans MS"/>
      <family val="4"/>
    </font>
    <font>
      <sz val="10"/>
      <name val="Arial"/>
      <family val="2"/>
    </font>
    <font>
      <i/>
      <sz val="10"/>
      <name val="Arial"/>
      <family val="2"/>
    </font>
    <font>
      <i/>
      <sz val="11"/>
      <color indexed="8"/>
      <name val="Calibri"/>
      <family val="2"/>
    </font>
    <font>
      <b/>
      <sz val="10"/>
      <name val="Arial"/>
      <family val="2"/>
    </font>
    <font>
      <sz val="8"/>
      <name val="Arial"/>
      <family val="2"/>
    </font>
    <font>
      <sz val="11"/>
      <color indexed="10"/>
      <name val="Calibri"/>
      <family val="2"/>
    </font>
    <font>
      <b/>
      <sz val="14"/>
      <name val="Comic Sans MS"/>
      <family val="4"/>
    </font>
    <font>
      <b/>
      <sz val="10"/>
      <name val="Comic Sans MS"/>
      <family val="4"/>
    </font>
    <font>
      <sz val="10"/>
      <name val="Comic Sans MS"/>
      <family val="4"/>
    </font>
    <font>
      <b/>
      <sz val="14"/>
      <color indexed="18"/>
      <name val="Comic Sans MS"/>
      <family val="4"/>
    </font>
    <font>
      <sz val="7"/>
      <name val="Arial"/>
      <family val="2"/>
    </font>
    <font>
      <b/>
      <sz val="10"/>
      <color indexed="18"/>
      <name val="Comic Sans MS"/>
      <family val="4"/>
    </font>
    <font>
      <sz val="8"/>
      <name val="Arial"/>
      <family val="2"/>
    </font>
    <font>
      <i/>
      <sz val="8"/>
      <name val="Comic Sans MS"/>
      <family val="4"/>
    </font>
    <font>
      <b/>
      <sz val="8"/>
      <name val="Arial"/>
      <family val="2"/>
    </font>
    <font>
      <sz val="10"/>
      <color indexed="9"/>
      <name val="Arial"/>
      <family val="2"/>
    </font>
    <font>
      <sz val="14"/>
      <name val="Arial"/>
      <family val="2"/>
    </font>
    <font>
      <sz val="11"/>
      <color indexed="8"/>
      <name val="Calibri"/>
      <family val="2"/>
    </font>
    <font>
      <b/>
      <sz val="11"/>
      <color indexed="8"/>
      <name val="Calibri"/>
      <family val="2"/>
    </font>
    <font>
      <b/>
      <sz val="16"/>
      <color indexed="8"/>
      <name val="Calibri"/>
      <family val="2"/>
    </font>
    <font>
      <b/>
      <sz val="9"/>
      <color indexed="8"/>
      <name val="Comic Sans MS"/>
      <family val="4"/>
    </font>
    <font>
      <sz val="12"/>
      <color indexed="8"/>
      <name val="Times New Roman"/>
      <family val="1"/>
    </font>
    <font>
      <sz val="10"/>
      <color indexed="8"/>
      <name val="Arial"/>
      <family val="2"/>
    </font>
    <font>
      <i/>
      <sz val="10"/>
      <color indexed="10"/>
      <name val="Arial"/>
      <family val="2"/>
    </font>
    <font>
      <sz val="10"/>
      <color indexed="10"/>
      <name val="Arial"/>
      <family val="2"/>
    </font>
    <font>
      <i/>
      <sz val="10"/>
      <color indexed="8"/>
      <name val="Arial"/>
      <family val="2"/>
    </font>
    <font>
      <b/>
      <sz val="10"/>
      <color indexed="18"/>
      <name val="Arial"/>
      <family val="2"/>
    </font>
    <font>
      <b/>
      <sz val="9.9"/>
      <name val="Calibri"/>
      <family val="2"/>
    </font>
    <font>
      <b/>
      <u/>
      <sz val="12"/>
      <color indexed="8"/>
      <name val="Calibri"/>
      <family val="2"/>
    </font>
    <font>
      <b/>
      <sz val="11"/>
      <name val="Calibri"/>
      <family val="2"/>
    </font>
    <font>
      <sz val="8"/>
      <name val="Calibri"/>
      <family val="2"/>
    </font>
    <font>
      <vertAlign val="subscript"/>
      <sz val="8"/>
      <name val="Comic Sans MS"/>
      <family val="4"/>
    </font>
    <font>
      <b/>
      <vertAlign val="subscript"/>
      <sz val="14"/>
      <name val="Comic Sans MS"/>
      <family val="4"/>
    </font>
    <font>
      <u/>
      <sz val="11"/>
      <color indexed="12"/>
      <name val="Calibri"/>
      <family val="2"/>
    </font>
    <font>
      <vertAlign val="subscript"/>
      <sz val="11"/>
      <name val="Calibri"/>
      <family val="2"/>
    </font>
    <font>
      <b/>
      <sz val="8"/>
      <color indexed="8"/>
      <name val="Arial"/>
      <family val="2"/>
    </font>
    <font>
      <b/>
      <sz val="9"/>
      <color indexed="8"/>
      <name val="Arial"/>
      <family val="2"/>
    </font>
    <font>
      <sz val="8"/>
      <color indexed="8"/>
      <name val="Arial"/>
      <family val="2"/>
    </font>
    <font>
      <b/>
      <vertAlign val="subscript"/>
      <sz val="8"/>
      <color indexed="8"/>
      <name val="Arial"/>
      <family val="2"/>
    </font>
    <font>
      <u/>
      <sz val="10"/>
      <color indexed="12"/>
      <name val="Arial"/>
      <family val="2"/>
    </font>
    <font>
      <vertAlign val="subscript"/>
      <sz val="11"/>
      <color indexed="8"/>
      <name val="Calibri"/>
      <family val="2"/>
    </font>
    <font>
      <b/>
      <vertAlign val="subscript"/>
      <sz val="16"/>
      <color indexed="18"/>
      <name val="Comic Sans MS"/>
      <family val="4"/>
    </font>
    <font>
      <sz val="10"/>
      <name val="Arial"/>
      <family val="2"/>
    </font>
    <font>
      <b/>
      <vertAlign val="subscript"/>
      <sz val="10"/>
      <name val="Comic Sans MS"/>
      <family val="4"/>
    </font>
    <font>
      <b/>
      <sz val="9"/>
      <name val="Comic Sans MS"/>
      <family val="4"/>
    </font>
    <font>
      <b/>
      <u val="singleAccounting"/>
      <sz val="8"/>
      <name val="Comic Sans MS"/>
      <family val="4"/>
    </font>
    <font>
      <b/>
      <sz val="16"/>
      <name val="Calibri"/>
      <family val="2"/>
    </font>
    <font>
      <sz val="9"/>
      <color indexed="8"/>
      <name val="Comic Sans MS"/>
      <family val="4"/>
    </font>
    <font>
      <b/>
      <sz val="10"/>
      <color indexed="56"/>
      <name val="Arial"/>
      <family val="2"/>
    </font>
    <font>
      <b/>
      <vertAlign val="subscript"/>
      <sz val="10"/>
      <color indexed="56"/>
      <name val="Arial"/>
      <family val="2"/>
    </font>
    <font>
      <b/>
      <sz val="10"/>
      <color indexed="10"/>
      <name val="Arial"/>
      <family val="2"/>
    </font>
    <font>
      <b/>
      <vertAlign val="subscript"/>
      <sz val="10"/>
      <color indexed="57"/>
      <name val="Arial"/>
      <family val="2"/>
    </font>
    <font>
      <b/>
      <vertAlign val="subscript"/>
      <sz val="10"/>
      <color indexed="10"/>
      <name val="Arial"/>
      <family val="2"/>
    </font>
    <font>
      <b/>
      <vertAlign val="subscript"/>
      <sz val="8"/>
      <name val="Comic Sans MS"/>
      <family val="4"/>
    </font>
    <font>
      <sz val="7"/>
      <color indexed="8"/>
      <name val="Arial"/>
      <family val="2"/>
    </font>
    <font>
      <sz val="9"/>
      <color indexed="8"/>
      <name val="Calibri"/>
      <family val="2"/>
    </font>
    <font>
      <b/>
      <sz val="10"/>
      <color indexed="19"/>
      <name val="Arial"/>
      <family val="2"/>
    </font>
    <font>
      <b/>
      <vertAlign val="subscript"/>
      <sz val="10"/>
      <color indexed="19"/>
      <name val="Arial"/>
      <family val="2"/>
    </font>
    <font>
      <b/>
      <sz val="9"/>
      <name val="Arial"/>
      <family val="2"/>
    </font>
    <font>
      <b/>
      <u/>
      <sz val="14"/>
      <name val="Comic Sans MS"/>
      <family val="4"/>
    </font>
    <font>
      <sz val="12"/>
      <name val="Calibri"/>
      <family val="2"/>
    </font>
    <font>
      <sz val="8"/>
      <color indexed="10"/>
      <name val="Comic Sans MS"/>
      <family val="4"/>
    </font>
    <font>
      <b/>
      <sz val="9"/>
      <color indexed="81"/>
      <name val="Tahoma"/>
      <family val="2"/>
    </font>
    <font>
      <sz val="9"/>
      <color indexed="81"/>
      <name val="Tahoma"/>
      <family val="2"/>
    </font>
    <font>
      <sz val="12"/>
      <name val="Arial"/>
      <family val="2"/>
    </font>
    <font>
      <b/>
      <vertAlign val="subscript"/>
      <sz val="9"/>
      <color indexed="8"/>
      <name val="Comic Sans MS"/>
      <family val="4"/>
    </font>
    <font>
      <b/>
      <sz val="8"/>
      <color indexed="56"/>
      <name val="Arial"/>
      <family val="2"/>
    </font>
    <font>
      <b/>
      <sz val="10"/>
      <color indexed="36"/>
      <name val="Arial"/>
      <family val="2"/>
    </font>
    <font>
      <b/>
      <vertAlign val="subscript"/>
      <sz val="10"/>
      <color indexed="36"/>
      <name val="Arial"/>
      <family val="2"/>
    </font>
    <font>
      <b/>
      <vertAlign val="subscript"/>
      <sz val="8"/>
      <color indexed="8"/>
      <name val="Comic Sans MS"/>
      <family val="4"/>
    </font>
    <font>
      <b/>
      <vertAlign val="subscript"/>
      <sz val="8"/>
      <color indexed="56"/>
      <name val="Arial"/>
      <family val="2"/>
    </font>
    <font>
      <b/>
      <vertAlign val="subscript"/>
      <sz val="11"/>
      <color indexed="8"/>
      <name val="Calibri"/>
      <family val="2"/>
    </font>
    <font>
      <b/>
      <vertAlign val="subscript"/>
      <sz val="11"/>
      <name val="Calibri"/>
      <family val="2"/>
    </font>
    <font>
      <sz val="9"/>
      <name val="Arial"/>
      <family val="2"/>
    </font>
    <font>
      <sz val="11"/>
      <color theme="1"/>
      <name val="Calibri"/>
      <family val="2"/>
      <scheme val="minor"/>
    </font>
    <font>
      <b/>
      <sz val="11"/>
      <color theme="1"/>
      <name val="Calibri"/>
      <family val="2"/>
      <scheme val="minor"/>
    </font>
    <font>
      <sz val="11"/>
      <color rgb="FFFF0000"/>
      <name val="Calibri"/>
      <family val="2"/>
      <scheme val="minor"/>
    </font>
    <font>
      <b/>
      <sz val="14"/>
      <color rgb="FFFF0000"/>
      <name val="Comic Sans MS"/>
      <family val="4"/>
    </font>
    <font>
      <sz val="8"/>
      <color rgb="FFFF0000"/>
      <name val="Comic Sans MS"/>
      <family val="4"/>
    </font>
    <font>
      <sz val="11"/>
      <name val="Calibri"/>
      <family val="2"/>
      <scheme val="minor"/>
    </font>
    <font>
      <sz val="11"/>
      <color theme="3" tint="0.39997558519241921"/>
      <name val="Calibri"/>
      <family val="2"/>
      <scheme val="minor"/>
    </font>
    <font>
      <sz val="10"/>
      <color theme="0" tint="-0.249977111117893"/>
      <name val="Arial"/>
      <family val="2"/>
    </font>
    <font>
      <i/>
      <sz val="10"/>
      <color rgb="FFFF0000"/>
      <name val="Arial"/>
      <family val="2"/>
    </font>
    <font>
      <sz val="10"/>
      <color rgb="FFFF0000"/>
      <name val="Arial"/>
      <family val="2"/>
    </font>
    <font>
      <sz val="10"/>
      <color theme="0"/>
      <name val="Arial"/>
      <family val="2"/>
    </font>
    <font>
      <sz val="11"/>
      <color theme="8" tint="-0.249977111117893"/>
      <name val="Calibri"/>
      <family val="2"/>
      <scheme val="minor"/>
    </font>
    <font>
      <b/>
      <sz val="11"/>
      <color rgb="FFFF0000"/>
      <name val="Calibri"/>
      <family val="2"/>
      <scheme val="minor"/>
    </font>
    <font>
      <b/>
      <sz val="9"/>
      <color rgb="FFFF0000"/>
      <name val="Arial"/>
      <family val="2"/>
    </font>
    <font>
      <b/>
      <sz val="8"/>
      <color rgb="FF002060"/>
      <name val="Arial"/>
      <family val="2"/>
    </font>
    <font>
      <sz val="8"/>
      <color rgb="FF002060"/>
      <name val="Arial"/>
      <family val="2"/>
    </font>
    <font>
      <b/>
      <sz val="9"/>
      <color rgb="FF002060"/>
      <name val="Arial"/>
      <family val="2"/>
    </font>
    <font>
      <b/>
      <sz val="8"/>
      <color rgb="FFFF0000"/>
      <name val="Arial"/>
      <family val="2"/>
    </font>
    <font>
      <b/>
      <sz val="10"/>
      <color rgb="FF002060"/>
      <name val="Arial"/>
      <family val="2"/>
    </font>
    <font>
      <b/>
      <sz val="8"/>
      <color theme="6" tint="-0.249977111117893"/>
      <name val="Arial"/>
      <family val="2"/>
    </font>
    <font>
      <b/>
      <sz val="10"/>
      <color theme="6" tint="-0.249977111117893"/>
      <name val="Arial"/>
      <family val="2"/>
    </font>
    <font>
      <b/>
      <sz val="10"/>
      <color rgb="FFFF0000"/>
      <name val="Arial"/>
      <family val="2"/>
    </font>
    <font>
      <sz val="8"/>
      <color rgb="FF00B0F0"/>
      <name val="Arial"/>
      <family val="2"/>
    </font>
    <font>
      <sz val="8"/>
      <color rgb="FF7030A0"/>
      <name val="Arial"/>
      <family val="2"/>
    </font>
    <font>
      <b/>
      <sz val="10"/>
      <color rgb="FF7030A0"/>
      <name val="Arial"/>
      <family val="2"/>
    </font>
    <font>
      <b/>
      <sz val="10"/>
      <color theme="2" tint="-0.749992370372631"/>
      <name val="Arial"/>
      <family val="2"/>
    </font>
    <font>
      <i/>
      <sz val="11"/>
      <color theme="1"/>
      <name val="Calibri"/>
      <family val="2"/>
      <scheme val="minor"/>
    </font>
    <font>
      <sz val="10"/>
      <color theme="1"/>
      <name val="Cambria"/>
      <family val="1"/>
      <scheme val="major"/>
    </font>
    <font>
      <sz val="11"/>
      <color rgb="FF000000"/>
      <name val="Calibri"/>
      <family val="2"/>
    </font>
    <font>
      <sz val="11"/>
      <color rgb="FF0070C0"/>
      <name val="Calibri"/>
      <family val="2"/>
    </font>
    <font>
      <b/>
      <sz val="14"/>
      <color theme="1"/>
      <name val="Calibri"/>
      <family val="2"/>
      <scheme val="minor"/>
    </font>
    <font>
      <sz val="10"/>
      <color theme="8" tint="-0.249977111117893"/>
      <name val="Arial"/>
      <family val="2"/>
    </font>
    <font>
      <b/>
      <sz val="11"/>
      <name val="Calibri"/>
      <family val="2"/>
      <scheme val="minor"/>
    </font>
    <font>
      <b/>
      <sz val="10"/>
      <color theme="2" tint="-0.499984740745262"/>
      <name val="Arial"/>
      <family val="2"/>
    </font>
    <font>
      <sz val="8"/>
      <color rgb="FFFF0000"/>
      <name val="Arial"/>
      <family val="2"/>
    </font>
    <font>
      <sz val="11"/>
      <color rgb="FF0070C0"/>
      <name val="Calibri"/>
      <family val="2"/>
      <scheme val="minor"/>
    </font>
    <font>
      <sz val="10"/>
      <color rgb="FFFF0000"/>
      <name val="Comic Sans MS"/>
      <family val="4"/>
    </font>
    <font>
      <b/>
      <sz val="12"/>
      <color theme="1"/>
      <name val="Calibri"/>
      <family val="2"/>
      <scheme val="minor"/>
    </font>
    <font>
      <sz val="11"/>
      <color rgb="FF002060"/>
      <name val="Calibri"/>
      <family val="2"/>
      <scheme val="minor"/>
    </font>
    <font>
      <u/>
      <sz val="11"/>
      <color rgb="FF0000FF"/>
      <name val="Calibri"/>
      <family val="2"/>
      <scheme val="minor"/>
    </font>
    <font>
      <b/>
      <u/>
      <sz val="11"/>
      <color theme="1"/>
      <name val="Calibri"/>
      <family val="2"/>
      <scheme val="minor"/>
    </font>
    <font>
      <b/>
      <sz val="8"/>
      <color theme="1"/>
      <name val="Comic Sans MS"/>
      <family val="4"/>
    </font>
    <font>
      <b/>
      <sz val="9"/>
      <name val="Calibri"/>
      <family val="2"/>
      <scheme val="minor"/>
    </font>
    <font>
      <sz val="11"/>
      <color rgb="FF00B050"/>
      <name val="Calibri"/>
      <family val="2"/>
      <scheme val="minor"/>
    </font>
    <font>
      <b/>
      <sz val="8"/>
      <color rgb="FFFF0000"/>
      <name val="Comic Sans MS"/>
      <family val="4"/>
    </font>
    <font>
      <i/>
      <sz val="11"/>
      <name val="Calibri"/>
      <family val="2"/>
      <scheme val="minor"/>
    </font>
    <font>
      <sz val="10"/>
      <color rgb="FFFF0000"/>
      <name val="Calibri"/>
      <family val="2"/>
      <scheme val="minor"/>
    </font>
    <font>
      <i/>
      <sz val="11"/>
      <color rgb="FFFF0000"/>
      <name val="Calibri"/>
      <family val="2"/>
      <scheme val="minor"/>
    </font>
    <font>
      <b/>
      <sz val="16"/>
      <color rgb="FFFF0000"/>
      <name val="Calibri"/>
      <family val="2"/>
    </font>
    <font>
      <sz val="11"/>
      <color theme="6" tint="-0.499984740745262"/>
      <name val="Calibri"/>
      <family val="2"/>
      <scheme val="minor"/>
    </font>
    <font>
      <b/>
      <sz val="9"/>
      <color rgb="FF000000"/>
      <name val="Tahoma"/>
      <family val="2"/>
    </font>
    <font>
      <sz val="9"/>
      <color rgb="FF000000"/>
      <name val="Tahoma"/>
      <family val="2"/>
    </font>
    <font>
      <sz val="8"/>
      <color theme="1"/>
      <name val="Comic Sans MS"/>
      <family val="4"/>
    </font>
    <font>
      <u/>
      <sz val="11"/>
      <color rgb="FFFF0000"/>
      <name val="Calibri"/>
      <family val="2"/>
    </font>
    <font>
      <sz val="8"/>
      <name val="Calibri"/>
      <family val="2"/>
      <scheme val="minor"/>
    </font>
    <font>
      <b/>
      <sz val="12"/>
      <name val="Arial"/>
      <family val="2"/>
    </font>
    <font>
      <sz val="11"/>
      <name val="Arial"/>
      <family val="2"/>
    </font>
    <font>
      <sz val="11"/>
      <color rgb="FF000000"/>
      <name val="Arial"/>
      <family val="2"/>
    </font>
    <font>
      <sz val="11"/>
      <color indexed="8"/>
      <name val="Arial"/>
      <family val="2"/>
    </font>
    <font>
      <b/>
      <sz val="11"/>
      <color indexed="53"/>
      <name val="Arial"/>
      <family val="2"/>
    </font>
    <font>
      <b/>
      <sz val="11"/>
      <color indexed="55"/>
      <name val="Arial"/>
      <family val="2"/>
    </font>
    <font>
      <b/>
      <sz val="10"/>
      <color rgb="FF00B0F0"/>
      <name val="Arial"/>
      <family val="2"/>
    </font>
    <font>
      <b/>
      <vertAlign val="subscript"/>
      <sz val="10"/>
      <color rgb="FF00B0F0"/>
      <name val="Arial"/>
      <family val="2"/>
    </font>
    <font>
      <sz val="8"/>
      <color theme="1"/>
      <name val="Arial"/>
      <family val="2"/>
    </font>
    <font>
      <b/>
      <sz val="24"/>
      <color theme="1"/>
      <name val="Calibri"/>
      <family val="2"/>
      <scheme val="minor"/>
    </font>
    <font>
      <b/>
      <sz val="12"/>
      <color theme="0"/>
      <name val="Calibri"/>
      <family val="2"/>
      <scheme val="minor"/>
    </font>
    <font>
      <sz val="9"/>
      <name val="Calibri"/>
      <family val="2"/>
      <scheme val="minor"/>
    </font>
    <font>
      <b/>
      <sz val="9"/>
      <color rgb="FFFFFFFF"/>
      <name val="Calibri"/>
      <family val="2"/>
    </font>
    <font>
      <sz val="9"/>
      <name val="Calibri"/>
      <family val="2"/>
    </font>
    <font>
      <b/>
      <sz val="10"/>
      <name val="Calibri"/>
      <family val="2"/>
    </font>
    <font>
      <b/>
      <i/>
      <sz val="9"/>
      <name val="Calibri"/>
      <family val="2"/>
    </font>
    <font>
      <b/>
      <sz val="9"/>
      <name val="Calibri"/>
      <family val="2"/>
    </font>
    <font>
      <b/>
      <sz val="10"/>
      <color rgb="FF000000"/>
      <name val="Tahoma"/>
      <family val="2"/>
    </font>
    <font>
      <sz val="10"/>
      <color rgb="FF000000"/>
      <name val="Tahoma"/>
      <family val="2"/>
    </font>
    <font>
      <sz val="10"/>
      <color rgb="FF000000"/>
      <name val="Calibri"/>
      <family val="2"/>
    </font>
    <font>
      <b/>
      <sz val="10"/>
      <color rgb="FF000000"/>
      <name val="Calibri"/>
      <family val="2"/>
    </font>
    <font>
      <b/>
      <sz val="10"/>
      <color theme="1"/>
      <name val="Arial"/>
      <family val="2"/>
    </font>
    <font>
      <b/>
      <sz val="11"/>
      <color rgb="FFFF0000"/>
      <name val="Arial"/>
      <family val="2"/>
    </font>
    <font>
      <sz val="11"/>
      <color theme="1"/>
      <name val="Arial"/>
      <family val="2"/>
    </font>
    <font>
      <sz val="10"/>
      <color theme="1"/>
      <name val="Arial"/>
      <family val="2"/>
    </font>
    <font>
      <b/>
      <sz val="11"/>
      <color theme="6" tint="-0.499984740745262"/>
      <name val="Arial"/>
      <family val="2"/>
    </font>
    <font>
      <b/>
      <sz val="10"/>
      <color theme="7" tint="-0.499984740745262"/>
      <name val="Arial"/>
      <family val="2"/>
    </font>
    <font>
      <b/>
      <vertAlign val="subscript"/>
      <sz val="10"/>
      <color theme="7" tint="-0.499984740745262"/>
      <name val="Arial"/>
      <family val="2"/>
    </font>
    <font>
      <b/>
      <vertAlign val="subscript"/>
      <sz val="10"/>
      <color theme="1"/>
      <name val="Arial"/>
      <family val="2"/>
    </font>
    <font>
      <b/>
      <sz val="10"/>
      <color theme="6" tint="-0.499984740745262"/>
      <name val="Arial"/>
      <family val="2"/>
    </font>
    <font>
      <b/>
      <vertAlign val="subscript"/>
      <sz val="10"/>
      <color theme="6" tint="-0.499984740745262"/>
      <name val="Arial"/>
      <family val="2"/>
    </font>
    <font>
      <b/>
      <sz val="16"/>
      <color theme="1"/>
      <name val="Calibri"/>
      <family val="2"/>
      <scheme val="minor"/>
    </font>
    <font>
      <b/>
      <sz val="12"/>
      <name val="Calibri (Body)"/>
    </font>
    <font>
      <sz val="12"/>
      <name val="Calibri (Body)"/>
    </font>
    <font>
      <sz val="11"/>
      <name val="Comic Sans MS"/>
      <family val="4"/>
    </font>
    <font>
      <sz val="9"/>
      <color theme="1"/>
      <name val="Calibri"/>
      <family val="2"/>
    </font>
    <font>
      <sz val="9"/>
      <color rgb="FFFF0000"/>
      <name val="Calibri"/>
      <family val="2"/>
    </font>
    <font>
      <sz val="12"/>
      <color theme="0"/>
      <name val="Calibri"/>
      <family val="2"/>
      <scheme val="minor"/>
    </font>
    <font>
      <sz val="10"/>
      <color rgb="FF000000"/>
      <name val="Calibri"/>
      <family val="2"/>
      <scheme val="minor"/>
    </font>
    <font>
      <b/>
      <sz val="10"/>
      <color rgb="FF000000"/>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
      <b/>
      <vertAlign val="subscript"/>
      <sz val="8"/>
      <color theme="1"/>
      <name val="Calibri"/>
      <family val="2"/>
      <scheme val="minor"/>
    </font>
    <font>
      <i/>
      <sz val="10"/>
      <color rgb="FFFF0000"/>
      <name val="Calibri"/>
      <family val="2"/>
      <scheme val="minor"/>
    </font>
    <font>
      <u/>
      <sz val="11"/>
      <color theme="10"/>
      <name val="Calibri"/>
      <family val="2"/>
      <scheme val="minor"/>
    </font>
    <font>
      <sz val="9"/>
      <color rgb="FFFF0000"/>
      <name val="Calibri"/>
      <family val="2"/>
      <scheme val="minor"/>
    </font>
    <font>
      <b/>
      <vertAlign val="subscript"/>
      <sz val="9"/>
      <color rgb="FF000000"/>
      <name val="Comic Sans MS"/>
      <family val="4"/>
    </font>
    <font>
      <b/>
      <vertAlign val="subscript"/>
      <sz val="9"/>
      <name val="Comic Sans MS"/>
      <family val="4"/>
    </font>
    <font>
      <u/>
      <sz val="11"/>
      <color indexed="12"/>
      <name val="Calibri"/>
      <family val="2"/>
      <scheme val="minor"/>
    </font>
    <font>
      <sz val="8"/>
      <color theme="0" tint="-0.34998626667073579"/>
      <name val="Comic Sans MS"/>
      <family val="4"/>
    </font>
    <font>
      <sz val="11"/>
      <color theme="0" tint="-0.34998626667073579"/>
      <name val="Calibri"/>
      <family val="2"/>
      <scheme val="minor"/>
    </font>
    <font>
      <sz val="11"/>
      <color theme="0" tint="-0.499984740745262"/>
      <name val="Calibri"/>
      <family val="2"/>
      <scheme val="minor"/>
    </font>
    <font>
      <i/>
      <sz val="9"/>
      <name val="Calibri"/>
      <family val="2"/>
      <scheme val="minor"/>
    </font>
    <font>
      <sz val="9"/>
      <color theme="1"/>
      <name val="Calibri"/>
      <family val="2"/>
      <scheme val="minor"/>
    </font>
    <font>
      <vertAlign val="subscript"/>
      <sz val="11"/>
      <color theme="1"/>
      <name val="Calibri (Body)"/>
    </font>
    <font>
      <i/>
      <sz val="8"/>
      <color rgb="FFFF0000"/>
      <name val="Comic Sans MS"/>
      <family val="4"/>
    </font>
    <font>
      <sz val="11"/>
      <color rgb="FFFF0000"/>
      <name val="Comic Sans MS"/>
      <family val="4"/>
    </font>
    <font>
      <b/>
      <sz val="8"/>
      <color theme="0" tint="-0.499984740745262"/>
      <name val="Arial"/>
      <family val="2"/>
    </font>
    <font>
      <b/>
      <sz val="11"/>
      <color theme="0" tint="-0.499984740745262"/>
      <name val="Calibri"/>
      <family val="2"/>
      <scheme val="minor"/>
    </font>
    <font>
      <b/>
      <i/>
      <sz val="9"/>
      <name val="Calibri"/>
      <family val="2"/>
      <scheme val="minor"/>
    </font>
    <font>
      <b/>
      <sz val="10"/>
      <name val="Calibri"/>
      <family val="2"/>
      <scheme val="minor"/>
    </font>
    <font>
      <b/>
      <sz val="9"/>
      <color theme="0"/>
      <name val="Calibri"/>
      <family val="2"/>
      <scheme val="minor"/>
    </font>
    <font>
      <sz val="14"/>
      <color rgb="FFFF0000"/>
      <name val="Calibri"/>
      <family val="2"/>
    </font>
    <font>
      <b/>
      <sz val="9"/>
      <color rgb="FFFF0000"/>
      <name val="Calibri"/>
      <family val="2"/>
    </font>
    <font>
      <sz val="11"/>
      <color rgb="FFFF0000"/>
      <name val="Calibri"/>
      <family val="2"/>
    </font>
    <font>
      <sz val="14"/>
      <name val="Calibri"/>
      <family val="2"/>
    </font>
    <font>
      <sz val="12"/>
      <name val="Calibri"/>
      <family val="2"/>
      <scheme val="minor"/>
    </font>
    <font>
      <u/>
      <sz val="12"/>
      <name val="Calibri"/>
      <family val="2"/>
      <scheme val="minor"/>
    </font>
    <font>
      <sz val="18"/>
      <color theme="3"/>
      <name val="Cambria"/>
      <family val="2"/>
      <scheme val="major"/>
    </font>
    <font>
      <sz val="10"/>
      <name val="MS Sans Serif"/>
      <family val="2"/>
    </font>
    <font>
      <b/>
      <sz val="10"/>
      <color rgb="FF4472C4"/>
      <name val="Calibri"/>
      <family val="2"/>
    </font>
    <font>
      <sz val="11"/>
      <color theme="1"/>
      <name val="Calibri"/>
      <family val="2"/>
    </font>
    <font>
      <b/>
      <sz val="11"/>
      <color rgb="FF000000"/>
      <name val="Calibri"/>
      <family val="2"/>
    </font>
    <font>
      <b/>
      <sz val="10"/>
      <color theme="1"/>
      <name val="Calibri"/>
      <family val="2"/>
    </font>
    <font>
      <b/>
      <sz val="11"/>
      <color theme="0"/>
      <name val="Calibri"/>
      <family val="2"/>
    </font>
    <font>
      <sz val="10"/>
      <name val="Calibri"/>
      <family val="2"/>
    </font>
    <font>
      <sz val="10"/>
      <color rgb="FFC00000"/>
      <name val="Calibri"/>
      <family val="2"/>
    </font>
    <font>
      <b/>
      <sz val="11"/>
      <color theme="0" tint="-4.9989318521683403E-2"/>
      <name val="Calibri"/>
      <family val="2"/>
    </font>
    <font>
      <sz val="11"/>
      <color theme="0" tint="-4.9989318521683403E-2"/>
      <name val="Calibri"/>
      <family val="2"/>
    </font>
    <font>
      <sz val="11"/>
      <color rgb="FF808080"/>
      <name val="Calibri"/>
      <family val="2"/>
    </font>
    <font>
      <sz val="10"/>
      <color theme="1"/>
      <name val="Calibri"/>
      <family val="2"/>
    </font>
    <font>
      <b/>
      <i/>
      <sz val="11"/>
      <color theme="1"/>
      <name val="Calibri"/>
      <family val="2"/>
    </font>
    <font>
      <u/>
      <sz val="10"/>
      <color indexed="12"/>
      <name val="Calibri"/>
      <family val="2"/>
    </font>
    <font>
      <b/>
      <i/>
      <sz val="11"/>
      <color rgb="FF000000"/>
      <name val="Calibri"/>
      <family val="2"/>
    </font>
    <font>
      <b/>
      <sz val="12"/>
      <color rgb="FF000000"/>
      <name val="Calibri"/>
      <family val="2"/>
    </font>
    <font>
      <b/>
      <sz val="12"/>
      <name val="Calibri"/>
      <family val="2"/>
    </font>
    <font>
      <b/>
      <sz val="11"/>
      <color rgb="FFFF0000"/>
      <name val="Calibri"/>
      <family val="2"/>
    </font>
    <font>
      <sz val="8"/>
      <name val="Arial"/>
      <family val="2"/>
    </font>
    <font>
      <i/>
      <sz val="12"/>
      <color rgb="FFFF0000"/>
      <name val="Calibri (Body)"/>
    </font>
    <font>
      <b/>
      <sz val="11"/>
      <color rgb="FFFFFFFF"/>
      <name val="Calibri"/>
      <family val="2"/>
    </font>
    <font>
      <b/>
      <sz val="11"/>
      <color rgb="FFF2F2F2"/>
      <name val="Calibri"/>
      <family val="2"/>
    </font>
    <font>
      <sz val="11"/>
      <color rgb="FFF2F2F2"/>
      <name val="Calibri"/>
      <family val="2"/>
    </font>
    <font>
      <b/>
      <sz val="18"/>
      <color rgb="FF5E5E5E"/>
      <name val="Calibri"/>
      <family val="2"/>
      <scheme val="minor"/>
    </font>
    <font>
      <sz val="10"/>
      <color rgb="FFFF0000"/>
      <name val="Calibri"/>
      <family val="2"/>
    </font>
    <font>
      <i/>
      <vertAlign val="superscript"/>
      <sz val="10"/>
      <name val="Calibri"/>
      <family val="2"/>
    </font>
    <font>
      <i/>
      <sz val="10"/>
      <color theme="1"/>
      <name val="Calibri"/>
      <family val="2"/>
    </font>
  </fonts>
  <fills count="62">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30"/>
        <bgColor indexed="64"/>
      </patternFill>
    </fill>
    <fill>
      <patternFill patternType="solid">
        <fgColor indexed="45"/>
        <bgColor indexed="64"/>
      </patternFill>
    </fill>
    <fill>
      <patternFill patternType="solid">
        <fgColor indexed="4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CFF"/>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3"/>
        <bgColor indexed="64"/>
      </patternFill>
    </fill>
    <fill>
      <patternFill patternType="solid">
        <fgColor rgb="FF4F81BD"/>
        <bgColor rgb="FF000000"/>
      </patternFill>
    </fill>
    <fill>
      <patternFill patternType="solid">
        <fgColor rgb="FFD9D9D9"/>
        <bgColor rgb="FF000000"/>
      </patternFill>
    </fill>
    <fill>
      <patternFill patternType="solid">
        <fgColor rgb="FFFFFFFF"/>
        <bgColor rgb="FF000000"/>
      </patternFill>
    </fill>
    <fill>
      <patternFill patternType="solid">
        <fgColor theme="8" tint="0.79998168889431442"/>
        <bgColor indexed="64"/>
      </patternFill>
    </fill>
    <fill>
      <patternFill patternType="solid">
        <fgColor theme="4" tint="0.79998168889431442"/>
        <bgColor rgb="FF000000"/>
      </patternFill>
    </fill>
    <fill>
      <patternFill patternType="solid">
        <fgColor rgb="FFFFC000"/>
        <bgColor indexed="64"/>
      </patternFill>
    </fill>
    <fill>
      <patternFill patternType="solid">
        <fgColor theme="4" tint="0.59999389629810485"/>
        <bgColor indexed="64"/>
      </patternFill>
    </fill>
    <fill>
      <patternFill patternType="solid">
        <fgColor theme="6" tint="-0.499984740745262"/>
        <bgColor indexed="64"/>
      </patternFill>
    </fill>
    <fill>
      <patternFill patternType="solid">
        <fgColor theme="6" tint="-0.249977111117893"/>
        <bgColor rgb="FF000000"/>
      </patternFill>
    </fill>
    <fill>
      <patternFill patternType="solid">
        <fgColor theme="6" tint="0.79998168889431442"/>
        <bgColor rgb="FF000000"/>
      </patternFill>
    </fill>
    <fill>
      <patternFill patternType="solid">
        <fgColor theme="0" tint="-0.499984740745262"/>
        <bgColor rgb="FF000000"/>
      </patternFill>
    </fill>
    <fill>
      <patternFill patternType="solid">
        <fgColor theme="1" tint="0.34998626667073579"/>
        <bgColor indexed="64"/>
      </patternFill>
    </fill>
    <fill>
      <patternFill patternType="solid">
        <fgColor theme="4"/>
        <bgColor indexed="64"/>
      </patternFill>
    </fill>
    <fill>
      <patternFill patternType="solid">
        <fgColor theme="5" tint="-0.499984740745262"/>
        <bgColor indexed="64"/>
      </patternFill>
    </fill>
    <fill>
      <patternFill patternType="solid">
        <fgColor theme="5" tint="-0.499984740745262"/>
        <bgColor rgb="FF000000"/>
      </patternFill>
    </fill>
    <fill>
      <patternFill patternType="solid">
        <fgColor theme="6" tint="0.39997558519241921"/>
        <bgColor rgb="FF000000"/>
      </patternFill>
    </fill>
    <fill>
      <patternFill patternType="solid">
        <fgColor theme="4" tint="-0.249977111117893"/>
        <bgColor rgb="FF000000"/>
      </patternFill>
    </fill>
    <fill>
      <patternFill patternType="solid">
        <fgColor theme="9"/>
        <bgColor rgb="FF000000"/>
      </patternFill>
    </fill>
    <fill>
      <patternFill patternType="solid">
        <fgColor theme="3"/>
        <bgColor rgb="FF000000"/>
      </patternFill>
    </fill>
    <fill>
      <patternFill patternType="solid">
        <fgColor rgb="FF535B13"/>
        <bgColor rgb="FF000000"/>
      </patternFill>
    </fill>
    <fill>
      <patternFill patternType="solid">
        <fgColor rgb="FFF0F4CE"/>
        <bgColor rgb="FF000000"/>
      </patternFill>
    </fill>
    <fill>
      <patternFill patternType="solid">
        <fgColor rgb="FFFFBF60"/>
        <bgColor rgb="FF000000"/>
      </patternFill>
    </fill>
    <fill>
      <patternFill patternType="solid">
        <fgColor rgb="FFFFEACA"/>
        <bgColor rgb="FF000000"/>
      </patternFill>
    </fill>
    <fill>
      <patternFill patternType="solid">
        <fgColor rgb="FF316886"/>
        <bgColor rgb="FF000000"/>
      </patternFill>
    </fill>
    <fill>
      <patternFill patternType="solid">
        <fgColor rgb="FFD8E9F1"/>
        <bgColor rgb="FF000000"/>
      </patternFill>
    </fill>
    <fill>
      <patternFill patternType="solid">
        <fgColor rgb="FFDF5327"/>
        <bgColor rgb="FF000000"/>
      </patternFill>
    </fill>
    <fill>
      <patternFill patternType="solid">
        <fgColor rgb="FFF9DCD2"/>
        <bgColor rgb="FF000000"/>
      </patternFill>
    </fill>
    <fill>
      <patternFill patternType="solid">
        <fgColor rgb="FF5E5E5E"/>
        <bgColor rgb="FF000000"/>
      </patternFill>
    </fill>
  </fills>
  <borders count="74">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ck">
        <color indexed="64"/>
      </right>
      <top style="medium">
        <color indexed="64"/>
      </top>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15">
    <xf numFmtId="0" fontId="0" fillId="0" borderId="0"/>
    <xf numFmtId="43" fontId="30" fillId="0" borderId="0" applyFont="0" applyFill="0" applyBorder="0" applyAlignment="0" applyProtection="0"/>
    <xf numFmtId="43" fontId="5" fillId="0" borderId="0" applyFont="0" applyFill="0" applyBorder="0" applyAlignment="0" applyProtection="0"/>
    <xf numFmtId="0" fontId="46" fillId="0" borderId="0" applyNumberFormat="0" applyFill="0" applyBorder="0" applyAlignment="0" applyProtection="0">
      <alignment vertical="top"/>
      <protection locked="0"/>
    </xf>
    <xf numFmtId="0" fontId="13" fillId="0" borderId="0" applyBorder="0"/>
    <xf numFmtId="0" fontId="25" fillId="0" borderId="0"/>
    <xf numFmtId="0" fontId="55" fillId="0" borderId="0"/>
    <xf numFmtId="0" fontId="17" fillId="0" borderId="0"/>
    <xf numFmtId="9" fontId="30" fillId="0" borderId="0" applyFont="0" applyFill="0" applyBorder="0" applyAlignment="0" applyProtection="0"/>
    <xf numFmtId="9" fontId="5" fillId="0" borderId="0" applyFont="0" applyFill="0" applyBorder="0" applyAlignment="0" applyProtection="0"/>
    <xf numFmtId="43" fontId="87" fillId="0" borderId="0" applyFont="0" applyFill="0" applyBorder="0" applyAlignment="0" applyProtection="0"/>
    <xf numFmtId="0" fontId="187" fillId="0" borderId="0" applyNumberFormat="0" applyFill="0" applyBorder="0" applyAlignment="0" applyProtection="0"/>
    <xf numFmtId="0" fontId="13" fillId="0" borderId="0"/>
    <xf numFmtId="0" fontId="211" fillId="0" borderId="0" applyNumberFormat="0" applyFill="0" applyBorder="0" applyAlignment="0" applyProtection="0"/>
    <xf numFmtId="0" fontId="212" fillId="0" borderId="0"/>
  </cellStyleXfs>
  <cellXfs count="1945">
    <xf numFmtId="0" fontId="0" fillId="0" borderId="0" xfId="0"/>
    <xf numFmtId="0" fontId="31" fillId="0" borderId="0" xfId="0" applyFont="1"/>
    <xf numFmtId="0" fontId="6" fillId="0" borderId="0" xfId="0" applyFont="1" applyAlignment="1">
      <alignment wrapText="1"/>
    </xf>
    <xf numFmtId="2" fontId="7" fillId="0" borderId="0" xfId="0" applyNumberFormat="1" applyFont="1"/>
    <xf numFmtId="0" fontId="9" fillId="0" borderId="0" xfId="0" applyFont="1"/>
    <xf numFmtId="0" fontId="0" fillId="2" borderId="0" xfId="0" applyFill="1"/>
    <xf numFmtId="1" fontId="0" fillId="0" borderId="0" xfId="0" applyNumberFormat="1"/>
    <xf numFmtId="0" fontId="0" fillId="0" borderId="2" xfId="0" applyBorder="1"/>
    <xf numFmtId="3" fontId="0" fillId="0" borderId="0" xfId="0" applyNumberFormat="1"/>
    <xf numFmtId="164" fontId="0" fillId="0" borderId="0" xfId="0" applyNumberFormat="1"/>
    <xf numFmtId="0" fontId="0" fillId="0" borderId="5" xfId="0" applyBorder="1"/>
    <xf numFmtId="0" fontId="31" fillId="0" borderId="8" xfId="0" applyFont="1" applyBorder="1"/>
    <xf numFmtId="0" fontId="31" fillId="0" borderId="2" xfId="0" applyFont="1" applyBorder="1"/>
    <xf numFmtId="0" fontId="6" fillId="0" borderId="5" xfId="0" applyFont="1" applyBorder="1" applyAlignment="1">
      <alignment wrapText="1"/>
    </xf>
    <xf numFmtId="0" fontId="35" fillId="0" borderId="0" xfId="0" applyFont="1"/>
    <xf numFmtId="0" fontId="35" fillId="0" borderId="5" xfId="0" applyFont="1" applyBorder="1"/>
    <xf numFmtId="0" fontId="35" fillId="0" borderId="2" xfId="0" applyFont="1" applyBorder="1"/>
    <xf numFmtId="2" fontId="35" fillId="0" borderId="0" xfId="0" applyNumberFormat="1" applyFont="1"/>
    <xf numFmtId="3" fontId="35" fillId="0" borderId="0" xfId="0" applyNumberFormat="1" applyFont="1"/>
    <xf numFmtId="164" fontId="35" fillId="0" borderId="0" xfId="0" applyNumberFormat="1" applyFont="1"/>
    <xf numFmtId="43" fontId="8" fillId="0" borderId="0" xfId="1" applyFont="1" applyFill="1" applyBorder="1"/>
    <xf numFmtId="3" fontId="13" fillId="0" borderId="0" xfId="0" quotePrefix="1" applyNumberFormat="1" applyFont="1"/>
    <xf numFmtId="0" fontId="0" fillId="0" borderId="0" xfId="0" applyAlignment="1">
      <alignment wrapText="1"/>
    </xf>
    <xf numFmtId="3" fontId="0" fillId="0" borderId="0" xfId="0" applyNumberFormat="1" applyAlignment="1">
      <alignment horizontal="right"/>
    </xf>
    <xf numFmtId="10" fontId="0" fillId="0" borderId="0" xfId="0" applyNumberFormat="1"/>
    <xf numFmtId="2" fontId="35" fillId="0" borderId="0" xfId="0" applyNumberFormat="1" applyFont="1" applyAlignment="1">
      <alignment horizontal="right"/>
    </xf>
    <xf numFmtId="0" fontId="31" fillId="0" borderId="9" xfId="0" applyFont="1" applyBorder="1"/>
    <xf numFmtId="0" fontId="0" fillId="0" borderId="9" xfId="0" applyBorder="1"/>
    <xf numFmtId="0" fontId="6" fillId="0" borderId="9" xfId="0" applyFont="1" applyBorder="1" applyAlignment="1">
      <alignment wrapText="1"/>
    </xf>
    <xf numFmtId="3" fontId="13" fillId="3" borderId="9" xfId="0" quotePrefix="1" applyNumberFormat="1" applyFont="1" applyFill="1" applyBorder="1"/>
    <xf numFmtId="0" fontId="35" fillId="0" borderId="9" xfId="0" applyFont="1" applyBorder="1"/>
    <xf numFmtId="0" fontId="35" fillId="2" borderId="9" xfId="0" applyFont="1" applyFill="1" applyBorder="1"/>
    <xf numFmtId="2" fontId="35" fillId="0" borderId="9" xfId="0" applyNumberFormat="1" applyFont="1" applyBorder="1"/>
    <xf numFmtId="0" fontId="6" fillId="0" borderId="10" xfId="0" applyFont="1" applyBorder="1" applyAlignment="1">
      <alignment wrapText="1"/>
    </xf>
    <xf numFmtId="0" fontId="6" fillId="0" borderId="11" xfId="0" applyFont="1" applyBorder="1" applyAlignment="1">
      <alignment wrapText="1"/>
    </xf>
    <xf numFmtId="0" fontId="6" fillId="0" borderId="12" xfId="0" applyFont="1" applyBorder="1" applyAlignment="1">
      <alignment wrapText="1"/>
    </xf>
    <xf numFmtId="166" fontId="35" fillId="0" borderId="0" xfId="1" applyNumberFormat="1" applyFont="1" applyFill="1" applyBorder="1"/>
    <xf numFmtId="166" fontId="35" fillId="0" borderId="0" xfId="1" applyNumberFormat="1" applyFont="1" applyFill="1" applyBorder="1" applyAlignment="1">
      <alignment horizontal="right"/>
    </xf>
    <xf numFmtId="167" fontId="35" fillId="0" borderId="0" xfId="0" applyNumberFormat="1" applyFont="1"/>
    <xf numFmtId="165" fontId="35" fillId="0" borderId="0" xfId="0" applyNumberFormat="1" applyFont="1"/>
    <xf numFmtId="3" fontId="35" fillId="0" borderId="0" xfId="0" applyNumberFormat="1" applyFont="1" applyAlignment="1">
      <alignment horizontal="right"/>
    </xf>
    <xf numFmtId="0" fontId="34" fillId="0" borderId="0" xfId="0" applyFont="1" applyAlignment="1">
      <alignment horizontal="center" wrapText="1"/>
    </xf>
    <xf numFmtId="164" fontId="34" fillId="0" borderId="0" xfId="0" applyNumberFormat="1" applyFont="1" applyAlignment="1">
      <alignment horizontal="center" wrapText="1"/>
    </xf>
    <xf numFmtId="167" fontId="0" fillId="0" borderId="0" xfId="0" applyNumberFormat="1"/>
    <xf numFmtId="3" fontId="14" fillId="3" borderId="9" xfId="0" quotePrefix="1" applyNumberFormat="1" applyFont="1" applyFill="1" applyBorder="1"/>
    <xf numFmtId="3" fontId="0" fillId="0" borderId="9" xfId="0" applyNumberFormat="1" applyBorder="1"/>
    <xf numFmtId="0" fontId="0" fillId="0" borderId="13" xfId="0" applyBorder="1"/>
    <xf numFmtId="0" fontId="6" fillId="0" borderId="14" xfId="0" applyFont="1" applyBorder="1" applyAlignment="1">
      <alignment wrapText="1"/>
    </xf>
    <xf numFmtId="3" fontId="13" fillId="4" borderId="9" xfId="0" quotePrefix="1" applyNumberFormat="1" applyFont="1" applyFill="1" applyBorder="1"/>
    <xf numFmtId="3" fontId="13" fillId="4" borderId="15" xfId="0" quotePrefix="1" applyNumberFormat="1" applyFont="1" applyFill="1" applyBorder="1"/>
    <xf numFmtId="3" fontId="13" fillId="4" borderId="16" xfId="0" quotePrefix="1" applyNumberFormat="1" applyFont="1" applyFill="1" applyBorder="1"/>
    <xf numFmtId="3" fontId="35" fillId="4" borderId="9" xfId="0" applyNumberFormat="1" applyFont="1" applyFill="1" applyBorder="1" applyAlignment="1">
      <alignment horizontal="right"/>
    </xf>
    <xf numFmtId="166" fontId="35" fillId="4" borderId="9" xfId="1" applyNumberFormat="1" applyFont="1" applyFill="1" applyBorder="1"/>
    <xf numFmtId="3" fontId="35" fillId="4" borderId="9" xfId="0" applyNumberFormat="1" applyFont="1" applyFill="1" applyBorder="1"/>
    <xf numFmtId="2" fontId="35" fillId="5" borderId="9" xfId="0" applyNumberFormat="1" applyFont="1" applyFill="1" applyBorder="1" applyAlignment="1">
      <alignment horizontal="right"/>
    </xf>
    <xf numFmtId="2" fontId="35" fillId="6" borderId="15" xfId="0" applyNumberFormat="1" applyFont="1" applyFill="1" applyBorder="1"/>
    <xf numFmtId="2" fontId="35" fillId="6" borderId="9" xfId="0" applyNumberFormat="1" applyFont="1" applyFill="1" applyBorder="1"/>
    <xf numFmtId="3" fontId="14" fillId="7" borderId="15" xfId="0" quotePrefix="1" applyNumberFormat="1" applyFont="1" applyFill="1" applyBorder="1"/>
    <xf numFmtId="0" fontId="0" fillId="0" borderId="8" xfId="0" applyBorder="1"/>
    <xf numFmtId="0" fontId="39" fillId="0" borderId="0" xfId="0" applyFont="1" applyAlignment="1">
      <alignment wrapText="1"/>
    </xf>
    <xf numFmtId="0" fontId="0" fillId="4" borderId="8" xfId="0" applyFill="1" applyBorder="1"/>
    <xf numFmtId="0" fontId="0" fillId="4" borderId="3" xfId="0" applyFill="1" applyBorder="1"/>
    <xf numFmtId="0" fontId="0" fillId="4" borderId="4" xfId="0" applyFill="1" applyBorder="1"/>
    <xf numFmtId="0" fontId="0" fillId="3" borderId="5" xfId="0" applyFill="1" applyBorder="1"/>
    <xf numFmtId="0" fontId="0" fillId="3" borderId="0" xfId="0" applyFill="1"/>
    <xf numFmtId="0" fontId="0" fillId="3" borderId="2" xfId="0" applyFill="1" applyBorder="1"/>
    <xf numFmtId="0" fontId="0" fillId="7" borderId="5" xfId="0" applyFill="1" applyBorder="1"/>
    <xf numFmtId="0" fontId="0" fillId="7" borderId="0" xfId="0" applyFill="1"/>
    <xf numFmtId="0" fontId="0" fillId="7" borderId="2" xfId="0" applyFill="1" applyBorder="1"/>
    <xf numFmtId="0" fontId="0" fillId="5" borderId="5" xfId="0" applyFill="1" applyBorder="1"/>
    <xf numFmtId="0" fontId="0" fillId="5" borderId="0" xfId="0" applyFill="1"/>
    <xf numFmtId="0" fontId="0" fillId="5" borderId="2" xfId="0" applyFill="1" applyBorder="1"/>
    <xf numFmtId="0" fontId="0" fillId="6" borderId="5" xfId="0" applyFill="1" applyBorder="1"/>
    <xf numFmtId="0" fontId="0" fillId="6" borderId="0" xfId="0" applyFill="1"/>
    <xf numFmtId="0" fontId="0" fillId="6" borderId="2" xfId="0" applyFill="1" applyBorder="1"/>
    <xf numFmtId="3" fontId="13" fillId="4" borderId="13" xfId="0" quotePrefix="1" applyNumberFormat="1" applyFont="1" applyFill="1" applyBorder="1"/>
    <xf numFmtId="4" fontId="13" fillId="4" borderId="9" xfId="0" quotePrefix="1" applyNumberFormat="1" applyFont="1" applyFill="1" applyBorder="1"/>
    <xf numFmtId="0" fontId="6" fillId="0" borderId="17" xfId="0" applyFont="1" applyBorder="1" applyAlignment="1">
      <alignment wrapText="1"/>
    </xf>
    <xf numFmtId="3" fontId="13" fillId="4" borderId="18" xfId="0" quotePrefix="1" applyNumberFormat="1" applyFont="1" applyFill="1" applyBorder="1"/>
    <xf numFmtId="3" fontId="14" fillId="7" borderId="9" xfId="0" quotePrefix="1" applyNumberFormat="1" applyFont="1" applyFill="1" applyBorder="1"/>
    <xf numFmtId="3" fontId="14" fillId="7" borderId="18" xfId="0" quotePrefix="1" applyNumberFormat="1" applyFont="1" applyFill="1" applyBorder="1"/>
    <xf numFmtId="4" fontId="14" fillId="7" borderId="9" xfId="0" quotePrefix="1" applyNumberFormat="1" applyFont="1" applyFill="1" applyBorder="1"/>
    <xf numFmtId="3" fontId="14" fillId="7" borderId="16" xfId="0" quotePrefix="1" applyNumberFormat="1" applyFont="1" applyFill="1" applyBorder="1"/>
    <xf numFmtId="0" fontId="6" fillId="0" borderId="3" xfId="0" applyFont="1" applyBorder="1" applyAlignment="1">
      <alignment wrapText="1"/>
    </xf>
    <xf numFmtId="0" fontId="6" fillId="0" borderId="19" xfId="0" applyFont="1" applyBorder="1" applyAlignment="1">
      <alignment wrapText="1"/>
    </xf>
    <xf numFmtId="0" fontId="35" fillId="0" borderId="20" xfId="0" applyFont="1" applyBorder="1"/>
    <xf numFmtId="3" fontId="14" fillId="3" borderId="15" xfId="0" quotePrefix="1" applyNumberFormat="1" applyFont="1" applyFill="1" applyBorder="1"/>
    <xf numFmtId="3" fontId="35" fillId="0" borderId="5" xfId="0" applyNumberFormat="1" applyFont="1" applyBorder="1"/>
    <xf numFmtId="0" fontId="31" fillId="0" borderId="2" xfId="0" applyFont="1" applyBorder="1" applyAlignment="1">
      <alignment horizontal="center" vertical="center" wrapText="1"/>
    </xf>
    <xf numFmtId="0" fontId="19" fillId="0" borderId="0" xfId="0" applyFont="1" applyProtection="1">
      <protection locked="0"/>
    </xf>
    <xf numFmtId="0" fontId="8" fillId="0" borderId="0" xfId="0" applyFont="1"/>
    <xf numFmtId="0" fontId="19" fillId="0" borderId="0" xfId="0" applyFont="1"/>
    <xf numFmtId="0" fontId="8" fillId="0" borderId="1" xfId="0" applyFont="1" applyBorder="1"/>
    <xf numFmtId="0" fontId="9" fillId="0" borderId="1" xfId="0" applyFont="1" applyBorder="1"/>
    <xf numFmtId="0" fontId="8" fillId="0" borderId="0" xfId="0" applyFont="1" applyAlignment="1">
      <alignment horizontal="left" indent="1"/>
    </xf>
    <xf numFmtId="43" fontId="8" fillId="0" borderId="0" xfId="1" applyFont="1"/>
    <xf numFmtId="43" fontId="8" fillId="0" borderId="0" xfId="1" applyFont="1" applyBorder="1"/>
    <xf numFmtId="0" fontId="8" fillId="0" borderId="1" xfId="0" applyFont="1" applyBorder="1" applyAlignment="1">
      <alignment horizontal="left" indent="1"/>
    </xf>
    <xf numFmtId="43" fontId="8" fillId="0" borderId="1" xfId="1" applyFont="1" applyBorder="1"/>
    <xf numFmtId="169" fontId="8" fillId="0" borderId="0" xfId="1" applyNumberFormat="1" applyFont="1" applyFill="1" applyBorder="1"/>
    <xf numFmtId="0" fontId="8" fillId="0" borderId="0" xfId="0" applyFont="1" applyAlignment="1">
      <alignment horizontal="right"/>
    </xf>
    <xf numFmtId="170" fontId="8" fillId="0" borderId="0" xfId="0" applyNumberFormat="1" applyFont="1" applyAlignment="1">
      <alignment horizontal="right"/>
    </xf>
    <xf numFmtId="0" fontId="21" fillId="0" borderId="0" xfId="0" applyFont="1"/>
    <xf numFmtId="0" fontId="13" fillId="0" borderId="0" xfId="4"/>
    <xf numFmtId="0" fontId="19" fillId="0" borderId="0" xfId="4" applyFont="1"/>
    <xf numFmtId="0" fontId="13" fillId="0" borderId="0" xfId="4" applyBorder="1"/>
    <xf numFmtId="0" fontId="23" fillId="0" borderId="0" xfId="4" applyFont="1" applyBorder="1"/>
    <xf numFmtId="0" fontId="9" fillId="0" borderId="1" xfId="4" applyFont="1" applyBorder="1"/>
    <xf numFmtId="0" fontId="9" fillId="0" borderId="1" xfId="4" quotePrefix="1" applyFont="1" applyBorder="1" applyAlignment="1">
      <alignment horizontal="right"/>
    </xf>
    <xf numFmtId="169" fontId="17" fillId="0" borderId="0" xfId="1" applyNumberFormat="1" applyFont="1" applyFill="1" applyBorder="1"/>
    <xf numFmtId="166" fontId="17" fillId="0" borderId="0" xfId="1" applyNumberFormat="1" applyFont="1" applyFill="1" applyBorder="1"/>
    <xf numFmtId="166" fontId="8" fillId="0" borderId="0" xfId="1" applyNumberFormat="1" applyFont="1"/>
    <xf numFmtId="0" fontId="8" fillId="0" borderId="0" xfId="0" applyFont="1" applyAlignment="1">
      <alignment horizontal="left" wrapText="1" indent="1"/>
    </xf>
    <xf numFmtId="0" fontId="24" fillId="0" borderId="0" xfId="0" applyFont="1" applyAlignment="1">
      <alignment horizontal="left"/>
    </xf>
    <xf numFmtId="0" fontId="9" fillId="0" borderId="21" xfId="0" applyFont="1" applyBorder="1"/>
    <xf numFmtId="0" fontId="17" fillId="0" borderId="0" xfId="0" applyFont="1"/>
    <xf numFmtId="0" fontId="17" fillId="0" borderId="1" xfId="0" applyFont="1" applyBorder="1"/>
    <xf numFmtId="0" fontId="28" fillId="0" borderId="0" xfId="0" applyFont="1"/>
    <xf numFmtId="166" fontId="8" fillId="0" borderId="0" xfId="5" applyNumberFormat="1" applyFont="1"/>
    <xf numFmtId="166" fontId="9" fillId="0" borderId="0" xfId="1" applyNumberFormat="1" applyFont="1" applyFill="1" applyBorder="1" applyAlignment="1">
      <alignment horizontal="right"/>
    </xf>
    <xf numFmtId="166" fontId="8" fillId="0" borderId="22" xfId="5" applyNumberFormat="1" applyFont="1" applyBorder="1"/>
    <xf numFmtId="0" fontId="9" fillId="0" borderId="22" xfId="0" applyFont="1" applyBorder="1"/>
    <xf numFmtId="166" fontId="8" fillId="0" borderId="0" xfId="1" applyNumberFormat="1" applyFont="1" applyBorder="1"/>
    <xf numFmtId="166" fontId="8" fillId="0" borderId="0" xfId="1" applyNumberFormat="1" applyFont="1" applyFill="1" applyBorder="1"/>
    <xf numFmtId="0" fontId="9" fillId="0" borderId="0" xfId="5" applyFont="1" applyAlignment="1">
      <alignment horizontal="left" indent="1"/>
    </xf>
    <xf numFmtId="0" fontId="22" fillId="0" borderId="0" xfId="7" applyFont="1" applyAlignment="1">
      <alignment vertical="center"/>
    </xf>
    <xf numFmtId="0" fontId="29" fillId="0" borderId="0" xfId="7" applyFont="1"/>
    <xf numFmtId="3" fontId="14" fillId="7" borderId="13" xfId="0" quotePrefix="1" applyNumberFormat="1" applyFont="1" applyFill="1" applyBorder="1"/>
    <xf numFmtId="166" fontId="35" fillId="4" borderId="9" xfId="1" applyNumberFormat="1" applyFont="1" applyFill="1" applyBorder="1" applyAlignment="1">
      <alignment horizontal="right"/>
    </xf>
    <xf numFmtId="0" fontId="0" fillId="0" borderId="0" xfId="0" applyAlignment="1">
      <alignment horizontal="center"/>
    </xf>
    <xf numFmtId="0" fontId="0" fillId="8" borderId="0" xfId="0" applyFill="1"/>
    <xf numFmtId="2" fontId="37" fillId="9" borderId="16" xfId="0" applyNumberFormat="1" applyFont="1" applyFill="1" applyBorder="1"/>
    <xf numFmtId="0" fontId="0" fillId="8" borderId="5" xfId="0" applyFill="1" applyBorder="1"/>
    <xf numFmtId="0" fontId="0" fillId="8" borderId="2" xfId="0" applyFill="1" applyBorder="1"/>
    <xf numFmtId="164" fontId="35" fillId="8" borderId="9" xfId="0" applyNumberFormat="1" applyFont="1" applyFill="1" applyBorder="1"/>
    <xf numFmtId="2" fontId="35" fillId="8" borderId="9" xfId="0" applyNumberFormat="1" applyFont="1" applyFill="1" applyBorder="1"/>
    <xf numFmtId="0" fontId="0" fillId="0" borderId="9" xfId="0" applyBorder="1" applyAlignment="1">
      <alignment wrapText="1"/>
    </xf>
    <xf numFmtId="0" fontId="0" fillId="0" borderId="17" xfId="0" applyBorder="1" applyAlignment="1">
      <alignment wrapText="1"/>
    </xf>
    <xf numFmtId="3" fontId="0" fillId="0" borderId="1" xfId="0" applyNumberFormat="1" applyBorder="1"/>
    <xf numFmtId="1" fontId="0" fillId="0" borderId="2" xfId="0" applyNumberFormat="1" applyBorder="1"/>
    <xf numFmtId="0" fontId="0" fillId="0" borderId="23" xfId="0" applyBorder="1" applyAlignment="1">
      <alignment wrapText="1"/>
    </xf>
    <xf numFmtId="10" fontId="0" fillId="0" borderId="23" xfId="0" applyNumberFormat="1" applyBorder="1"/>
    <xf numFmtId="0" fontId="0" fillId="0" borderId="24" xfId="0" applyBorder="1"/>
    <xf numFmtId="1" fontId="0" fillId="0" borderId="18" xfId="0" applyNumberFormat="1" applyBorder="1"/>
    <xf numFmtId="1" fontId="0" fillId="0" borderId="25" xfId="0" applyNumberFormat="1" applyBorder="1"/>
    <xf numFmtId="0" fontId="0" fillId="0" borderId="23" xfId="0" applyBorder="1"/>
    <xf numFmtId="0" fontId="0" fillId="0" borderId="26" xfId="0" applyBorder="1"/>
    <xf numFmtId="0" fontId="0" fillId="0" borderId="2" xfId="0" applyBorder="1" applyAlignment="1">
      <alignment wrapText="1"/>
    </xf>
    <xf numFmtId="0" fontId="0" fillId="0" borderId="27" xfId="0" applyBorder="1"/>
    <xf numFmtId="0" fontId="32" fillId="0" borderId="0" xfId="0" applyFont="1" applyAlignment="1">
      <alignment horizontal="center" vertical="center"/>
    </xf>
    <xf numFmtId="0" fontId="0" fillId="0" borderId="6" xfId="0" applyBorder="1"/>
    <xf numFmtId="0" fontId="0" fillId="0" borderId="1" xfId="0" applyBorder="1"/>
    <xf numFmtId="0" fontId="8" fillId="0" borderId="21" xfId="0" applyFont="1" applyBorder="1"/>
    <xf numFmtId="0" fontId="8" fillId="0" borderId="21" xfId="1" applyNumberFormat="1" applyFont="1" applyFill="1" applyBorder="1"/>
    <xf numFmtId="0" fontId="8" fillId="10" borderId="0" xfId="0" applyFont="1" applyFill="1" applyAlignment="1">
      <alignment horizontal="left" indent="1"/>
    </xf>
    <xf numFmtId="0" fontId="8" fillId="10" borderId="1" xfId="0" applyFont="1" applyFill="1" applyBorder="1" applyAlignment="1">
      <alignment horizontal="left" indent="1"/>
    </xf>
    <xf numFmtId="169" fontId="8" fillId="10" borderId="1" xfId="1" applyNumberFormat="1" applyFont="1" applyFill="1" applyBorder="1"/>
    <xf numFmtId="0" fontId="8" fillId="10" borderId="1" xfId="0" applyFont="1" applyFill="1" applyBorder="1"/>
    <xf numFmtId="43" fontId="8" fillId="0" borderId="9" xfId="1" applyFont="1" applyFill="1" applyBorder="1"/>
    <xf numFmtId="0" fontId="8" fillId="0" borderId="0" xfId="0" quotePrefix="1" applyFont="1"/>
    <xf numFmtId="165" fontId="35" fillId="6" borderId="9" xfId="0" applyNumberFormat="1" applyFont="1" applyFill="1" applyBorder="1" applyAlignment="1">
      <alignment horizontal="right"/>
    </xf>
    <xf numFmtId="0" fontId="31" fillId="0" borderId="23" xfId="0" applyFont="1" applyBorder="1"/>
    <xf numFmtId="0" fontId="31" fillId="0" borderId="28" xfId="0" applyFont="1" applyBorder="1"/>
    <xf numFmtId="0" fontId="0" fillId="0" borderId="28" xfId="0" applyBorder="1"/>
    <xf numFmtId="0" fontId="0" fillId="9" borderId="6" xfId="0" applyFill="1" applyBorder="1"/>
    <xf numFmtId="0" fontId="0" fillId="9" borderId="1" xfId="0" applyFill="1" applyBorder="1"/>
    <xf numFmtId="0" fontId="0" fillId="9" borderId="7" xfId="0" applyFill="1" applyBorder="1"/>
    <xf numFmtId="0" fontId="35" fillId="0" borderId="15" xfId="0" applyFont="1" applyBorder="1"/>
    <xf numFmtId="167" fontId="37" fillId="9" borderId="16" xfId="0" applyNumberFormat="1" applyFont="1" applyFill="1" applyBorder="1"/>
    <xf numFmtId="167" fontId="35" fillId="9" borderId="16" xfId="0" applyNumberFormat="1" applyFont="1" applyFill="1" applyBorder="1"/>
    <xf numFmtId="0" fontId="35" fillId="0" borderId="29" xfId="0" applyFont="1" applyBorder="1"/>
    <xf numFmtId="0" fontId="40" fillId="0" borderId="5" xfId="0" applyFont="1" applyBorder="1" applyAlignment="1">
      <alignment horizontal="center" wrapText="1"/>
    </xf>
    <xf numFmtId="0" fontId="40" fillId="0" borderId="9" xfId="0" applyFont="1" applyBorder="1" applyAlignment="1">
      <alignment horizontal="center" vertical="top" wrapText="1"/>
    </xf>
    <xf numFmtId="0" fontId="40" fillId="0" borderId="30" xfId="0" applyFont="1" applyBorder="1" applyAlignment="1">
      <alignment horizontal="center" wrapText="1"/>
    </xf>
    <xf numFmtId="0" fontId="16" fillId="0" borderId="0" xfId="0" applyFont="1" applyAlignment="1">
      <alignment horizontal="centerContinuous"/>
    </xf>
    <xf numFmtId="0" fontId="0" fillId="0" borderId="9" xfId="0" applyBorder="1" applyAlignment="1">
      <alignment horizontal="center"/>
    </xf>
    <xf numFmtId="166" fontId="0" fillId="0" borderId="9" xfId="0" applyNumberFormat="1" applyBorder="1"/>
    <xf numFmtId="10" fontId="0" fillId="0" borderId="9" xfId="0" applyNumberFormat="1" applyBorder="1"/>
    <xf numFmtId="0" fontId="9" fillId="0" borderId="2" xfId="0" applyFont="1" applyBorder="1"/>
    <xf numFmtId="43" fontId="8" fillId="0" borderId="2" xfId="1" applyFont="1" applyFill="1" applyBorder="1"/>
    <xf numFmtId="10" fontId="0" fillId="0" borderId="13" xfId="0" applyNumberFormat="1" applyBorder="1"/>
    <xf numFmtId="14" fontId="17" fillId="0" borderId="31" xfId="0" applyNumberFormat="1" applyFont="1" applyBorder="1" applyAlignment="1">
      <alignment horizontal="left"/>
    </xf>
    <xf numFmtId="0" fontId="17" fillId="0" borderId="32" xfId="0" applyFont="1" applyBorder="1" applyAlignment="1">
      <alignment horizontal="left"/>
    </xf>
    <xf numFmtId="0" fontId="0" fillId="0" borderId="32" xfId="0" applyBorder="1"/>
    <xf numFmtId="0" fontId="0" fillId="0" borderId="33" xfId="0" applyBorder="1"/>
    <xf numFmtId="43" fontId="8" fillId="0" borderId="6" xfId="1" applyFont="1" applyFill="1" applyBorder="1"/>
    <xf numFmtId="43" fontId="8" fillId="0" borderId="1" xfId="1" applyFont="1" applyFill="1" applyBorder="1"/>
    <xf numFmtId="43" fontId="8" fillId="0" borderId="7" xfId="1" applyFont="1" applyFill="1" applyBorder="1"/>
    <xf numFmtId="0" fontId="6" fillId="0" borderId="34" xfId="0" applyFont="1" applyBorder="1" applyAlignment="1">
      <alignment wrapText="1"/>
    </xf>
    <xf numFmtId="0" fontId="6" fillId="0" borderId="2" xfId="0" applyFont="1" applyBorder="1" applyAlignment="1">
      <alignment wrapText="1"/>
    </xf>
    <xf numFmtId="2" fontId="36" fillId="11" borderId="18" xfId="0" applyNumberFormat="1" applyFont="1" applyFill="1" applyBorder="1"/>
    <xf numFmtId="2" fontId="13" fillId="11" borderId="18" xfId="0" applyNumberFormat="1" applyFont="1" applyFill="1" applyBorder="1"/>
    <xf numFmtId="2" fontId="14" fillId="6" borderId="9" xfId="0" applyNumberFormat="1" applyFont="1" applyFill="1" applyBorder="1"/>
    <xf numFmtId="2" fontId="38" fillId="6" borderId="15" xfId="0" applyNumberFormat="1" applyFont="1" applyFill="1" applyBorder="1"/>
    <xf numFmtId="165" fontId="35" fillId="6" borderId="9" xfId="0" applyNumberFormat="1" applyFont="1" applyFill="1" applyBorder="1"/>
    <xf numFmtId="0" fontId="15" fillId="6" borderId="0" xfId="0" applyFont="1" applyFill="1"/>
    <xf numFmtId="2" fontId="13" fillId="0" borderId="2" xfId="0" applyNumberFormat="1" applyFont="1" applyBorder="1"/>
    <xf numFmtId="4" fontId="13" fillId="0" borderId="2" xfId="0" applyNumberFormat="1" applyFont="1" applyBorder="1"/>
    <xf numFmtId="2" fontId="35" fillId="11" borderId="9" xfId="0" applyNumberFormat="1" applyFont="1" applyFill="1" applyBorder="1"/>
    <xf numFmtId="0" fontId="6" fillId="0" borderId="35" xfId="0" applyFont="1" applyBorder="1" applyAlignment="1">
      <alignment wrapText="1"/>
    </xf>
    <xf numFmtId="0" fontId="6" fillId="0" borderId="36" xfId="0" applyFont="1" applyBorder="1" applyAlignment="1">
      <alignment wrapText="1"/>
    </xf>
    <xf numFmtId="174" fontId="35" fillId="11" borderId="23" xfId="0" applyNumberFormat="1" applyFont="1" applyFill="1" applyBorder="1"/>
    <xf numFmtId="2" fontId="35" fillId="11" borderId="17" xfId="0" applyNumberFormat="1" applyFont="1" applyFill="1" applyBorder="1"/>
    <xf numFmtId="2" fontId="35" fillId="11" borderId="18" xfId="0" applyNumberFormat="1" applyFont="1" applyFill="1" applyBorder="1"/>
    <xf numFmtId="0" fontId="6" fillId="0" borderId="37" xfId="0" applyFont="1" applyBorder="1" applyAlignment="1">
      <alignment wrapText="1"/>
    </xf>
    <xf numFmtId="0" fontId="6" fillId="0" borderId="38" xfId="0" applyFont="1" applyBorder="1" applyAlignment="1">
      <alignment wrapText="1"/>
    </xf>
    <xf numFmtId="0" fontId="48" fillId="0" borderId="1" xfId="0" applyFont="1" applyBorder="1"/>
    <xf numFmtId="0" fontId="48" fillId="0" borderId="1" xfId="0" applyFont="1" applyBorder="1" applyAlignment="1">
      <alignment horizontal="right"/>
    </xf>
    <xf numFmtId="168" fontId="17" fillId="0" borderId="22" xfId="0" applyNumberFormat="1" applyFont="1" applyBorder="1"/>
    <xf numFmtId="168" fontId="50" fillId="0" borderId="1" xfId="0" applyNumberFormat="1" applyFont="1" applyBorder="1"/>
    <xf numFmtId="0" fontId="16" fillId="0" borderId="0" xfId="0" applyFont="1" applyAlignment="1">
      <alignment wrapText="1"/>
    </xf>
    <xf numFmtId="177" fontId="0" fillId="0" borderId="0" xfId="0" applyNumberFormat="1"/>
    <xf numFmtId="178" fontId="8" fillId="0" borderId="0" xfId="0" applyNumberFormat="1" applyFont="1"/>
    <xf numFmtId="0" fontId="32" fillId="0" borderId="0" xfId="0" applyFont="1" applyAlignment="1">
      <alignment vertical="center"/>
    </xf>
    <xf numFmtId="169" fontId="8" fillId="0" borderId="1" xfId="1" applyNumberFormat="1" applyFont="1" applyFill="1" applyBorder="1"/>
    <xf numFmtId="0" fontId="90" fillId="0" borderId="0" xfId="7" applyFont="1" applyAlignment="1">
      <alignment vertical="center"/>
    </xf>
    <xf numFmtId="0" fontId="91" fillId="0" borderId="0" xfId="0" applyFont="1"/>
    <xf numFmtId="169" fontId="8" fillId="0" borderId="0" xfId="1" applyNumberFormat="1" applyFont="1" applyFill="1"/>
    <xf numFmtId="0" fontId="19" fillId="0" borderId="0" xfId="7" applyFont="1" applyAlignment="1">
      <alignment vertical="center"/>
    </xf>
    <xf numFmtId="0" fontId="9" fillId="0" borderId="39" xfId="0" applyFont="1" applyBorder="1"/>
    <xf numFmtId="43" fontId="8" fillId="0" borderId="5" xfId="1" applyFont="1" applyBorder="1"/>
    <xf numFmtId="43" fontId="8" fillId="0" borderId="0" xfId="1" applyFont="1" applyBorder="1" applyAlignment="1"/>
    <xf numFmtId="43" fontId="8" fillId="0" borderId="5" xfId="1" applyFont="1" applyFill="1" applyBorder="1"/>
    <xf numFmtId="43" fontId="8" fillId="0" borderId="6" xfId="1" applyFont="1" applyBorder="1"/>
    <xf numFmtId="175" fontId="8" fillId="0" borderId="0" xfId="1" applyNumberFormat="1" applyFont="1" applyBorder="1"/>
    <xf numFmtId="176" fontId="8" fillId="0" borderId="5" xfId="1" applyNumberFormat="1" applyFont="1" applyBorder="1"/>
    <xf numFmtId="0" fontId="9" fillId="10" borderId="21" xfId="0" applyFont="1" applyFill="1" applyBorder="1"/>
    <xf numFmtId="169" fontId="8" fillId="10" borderId="5" xfId="1" applyNumberFormat="1" applyFont="1" applyFill="1" applyBorder="1"/>
    <xf numFmtId="169" fontId="8" fillId="10" borderId="0" xfId="1" applyNumberFormat="1" applyFont="1" applyFill="1" applyBorder="1"/>
    <xf numFmtId="169" fontId="8" fillId="10" borderId="6" xfId="1" applyNumberFormat="1" applyFont="1" applyFill="1" applyBorder="1"/>
    <xf numFmtId="169" fontId="17" fillId="0" borderId="1" xfId="1" applyNumberFormat="1" applyFont="1" applyFill="1" applyBorder="1"/>
    <xf numFmtId="0" fontId="9" fillId="0" borderId="3" xfId="5" applyFont="1" applyBorder="1"/>
    <xf numFmtId="0" fontId="9" fillId="0" borderId="34" xfId="5" applyFont="1" applyBorder="1"/>
    <xf numFmtId="0" fontId="9" fillId="0" borderId="34" xfId="0" applyFont="1" applyBorder="1"/>
    <xf numFmtId="0" fontId="89" fillId="0" borderId="0" xfId="0" applyFont="1"/>
    <xf numFmtId="0" fontId="92" fillId="0" borderId="0" xfId="0" applyFont="1"/>
    <xf numFmtId="0" fontId="17" fillId="0" borderId="2" xfId="0" applyFont="1" applyBorder="1"/>
    <xf numFmtId="168" fontId="50" fillId="0" borderId="32" xfId="0" applyNumberFormat="1" applyFont="1" applyBorder="1"/>
    <xf numFmtId="0" fontId="0" fillId="0" borderId="7" xfId="0" applyBorder="1" applyAlignment="1">
      <alignment horizontal="center" vertical="top" wrapText="1"/>
    </xf>
    <xf numFmtId="0" fontId="0" fillId="0" borderId="7" xfId="0" applyBorder="1" applyAlignment="1">
      <alignment vertical="top" wrapText="1"/>
    </xf>
    <xf numFmtId="0" fontId="0" fillId="0" borderId="40" xfId="0" applyBorder="1" applyAlignment="1">
      <alignment vertical="top" wrapText="1"/>
    </xf>
    <xf numFmtId="0" fontId="93" fillId="0" borderId="0" xfId="0" applyFont="1"/>
    <xf numFmtId="0" fontId="93" fillId="0" borderId="1" xfId="0" applyFont="1" applyBorder="1"/>
    <xf numFmtId="0" fontId="20" fillId="0" borderId="0" xfId="6" applyFont="1" applyAlignment="1">
      <alignment horizontal="left"/>
    </xf>
    <xf numFmtId="0" fontId="94" fillId="12" borderId="0" xfId="0" applyFont="1" applyFill="1"/>
    <xf numFmtId="0" fontId="94" fillId="0" borderId="0" xfId="0" applyFont="1"/>
    <xf numFmtId="0" fontId="95" fillId="12" borderId="0" xfId="0" applyFont="1" applyFill="1"/>
    <xf numFmtId="0" fontId="96" fillId="12" borderId="0" xfId="0" applyFont="1" applyFill="1"/>
    <xf numFmtId="0" fontId="96" fillId="0" borderId="0" xfId="0" applyFont="1"/>
    <xf numFmtId="0" fontId="9" fillId="0" borderId="28" xfId="0" applyFont="1" applyBorder="1"/>
    <xf numFmtId="166" fontId="9" fillId="0" borderId="0" xfId="1" applyNumberFormat="1" applyFont="1" applyAlignment="1">
      <alignment horizontal="right"/>
    </xf>
    <xf numFmtId="166" fontId="8" fillId="0" borderId="0" xfId="1" applyNumberFormat="1" applyFont="1" applyAlignment="1">
      <alignment horizontal="right"/>
    </xf>
    <xf numFmtId="0" fontId="17" fillId="0" borderId="0" xfId="0" applyFont="1" applyAlignment="1">
      <alignment horizontal="left" indent="1"/>
    </xf>
    <xf numFmtId="166" fontId="9" fillId="0" borderId="28" xfId="1" applyNumberFormat="1" applyFont="1" applyBorder="1" applyAlignment="1">
      <alignment horizontal="right"/>
    </xf>
    <xf numFmtId="0" fontId="97" fillId="0" borderId="0" xfId="0" applyFont="1"/>
    <xf numFmtId="43" fontId="17" fillId="0" borderId="0" xfId="0" applyNumberFormat="1" applyFont="1"/>
    <xf numFmtId="0" fontId="27" fillId="0" borderId="0" xfId="0" applyFont="1"/>
    <xf numFmtId="0" fontId="9" fillId="13" borderId="28" xfId="0" applyFont="1" applyFill="1" applyBorder="1"/>
    <xf numFmtId="166" fontId="9" fillId="13" borderId="28" xfId="1" applyNumberFormat="1" applyFont="1" applyFill="1" applyBorder="1" applyAlignment="1">
      <alignment horizontal="right"/>
    </xf>
    <xf numFmtId="0" fontId="57" fillId="0" borderId="0" xfId="6" applyFont="1" applyAlignment="1">
      <alignment horizontal="left"/>
    </xf>
    <xf numFmtId="166" fontId="8" fillId="0" borderId="22" xfId="1" applyNumberFormat="1" applyFont="1" applyFill="1" applyBorder="1"/>
    <xf numFmtId="166" fontId="8" fillId="14" borderId="0" xfId="5" applyNumberFormat="1" applyFont="1" applyFill="1"/>
    <xf numFmtId="168" fontId="50" fillId="15" borderId="34" xfId="0" applyNumberFormat="1" applyFont="1" applyFill="1" applyBorder="1"/>
    <xf numFmtId="166" fontId="9" fillId="14" borderId="0" xfId="5" applyNumberFormat="1" applyFont="1" applyFill="1"/>
    <xf numFmtId="166" fontId="9" fillId="14" borderId="41" xfId="5" applyNumberFormat="1" applyFont="1" applyFill="1" applyBorder="1" applyAlignment="1">
      <alignment vertical="center"/>
    </xf>
    <xf numFmtId="0" fontId="0" fillId="0" borderId="0" xfId="0" applyAlignment="1">
      <alignment vertical="center"/>
    </xf>
    <xf numFmtId="166" fontId="58" fillId="14" borderId="41" xfId="5" applyNumberFormat="1" applyFont="1" applyFill="1" applyBorder="1" applyAlignment="1">
      <alignment vertical="center"/>
    </xf>
    <xf numFmtId="166" fontId="9" fillId="14" borderId="28" xfId="1" applyNumberFormat="1" applyFont="1" applyFill="1" applyBorder="1" applyAlignment="1">
      <alignment horizontal="right"/>
    </xf>
    <xf numFmtId="172" fontId="87" fillId="0" borderId="0" xfId="8" applyNumberFormat="1" applyFont="1"/>
    <xf numFmtId="10" fontId="87" fillId="0" borderId="0" xfId="8" applyNumberFormat="1" applyFont="1"/>
    <xf numFmtId="168" fontId="0" fillId="0" borderId="0" xfId="0" applyNumberFormat="1"/>
    <xf numFmtId="0" fontId="96" fillId="0" borderId="0" xfId="0" applyFont="1" applyAlignment="1">
      <alignment horizontal="right"/>
    </xf>
    <xf numFmtId="0" fontId="9" fillId="13" borderId="13" xfId="0" applyFont="1" applyFill="1" applyBorder="1" applyAlignment="1">
      <alignment horizontal="left"/>
    </xf>
    <xf numFmtId="0" fontId="9" fillId="0" borderId="13" xfId="0" applyFont="1" applyBorder="1"/>
    <xf numFmtId="2" fontId="8" fillId="13" borderId="22" xfId="0" applyNumberFormat="1" applyFont="1" applyFill="1" applyBorder="1" applyAlignment="1">
      <alignment horizontal="right"/>
    </xf>
    <xf numFmtId="0" fontId="9" fillId="0" borderId="0" xfId="0" applyFont="1" applyAlignment="1">
      <alignment horizontal="left"/>
    </xf>
    <xf numFmtId="14" fontId="89" fillId="0" borderId="0" xfId="0" applyNumberFormat="1" applyFont="1"/>
    <xf numFmtId="43" fontId="9" fillId="0" borderId="0" xfId="0" applyNumberFormat="1" applyFont="1"/>
    <xf numFmtId="0" fontId="98" fillId="0" borderId="0" xfId="0" applyFont="1"/>
    <xf numFmtId="169" fontId="8" fillId="0" borderId="0" xfId="1" applyNumberFormat="1" applyFont="1" applyFill="1" applyBorder="1" applyAlignment="1"/>
    <xf numFmtId="0" fontId="32" fillId="0" borderId="8" xfId="0" applyFont="1" applyBorder="1" applyAlignment="1">
      <alignment vertical="center"/>
    </xf>
    <xf numFmtId="0" fontId="32" fillId="0" borderId="3" xfId="0" applyFont="1" applyBorder="1" applyAlignment="1">
      <alignment vertical="center"/>
    </xf>
    <xf numFmtId="0" fontId="32" fillId="0" borderId="6" xfId="0" applyFont="1" applyBorder="1" applyAlignment="1">
      <alignment vertical="center"/>
    </xf>
    <xf numFmtId="0" fontId="23" fillId="0" borderId="0" xfId="4" applyFont="1" applyBorder="1" applyAlignment="1">
      <alignment horizontal="left" indent="1"/>
    </xf>
    <xf numFmtId="0" fontId="89" fillId="0" borderId="1" xfId="0" applyFont="1" applyBorder="1"/>
    <xf numFmtId="0" fontId="0" fillId="17" borderId="0" xfId="0" applyFill="1"/>
    <xf numFmtId="0" fontId="89" fillId="17" borderId="0" xfId="0" applyFont="1" applyFill="1"/>
    <xf numFmtId="0" fontId="99" fillId="17" borderId="0" xfId="0" applyFont="1" applyFill="1" applyAlignment="1">
      <alignment horizontal="right"/>
    </xf>
    <xf numFmtId="0" fontId="100" fillId="0" borderId="0" xfId="0" applyFont="1"/>
    <xf numFmtId="175" fontId="0" fillId="0" borderId="0" xfId="0" applyNumberFormat="1"/>
    <xf numFmtId="0" fontId="101" fillId="0" borderId="1" xfId="0" applyFont="1" applyBorder="1"/>
    <xf numFmtId="0" fontId="101" fillId="0" borderId="1" xfId="0" applyFont="1" applyBorder="1" applyAlignment="1">
      <alignment horizontal="right"/>
    </xf>
    <xf numFmtId="0" fontId="103" fillId="0" borderId="1" xfId="0" applyFont="1" applyBorder="1"/>
    <xf numFmtId="0" fontId="103" fillId="0" borderId="21" xfId="0" applyFont="1" applyBorder="1"/>
    <xf numFmtId="0" fontId="103" fillId="0" borderId="1" xfId="0" applyFont="1" applyBorder="1" applyAlignment="1">
      <alignment horizontal="right"/>
    </xf>
    <xf numFmtId="168" fontId="101" fillId="0" borderId="1" xfId="0" applyNumberFormat="1" applyFont="1" applyBorder="1"/>
    <xf numFmtId="0" fontId="101" fillId="0" borderId="0" xfId="0" applyFont="1"/>
    <xf numFmtId="175" fontId="102" fillId="0" borderId="0" xfId="0" applyNumberFormat="1" applyFont="1"/>
    <xf numFmtId="0" fontId="104" fillId="0" borderId="0" xfId="0" applyFont="1"/>
    <xf numFmtId="0" fontId="105" fillId="0" borderId="28" xfId="0" applyFont="1" applyBorder="1" applyAlignment="1">
      <alignment horizontal="left" indent="2"/>
    </xf>
    <xf numFmtId="0" fontId="106" fillId="0" borderId="0" xfId="0" applyFont="1"/>
    <xf numFmtId="0" fontId="107" fillId="0" borderId="28" xfId="0" applyFont="1" applyBorder="1" applyAlignment="1">
      <alignment horizontal="left" indent="2"/>
    </xf>
    <xf numFmtId="0" fontId="108" fillId="0" borderId="28" xfId="0" applyFont="1" applyBorder="1" applyAlignment="1">
      <alignment horizontal="left" indent="2"/>
    </xf>
    <xf numFmtId="0" fontId="109" fillId="0" borderId="0" xfId="0" applyFont="1" applyAlignment="1">
      <alignment horizontal="left" indent="2"/>
    </xf>
    <xf numFmtId="0" fontId="110" fillId="0" borderId="0" xfId="0" applyFont="1" applyAlignment="1">
      <alignment horizontal="left" indent="2"/>
    </xf>
    <xf numFmtId="0" fontId="111" fillId="0" borderId="28" xfId="0" applyFont="1" applyBorder="1" applyAlignment="1">
      <alignment horizontal="left" indent="2"/>
    </xf>
    <xf numFmtId="0" fontId="112" fillId="0" borderId="0" xfId="0" applyFont="1" applyAlignment="1">
      <alignment horizontal="left" indent="2"/>
    </xf>
    <xf numFmtId="0" fontId="103" fillId="0" borderId="0" xfId="0" applyFont="1"/>
    <xf numFmtId="168" fontId="101" fillId="0" borderId="0" xfId="0" applyNumberFormat="1" applyFont="1"/>
    <xf numFmtId="168" fontId="101" fillId="0" borderId="3" xfId="0" applyNumberFormat="1" applyFont="1" applyBorder="1"/>
    <xf numFmtId="3" fontId="102" fillId="0" borderId="28" xfId="0" applyNumberFormat="1" applyFont="1" applyBorder="1"/>
    <xf numFmtId="0" fontId="16" fillId="0" borderId="9" xfId="0" applyFont="1" applyBorder="1" applyAlignment="1">
      <alignment horizontal="center" wrapText="1"/>
    </xf>
    <xf numFmtId="0" fontId="16" fillId="0" borderId="9" xfId="0" applyFont="1" applyBorder="1" applyAlignment="1">
      <alignment wrapText="1"/>
    </xf>
    <xf numFmtId="4" fontId="0" fillId="0" borderId="9" xfId="0" applyNumberFormat="1" applyBorder="1"/>
    <xf numFmtId="0" fontId="88" fillId="0" borderId="38" xfId="0" applyFont="1" applyBorder="1" applyAlignment="1">
      <alignment horizontal="left"/>
    </xf>
    <xf numFmtId="0" fontId="16" fillId="0" borderId="24" xfId="0" applyFont="1" applyBorder="1" applyAlignment="1">
      <alignment horizontal="left" wrapText="1"/>
    </xf>
    <xf numFmtId="0" fontId="16" fillId="0" borderId="9" xfId="0" applyFont="1" applyBorder="1" applyAlignment="1">
      <alignment horizontal="left" wrapText="1"/>
    </xf>
    <xf numFmtId="173" fontId="0" fillId="0" borderId="36" xfId="0" applyNumberFormat="1" applyBorder="1"/>
    <xf numFmtId="0" fontId="16" fillId="0" borderId="15" xfId="0" applyFont="1" applyBorder="1" applyAlignment="1">
      <alignment wrapText="1"/>
    </xf>
    <xf numFmtId="0" fontId="16" fillId="0" borderId="16" xfId="0" applyFont="1" applyBorder="1" applyAlignment="1">
      <alignment wrapText="1"/>
    </xf>
    <xf numFmtId="177" fontId="0" fillId="0" borderId="42" xfId="0" applyNumberFormat="1" applyBorder="1"/>
    <xf numFmtId="0" fontId="16" fillId="0" borderId="24" xfId="0" applyFont="1" applyBorder="1" applyAlignment="1">
      <alignment wrapText="1"/>
    </xf>
    <xf numFmtId="0" fontId="16" fillId="0" borderId="9" xfId="0" applyFont="1" applyBorder="1" applyAlignment="1">
      <alignment horizontal="right" wrapText="1"/>
    </xf>
    <xf numFmtId="3" fontId="0" fillId="0" borderId="24" xfId="0" applyNumberFormat="1" applyBorder="1"/>
    <xf numFmtId="4" fontId="0" fillId="19" borderId="20" xfId="0" applyNumberFormat="1" applyFill="1" applyBorder="1"/>
    <xf numFmtId="4" fontId="0" fillId="19" borderId="28" xfId="0" applyNumberFormat="1" applyFill="1" applyBorder="1"/>
    <xf numFmtId="4" fontId="0" fillId="0" borderId="36" xfId="0" applyNumberFormat="1" applyBorder="1"/>
    <xf numFmtId="3" fontId="0" fillId="0" borderId="43" xfId="0" applyNumberFormat="1" applyBorder="1"/>
    <xf numFmtId="0" fontId="16" fillId="0" borderId="23" xfId="0" applyFont="1" applyBorder="1" applyAlignment="1">
      <alignment horizontal="center" wrapText="1"/>
    </xf>
    <xf numFmtId="0" fontId="113" fillId="20" borderId="44" xfId="0" applyFont="1" applyFill="1" applyBorder="1"/>
    <xf numFmtId="0" fontId="113" fillId="20" borderId="9" xfId="0" applyFont="1" applyFill="1" applyBorder="1"/>
    <xf numFmtId="3" fontId="0" fillId="0" borderId="42" xfId="0" applyNumberFormat="1" applyBorder="1"/>
    <xf numFmtId="3" fontId="92" fillId="0" borderId="42" xfId="0" applyNumberFormat="1" applyFont="1" applyBorder="1"/>
    <xf numFmtId="0" fontId="114" fillId="0" borderId="0" xfId="0" applyFont="1"/>
    <xf numFmtId="0" fontId="113" fillId="20" borderId="45" xfId="0" applyFont="1" applyFill="1" applyBorder="1"/>
    <xf numFmtId="0" fontId="16" fillId="0" borderId="23" xfId="0" applyFont="1" applyBorder="1" applyAlignment="1">
      <alignment horizontal="left" wrapText="1"/>
    </xf>
    <xf numFmtId="175" fontId="0" fillId="0" borderId="9" xfId="0" applyNumberFormat="1" applyBorder="1"/>
    <xf numFmtId="0" fontId="113" fillId="0" borderId="46" xfId="0" applyFont="1" applyBorder="1"/>
    <xf numFmtId="0" fontId="16" fillId="0" borderId="34" xfId="0" applyFont="1" applyBorder="1" applyAlignment="1">
      <alignment horizontal="center" wrapText="1"/>
    </xf>
    <xf numFmtId="0" fontId="88" fillId="0" borderId="23" xfId="0" applyFont="1" applyBorder="1" applyAlignment="1">
      <alignment horizontal="center"/>
    </xf>
    <xf numFmtId="3" fontId="89" fillId="0" borderId="0" xfId="0" applyNumberFormat="1" applyFont="1"/>
    <xf numFmtId="0" fontId="0" fillId="0" borderId="0" xfId="0" applyAlignment="1">
      <alignment horizontal="right"/>
    </xf>
    <xf numFmtId="0" fontId="88" fillId="0" borderId="28" xfId="0" applyFont="1" applyBorder="1" applyAlignment="1">
      <alignment horizontal="center"/>
    </xf>
    <xf numFmtId="0" fontId="0" fillId="0" borderId="36" xfId="0" applyBorder="1" applyAlignment="1">
      <alignment horizontal="center"/>
    </xf>
    <xf numFmtId="0" fontId="0" fillId="0" borderId="24" xfId="0" applyBorder="1" applyAlignment="1">
      <alignment horizontal="center"/>
    </xf>
    <xf numFmtId="0" fontId="99" fillId="0" borderId="0" xfId="0" applyFont="1"/>
    <xf numFmtId="0" fontId="16" fillId="0" borderId="30" xfId="0" applyFont="1" applyBorder="1" applyAlignment="1">
      <alignment horizontal="center" wrapText="1"/>
    </xf>
    <xf numFmtId="0" fontId="115" fillId="0" borderId="0" xfId="0" applyFont="1"/>
    <xf numFmtId="0" fontId="113" fillId="20" borderId="36" xfId="0" applyFont="1" applyFill="1" applyBorder="1"/>
    <xf numFmtId="4" fontId="0" fillId="21" borderId="28" xfId="0" applyNumberFormat="1" applyFill="1" applyBorder="1"/>
    <xf numFmtId="3" fontId="0" fillId="21" borderId="24" xfId="0" applyNumberFormat="1" applyFill="1" applyBorder="1"/>
    <xf numFmtId="3" fontId="0" fillId="21" borderId="9" xfId="0" applyNumberFormat="1" applyFill="1" applyBorder="1"/>
    <xf numFmtId="4" fontId="0" fillId="21" borderId="36" xfId="0" applyNumberFormat="1" applyFill="1" applyBorder="1"/>
    <xf numFmtId="4" fontId="0" fillId="21" borderId="9" xfId="0" applyNumberFormat="1" applyFill="1" applyBorder="1"/>
    <xf numFmtId="3" fontId="0" fillId="21" borderId="44" xfId="0" applyNumberFormat="1" applyFill="1" applyBorder="1"/>
    <xf numFmtId="3" fontId="0" fillId="21" borderId="13" xfId="0" applyNumberFormat="1" applyFill="1" applyBorder="1"/>
    <xf numFmtId="4" fontId="0" fillId="21" borderId="46" xfId="0" applyNumberFormat="1" applyFill="1" applyBorder="1"/>
    <xf numFmtId="4" fontId="0" fillId="21" borderId="13" xfId="0" applyNumberFormat="1" applyFill="1" applyBorder="1"/>
    <xf numFmtId="0" fontId="8" fillId="0" borderId="48" xfId="0" applyFont="1" applyBorder="1" applyAlignment="1">
      <alignment horizontal="left" indent="4"/>
    </xf>
    <xf numFmtId="0" fontId="16" fillId="0" borderId="0" xfId="0" applyFont="1" applyAlignment="1">
      <alignment horizontal="right" wrapText="1"/>
    </xf>
    <xf numFmtId="4" fontId="0" fillId="0" borderId="0" xfId="0" applyNumberFormat="1"/>
    <xf numFmtId="0" fontId="16" fillId="0" borderId="47" xfId="0" applyFont="1" applyBorder="1" applyAlignment="1">
      <alignment horizontal="left" wrapText="1"/>
    </xf>
    <xf numFmtId="0" fontId="16" fillId="0" borderId="15" xfId="0" applyFont="1" applyBorder="1" applyAlignment="1">
      <alignment horizontal="left" wrapText="1"/>
    </xf>
    <xf numFmtId="0" fontId="16" fillId="0" borderId="16" xfId="0" applyFont="1" applyBorder="1" applyAlignment="1">
      <alignment horizontal="left" wrapText="1"/>
    </xf>
    <xf numFmtId="171" fontId="67" fillId="0" borderId="0" xfId="0" applyNumberFormat="1" applyFont="1"/>
    <xf numFmtId="0" fontId="88" fillId="0" borderId="41" xfId="0" applyFont="1" applyBorder="1" applyAlignment="1">
      <alignment horizontal="center"/>
    </xf>
    <xf numFmtId="3" fontId="92" fillId="0" borderId="9" xfId="0" applyNumberFormat="1" applyFont="1" applyBorder="1"/>
    <xf numFmtId="179" fontId="0" fillId="0" borderId="49" xfId="0" applyNumberFormat="1" applyBorder="1"/>
    <xf numFmtId="179" fontId="92" fillId="0" borderId="36" xfId="0" applyNumberFormat="1" applyFont="1" applyBorder="1"/>
    <xf numFmtId="179" fontId="92" fillId="0" borderId="50" xfId="0" applyNumberFormat="1" applyFont="1" applyBorder="1"/>
    <xf numFmtId="179" fontId="0" fillId="0" borderId="51" xfId="0" applyNumberFormat="1" applyBorder="1"/>
    <xf numFmtId="169" fontId="91" fillId="0" borderId="0" xfId="1" applyNumberFormat="1" applyFont="1" applyFill="1" applyBorder="1"/>
    <xf numFmtId="166" fontId="8" fillId="0" borderId="1" xfId="1" applyNumberFormat="1" applyFont="1" applyBorder="1"/>
    <xf numFmtId="166" fontId="8" fillId="0" borderId="28" xfId="1" applyNumberFormat="1" applyFont="1" applyFill="1" applyBorder="1"/>
    <xf numFmtId="166" fontId="8" fillId="0" borderId="13" xfId="1" applyNumberFormat="1" applyFont="1" applyFill="1" applyBorder="1"/>
    <xf numFmtId="166" fontId="8" fillId="0" borderId="0" xfId="1" applyNumberFormat="1" applyFont="1" applyFill="1"/>
    <xf numFmtId="166" fontId="8" fillId="0" borderId="41" xfId="1" applyNumberFormat="1" applyFont="1" applyFill="1" applyBorder="1"/>
    <xf numFmtId="166" fontId="8" fillId="0" borderId="46" xfId="1" applyNumberFormat="1" applyFont="1" applyFill="1" applyBorder="1"/>
    <xf numFmtId="0" fontId="108" fillId="0" borderId="0" xfId="0" applyFont="1" applyAlignment="1">
      <alignment horizontal="left"/>
    </xf>
    <xf numFmtId="167" fontId="116" fillId="0" borderId="47" xfId="0" applyNumberFormat="1" applyFont="1" applyBorder="1" applyAlignment="1">
      <alignment horizontal="center"/>
    </xf>
    <xf numFmtId="175" fontId="8" fillId="0" borderId="0" xfId="0" applyNumberFormat="1" applyFont="1"/>
    <xf numFmtId="0" fontId="0" fillId="0" borderId="21" xfId="0" applyBorder="1"/>
    <xf numFmtId="0" fontId="11" fillId="0" borderId="47" xfId="0" applyFont="1" applyBorder="1" applyAlignment="1">
      <alignment horizontal="left" indent="4"/>
    </xf>
    <xf numFmtId="0" fontId="0" fillId="0" borderId="3" xfId="0" applyBorder="1"/>
    <xf numFmtId="0" fontId="0" fillId="0" borderId="4" xfId="0" applyBorder="1"/>
    <xf numFmtId="167" fontId="116" fillId="0" borderId="47" xfId="0" applyNumberFormat="1" applyFont="1" applyBorder="1"/>
    <xf numFmtId="0" fontId="117" fillId="0" borderId="0" xfId="0" applyFont="1"/>
    <xf numFmtId="2" fontId="13" fillId="0" borderId="0" xfId="0" applyNumberFormat="1" applyFont="1"/>
    <xf numFmtId="2" fontId="36" fillId="0" borderId="0" xfId="0" applyNumberFormat="1" applyFont="1"/>
    <xf numFmtId="0" fontId="31" fillId="0" borderId="8" xfId="0" applyFont="1" applyBorder="1" applyAlignment="1">
      <alignment vertical="center" wrapText="1"/>
    </xf>
    <xf numFmtId="0" fontId="31" fillId="0" borderId="7" xfId="0" applyFont="1" applyBorder="1" applyAlignment="1">
      <alignment vertical="center" wrapText="1"/>
    </xf>
    <xf numFmtId="0" fontId="0" fillId="14" borderId="0" xfId="0" applyFill="1"/>
    <xf numFmtId="0" fontId="35" fillId="0" borderId="1" xfId="0" applyFont="1" applyBorder="1"/>
    <xf numFmtId="2" fontId="13" fillId="0" borderId="1" xfId="0" applyNumberFormat="1" applyFont="1" applyBorder="1"/>
    <xf numFmtId="0" fontId="34" fillId="0" borderId="0" xfId="0" applyFont="1"/>
    <xf numFmtId="0" fontId="68" fillId="0" borderId="1" xfId="0" applyFont="1" applyBorder="1" applyAlignment="1">
      <alignment wrapText="1"/>
    </xf>
    <xf numFmtId="0" fontId="0" fillId="0" borderId="1" xfId="0" applyBorder="1" applyAlignment="1">
      <alignment wrapText="1"/>
    </xf>
    <xf numFmtId="0" fontId="34" fillId="0" borderId="1" xfId="0" applyFont="1" applyBorder="1" applyAlignment="1">
      <alignment horizontal="center" wrapText="1"/>
    </xf>
    <xf numFmtId="167" fontId="0" fillId="0" borderId="1" xfId="0" applyNumberFormat="1" applyBorder="1"/>
    <xf numFmtId="0" fontId="0" fillId="14" borderId="9" xfId="0" applyFill="1" applyBorder="1"/>
    <xf numFmtId="0" fontId="113" fillId="20" borderId="15" xfId="0" applyFont="1" applyFill="1" applyBorder="1"/>
    <xf numFmtId="0" fontId="0" fillId="14" borderId="5" xfId="0" applyFill="1" applyBorder="1"/>
    <xf numFmtId="2" fontId="0" fillId="0" borderId="29" xfId="0" applyNumberFormat="1" applyBorder="1"/>
    <xf numFmtId="2" fontId="0" fillId="0" borderId="42" xfId="0" applyNumberFormat="1" applyBorder="1"/>
    <xf numFmtId="179" fontId="92" fillId="0" borderId="9" xfId="0" applyNumberFormat="1" applyFont="1" applyBorder="1"/>
    <xf numFmtId="179" fontId="0" fillId="0" borderId="9" xfId="0" applyNumberFormat="1" applyBorder="1"/>
    <xf numFmtId="177" fontId="0" fillId="0" borderId="9" xfId="0" applyNumberFormat="1" applyBorder="1"/>
    <xf numFmtId="0" fontId="92" fillId="0" borderId="9" xfId="0" applyFont="1" applyBorder="1"/>
    <xf numFmtId="0" fontId="92" fillId="0" borderId="1" xfId="0" applyFont="1" applyBorder="1"/>
    <xf numFmtId="0" fontId="8" fillId="0" borderId="23" xfId="0" applyFont="1" applyBorder="1"/>
    <xf numFmtId="39" fontId="9" fillId="0" borderId="1" xfId="1" applyNumberFormat="1" applyFont="1" applyFill="1" applyBorder="1"/>
    <xf numFmtId="166" fontId="8" fillId="0" borderId="0" xfId="1" applyNumberFormat="1" applyFont="1" applyFill="1" applyBorder="1" applyAlignment="1">
      <alignment horizontal="right"/>
    </xf>
    <xf numFmtId="179" fontId="92" fillId="0" borderId="16" xfId="0" applyNumberFormat="1" applyFont="1" applyBorder="1"/>
    <xf numFmtId="4" fontId="0" fillId="0" borderId="29" xfId="0" applyNumberFormat="1" applyBorder="1"/>
    <xf numFmtId="0" fontId="16" fillId="0" borderId="24" xfId="0" applyFont="1" applyBorder="1" applyAlignment="1">
      <alignment horizontal="center" wrapText="1"/>
    </xf>
    <xf numFmtId="1" fontId="8" fillId="0" borderId="0" xfId="1" applyNumberFormat="1" applyFont="1" applyFill="1" applyBorder="1"/>
    <xf numFmtId="0" fontId="8" fillId="0" borderId="3" xfId="0" applyFont="1" applyBorder="1"/>
    <xf numFmtId="1" fontId="8" fillId="0" borderId="3" xfId="1" applyNumberFormat="1" applyFont="1" applyFill="1" applyBorder="1"/>
    <xf numFmtId="1" fontId="8" fillId="0" borderId="0" xfId="1" applyNumberFormat="1" applyFont="1" applyFill="1" applyBorder="1" applyAlignment="1"/>
    <xf numFmtId="1" fontId="8" fillId="0" borderId="1" xfId="1" applyNumberFormat="1" applyFont="1" applyFill="1" applyBorder="1"/>
    <xf numFmtId="2" fontId="8" fillId="13" borderId="23" xfId="0" applyNumberFormat="1" applyFont="1" applyFill="1" applyBorder="1" applyAlignment="1">
      <alignment horizontal="right"/>
    </xf>
    <xf numFmtId="0" fontId="8" fillId="0" borderId="0" xfId="0" applyFont="1" applyAlignment="1">
      <alignment horizontal="left"/>
    </xf>
    <xf numFmtId="166" fontId="27" fillId="0" borderId="0" xfId="1" applyNumberFormat="1" applyFont="1" applyFill="1" applyBorder="1"/>
    <xf numFmtId="0" fontId="26" fillId="0" borderId="0" xfId="0" applyFont="1" applyAlignment="1">
      <alignment horizontal="left" indent="2"/>
    </xf>
    <xf numFmtId="0" fontId="9" fillId="16" borderId="1" xfId="0" applyFont="1" applyFill="1" applyBorder="1"/>
    <xf numFmtId="169" fontId="27" fillId="16" borderId="1" xfId="1" applyNumberFormat="1" applyFont="1" applyFill="1" applyBorder="1"/>
    <xf numFmtId="169" fontId="9" fillId="0" borderId="1" xfId="1" applyNumberFormat="1" applyFont="1" applyFill="1" applyBorder="1" applyAlignment="1">
      <alignment horizontal="right"/>
    </xf>
    <xf numFmtId="166" fontId="9" fillId="0" borderId="41" xfId="5" applyNumberFormat="1" applyFont="1" applyBorder="1" applyAlignment="1">
      <alignment vertical="center"/>
    </xf>
    <xf numFmtId="166" fontId="9" fillId="0" borderId="41" xfId="5" applyNumberFormat="1" applyFont="1" applyBorder="1"/>
    <xf numFmtId="166" fontId="9" fillId="0" borderId="28" xfId="1" applyNumberFormat="1" applyFont="1" applyFill="1" applyBorder="1" applyAlignment="1">
      <alignment horizontal="right"/>
    </xf>
    <xf numFmtId="166" fontId="9" fillId="0" borderId="22" xfId="1" applyNumberFormat="1" applyFont="1" applyFill="1" applyBorder="1" applyAlignment="1">
      <alignment horizontal="right"/>
    </xf>
    <xf numFmtId="166" fontId="9" fillId="0" borderId="0" xfId="1" applyNumberFormat="1" applyFont="1" applyFill="1" applyBorder="1"/>
    <xf numFmtId="180" fontId="9" fillId="0" borderId="0" xfId="1" applyNumberFormat="1" applyFont="1" applyFill="1" applyBorder="1"/>
    <xf numFmtId="180" fontId="8" fillId="0" borderId="0" xfId="1" applyNumberFormat="1" applyFont="1" applyFill="1" applyBorder="1"/>
    <xf numFmtId="0" fontId="8" fillId="0" borderId="22" xfId="0" applyFont="1" applyBorder="1" applyAlignment="1">
      <alignment horizontal="left" indent="1"/>
    </xf>
    <xf numFmtId="180" fontId="8" fillId="0" borderId="22" xfId="1" applyNumberFormat="1" applyFont="1" applyFill="1" applyBorder="1"/>
    <xf numFmtId="166" fontId="9" fillId="0" borderId="22" xfId="1" applyNumberFormat="1" applyFont="1" applyFill="1" applyBorder="1"/>
    <xf numFmtId="180" fontId="9" fillId="0" borderId="22" xfId="1" applyNumberFormat="1" applyFont="1" applyFill="1" applyBorder="1"/>
    <xf numFmtId="166" fontId="9" fillId="0" borderId="32" xfId="1" applyNumberFormat="1" applyFont="1" applyFill="1" applyBorder="1"/>
    <xf numFmtId="166" fontId="9" fillId="18" borderId="1" xfId="1" applyNumberFormat="1" applyFont="1" applyFill="1" applyBorder="1" applyAlignment="1">
      <alignment horizontal="right"/>
    </xf>
    <xf numFmtId="0" fontId="9" fillId="18" borderId="38" xfId="0" applyFont="1" applyFill="1" applyBorder="1"/>
    <xf numFmtId="169" fontId="9" fillId="18" borderId="21" xfId="1" applyNumberFormat="1" applyFont="1" applyFill="1" applyBorder="1" applyAlignment="1">
      <alignment horizontal="right"/>
    </xf>
    <xf numFmtId="0" fontId="88" fillId="18" borderId="9" xfId="0" applyFont="1" applyFill="1" applyBorder="1"/>
    <xf numFmtId="2" fontId="8" fillId="0" borderId="0" xfId="0" applyNumberFormat="1" applyFont="1"/>
    <xf numFmtId="43" fontId="8" fillId="18" borderId="21" xfId="0" applyNumberFormat="1" applyFont="1" applyFill="1" applyBorder="1"/>
    <xf numFmtId="0" fontId="8" fillId="18" borderId="0" xfId="0" applyFont="1" applyFill="1"/>
    <xf numFmtId="43" fontId="8" fillId="18" borderId="0" xfId="1" applyFont="1" applyFill="1"/>
    <xf numFmtId="43" fontId="8" fillId="18" borderId="0" xfId="1" applyFont="1" applyFill="1" applyBorder="1"/>
    <xf numFmtId="0" fontId="33" fillId="18" borderId="47" xfId="0" applyFont="1" applyFill="1" applyBorder="1"/>
    <xf numFmtId="0" fontId="16" fillId="0" borderId="36" xfId="0" applyFont="1" applyBorder="1" applyAlignment="1">
      <alignment horizontal="right" wrapText="1"/>
    </xf>
    <xf numFmtId="0" fontId="9" fillId="23" borderId="48" xfId="0" applyFont="1" applyFill="1" applyBorder="1" applyAlignment="1">
      <alignment horizontal="left" indent="3"/>
    </xf>
    <xf numFmtId="0" fontId="9" fillId="20" borderId="48" xfId="0" applyFont="1" applyFill="1" applyBorder="1" applyAlignment="1">
      <alignment horizontal="left" indent="3"/>
    </xf>
    <xf numFmtId="0" fontId="9" fillId="24" borderId="48" xfId="0" applyFont="1" applyFill="1" applyBorder="1" applyAlignment="1">
      <alignment horizontal="left" indent="3"/>
    </xf>
    <xf numFmtId="0" fontId="9" fillId="25" borderId="47" xfId="0" applyFont="1" applyFill="1" applyBorder="1" applyAlignment="1">
      <alignment horizontal="left" indent="3"/>
    </xf>
    <xf numFmtId="0" fontId="10" fillId="26" borderId="47" xfId="0" applyFont="1" applyFill="1" applyBorder="1" applyAlignment="1">
      <alignment horizontal="left" indent="3"/>
    </xf>
    <xf numFmtId="0" fontId="33" fillId="15" borderId="54" xfId="0" applyFont="1" applyFill="1" applyBorder="1"/>
    <xf numFmtId="0" fontId="33" fillId="15" borderId="33" xfId="0" applyFont="1" applyFill="1" applyBorder="1"/>
    <xf numFmtId="2" fontId="35" fillId="5" borderId="23" xfId="0" applyNumberFormat="1" applyFont="1" applyFill="1" applyBorder="1" applyAlignment="1">
      <alignment horizontal="right"/>
    </xf>
    <xf numFmtId="2" fontId="35" fillId="5" borderId="47" xfId="0" applyNumberFormat="1" applyFont="1" applyFill="1" applyBorder="1" applyAlignment="1">
      <alignment horizontal="right"/>
    </xf>
    <xf numFmtId="2" fontId="36" fillId="11" borderId="28" xfId="0" applyNumberFormat="1" applyFont="1" applyFill="1" applyBorder="1"/>
    <xf numFmtId="165" fontId="35" fillId="5" borderId="9" xfId="0" applyNumberFormat="1" applyFont="1" applyFill="1" applyBorder="1" applyAlignment="1">
      <alignment horizontal="right"/>
    </xf>
    <xf numFmtId="165" fontId="35" fillId="5" borderId="9" xfId="0" applyNumberFormat="1" applyFont="1" applyFill="1" applyBorder="1"/>
    <xf numFmtId="2" fontId="35" fillId="9" borderId="16" xfId="0" applyNumberFormat="1" applyFont="1" applyFill="1" applyBorder="1"/>
    <xf numFmtId="2" fontId="13" fillId="11" borderId="28" xfId="0" applyNumberFormat="1" applyFont="1" applyFill="1" applyBorder="1"/>
    <xf numFmtId="3" fontId="13" fillId="4" borderId="29" xfId="0" quotePrefix="1" applyNumberFormat="1" applyFont="1" applyFill="1" applyBorder="1"/>
    <xf numFmtId="3" fontId="13" fillId="4" borderId="42" xfId="0" quotePrefix="1" applyNumberFormat="1" applyFont="1" applyFill="1" applyBorder="1"/>
    <xf numFmtId="2" fontId="35" fillId="5" borderId="55" xfId="0" applyNumberFormat="1" applyFont="1" applyFill="1" applyBorder="1" applyAlignment="1">
      <alignment horizontal="right"/>
    </xf>
    <xf numFmtId="2" fontId="35" fillId="5" borderId="42" xfId="0" applyNumberFormat="1" applyFont="1" applyFill="1" applyBorder="1" applyAlignment="1">
      <alignment horizontal="right"/>
    </xf>
    <xf numFmtId="2" fontId="35" fillId="5" borderId="33" xfId="0" applyNumberFormat="1" applyFont="1" applyFill="1" applyBorder="1" applyAlignment="1">
      <alignment horizontal="right"/>
    </xf>
    <xf numFmtId="3" fontId="13" fillId="4" borderId="25" xfId="0" quotePrefix="1" applyNumberFormat="1" applyFont="1" applyFill="1" applyBorder="1"/>
    <xf numFmtId="4" fontId="13" fillId="4" borderId="42" xfId="0" quotePrefix="1" applyNumberFormat="1" applyFont="1" applyFill="1" applyBorder="1"/>
    <xf numFmtId="3" fontId="13" fillId="4" borderId="56" xfId="0" quotePrefix="1" applyNumberFormat="1" applyFont="1" applyFill="1" applyBorder="1"/>
    <xf numFmtId="2" fontId="35" fillId="6" borderId="29" xfId="0" applyNumberFormat="1" applyFont="1" applyFill="1" applyBorder="1"/>
    <xf numFmtId="2" fontId="35" fillId="11" borderId="25" xfId="0" applyNumberFormat="1" applyFont="1" applyFill="1" applyBorder="1"/>
    <xf numFmtId="0" fontId="35" fillId="0" borderId="31" xfId="0" applyFont="1" applyBorder="1"/>
    <xf numFmtId="0" fontId="0" fillId="0" borderId="16" xfId="0" applyBorder="1"/>
    <xf numFmtId="0" fontId="118" fillId="0" borderId="0" xfId="0" applyFont="1"/>
    <xf numFmtId="166" fontId="5" fillId="0" borderId="9" xfId="1" applyNumberFormat="1" applyFont="1" applyFill="1" applyBorder="1" applyAlignment="1">
      <alignment horizontal="right"/>
    </xf>
    <xf numFmtId="0" fontId="33" fillId="20" borderId="47" xfId="0" applyFont="1" applyFill="1" applyBorder="1"/>
    <xf numFmtId="0" fontId="8" fillId="23" borderId="0" xfId="0" applyFont="1" applyFill="1"/>
    <xf numFmtId="0" fontId="8" fillId="20" borderId="0" xfId="0" applyFont="1" applyFill="1"/>
    <xf numFmtId="0" fontId="8" fillId="25" borderId="0" xfId="0" applyFont="1" applyFill="1"/>
    <xf numFmtId="0" fontId="8" fillId="26" borderId="0" xfId="0" applyFont="1" applyFill="1"/>
    <xf numFmtId="43" fontId="8" fillId="24" borderId="0" xfId="1" applyFont="1" applyFill="1" applyBorder="1"/>
    <xf numFmtId="43" fontId="8" fillId="25" borderId="5" xfId="1" applyFont="1" applyFill="1" applyBorder="1"/>
    <xf numFmtId="43" fontId="8" fillId="25" borderId="0" xfId="1" applyFont="1" applyFill="1" applyBorder="1"/>
    <xf numFmtId="43" fontId="8" fillId="26" borderId="0" xfId="1" applyFont="1" applyFill="1" applyBorder="1"/>
    <xf numFmtId="0" fontId="8" fillId="24" borderId="0" xfId="0" applyFont="1" applyFill="1"/>
    <xf numFmtId="43" fontId="8" fillId="24" borderId="5" xfId="1" applyFont="1" applyFill="1" applyBorder="1"/>
    <xf numFmtId="43" fontId="8" fillId="20" borderId="8" xfId="1" applyFont="1" applyFill="1" applyBorder="1"/>
    <xf numFmtId="43" fontId="8" fillId="20" borderId="3" xfId="1" applyFont="1" applyFill="1" applyBorder="1"/>
    <xf numFmtId="0" fontId="8" fillId="23" borderId="3" xfId="0" applyFont="1" applyFill="1" applyBorder="1"/>
    <xf numFmtId="43" fontId="8" fillId="23" borderId="8" xfId="1" applyFont="1" applyFill="1" applyBorder="1"/>
    <xf numFmtId="43" fontId="8" fillId="23" borderId="3" xfId="1" applyFont="1" applyFill="1" applyBorder="1"/>
    <xf numFmtId="43" fontId="8" fillId="26" borderId="8" xfId="1" applyFont="1" applyFill="1" applyBorder="1"/>
    <xf numFmtId="43" fontId="8" fillId="26" borderId="3" xfId="1" applyFont="1" applyFill="1" applyBorder="1"/>
    <xf numFmtId="169" fontId="8" fillId="24" borderId="5" xfId="1" applyNumberFormat="1" applyFont="1" applyFill="1" applyBorder="1"/>
    <xf numFmtId="169" fontId="8" fillId="24" borderId="0" xfId="1" applyNumberFormat="1" applyFont="1" applyFill="1" applyBorder="1"/>
    <xf numFmtId="169" fontId="8" fillId="23" borderId="5" xfId="1" applyNumberFormat="1" applyFont="1" applyFill="1" applyBorder="1"/>
    <xf numFmtId="169" fontId="8" fillId="23" borderId="0" xfId="1" applyNumberFormat="1" applyFont="1" applyFill="1" applyBorder="1"/>
    <xf numFmtId="169" fontId="8" fillId="20" borderId="5" xfId="1" applyNumberFormat="1" applyFont="1" applyFill="1" applyBorder="1"/>
    <xf numFmtId="169" fontId="8" fillId="20" borderId="0" xfId="1" applyNumberFormat="1" applyFont="1" applyFill="1" applyBorder="1"/>
    <xf numFmtId="169" fontId="8" fillId="26" borderId="5" xfId="1" applyNumberFormat="1" applyFont="1" applyFill="1" applyBorder="1"/>
    <xf numFmtId="169" fontId="8" fillId="26" borderId="0" xfId="1" applyNumberFormat="1" applyFont="1" applyFill="1" applyBorder="1"/>
    <xf numFmtId="1" fontId="8" fillId="25" borderId="1" xfId="1" applyNumberFormat="1" applyFont="1" applyFill="1" applyBorder="1"/>
    <xf numFmtId="0" fontId="8" fillId="25" borderId="26" xfId="0" applyFont="1" applyFill="1" applyBorder="1"/>
    <xf numFmtId="0" fontId="9" fillId="25" borderId="13" xfId="0" applyFont="1" applyFill="1" applyBorder="1"/>
    <xf numFmtId="4" fontId="8" fillId="25" borderId="23" xfId="0" applyNumberFormat="1" applyFont="1" applyFill="1" applyBorder="1"/>
    <xf numFmtId="4" fontId="8" fillId="25" borderId="28" xfId="0" applyNumberFormat="1" applyFont="1" applyFill="1" applyBorder="1"/>
    <xf numFmtId="0" fontId="8" fillId="0" borderId="43" xfId="0" applyFont="1" applyBorder="1" applyAlignment="1">
      <alignment horizontal="left" indent="1"/>
    </xf>
    <xf numFmtId="43" fontId="8" fillId="0" borderId="57" xfId="1" applyFont="1" applyFill="1" applyBorder="1"/>
    <xf numFmtId="166" fontId="8" fillId="20" borderId="0" xfId="1" applyNumberFormat="1" applyFont="1" applyFill="1" applyBorder="1"/>
    <xf numFmtId="166" fontId="8" fillId="20" borderId="0" xfId="1" applyNumberFormat="1" applyFont="1" applyFill="1"/>
    <xf numFmtId="0" fontId="9" fillId="20" borderId="21" xfId="0" applyFont="1" applyFill="1" applyBorder="1"/>
    <xf numFmtId="166" fontId="8" fillId="20" borderId="1" xfId="1" applyNumberFormat="1" applyFont="1" applyFill="1" applyBorder="1"/>
    <xf numFmtId="166" fontId="27" fillId="16" borderId="1" xfId="1" applyNumberFormat="1" applyFont="1" applyFill="1" applyBorder="1"/>
    <xf numFmtId="0" fontId="8" fillId="0" borderId="7" xfId="0" applyFont="1" applyBorder="1" applyAlignment="1">
      <alignment horizontal="left" indent="1"/>
    </xf>
    <xf numFmtId="39" fontId="9" fillId="26" borderId="21" xfId="1" applyNumberFormat="1" applyFont="1" applyFill="1" applyBorder="1"/>
    <xf numFmtId="0" fontId="9" fillId="18" borderId="1" xfId="0" applyFont="1" applyFill="1" applyBorder="1"/>
    <xf numFmtId="0" fontId="42" fillId="26" borderId="38" xfId="0" applyFont="1" applyFill="1" applyBorder="1"/>
    <xf numFmtId="0" fontId="119" fillId="23" borderId="38" xfId="0" applyFont="1" applyFill="1" applyBorder="1"/>
    <xf numFmtId="0" fontId="42" fillId="20" borderId="38" xfId="0" applyFont="1" applyFill="1" applyBorder="1"/>
    <xf numFmtId="0" fontId="119" fillId="24" borderId="38" xfId="0" applyFont="1" applyFill="1" applyBorder="1"/>
    <xf numFmtId="0" fontId="42" fillId="25" borderId="38" xfId="0" applyFont="1" applyFill="1" applyBorder="1"/>
    <xf numFmtId="0" fontId="16" fillId="0" borderId="58" xfId="0" applyFont="1" applyBorder="1" applyAlignment="1">
      <alignment horizontal="center" wrapText="1"/>
    </xf>
    <xf numFmtId="0" fontId="120" fillId="0" borderId="28" xfId="0" applyFont="1" applyBorder="1" applyAlignment="1">
      <alignment horizontal="left" indent="2"/>
    </xf>
    <xf numFmtId="3" fontId="8" fillId="25" borderId="1" xfId="1" applyNumberFormat="1" applyFont="1" applyFill="1" applyBorder="1"/>
    <xf numFmtId="0" fontId="9" fillId="28" borderId="0" xfId="0" applyFont="1" applyFill="1"/>
    <xf numFmtId="169" fontId="27" fillId="28" borderId="5" xfId="1" applyNumberFormat="1" applyFont="1" applyFill="1" applyBorder="1"/>
    <xf numFmtId="169" fontId="27" fillId="28" borderId="0" xfId="1" applyNumberFormat="1" applyFont="1" applyFill="1" applyBorder="1"/>
    <xf numFmtId="169" fontId="27" fillId="28" borderId="8" xfId="1" applyNumberFormat="1" applyFont="1" applyFill="1" applyBorder="1"/>
    <xf numFmtId="169" fontId="27" fillId="28" borderId="3" xfId="1" applyNumberFormat="1" applyFont="1" applyFill="1" applyBorder="1"/>
    <xf numFmtId="168" fontId="27" fillId="0" borderId="1" xfId="0" applyNumberFormat="1" applyFont="1" applyBorder="1"/>
    <xf numFmtId="0" fontId="108" fillId="0" borderId="0" xfId="0" applyFont="1" applyAlignment="1">
      <alignment horizontal="right" wrapText="1"/>
    </xf>
    <xf numFmtId="179" fontId="0" fillId="0" borderId="29" xfId="0" applyNumberFormat="1" applyBorder="1"/>
    <xf numFmtId="177" fontId="0" fillId="0" borderId="29" xfId="0" applyNumberFormat="1" applyBorder="1"/>
    <xf numFmtId="0" fontId="16" fillId="0" borderId="0" xfId="0" applyFont="1" applyAlignment="1">
      <alignment horizontal="left"/>
    </xf>
    <xf numFmtId="0" fontId="92" fillId="0" borderId="7" xfId="0" applyFont="1" applyBorder="1" applyAlignment="1">
      <alignment vertical="top" wrapText="1"/>
    </xf>
    <xf numFmtId="0" fontId="52" fillId="0" borderId="0" xfId="3" applyFont="1" applyFill="1" applyAlignment="1" applyProtection="1"/>
    <xf numFmtId="177" fontId="0" fillId="0" borderId="56" xfId="0" applyNumberFormat="1" applyBorder="1"/>
    <xf numFmtId="0" fontId="0" fillId="0" borderId="7" xfId="0" applyBorder="1"/>
    <xf numFmtId="0" fontId="119" fillId="0" borderId="8" xfId="0" applyFont="1" applyBorder="1"/>
    <xf numFmtId="0" fontId="119" fillId="0" borderId="4" xfId="0" applyFont="1" applyBorder="1"/>
    <xf numFmtId="0" fontId="119" fillId="0" borderId="2" xfId="0" applyFont="1" applyBorder="1"/>
    <xf numFmtId="0" fontId="119" fillId="0" borderId="7" xfId="0" applyFont="1" applyBorder="1"/>
    <xf numFmtId="0" fontId="13" fillId="0" borderId="2" xfId="0" applyFont="1" applyBorder="1" applyAlignment="1">
      <alignment horizontal="left" vertical="top" wrapText="1"/>
    </xf>
    <xf numFmtId="4" fontId="0" fillId="19" borderId="9" xfId="0" applyNumberFormat="1" applyFill="1" applyBorder="1"/>
    <xf numFmtId="0" fontId="119" fillId="0" borderId="5" xfId="0" applyFont="1" applyBorder="1"/>
    <xf numFmtId="0" fontId="119" fillId="0" borderId="6" xfId="0" applyFont="1" applyBorder="1"/>
    <xf numFmtId="14" fontId="91" fillId="0" borderId="0" xfId="1" applyNumberFormat="1" applyFont="1" applyFill="1"/>
    <xf numFmtId="0" fontId="8" fillId="0" borderId="28" xfId="0" applyFont="1" applyBorder="1"/>
    <xf numFmtId="0" fontId="8" fillId="0" borderId="28" xfId="0" applyFont="1" applyBorder="1" applyAlignment="1">
      <alignment horizontal="left"/>
    </xf>
    <xf numFmtId="3" fontId="0" fillId="0" borderId="15" xfId="0" applyNumberFormat="1" applyBorder="1"/>
    <xf numFmtId="3" fontId="0" fillId="0" borderId="10" xfId="0" applyNumberFormat="1" applyBorder="1"/>
    <xf numFmtId="0" fontId="32" fillId="0" borderId="5" xfId="0" applyFont="1" applyBorder="1" applyAlignment="1">
      <alignment vertical="center"/>
    </xf>
    <xf numFmtId="175" fontId="92" fillId="0" borderId="1" xfId="0" applyNumberFormat="1" applyFont="1" applyBorder="1"/>
    <xf numFmtId="0" fontId="17" fillId="0" borderId="44" xfId="0" applyFont="1" applyBorder="1" applyAlignment="1">
      <alignment horizontal="left" indent="4"/>
    </xf>
    <xf numFmtId="0" fontId="49" fillId="0" borderId="59" xfId="0" applyFont="1" applyBorder="1"/>
    <xf numFmtId="0" fontId="49" fillId="0" borderId="60" xfId="0" applyFont="1" applyBorder="1"/>
    <xf numFmtId="0" fontId="49" fillId="15" borderId="60" xfId="0" applyFont="1" applyFill="1" applyBorder="1"/>
    <xf numFmtId="0" fontId="71" fillId="0" borderId="59" xfId="0" applyFont="1" applyBorder="1" applyAlignment="1">
      <alignment horizontal="right"/>
    </xf>
    <xf numFmtId="175" fontId="17" fillId="0" borderId="21" xfId="0" applyNumberFormat="1" applyFont="1" applyBorder="1"/>
    <xf numFmtId="0" fontId="0" fillId="0" borderId="52" xfId="0" applyBorder="1"/>
    <xf numFmtId="0" fontId="89" fillId="0" borderId="41" xfId="0" applyFont="1" applyBorder="1"/>
    <xf numFmtId="0" fontId="0" fillId="0" borderId="46" xfId="0" applyBorder="1"/>
    <xf numFmtId="0" fontId="0" fillId="0" borderId="37" xfId="0" applyBorder="1"/>
    <xf numFmtId="0" fontId="99" fillId="0" borderId="45" xfId="0" applyFont="1" applyBorder="1"/>
    <xf numFmtId="0" fontId="0" fillId="0" borderId="58" xfId="0" applyBorder="1"/>
    <xf numFmtId="0" fontId="99" fillId="0" borderId="22" xfId="0" applyFont="1" applyBorder="1"/>
    <xf numFmtId="0" fontId="99" fillId="0" borderId="44" xfId="0" applyFont="1" applyBorder="1"/>
    <xf numFmtId="168" fontId="121" fillId="0" borderId="1" xfId="0" applyNumberFormat="1" applyFont="1" applyBorder="1"/>
    <xf numFmtId="168" fontId="121" fillId="15" borderId="34" xfId="0" applyNumberFormat="1" applyFont="1" applyFill="1" applyBorder="1"/>
    <xf numFmtId="168" fontId="104" fillId="15" borderId="21" xfId="0" applyNumberFormat="1" applyFont="1" applyFill="1" applyBorder="1"/>
    <xf numFmtId="0" fontId="92" fillId="0" borderId="5" xfId="0" applyFont="1" applyBorder="1"/>
    <xf numFmtId="0" fontId="88" fillId="0" borderId="52" xfId="0" applyFont="1" applyBorder="1" applyAlignment="1">
      <alignment horizontal="right"/>
    </xf>
    <xf numFmtId="0" fontId="88" fillId="0" borderId="58" xfId="0" applyFont="1" applyBorder="1" applyAlignment="1">
      <alignment horizontal="right"/>
    </xf>
    <xf numFmtId="0" fontId="115" fillId="0" borderId="0" xfId="0" applyFont="1" applyAlignment="1">
      <alignment horizontal="right"/>
    </xf>
    <xf numFmtId="0" fontId="103" fillId="0" borderId="32" xfId="0" applyFont="1" applyBorder="1"/>
    <xf numFmtId="168" fontId="101" fillId="0" borderId="32" xfId="0" applyNumberFormat="1" applyFont="1" applyBorder="1"/>
    <xf numFmtId="168" fontId="27" fillId="0" borderId="0" xfId="0" applyNumberFormat="1" applyFont="1"/>
    <xf numFmtId="175" fontId="27" fillId="0" borderId="1" xfId="0" applyNumberFormat="1" applyFont="1" applyBorder="1"/>
    <xf numFmtId="0" fontId="46" fillId="0" borderId="0" xfId="3" applyAlignment="1" applyProtection="1"/>
    <xf numFmtId="3" fontId="0" fillId="0" borderId="18" xfId="0" applyNumberFormat="1" applyBorder="1"/>
    <xf numFmtId="3" fontId="0" fillId="0" borderId="25" xfId="0" applyNumberFormat="1" applyBorder="1"/>
    <xf numFmtId="167" fontId="116" fillId="0" borderId="53" xfId="0" applyNumberFormat="1" applyFont="1" applyBorder="1" applyAlignment="1">
      <alignment horizontal="center"/>
    </xf>
    <xf numFmtId="0" fontId="46" fillId="0" borderId="6" xfId="3" applyFill="1" applyBorder="1" applyAlignment="1" applyProtection="1"/>
    <xf numFmtId="0" fontId="40" fillId="0" borderId="9" xfId="0" applyFont="1" applyBorder="1" applyAlignment="1">
      <alignment horizontal="center" wrapText="1"/>
    </xf>
    <xf numFmtId="0" fontId="15" fillId="0" borderId="0" xfId="0" applyFont="1"/>
    <xf numFmtId="0" fontId="41" fillId="0" borderId="0" xfId="0" applyFont="1" applyAlignment="1">
      <alignment vertical="center" wrapText="1"/>
    </xf>
    <xf numFmtId="0" fontId="18" fillId="0" borderId="0" xfId="0" applyFont="1" applyAlignment="1">
      <alignment wrapText="1"/>
    </xf>
    <xf numFmtId="0" fontId="122" fillId="0" borderId="0" xfId="0" applyFont="1"/>
    <xf numFmtId="0" fontId="119" fillId="0" borderId="0" xfId="0" applyFont="1"/>
    <xf numFmtId="39" fontId="9" fillId="20" borderId="21" xfId="1" applyNumberFormat="1" applyFont="1" applyFill="1" applyBorder="1"/>
    <xf numFmtId="39" fontId="9" fillId="20" borderId="1" xfId="1" applyNumberFormat="1" applyFont="1" applyFill="1" applyBorder="1"/>
    <xf numFmtId="0" fontId="17" fillId="0" borderId="0" xfId="5" applyFont="1"/>
    <xf numFmtId="169" fontId="8" fillId="0" borderId="5" xfId="1" applyNumberFormat="1" applyFont="1" applyFill="1" applyBorder="1"/>
    <xf numFmtId="4" fontId="0" fillId="0" borderId="0" xfId="0" applyNumberFormat="1" applyAlignment="1">
      <alignment horizontal="right"/>
    </xf>
    <xf numFmtId="0" fontId="88" fillId="0" borderId="9" xfId="0" applyFont="1" applyBorder="1" applyAlignment="1">
      <alignment horizontal="left"/>
    </xf>
    <xf numFmtId="4" fontId="0" fillId="0" borderId="28" xfId="0" applyNumberFormat="1" applyBorder="1"/>
    <xf numFmtId="3" fontId="0" fillId="0" borderId="44" xfId="0" applyNumberFormat="1" applyBorder="1"/>
    <xf numFmtId="3" fontId="0" fillId="0" borderId="13" xfId="0" applyNumberFormat="1" applyBorder="1"/>
    <xf numFmtId="4" fontId="0" fillId="0" borderId="46" xfId="0" applyNumberFormat="1" applyBorder="1"/>
    <xf numFmtId="4" fontId="0" fillId="0" borderId="13" xfId="0" applyNumberFormat="1" applyBorder="1"/>
    <xf numFmtId="3" fontId="0" fillId="29" borderId="44" xfId="0" applyNumberFormat="1" applyFill="1" applyBorder="1"/>
    <xf numFmtId="4" fontId="8" fillId="0" borderId="0" xfId="5" applyNumberFormat="1" applyFont="1"/>
    <xf numFmtId="4" fontId="8" fillId="0" borderId="22" xfId="1" applyNumberFormat="1" applyFont="1" applyFill="1" applyBorder="1" applyAlignment="1">
      <alignment horizontal="right"/>
    </xf>
    <xf numFmtId="0" fontId="8" fillId="24" borderId="2" xfId="0" applyFont="1" applyFill="1" applyBorder="1"/>
    <xf numFmtId="0" fontId="59" fillId="0" borderId="0" xfId="0" applyFont="1" applyAlignment="1">
      <alignment vertical="center"/>
    </xf>
    <xf numFmtId="0" fontId="123" fillId="0" borderId="0" xfId="4" applyFont="1"/>
    <xf numFmtId="166" fontId="8" fillId="27" borderId="0" xfId="1" applyNumberFormat="1" applyFont="1" applyFill="1" applyBorder="1"/>
    <xf numFmtId="166" fontId="8" fillId="27" borderId="22" xfId="1" applyNumberFormat="1" applyFont="1" applyFill="1" applyBorder="1"/>
    <xf numFmtId="3" fontId="99" fillId="27" borderId="32" xfId="0" applyNumberFormat="1" applyFont="1" applyFill="1" applyBorder="1"/>
    <xf numFmtId="173" fontId="0" fillId="0" borderId="9" xfId="0" applyNumberFormat="1" applyBorder="1"/>
    <xf numFmtId="39" fontId="8" fillId="0" borderId="0" xfId="1" applyNumberFormat="1" applyFont="1" applyFill="1"/>
    <xf numFmtId="3" fontId="0" fillId="0" borderId="41" xfId="0" applyNumberFormat="1" applyBorder="1"/>
    <xf numFmtId="0" fontId="0" fillId="0" borderId="41" xfId="0" applyBorder="1"/>
    <xf numFmtId="0" fontId="0" fillId="0" borderId="45" xfId="0" applyBorder="1"/>
    <xf numFmtId="0" fontId="0" fillId="0" borderId="22" xfId="0" applyBorder="1"/>
    <xf numFmtId="0" fontId="0" fillId="0" borderId="44" xfId="0" applyBorder="1"/>
    <xf numFmtId="172" fontId="0" fillId="0" borderId="0" xfId="0" applyNumberFormat="1"/>
    <xf numFmtId="0" fontId="88" fillId="0" borderId="0" xfId="0" applyFont="1"/>
    <xf numFmtId="3" fontId="0" fillId="0" borderId="22" xfId="0" applyNumberFormat="1" applyBorder="1"/>
    <xf numFmtId="3" fontId="89" fillId="0" borderId="41" xfId="0" applyNumberFormat="1" applyFont="1" applyBorder="1"/>
    <xf numFmtId="3" fontId="89" fillId="0" borderId="22" xfId="0" applyNumberFormat="1" applyFont="1" applyBorder="1"/>
    <xf numFmtId="1" fontId="0" fillId="0" borderId="22" xfId="0" applyNumberFormat="1" applyBorder="1"/>
    <xf numFmtId="176" fontId="0" fillId="0" borderId="0" xfId="0" applyNumberFormat="1"/>
    <xf numFmtId="43" fontId="0" fillId="0" borderId="0" xfId="0" applyNumberFormat="1"/>
    <xf numFmtId="0" fontId="17" fillId="0" borderId="1" xfId="4" applyFont="1" applyBorder="1"/>
    <xf numFmtId="0" fontId="46" fillId="26" borderId="5" xfId="3" applyFill="1" applyBorder="1" applyAlignment="1" applyProtection="1">
      <alignment horizontal="left"/>
    </xf>
    <xf numFmtId="0" fontId="46" fillId="26" borderId="5" xfId="3" applyFill="1" applyBorder="1" applyAlignment="1" applyProtection="1">
      <alignment horizontal="left" wrapText="1"/>
    </xf>
    <xf numFmtId="0" fontId="46" fillId="23" borderId="5" xfId="3" applyFill="1" applyBorder="1" applyAlignment="1" applyProtection="1">
      <alignment horizontal="left"/>
    </xf>
    <xf numFmtId="0" fontId="46" fillId="20" borderId="5" xfId="3" applyFill="1" applyBorder="1" applyAlignment="1" applyProtection="1">
      <alignment horizontal="left"/>
    </xf>
    <xf numFmtId="0" fontId="46" fillId="20" borderId="5" xfId="3" applyFill="1" applyBorder="1" applyAlignment="1" applyProtection="1">
      <alignment horizontal="left" wrapText="1"/>
    </xf>
    <xf numFmtId="0" fontId="46" fillId="24" borderId="5" xfId="3" applyFill="1" applyBorder="1" applyAlignment="1" applyProtection="1">
      <alignment horizontal="left"/>
    </xf>
    <xf numFmtId="0" fontId="46" fillId="30" borderId="5" xfId="3" applyFill="1" applyBorder="1" applyAlignment="1" applyProtection="1">
      <alignment horizontal="left" vertical="top"/>
    </xf>
    <xf numFmtId="0" fontId="46" fillId="18" borderId="6" xfId="3" applyFill="1" applyBorder="1" applyAlignment="1" applyProtection="1">
      <alignment horizontal="left"/>
    </xf>
    <xf numFmtId="0" fontId="46" fillId="0" borderId="9" xfId="3" applyFill="1" applyBorder="1" applyAlignment="1" applyProtection="1">
      <alignment horizontal="right" wrapText="1"/>
    </xf>
    <xf numFmtId="172" fontId="87" fillId="0" borderId="0" xfId="8" applyNumberFormat="1" applyFont="1" applyFill="1"/>
    <xf numFmtId="175" fontId="125" fillId="0" borderId="21" xfId="0" applyNumberFormat="1" applyFont="1" applyBorder="1"/>
    <xf numFmtId="4" fontId="92" fillId="0" borderId="0" xfId="0" applyNumberFormat="1" applyFont="1"/>
    <xf numFmtId="3" fontId="92" fillId="0" borderId="0" xfId="0" applyNumberFormat="1" applyFont="1"/>
    <xf numFmtId="3" fontId="92" fillId="0" borderId="43" xfId="0" applyNumberFormat="1" applyFont="1" applyBorder="1"/>
    <xf numFmtId="3" fontId="92" fillId="0" borderId="32" xfId="0" applyNumberFormat="1" applyFont="1" applyBorder="1"/>
    <xf numFmtId="3" fontId="92" fillId="0" borderId="11" xfId="0" applyNumberFormat="1" applyFont="1" applyBorder="1"/>
    <xf numFmtId="0" fontId="119" fillId="27" borderId="57" xfId="0" applyFont="1" applyFill="1" applyBorder="1" applyAlignment="1">
      <alignment vertical="center"/>
    </xf>
    <xf numFmtId="175" fontId="0" fillId="12" borderId="9" xfId="0" applyNumberFormat="1" applyFill="1" applyBorder="1"/>
    <xf numFmtId="3" fontId="92" fillId="0" borderId="24" xfId="0" applyNumberFormat="1" applyFont="1" applyBorder="1"/>
    <xf numFmtId="173" fontId="92" fillId="0" borderId="36" xfId="0" applyNumberFormat="1" applyFont="1" applyBorder="1"/>
    <xf numFmtId="3" fontId="0" fillId="12" borderId="43" xfId="0" applyNumberFormat="1" applyFill="1" applyBorder="1"/>
    <xf numFmtId="0" fontId="119" fillId="0" borderId="1" xfId="0" applyFont="1" applyBorder="1"/>
    <xf numFmtId="0" fontId="77" fillId="0" borderId="0" xfId="0" applyFont="1"/>
    <xf numFmtId="166" fontId="9" fillId="27" borderId="0" xfId="1" applyNumberFormat="1" applyFont="1" applyFill="1" applyBorder="1"/>
    <xf numFmtId="166" fontId="9" fillId="0" borderId="28" xfId="1" applyNumberFormat="1" applyFont="1" applyFill="1" applyBorder="1"/>
    <xf numFmtId="166" fontId="27" fillId="0" borderId="0" xfId="0" applyNumberFormat="1" applyFont="1"/>
    <xf numFmtId="166" fontId="8" fillId="14" borderId="28" xfId="5" applyNumberFormat="1" applyFont="1" applyFill="1" applyBorder="1"/>
    <xf numFmtId="181" fontId="8" fillId="0" borderId="0" xfId="1" applyNumberFormat="1" applyFont="1" applyBorder="1"/>
    <xf numFmtId="0" fontId="60" fillId="0" borderId="47" xfId="0" applyFont="1" applyBorder="1" applyAlignment="1">
      <alignment horizontal="left" indent="3"/>
    </xf>
    <xf numFmtId="175" fontId="8" fillId="24" borderId="0" xfId="1" applyNumberFormat="1" applyFont="1" applyFill="1" applyBorder="1"/>
    <xf numFmtId="175" fontId="8" fillId="23" borderId="5" xfId="1" applyNumberFormat="1" applyFont="1" applyFill="1" applyBorder="1"/>
    <xf numFmtId="175" fontId="8" fillId="23" borderId="0" xfId="1" applyNumberFormat="1" applyFont="1" applyFill="1" applyBorder="1"/>
    <xf numFmtId="175" fontId="8" fillId="20" borderId="5" xfId="1" applyNumberFormat="1" applyFont="1" applyFill="1" applyBorder="1"/>
    <xf numFmtId="175" fontId="8" fillId="20" borderId="0" xfId="1" applyNumberFormat="1" applyFont="1" applyFill="1" applyBorder="1"/>
    <xf numFmtId="182" fontId="8" fillId="25" borderId="0" xfId="1" applyNumberFormat="1" applyFont="1" applyFill="1" applyBorder="1"/>
    <xf numFmtId="175" fontId="8" fillId="26" borderId="0" xfId="0" applyNumberFormat="1" applyFont="1" applyFill="1"/>
    <xf numFmtId="175" fontId="8" fillId="26" borderId="0" xfId="1" applyNumberFormat="1" applyFont="1" applyFill="1" applyBorder="1"/>
    <xf numFmtId="175" fontId="8" fillId="26" borderId="5" xfId="1" applyNumberFormat="1" applyFont="1" applyFill="1" applyBorder="1"/>
    <xf numFmtId="43" fontId="8" fillId="26" borderId="5" xfId="1" applyFont="1" applyFill="1" applyBorder="1"/>
    <xf numFmtId="43" fontId="8" fillId="18" borderId="5" xfId="1" applyFont="1" applyFill="1" applyBorder="1"/>
    <xf numFmtId="175" fontId="8" fillId="18" borderId="0" xfId="1" applyNumberFormat="1" applyFont="1" applyFill="1" applyBorder="1"/>
    <xf numFmtId="175" fontId="8" fillId="18" borderId="0" xfId="1" applyNumberFormat="1" applyFont="1" applyFill="1"/>
    <xf numFmtId="175" fontId="8" fillId="15" borderId="6" xfId="1" applyNumberFormat="1" applyFont="1" applyFill="1" applyBorder="1"/>
    <xf numFmtId="175" fontId="8" fillId="15" borderId="1" xfId="1" applyNumberFormat="1" applyFont="1" applyFill="1" applyBorder="1"/>
    <xf numFmtId="0" fontId="119" fillId="0" borderId="0" xfId="0" applyFont="1" applyAlignment="1">
      <alignment horizontal="right"/>
    </xf>
    <xf numFmtId="0" fontId="113" fillId="20" borderId="23" xfId="0" applyFont="1" applyFill="1" applyBorder="1"/>
    <xf numFmtId="2" fontId="0" fillId="0" borderId="55" xfId="0" applyNumberFormat="1" applyBorder="1"/>
    <xf numFmtId="0" fontId="0" fillId="14" borderId="23" xfId="0" applyFill="1" applyBorder="1"/>
    <xf numFmtId="0" fontId="0" fillId="0" borderId="34" xfId="0" applyBorder="1"/>
    <xf numFmtId="0" fontId="0" fillId="0" borderId="62" xfId="0" applyBorder="1" applyAlignment="1">
      <alignment horizontal="right"/>
    </xf>
    <xf numFmtId="0" fontId="42" fillId="0" borderId="0" xfId="0" applyFont="1"/>
    <xf numFmtId="0" fontId="73" fillId="0" borderId="0" xfId="0" applyFont="1" applyAlignment="1">
      <alignment vertical="center" wrapText="1"/>
    </xf>
    <xf numFmtId="0" fontId="17" fillId="0" borderId="0" xfId="0" applyFont="1" applyAlignment="1">
      <alignment horizontal="left" vertical="center"/>
    </xf>
    <xf numFmtId="0" fontId="50" fillId="0" borderId="0" xfId="0" applyFont="1" applyAlignment="1">
      <alignment horizontal="left" vertical="center"/>
    </xf>
    <xf numFmtId="0" fontId="119" fillId="0" borderId="41" xfId="0" applyFont="1" applyBorder="1" applyAlignment="1">
      <alignment horizontal="right"/>
    </xf>
    <xf numFmtId="0" fontId="119" fillId="0" borderId="22" xfId="0" applyFont="1" applyBorder="1" applyAlignment="1">
      <alignment horizontal="right"/>
    </xf>
    <xf numFmtId="0" fontId="96" fillId="0" borderId="0" xfId="0" applyFont="1" applyAlignment="1">
      <alignment wrapText="1"/>
    </xf>
    <xf numFmtId="0" fontId="13" fillId="21" borderId="9" xfId="0" applyFont="1" applyFill="1" applyBorder="1" applyAlignment="1">
      <alignment wrapText="1"/>
    </xf>
    <xf numFmtId="0" fontId="13" fillId="21" borderId="9" xfId="0" applyFont="1" applyFill="1" applyBorder="1" applyAlignment="1">
      <alignment horizontal="right" wrapText="1"/>
    </xf>
    <xf numFmtId="0" fontId="0" fillId="21" borderId="9" xfId="0" applyFill="1" applyBorder="1" applyAlignment="1">
      <alignment horizontal="left"/>
    </xf>
    <xf numFmtId="0" fontId="0" fillId="21" borderId="9" xfId="0" applyFill="1" applyBorder="1"/>
    <xf numFmtId="0" fontId="92" fillId="21" borderId="9" xfId="0" applyFont="1" applyFill="1" applyBorder="1" applyAlignment="1">
      <alignment horizontal="left"/>
    </xf>
    <xf numFmtId="4" fontId="92" fillId="21" borderId="9" xfId="0" applyNumberFormat="1" applyFont="1" applyFill="1" applyBorder="1"/>
    <xf numFmtId="0" fontId="0" fillId="21" borderId="28" xfId="0" applyFill="1" applyBorder="1"/>
    <xf numFmtId="3" fontId="0" fillId="21" borderId="22" xfId="0" applyNumberFormat="1" applyFill="1" applyBorder="1"/>
    <xf numFmtId="3" fontId="0" fillId="21" borderId="28" xfId="0" applyNumberFormat="1" applyFill="1" applyBorder="1"/>
    <xf numFmtId="4" fontId="0" fillId="21" borderId="41" xfId="0" applyNumberFormat="1" applyFill="1" applyBorder="1"/>
    <xf numFmtId="0" fontId="126" fillId="0" borderId="0" xfId="0" applyFont="1"/>
    <xf numFmtId="0" fontId="88" fillId="0" borderId="4" xfId="0" applyFont="1" applyBorder="1" applyAlignment="1">
      <alignment horizontal="center" vertical="center" wrapText="1"/>
    </xf>
    <xf numFmtId="0" fontId="127" fillId="0" borderId="8" xfId="0" applyFont="1" applyBorder="1" applyAlignment="1">
      <alignment horizontal="left" vertical="center" wrapText="1"/>
    </xf>
    <xf numFmtId="39" fontId="92" fillId="12" borderId="11" xfId="1" applyNumberFormat="1" applyFont="1" applyFill="1" applyBorder="1"/>
    <xf numFmtId="39" fontId="92" fillId="12" borderId="35" xfId="1" applyNumberFormat="1" applyFont="1" applyFill="1" applyBorder="1"/>
    <xf numFmtId="168" fontId="121" fillId="0" borderId="41" xfId="0" applyNumberFormat="1" applyFont="1" applyBorder="1" applyAlignment="1">
      <alignment horizontal="right"/>
    </xf>
    <xf numFmtId="0" fontId="46" fillId="20" borderId="39" xfId="3" applyFill="1" applyBorder="1" applyAlignment="1" applyProtection="1"/>
    <xf numFmtId="0" fontId="9" fillId="0" borderId="67" xfId="0" applyFont="1" applyBorder="1"/>
    <xf numFmtId="166" fontId="9" fillId="0" borderId="37" xfId="1" applyNumberFormat="1" applyFont="1" applyFill="1" applyBorder="1"/>
    <xf numFmtId="166" fontId="9" fillId="0" borderId="58" xfId="1" applyNumberFormat="1" applyFont="1" applyFill="1" applyBorder="1"/>
    <xf numFmtId="166" fontId="9" fillId="0" borderId="55" xfId="1" applyNumberFormat="1" applyFont="1" applyFill="1" applyBorder="1"/>
    <xf numFmtId="0" fontId="46" fillId="26" borderId="39" xfId="3" applyFill="1" applyBorder="1" applyAlignment="1" applyProtection="1"/>
    <xf numFmtId="166" fontId="8" fillId="0" borderId="37" xfId="1" applyNumberFormat="1" applyFont="1" applyFill="1" applyBorder="1"/>
    <xf numFmtId="166" fontId="8" fillId="0" borderId="58" xfId="1" applyNumberFormat="1" applyFont="1" applyFill="1" applyBorder="1"/>
    <xf numFmtId="0" fontId="9" fillId="0" borderId="67" xfId="5" applyFont="1" applyBorder="1"/>
    <xf numFmtId="166" fontId="9" fillId="0" borderId="52" xfId="5" applyNumberFormat="1" applyFont="1" applyBorder="1" applyAlignment="1">
      <alignment vertical="center"/>
    </xf>
    <xf numFmtId="166" fontId="8" fillId="0" borderId="37" xfId="5" applyNumberFormat="1" applyFont="1" applyBorder="1"/>
    <xf numFmtId="166" fontId="9" fillId="0" borderId="52" xfId="5" applyNumberFormat="1" applyFont="1" applyBorder="1"/>
    <xf numFmtId="166" fontId="8" fillId="0" borderId="58" xfId="5" applyNumberFormat="1" applyFont="1" applyBorder="1"/>
    <xf numFmtId="166" fontId="9" fillId="0" borderId="23" xfId="1" applyNumberFormat="1" applyFont="1" applyFill="1" applyBorder="1" applyAlignment="1">
      <alignment horizontal="right"/>
    </xf>
    <xf numFmtId="166" fontId="9" fillId="0" borderId="58" xfId="1" applyNumberFormat="1" applyFont="1" applyFill="1" applyBorder="1" applyAlignment="1">
      <alignment horizontal="right"/>
    </xf>
    <xf numFmtId="166" fontId="9" fillId="18" borderId="57" xfId="1" applyNumberFormat="1" applyFont="1" applyFill="1" applyBorder="1" applyAlignment="1">
      <alignment horizontal="right"/>
    </xf>
    <xf numFmtId="0" fontId="9" fillId="0" borderId="14" xfId="5" applyFont="1" applyBorder="1"/>
    <xf numFmtId="0" fontId="9" fillId="0" borderId="46" xfId="5" applyFont="1" applyBorder="1" applyAlignment="1">
      <alignment vertical="center"/>
    </xf>
    <xf numFmtId="0" fontId="8" fillId="0" borderId="45" xfId="5" applyFont="1" applyBorder="1" applyAlignment="1">
      <alignment horizontal="left" indent="1"/>
    </xf>
    <xf numFmtId="0" fontId="9" fillId="0" borderId="46" xfId="5" applyFont="1" applyBorder="1"/>
    <xf numFmtId="0" fontId="8" fillId="0" borderId="44" xfId="5" applyFont="1" applyBorder="1" applyAlignment="1">
      <alignment horizontal="left" indent="1"/>
    </xf>
    <xf numFmtId="0" fontId="9" fillId="0" borderId="13" xfId="5" applyFont="1" applyBorder="1"/>
    <xf numFmtId="0" fontId="9" fillId="18" borderId="43" xfId="5" applyFont="1" applyFill="1" applyBorder="1"/>
    <xf numFmtId="179" fontId="92" fillId="0" borderId="24" xfId="0" applyNumberFormat="1" applyFont="1" applyBorder="1"/>
    <xf numFmtId="0" fontId="42" fillId="20" borderId="13" xfId="0" applyFont="1" applyFill="1" applyBorder="1"/>
    <xf numFmtId="0" fontId="9" fillId="0" borderId="45" xfId="5" applyFont="1" applyBorder="1"/>
    <xf numFmtId="0" fontId="9" fillId="0" borderId="44" xfId="0" applyFont="1" applyBorder="1"/>
    <xf numFmtId="0" fontId="9" fillId="0" borderId="45" xfId="0" applyFont="1" applyBorder="1"/>
    <xf numFmtId="0" fontId="46" fillId="18" borderId="61" xfId="3" applyFill="1" applyBorder="1" applyAlignment="1" applyProtection="1"/>
    <xf numFmtId="0" fontId="17" fillId="0" borderId="21" xfId="5" applyFont="1" applyBorder="1"/>
    <xf numFmtId="4" fontId="92" fillId="0" borderId="42" xfId="0" applyNumberFormat="1" applyFont="1" applyBorder="1"/>
    <xf numFmtId="0" fontId="130" fillId="0" borderId="0" xfId="0" applyFont="1"/>
    <xf numFmtId="0" fontId="89" fillId="0" borderId="0" xfId="0" applyFont="1" applyAlignment="1">
      <alignment horizontal="right"/>
    </xf>
    <xf numFmtId="166" fontId="8" fillId="14" borderId="22" xfId="5" applyNumberFormat="1" applyFont="1" applyFill="1" applyBorder="1"/>
    <xf numFmtId="166" fontId="9" fillId="14" borderId="22" xfId="1" applyNumberFormat="1" applyFont="1" applyFill="1" applyBorder="1" applyAlignment="1">
      <alignment horizontal="right"/>
    </xf>
    <xf numFmtId="166" fontId="131" fillId="14" borderId="22" xfId="1" applyNumberFormat="1" applyFont="1" applyFill="1" applyBorder="1" applyAlignment="1">
      <alignment horizontal="right"/>
    </xf>
    <xf numFmtId="166" fontId="131" fillId="14" borderId="22" xfId="1" applyNumberFormat="1" applyFont="1" applyFill="1" applyBorder="1" applyAlignment="1">
      <alignment horizontal="left"/>
    </xf>
    <xf numFmtId="175" fontId="8" fillId="0" borderId="0" xfId="1" applyNumberFormat="1" applyFont="1" applyFill="1"/>
    <xf numFmtId="0" fontId="9" fillId="15" borderId="1" xfId="0" applyFont="1" applyFill="1" applyBorder="1"/>
    <xf numFmtId="0" fontId="8" fillId="18" borderId="1" xfId="0" applyFont="1" applyFill="1" applyBorder="1"/>
    <xf numFmtId="43" fontId="8" fillId="18" borderId="6" xfId="1" applyFont="1" applyFill="1" applyBorder="1"/>
    <xf numFmtId="43" fontId="8" fillId="18" borderId="1" xfId="1" applyFont="1" applyFill="1" applyBorder="1"/>
    <xf numFmtId="175" fontId="8" fillId="18" borderId="1" xfId="1" applyNumberFormat="1" applyFont="1" applyFill="1" applyBorder="1"/>
    <xf numFmtId="0" fontId="8" fillId="0" borderId="1" xfId="0" applyFont="1" applyBorder="1" applyAlignment="1">
      <alignment horizontal="left" vertical="center"/>
    </xf>
    <xf numFmtId="0" fontId="57" fillId="16" borderId="47" xfId="0" applyFont="1" applyFill="1" applyBorder="1"/>
    <xf numFmtId="0" fontId="71" fillId="0" borderId="60" xfId="0" applyFont="1" applyBorder="1"/>
    <xf numFmtId="0" fontId="9" fillId="0" borderId="22" xfId="5" applyFont="1" applyBorder="1"/>
    <xf numFmtId="0" fontId="88" fillId="0" borderId="3" xfId="0" applyFont="1" applyBorder="1" applyAlignment="1">
      <alignment horizontal="center" vertical="center" wrapText="1"/>
    </xf>
    <xf numFmtId="168" fontId="121" fillId="0" borderId="22" xfId="0" applyNumberFormat="1" applyFont="1" applyBorder="1"/>
    <xf numFmtId="0" fontId="16" fillId="14" borderId="9" xfId="0" applyFont="1" applyFill="1" applyBorder="1" applyAlignment="1">
      <alignment horizontal="left" wrapText="1"/>
    </xf>
    <xf numFmtId="3" fontId="92" fillId="0" borderId="46" xfId="0" applyNumberFormat="1" applyFont="1" applyBorder="1"/>
    <xf numFmtId="0" fontId="119" fillId="27" borderId="37" xfId="0" applyFont="1" applyFill="1" applyBorder="1" applyAlignment="1">
      <alignment vertical="center"/>
    </xf>
    <xf numFmtId="3" fontId="99" fillId="27" borderId="0" xfId="0" applyNumberFormat="1" applyFont="1" applyFill="1"/>
    <xf numFmtId="4" fontId="89" fillId="14" borderId="46" xfId="0" applyNumberFormat="1" applyFont="1" applyFill="1" applyBorder="1"/>
    <xf numFmtId="4" fontId="89" fillId="14" borderId="41" xfId="0" applyNumberFormat="1" applyFont="1" applyFill="1" applyBorder="1"/>
    <xf numFmtId="4" fontId="89" fillId="14" borderId="36" xfId="0" applyNumberFormat="1" applyFont="1" applyFill="1" applyBorder="1"/>
    <xf numFmtId="3" fontId="92" fillId="14" borderId="46" xfId="0" applyNumberFormat="1" applyFont="1" applyFill="1" applyBorder="1"/>
    <xf numFmtId="3" fontId="92" fillId="14" borderId="41" xfId="0" applyNumberFormat="1" applyFont="1" applyFill="1" applyBorder="1"/>
    <xf numFmtId="3" fontId="92" fillId="14" borderId="36" xfId="0" applyNumberFormat="1" applyFont="1" applyFill="1" applyBorder="1"/>
    <xf numFmtId="3" fontId="0" fillId="14" borderId="43" xfId="0" applyNumberFormat="1" applyFill="1" applyBorder="1"/>
    <xf numFmtId="3" fontId="92" fillId="0" borderId="0" xfId="0" applyNumberFormat="1" applyFont="1" applyAlignment="1">
      <alignment vertical="top"/>
    </xf>
    <xf numFmtId="0" fontId="92" fillId="17" borderId="0" xfId="0" applyFont="1" applyFill="1"/>
    <xf numFmtId="4" fontId="92" fillId="0" borderId="0" xfId="0" applyNumberFormat="1" applyFont="1" applyAlignment="1">
      <alignment horizontal="right"/>
    </xf>
    <xf numFmtId="0" fontId="119" fillId="0" borderId="58" xfId="0" applyFont="1" applyBorder="1" applyAlignment="1">
      <alignment horizontal="center"/>
    </xf>
    <xf numFmtId="0" fontId="92" fillId="0" borderId="24" xfId="0" applyFont="1" applyBorder="1"/>
    <xf numFmtId="177" fontId="92" fillId="0" borderId="24" xfId="0" applyNumberFormat="1" applyFont="1" applyBorder="1"/>
    <xf numFmtId="0" fontId="132" fillId="20" borderId="9" xfId="0" applyFont="1" applyFill="1" applyBorder="1"/>
    <xf numFmtId="0" fontId="132" fillId="20" borderId="44" xfId="0" applyFont="1" applyFill="1" applyBorder="1"/>
    <xf numFmtId="0" fontId="132" fillId="20" borderId="36" xfId="0" applyFont="1" applyFill="1" applyBorder="1"/>
    <xf numFmtId="4" fontId="92" fillId="0" borderId="46" xfId="0" applyNumberFormat="1" applyFont="1" applyBorder="1"/>
    <xf numFmtId="4" fontId="92" fillId="0" borderId="41" xfId="0" applyNumberFormat="1" applyFont="1" applyBorder="1"/>
    <xf numFmtId="4" fontId="92" fillId="0" borderId="36" xfId="0" applyNumberFormat="1" applyFont="1" applyBorder="1"/>
    <xf numFmtId="0" fontId="119" fillId="0" borderId="9" xfId="0" applyFont="1" applyBorder="1" applyAlignment="1">
      <alignment horizontal="left"/>
    </xf>
    <xf numFmtId="4" fontId="92" fillId="0" borderId="28" xfId="0" applyNumberFormat="1" applyFont="1" applyBorder="1"/>
    <xf numFmtId="3" fontId="92" fillId="0" borderId="44" xfId="0" applyNumberFormat="1" applyFont="1" applyBorder="1"/>
    <xf numFmtId="0" fontId="119" fillId="0" borderId="23" xfId="0" applyFont="1" applyBorder="1" applyAlignment="1">
      <alignment horizontal="center"/>
    </xf>
    <xf numFmtId="177" fontId="92" fillId="0" borderId="9" xfId="0" applyNumberFormat="1" applyFont="1" applyBorder="1"/>
    <xf numFmtId="4" fontId="92" fillId="14" borderId="46" xfId="0" applyNumberFormat="1" applyFont="1" applyFill="1" applyBorder="1"/>
    <xf numFmtId="168" fontId="104" fillId="0" borderId="0" xfId="0" applyNumberFormat="1" applyFont="1"/>
    <xf numFmtId="168" fontId="104" fillId="0" borderId="32" xfId="0" applyNumberFormat="1" applyFont="1" applyBorder="1"/>
    <xf numFmtId="168" fontId="104" fillId="0" borderId="1" xfId="0" applyNumberFormat="1" applyFont="1" applyBorder="1"/>
    <xf numFmtId="168" fontId="121" fillId="0" borderId="69" xfId="0" applyNumberFormat="1" applyFont="1" applyBorder="1" applyAlignment="1">
      <alignment horizontal="right"/>
    </xf>
    <xf numFmtId="175" fontId="91" fillId="0" borderId="0" xfId="0" applyNumberFormat="1" applyFont="1"/>
    <xf numFmtId="168" fontId="121" fillId="0" borderId="0" xfId="0" applyNumberFormat="1" applyFont="1" applyAlignment="1">
      <alignment horizontal="right"/>
    </xf>
    <xf numFmtId="0" fontId="133" fillId="0" borderId="0" xfId="0" applyFont="1"/>
    <xf numFmtId="166" fontId="26" fillId="0" borderId="0" xfId="1" applyNumberFormat="1" applyFont="1" applyFill="1"/>
    <xf numFmtId="0" fontId="10" fillId="0" borderId="21" xfId="0" applyFont="1" applyBorder="1" applyAlignment="1">
      <alignment horizontal="right"/>
    </xf>
    <xf numFmtId="175" fontId="11" fillId="0" borderId="0" xfId="0" applyNumberFormat="1" applyFont="1"/>
    <xf numFmtId="0" fontId="113" fillId="0" borderId="0" xfId="0" applyFont="1"/>
    <xf numFmtId="175" fontId="8" fillId="18" borderId="0" xfId="0" applyNumberFormat="1" applyFont="1" applyFill="1"/>
    <xf numFmtId="3" fontId="92" fillId="0" borderId="20" xfId="0" applyNumberFormat="1" applyFont="1" applyBorder="1"/>
    <xf numFmtId="3" fontId="92" fillId="31" borderId="43" xfId="0" applyNumberFormat="1" applyFont="1" applyFill="1" applyBorder="1"/>
    <xf numFmtId="14" fontId="91" fillId="0" borderId="0" xfId="0" applyNumberFormat="1" applyFont="1"/>
    <xf numFmtId="0" fontId="92" fillId="0" borderId="2" xfId="0" applyFont="1" applyBorder="1"/>
    <xf numFmtId="0" fontId="9" fillId="0" borderId="0" xfId="0" applyFont="1" applyAlignment="1">
      <alignment horizontal="right"/>
    </xf>
    <xf numFmtId="1" fontId="8" fillId="0" borderId="0" xfId="0" applyNumberFormat="1" applyFont="1"/>
    <xf numFmtId="0" fontId="8" fillId="20" borderId="0" xfId="0" applyFont="1" applyFill="1" applyAlignment="1">
      <alignment horizontal="right"/>
    </xf>
    <xf numFmtId="177" fontId="8" fillId="0" borderId="0" xfId="0" applyNumberFormat="1" applyFont="1"/>
    <xf numFmtId="0" fontId="135" fillId="0" borderId="0" xfId="0" quotePrefix="1" applyFont="1"/>
    <xf numFmtId="175" fontId="0" fillId="0" borderId="2" xfId="0" applyNumberFormat="1" applyBorder="1"/>
    <xf numFmtId="3" fontId="0" fillId="0" borderId="23" xfId="0" applyNumberFormat="1" applyBorder="1"/>
    <xf numFmtId="4" fontId="0" fillId="0" borderId="55" xfId="0" applyNumberFormat="1" applyBorder="1"/>
    <xf numFmtId="3" fontId="0" fillId="0" borderId="67" xfId="0" applyNumberFormat="1" applyBorder="1"/>
    <xf numFmtId="0" fontId="88" fillId="0" borderId="19" xfId="0" applyFont="1" applyBorder="1"/>
    <xf numFmtId="4" fontId="92" fillId="0" borderId="29" xfId="0" applyNumberFormat="1" applyFont="1" applyBorder="1"/>
    <xf numFmtId="3" fontId="8" fillId="0" borderId="0" xfId="0" applyNumberFormat="1" applyFont="1"/>
    <xf numFmtId="0" fontId="92" fillId="0" borderId="41" xfId="0" applyFont="1" applyBorder="1"/>
    <xf numFmtId="0" fontId="92" fillId="0" borderId="22" xfId="0" applyFont="1" applyBorder="1"/>
    <xf numFmtId="168" fontId="17" fillId="0" borderId="1" xfId="0" applyNumberFormat="1" applyFont="1" applyBorder="1"/>
    <xf numFmtId="175" fontId="8" fillId="20" borderId="0" xfId="0" applyNumberFormat="1" applyFont="1" applyFill="1"/>
    <xf numFmtId="180" fontId="27" fillId="16" borderId="6" xfId="1" applyNumberFormat="1" applyFont="1" applyFill="1" applyBorder="1"/>
    <xf numFmtId="180" fontId="27" fillId="16" borderId="1" xfId="1" applyNumberFormat="1" applyFont="1" applyFill="1" applyBorder="1"/>
    <xf numFmtId="168" fontId="17" fillId="15" borderId="34" xfId="0" applyNumberFormat="1" applyFont="1" applyFill="1" applyBorder="1"/>
    <xf numFmtId="168" fontId="17" fillId="0" borderId="32" xfId="0" applyNumberFormat="1" applyFont="1" applyBorder="1"/>
    <xf numFmtId="168" fontId="102" fillId="0" borderId="28" xfId="0" applyNumberFormat="1" applyFont="1" applyBorder="1"/>
    <xf numFmtId="168" fontId="101" fillId="0" borderId="21" xfId="0" applyNumberFormat="1" applyFont="1" applyBorder="1"/>
    <xf numFmtId="168" fontId="102" fillId="0" borderId="0" xfId="0" applyNumberFormat="1" applyFont="1"/>
    <xf numFmtId="175" fontId="8" fillId="23" borderId="0" xfId="0" applyNumberFormat="1" applyFont="1" applyFill="1"/>
    <xf numFmtId="175" fontId="8" fillId="24" borderId="0" xfId="0" applyNumberFormat="1" applyFont="1" applyFill="1"/>
    <xf numFmtId="175" fontId="8" fillId="25" borderId="0" xfId="0" applyNumberFormat="1" applyFont="1" applyFill="1"/>
    <xf numFmtId="168" fontId="48" fillId="15" borderId="21" xfId="0" applyNumberFormat="1" applyFont="1" applyFill="1" applyBorder="1"/>
    <xf numFmtId="175" fontId="8" fillId="16" borderId="0" xfId="0" applyNumberFormat="1" applyFont="1" applyFill="1"/>
    <xf numFmtId="43" fontId="8" fillId="0" borderId="0" xfId="2" applyFont="1" applyFill="1" applyBorder="1"/>
    <xf numFmtId="180" fontId="9" fillId="0" borderId="0" xfId="2" applyNumberFormat="1" applyFont="1" applyFill="1" applyBorder="1"/>
    <xf numFmtId="180" fontId="8" fillId="0" borderId="22" xfId="2" applyNumberFormat="1" applyFont="1" applyFill="1" applyBorder="1"/>
    <xf numFmtId="43" fontId="91" fillId="0" borderId="1" xfId="2" applyFont="1" applyBorder="1"/>
    <xf numFmtId="168" fontId="121" fillId="0" borderId="32" xfId="0" applyNumberFormat="1" applyFont="1" applyBorder="1"/>
    <xf numFmtId="43" fontId="8" fillId="0" borderId="0" xfId="2" applyFont="1" applyBorder="1"/>
    <xf numFmtId="43" fontId="8" fillId="0" borderId="1" xfId="2" applyFont="1" applyFill="1" applyBorder="1"/>
    <xf numFmtId="43" fontId="8" fillId="25" borderId="0" xfId="2" applyFont="1" applyFill="1" applyBorder="1"/>
    <xf numFmtId="43" fontId="8" fillId="0" borderId="1" xfId="2" applyFont="1" applyBorder="1"/>
    <xf numFmtId="175" fontId="91" fillId="25" borderId="0" xfId="0" applyNumberFormat="1" applyFont="1" applyFill="1"/>
    <xf numFmtId="4" fontId="92" fillId="0" borderId="55" xfId="0" applyNumberFormat="1" applyFont="1" applyBorder="1"/>
    <xf numFmtId="0" fontId="91" fillId="0" borderId="28" xfId="0" applyFont="1" applyBorder="1" applyAlignment="1">
      <alignment horizontal="left"/>
    </xf>
    <xf numFmtId="0" fontId="91" fillId="0" borderId="13" xfId="0" applyFont="1" applyBorder="1" applyAlignment="1">
      <alignment horizontal="left"/>
    </xf>
    <xf numFmtId="3" fontId="92" fillId="0" borderId="23" xfId="0" applyNumberFormat="1" applyFont="1" applyBorder="1"/>
    <xf numFmtId="3" fontId="92" fillId="0" borderId="67" xfId="0" applyNumberFormat="1" applyFont="1" applyBorder="1"/>
    <xf numFmtId="173" fontId="8" fillId="26" borderId="0" xfId="1" applyNumberFormat="1" applyFont="1" applyFill="1" applyBorder="1"/>
    <xf numFmtId="43" fontId="8" fillId="20" borderId="3" xfId="2" applyFont="1" applyFill="1" applyBorder="1"/>
    <xf numFmtId="169" fontId="8" fillId="24" borderId="0" xfId="2" applyNumberFormat="1" applyFont="1" applyFill="1" applyBorder="1"/>
    <xf numFmtId="169" fontId="8" fillId="10" borderId="0" xfId="2" applyNumberFormat="1" applyFont="1" applyFill="1" applyBorder="1"/>
    <xf numFmtId="169" fontId="8" fillId="23" borderId="0" xfId="2" applyNumberFormat="1" applyFont="1" applyFill="1" applyBorder="1"/>
    <xf numFmtId="169" fontId="8" fillId="0" borderId="0" xfId="2" applyNumberFormat="1" applyFont="1" applyFill="1" applyBorder="1"/>
    <xf numFmtId="169" fontId="8" fillId="20" borderId="0" xfId="2" applyNumberFormat="1" applyFont="1" applyFill="1" applyBorder="1"/>
    <xf numFmtId="169" fontId="8" fillId="26" borderId="0" xfId="2" applyNumberFormat="1" applyFont="1" applyFill="1" applyBorder="1"/>
    <xf numFmtId="169" fontId="8" fillId="0" borderId="1" xfId="2" applyNumberFormat="1" applyFont="1" applyFill="1" applyBorder="1"/>
    <xf numFmtId="169" fontId="8" fillId="10" borderId="1" xfId="2" applyNumberFormat="1" applyFont="1" applyFill="1" applyBorder="1"/>
    <xf numFmtId="0" fontId="89" fillId="0" borderId="0" xfId="0" applyFont="1" applyAlignment="1">
      <alignment horizontal="left"/>
    </xf>
    <xf numFmtId="0" fontId="0" fillId="0" borderId="8" xfId="0" applyBorder="1" applyAlignment="1">
      <alignment horizontal="left"/>
    </xf>
    <xf numFmtId="0" fontId="92" fillId="0" borderId="3" xfId="0" applyFont="1" applyBorder="1"/>
    <xf numFmtId="0" fontId="0" fillId="0" borderId="1" xfId="0" applyBorder="1" applyAlignment="1">
      <alignment horizontal="left"/>
    </xf>
    <xf numFmtId="168" fontId="0" fillId="0" borderId="5" xfId="0" applyNumberFormat="1" applyBorder="1"/>
    <xf numFmtId="168" fontId="0" fillId="0" borderId="6" xfId="0" applyNumberFormat="1" applyBorder="1"/>
    <xf numFmtId="168" fontId="0" fillId="0" borderId="38" xfId="0" applyNumberFormat="1" applyBorder="1"/>
    <xf numFmtId="168" fontId="17" fillId="0" borderId="0" xfId="0" applyNumberFormat="1" applyFont="1" applyAlignment="1">
      <alignment horizontal="right"/>
    </xf>
    <xf numFmtId="0" fontId="91" fillId="0" borderId="1" xfId="0" applyFont="1" applyBorder="1"/>
    <xf numFmtId="0" fontId="5" fillId="0" borderId="0" xfId="0" applyFont="1" applyAlignment="1">
      <alignment horizontal="left"/>
    </xf>
    <xf numFmtId="4" fontId="92" fillId="0" borderId="31" xfId="0" applyNumberFormat="1" applyFont="1" applyBorder="1"/>
    <xf numFmtId="0" fontId="92" fillId="0" borderId="39" xfId="0" applyFont="1" applyBorder="1"/>
    <xf numFmtId="3" fontId="92" fillId="0" borderId="30" xfId="0" applyNumberFormat="1" applyFont="1" applyBorder="1"/>
    <xf numFmtId="173" fontId="92" fillId="0" borderId="31" xfId="0" applyNumberFormat="1" applyFont="1" applyBorder="1"/>
    <xf numFmtId="4" fontId="0" fillId="12" borderId="29" xfId="0" applyNumberFormat="1" applyFill="1" applyBorder="1"/>
    <xf numFmtId="177" fontId="0" fillId="12" borderId="56" xfId="0" applyNumberFormat="1" applyFill="1" applyBorder="1"/>
    <xf numFmtId="179" fontId="0" fillId="12" borderId="29" xfId="0" applyNumberFormat="1" applyFill="1" applyBorder="1"/>
    <xf numFmtId="177" fontId="0" fillId="12" borderId="42" xfId="0" applyNumberFormat="1" applyFill="1" applyBorder="1"/>
    <xf numFmtId="177" fontId="0" fillId="12" borderId="29" xfId="0" applyNumberFormat="1" applyFill="1" applyBorder="1"/>
    <xf numFmtId="0" fontId="0" fillId="12" borderId="9" xfId="0" applyFill="1" applyBorder="1" applyAlignment="1">
      <alignment horizontal="left"/>
    </xf>
    <xf numFmtId="0" fontId="13" fillId="12" borderId="9" xfId="0" applyFont="1" applyFill="1" applyBorder="1" applyAlignment="1">
      <alignment wrapText="1"/>
    </xf>
    <xf numFmtId="0" fontId="13" fillId="12" borderId="9" xfId="0" applyFont="1" applyFill="1" applyBorder="1" applyAlignment="1">
      <alignment horizontal="right" wrapText="1"/>
    </xf>
    <xf numFmtId="175" fontId="139" fillId="0" borderId="0" xfId="0" applyNumberFormat="1" applyFont="1"/>
    <xf numFmtId="175" fontId="139" fillId="26" borderId="0" xfId="1" applyNumberFormat="1" applyFont="1" applyFill="1" applyBorder="1"/>
    <xf numFmtId="175" fontId="139" fillId="26" borderId="0" xfId="0" applyNumberFormat="1" applyFont="1" applyFill="1"/>
    <xf numFmtId="175" fontId="139" fillId="18" borderId="0" xfId="1" applyNumberFormat="1" applyFont="1" applyFill="1" applyBorder="1"/>
    <xf numFmtId="175" fontId="139" fillId="18" borderId="0" xfId="1" applyNumberFormat="1" applyFont="1" applyFill="1"/>
    <xf numFmtId="175" fontId="139" fillId="18" borderId="1" xfId="1" applyNumberFormat="1" applyFont="1" applyFill="1" applyBorder="1"/>
    <xf numFmtId="175" fontId="139" fillId="24" borderId="0" xfId="0" applyNumberFormat="1" applyFont="1" applyFill="1"/>
    <xf numFmtId="181" fontId="139" fillId="0" borderId="0" xfId="1" applyNumberFormat="1" applyFont="1" applyBorder="1"/>
    <xf numFmtId="175" fontId="139" fillId="23" borderId="0" xfId="1" applyNumberFormat="1" applyFont="1" applyFill="1" applyBorder="1"/>
    <xf numFmtId="175" fontId="139" fillId="20" borderId="0" xfId="1" applyNumberFormat="1" applyFont="1" applyFill="1" applyBorder="1"/>
    <xf numFmtId="182" fontId="139" fillId="25" borderId="0" xfId="1" applyNumberFormat="1" applyFont="1" applyFill="1" applyBorder="1"/>
    <xf numFmtId="175" fontId="139" fillId="15" borderId="1" xfId="1" applyNumberFormat="1" applyFont="1" applyFill="1" applyBorder="1"/>
    <xf numFmtId="2" fontId="139" fillId="0" borderId="0" xfId="0" applyNumberFormat="1" applyFont="1"/>
    <xf numFmtId="175" fontId="139" fillId="23" borderId="0" xfId="0" applyNumberFormat="1" applyFont="1" applyFill="1"/>
    <xf numFmtId="0" fontId="136" fillId="0" borderId="0" xfId="0" applyFont="1" applyAlignment="1">
      <alignment horizontal="center" wrapText="1"/>
    </xf>
    <xf numFmtId="0" fontId="13" fillId="0" borderId="0" xfId="0" applyFont="1" applyAlignment="1">
      <alignment horizontal="right" wrapText="1"/>
    </xf>
    <xf numFmtId="0" fontId="46" fillId="0" borderId="0" xfId="3" applyFill="1" applyAlignment="1" applyProtection="1"/>
    <xf numFmtId="0" fontId="0" fillId="0" borderId="5" xfId="0" applyBorder="1" applyAlignment="1">
      <alignment wrapText="1"/>
    </xf>
    <xf numFmtId="0" fontId="140" fillId="0" borderId="0" xfId="3" applyFont="1" applyFill="1" applyAlignment="1" applyProtection="1"/>
    <xf numFmtId="0" fontId="46" fillId="0" borderId="0" xfId="3" applyFill="1" applyAlignment="1" applyProtection="1">
      <alignment wrapText="1"/>
    </xf>
    <xf numFmtId="0" fontId="140" fillId="0" borderId="0" xfId="3" applyFont="1" applyFill="1" applyAlignment="1" applyProtection="1">
      <alignment wrapText="1"/>
    </xf>
    <xf numFmtId="0" fontId="59" fillId="0" borderId="0" xfId="0" applyFont="1" applyAlignment="1">
      <alignment horizontal="center"/>
    </xf>
    <xf numFmtId="0" fontId="142" fillId="0" borderId="0" xfId="0" applyFont="1"/>
    <xf numFmtId="0" fontId="143" fillId="19" borderId="0" xfId="0" applyFont="1" applyFill="1"/>
    <xf numFmtId="0" fontId="144" fillId="19" borderId="0" xfId="0" applyFont="1" applyFill="1"/>
    <xf numFmtId="0" fontId="13" fillId="0" borderId="0" xfId="0" applyFont="1"/>
    <xf numFmtId="0" fontId="144" fillId="19" borderId="0" xfId="0" applyFont="1" applyFill="1" applyAlignment="1">
      <alignment horizontal="right"/>
    </xf>
    <xf numFmtId="0" fontId="144" fillId="0" borderId="0" xfId="0" applyFont="1"/>
    <xf numFmtId="0" fontId="92" fillId="0" borderId="6" xfId="0" applyFont="1" applyBorder="1"/>
    <xf numFmtId="168" fontId="0" fillId="0" borderId="1" xfId="0" applyNumberFormat="1" applyBorder="1"/>
    <xf numFmtId="166" fontId="13" fillId="19" borderId="0" xfId="1" applyNumberFormat="1" applyFont="1" applyFill="1"/>
    <xf numFmtId="0" fontId="93" fillId="0" borderId="3" xfId="0" applyFont="1" applyBorder="1"/>
    <xf numFmtId="168" fontId="121" fillId="0" borderId="3" xfId="0" applyNumberFormat="1" applyFont="1" applyBorder="1" applyAlignment="1">
      <alignment horizontal="right"/>
    </xf>
    <xf numFmtId="0" fontId="144" fillId="0" borderId="1" xfId="0" applyFont="1" applyBorder="1"/>
    <xf numFmtId="0" fontId="59" fillId="0" borderId="1" xfId="0" applyFont="1" applyBorder="1" applyAlignment="1">
      <alignment horizontal="center"/>
    </xf>
    <xf numFmtId="3" fontId="92" fillId="0" borderId="1" xfId="0" applyNumberFormat="1" applyFont="1" applyBorder="1"/>
    <xf numFmtId="0" fontId="0" fillId="0" borderId="39" xfId="0" applyBorder="1"/>
    <xf numFmtId="0" fontId="148" fillId="0" borderId="28" xfId="0" applyFont="1" applyBorder="1" applyAlignment="1">
      <alignment horizontal="left" indent="2"/>
    </xf>
    <xf numFmtId="4" fontId="102" fillId="0" borderId="28" xfId="0" applyNumberFormat="1" applyFont="1" applyBorder="1"/>
    <xf numFmtId="10" fontId="151" fillId="0" borderId="0" xfId="8" applyNumberFormat="1" applyFont="1" applyAlignment="1">
      <alignment horizontal="left"/>
    </xf>
    <xf numFmtId="0" fontId="17" fillId="0" borderId="0" xfId="0" applyFont="1" applyAlignment="1">
      <alignment horizontal="right" vertical="center"/>
    </xf>
    <xf numFmtId="0" fontId="50" fillId="0" borderId="0" xfId="0" applyFont="1" applyAlignment="1">
      <alignment horizontal="right" vertical="center"/>
    </xf>
    <xf numFmtId="0" fontId="86" fillId="0" borderId="0" xfId="0" applyFont="1" applyAlignment="1">
      <alignment horizontal="right" vertical="center"/>
    </xf>
    <xf numFmtId="166" fontId="143" fillId="19" borderId="6" xfId="1" applyNumberFormat="1" applyFont="1" applyFill="1" applyBorder="1"/>
    <xf numFmtId="166" fontId="143" fillId="19" borderId="1" xfId="1" applyNumberFormat="1" applyFont="1" applyFill="1" applyBorder="1"/>
    <xf numFmtId="166" fontId="143" fillId="19" borderId="7" xfId="1" applyNumberFormat="1" applyFont="1" applyFill="1" applyBorder="1"/>
    <xf numFmtId="0" fontId="152" fillId="33" borderId="0" xfId="0" applyFont="1" applyFill="1"/>
    <xf numFmtId="0" fontId="129" fillId="0" borderId="0" xfId="0" applyFont="1" applyAlignment="1">
      <alignment wrapText="1"/>
    </xf>
    <xf numFmtId="0" fontId="129" fillId="0" borderId="0" xfId="0" applyFont="1"/>
    <xf numFmtId="0" fontId="155" fillId="0" borderId="0" xfId="0" applyFont="1"/>
    <xf numFmtId="0" fontId="156" fillId="35" borderId="52" xfId="0" applyFont="1" applyFill="1" applyBorder="1"/>
    <xf numFmtId="0" fontId="155" fillId="35" borderId="41" xfId="0" applyFont="1" applyFill="1" applyBorder="1" applyAlignment="1">
      <alignment horizontal="left" vertical="center" wrapText="1"/>
    </xf>
    <xf numFmtId="175" fontId="155" fillId="35" borderId="41" xfId="0" applyNumberFormat="1" applyFont="1" applyFill="1" applyBorder="1"/>
    <xf numFmtId="175" fontId="155" fillId="35" borderId="46" xfId="0" applyNumberFormat="1" applyFont="1" applyFill="1" applyBorder="1"/>
    <xf numFmtId="0" fontId="157" fillId="36" borderId="23" xfId="0" applyFont="1" applyFill="1" applyBorder="1" applyAlignment="1">
      <alignment horizontal="left" vertical="center" wrapText="1"/>
    </xf>
    <xf numFmtId="0" fontId="155" fillId="36" borderId="28" xfId="0" applyFont="1" applyFill="1" applyBorder="1" applyAlignment="1">
      <alignment horizontal="left" vertical="center" wrapText="1"/>
    </xf>
    <xf numFmtId="175" fontId="155" fillId="36" borderId="28" xfId="0" applyNumberFormat="1" applyFont="1" applyFill="1" applyBorder="1" applyAlignment="1">
      <alignment horizontal="right" vertical="center"/>
    </xf>
    <xf numFmtId="175" fontId="155" fillId="36" borderId="13" xfId="0" applyNumberFormat="1" applyFont="1" applyFill="1" applyBorder="1" applyAlignment="1">
      <alignment horizontal="right" vertical="center"/>
    </xf>
    <xf numFmtId="0" fontId="155" fillId="0" borderId="24" xfId="0" applyFont="1" applyBorder="1" applyAlignment="1">
      <alignment horizontal="left" vertical="center" wrapText="1"/>
    </xf>
    <xf numFmtId="175" fontId="155" fillId="0" borderId="24" xfId="0" applyNumberFormat="1" applyFont="1" applyBorder="1" applyAlignment="1">
      <alignment horizontal="right" vertical="center"/>
    </xf>
    <xf numFmtId="0" fontId="155" fillId="0" borderId="9" xfId="0" applyFont="1" applyBorder="1" applyAlignment="1">
      <alignment horizontal="left" vertical="center" wrapText="1"/>
    </xf>
    <xf numFmtId="175" fontId="155" fillId="0" borderId="9" xfId="0" applyNumberFormat="1" applyFont="1" applyBorder="1" applyAlignment="1">
      <alignment horizontal="right" vertical="center"/>
    </xf>
    <xf numFmtId="4" fontId="155" fillId="0" borderId="9" xfId="0" applyNumberFormat="1" applyFont="1" applyBorder="1" applyAlignment="1">
      <alignment horizontal="right" vertical="center"/>
    </xf>
    <xf numFmtId="0" fontId="155" fillId="0" borderId="36" xfId="0" applyFont="1" applyBorder="1" applyAlignment="1">
      <alignment horizontal="left" vertical="center" wrapText="1"/>
    </xf>
    <xf numFmtId="175" fontId="155" fillId="0" borderId="36" xfId="0" applyNumberFormat="1" applyFont="1" applyBorder="1" applyAlignment="1">
      <alignment horizontal="right" vertical="center"/>
    </xf>
    <xf numFmtId="14" fontId="155" fillId="0" borderId="24" xfId="0" applyNumberFormat="1" applyFont="1" applyBorder="1" applyAlignment="1">
      <alignment horizontal="left" vertical="center" wrapText="1"/>
    </xf>
    <xf numFmtId="4" fontId="155" fillId="0" borderId="24" xfId="0" applyNumberFormat="1" applyFont="1" applyBorder="1" applyAlignment="1">
      <alignment horizontal="right" vertical="center"/>
    </xf>
    <xf numFmtId="4" fontId="155" fillId="0" borderId="58" xfId="0" applyNumberFormat="1" applyFont="1" applyBorder="1" applyAlignment="1">
      <alignment horizontal="right" vertical="center"/>
    </xf>
    <xf numFmtId="4" fontId="155" fillId="0" borderId="44" xfId="0" applyNumberFormat="1" applyFont="1" applyBorder="1" applyAlignment="1">
      <alignment horizontal="right" vertical="center"/>
    </xf>
    <xf numFmtId="0" fontId="158" fillId="37" borderId="9" xfId="0" applyFont="1" applyFill="1" applyBorder="1" applyAlignment="1">
      <alignment horizontal="left" vertical="center" wrapText="1"/>
    </xf>
    <xf numFmtId="0" fontId="158" fillId="37" borderId="9" xfId="0" applyFont="1" applyFill="1" applyBorder="1" applyAlignment="1">
      <alignment horizontal="right" vertical="center" wrapText="1"/>
    </xf>
    <xf numFmtId="175" fontId="158" fillId="37" borderId="28" xfId="0" applyNumberFormat="1" applyFont="1" applyFill="1" applyBorder="1" applyAlignment="1">
      <alignment horizontal="right" vertical="center"/>
    </xf>
    <xf numFmtId="0" fontId="8" fillId="0" borderId="0" xfId="4" applyFont="1" applyBorder="1" applyAlignment="1">
      <alignment vertical="top" wrapText="1"/>
    </xf>
    <xf numFmtId="0" fontId="91" fillId="0" borderId="0" xfId="4" applyFont="1" applyBorder="1" applyAlignment="1">
      <alignment vertical="top" wrapText="1"/>
    </xf>
    <xf numFmtId="14" fontId="91" fillId="0" borderId="0" xfId="4" applyNumberFormat="1" applyFont="1" applyBorder="1" applyAlignment="1">
      <alignment vertical="top" wrapText="1"/>
    </xf>
    <xf numFmtId="0" fontId="8" fillId="0" borderId="0" xfId="4" applyFont="1" applyAlignment="1">
      <alignment horizontal="left" vertical="top" wrapText="1"/>
    </xf>
    <xf numFmtId="0" fontId="121" fillId="0" borderId="1" xfId="4" applyFont="1" applyBorder="1"/>
    <xf numFmtId="0" fontId="8" fillId="0" borderId="0" xfId="4" applyFont="1" applyBorder="1" applyAlignment="1">
      <alignment horizontal="left" indent="1"/>
    </xf>
    <xf numFmtId="166" fontId="139" fillId="0" borderId="0" xfId="1" applyNumberFormat="1" applyFont="1" applyFill="1" applyBorder="1"/>
    <xf numFmtId="166" fontId="91" fillId="0" borderId="0" xfId="1" applyNumberFormat="1" applyFont="1" applyFill="1" applyBorder="1"/>
    <xf numFmtId="0" fontId="9" fillId="0" borderId="0" xfId="4" applyFont="1" applyBorder="1"/>
    <xf numFmtId="0" fontId="124" fillId="0" borderId="0" xfId="0" applyFont="1"/>
    <xf numFmtId="0" fontId="124" fillId="0" borderId="0" xfId="0" applyFont="1" applyAlignment="1">
      <alignment horizontal="right"/>
    </xf>
    <xf numFmtId="0" fontId="155" fillId="0" borderId="41" xfId="0" applyFont="1" applyBorder="1" applyAlignment="1">
      <alignment horizontal="left" vertical="center" wrapText="1"/>
    </xf>
    <xf numFmtId="175" fontId="155" fillId="0" borderId="41" xfId="0" applyNumberFormat="1" applyFont="1" applyBorder="1" applyAlignment="1">
      <alignment horizontal="right" vertical="center"/>
    </xf>
    <xf numFmtId="0" fontId="153" fillId="0" borderId="0" xfId="0" applyFont="1"/>
    <xf numFmtId="0" fontId="154" fillId="34" borderId="36" xfId="0" applyFont="1" applyFill="1" applyBorder="1" applyAlignment="1">
      <alignment horizontal="left"/>
    </xf>
    <xf numFmtId="0" fontId="154" fillId="34" borderId="36" xfId="0" applyFont="1" applyFill="1" applyBorder="1" applyAlignment="1">
      <alignment horizontal="center"/>
    </xf>
    <xf numFmtId="3" fontId="155" fillId="0" borderId="41" xfId="0" applyNumberFormat="1" applyFont="1" applyBorder="1" applyAlignment="1">
      <alignment horizontal="right" vertical="center"/>
    </xf>
    <xf numFmtId="0" fontId="155" fillId="0" borderId="9" xfId="0" applyFont="1" applyBorder="1" applyAlignment="1">
      <alignment horizontal="left" vertical="center" wrapText="1" indent="1"/>
    </xf>
    <xf numFmtId="0" fontId="155" fillId="0" borderId="36" xfId="0" applyFont="1" applyBorder="1" applyAlignment="1">
      <alignment horizontal="left" vertical="center" wrapText="1" indent="1"/>
    </xf>
    <xf numFmtId="0" fontId="155" fillId="0" borderId="35" xfId="0" applyFont="1" applyBorder="1" applyAlignment="1">
      <alignment horizontal="left" vertical="center" wrapText="1"/>
    </xf>
    <xf numFmtId="0" fontId="88" fillId="0" borderId="1" xfId="0" applyFont="1" applyBorder="1"/>
    <xf numFmtId="0" fontId="155" fillId="0" borderId="52" xfId="0" applyFont="1" applyBorder="1" applyAlignment="1">
      <alignment horizontal="left" vertical="center" wrapText="1"/>
    </xf>
    <xf numFmtId="175" fontId="155" fillId="0" borderId="35" xfId="0" applyNumberFormat="1" applyFont="1" applyBorder="1" applyAlignment="1">
      <alignment horizontal="right" vertical="center"/>
    </xf>
    <xf numFmtId="3" fontId="155" fillId="0" borderId="36" xfId="0" applyNumberFormat="1" applyFont="1" applyBorder="1" applyAlignment="1">
      <alignment horizontal="right" vertical="center"/>
    </xf>
    <xf numFmtId="177" fontId="155" fillId="0" borderId="41" xfId="0" applyNumberFormat="1" applyFont="1" applyBorder="1" applyAlignment="1">
      <alignment horizontal="right" vertical="center"/>
    </xf>
    <xf numFmtId="175" fontId="155" fillId="39" borderId="41" xfId="0" applyNumberFormat="1" applyFont="1" applyFill="1" applyBorder="1" applyAlignment="1">
      <alignment horizontal="right" vertical="center"/>
    </xf>
    <xf numFmtId="166" fontId="121" fillId="0" borderId="0" xfId="1" applyNumberFormat="1" applyFont="1" applyFill="1" applyBorder="1"/>
    <xf numFmtId="4" fontId="102" fillId="0" borderId="41" xfId="0" applyNumberFormat="1" applyFont="1" applyBorder="1"/>
    <xf numFmtId="0" fontId="105" fillId="0" borderId="22" xfId="0" applyFont="1" applyBorder="1" applyAlignment="1">
      <alignment horizontal="left" indent="2"/>
    </xf>
    <xf numFmtId="4" fontId="102" fillId="0" borderId="22" xfId="0" applyNumberFormat="1" applyFont="1" applyBorder="1"/>
    <xf numFmtId="0" fontId="101" fillId="0" borderId="22" xfId="0" applyFont="1" applyBorder="1" applyAlignment="1">
      <alignment horizontal="right"/>
    </xf>
    <xf numFmtId="0" fontId="163" fillId="0" borderId="23" xfId="0" applyFont="1" applyBorder="1" applyAlignment="1">
      <alignment horizontal="left" indent="2"/>
    </xf>
    <xf numFmtId="0" fontId="165" fillId="19" borderId="0" xfId="0" applyFont="1" applyFill="1"/>
    <xf numFmtId="0" fontId="166" fillId="19" borderId="0" xfId="0" applyFont="1" applyFill="1"/>
    <xf numFmtId="0" fontId="164" fillId="19" borderId="3" xfId="0" applyFont="1" applyFill="1" applyBorder="1"/>
    <xf numFmtId="0" fontId="148" fillId="19" borderId="4" xfId="0" applyFont="1" applyFill="1" applyBorder="1"/>
    <xf numFmtId="0" fontId="168" fillId="0" borderId="28" xfId="0" applyFont="1" applyBorder="1" applyAlignment="1">
      <alignment horizontal="left" indent="2"/>
    </xf>
    <xf numFmtId="0" fontId="163" fillId="0" borderId="0" xfId="0" applyFont="1" applyAlignment="1">
      <alignment horizontal="left" indent="2"/>
    </xf>
    <xf numFmtId="0" fontId="171" fillId="0" borderId="28" xfId="0" applyFont="1" applyBorder="1" applyAlignment="1">
      <alignment horizontal="left" indent="2"/>
    </xf>
    <xf numFmtId="175" fontId="101" fillId="0" borderId="28" xfId="0" applyNumberFormat="1" applyFont="1" applyBorder="1"/>
    <xf numFmtId="3" fontId="155" fillId="0" borderId="23" xfId="0" applyNumberFormat="1" applyFont="1" applyBorder="1" applyAlignment="1">
      <alignment horizontal="right" vertical="center"/>
    </xf>
    <xf numFmtId="3" fontId="155" fillId="0" borderId="28" xfId="0" applyNumberFormat="1" applyFont="1" applyBorder="1" applyAlignment="1">
      <alignment horizontal="right" vertical="center"/>
    </xf>
    <xf numFmtId="3" fontId="155" fillId="0" borderId="24" xfId="0" applyNumberFormat="1" applyFont="1" applyBorder="1" applyAlignment="1">
      <alignment horizontal="right" vertical="center"/>
    </xf>
    <xf numFmtId="0" fontId="158" fillId="40" borderId="9" xfId="0" applyFont="1" applyFill="1" applyBorder="1" applyAlignment="1">
      <alignment horizontal="right" vertical="center" wrapText="1"/>
    </xf>
    <xf numFmtId="0" fontId="158" fillId="40" borderId="9" xfId="0" applyFont="1" applyFill="1" applyBorder="1" applyAlignment="1">
      <alignment horizontal="left" vertical="center" wrapText="1"/>
    </xf>
    <xf numFmtId="175" fontId="158" fillId="40" borderId="41" xfId="0" applyNumberFormat="1" applyFont="1" applyFill="1" applyBorder="1" applyAlignment="1">
      <alignment horizontal="right" vertical="center"/>
    </xf>
    <xf numFmtId="4" fontId="158" fillId="40" borderId="41" xfId="0" applyNumberFormat="1" applyFont="1" applyFill="1" applyBorder="1" applyAlignment="1">
      <alignment horizontal="right" vertical="center"/>
    </xf>
    <xf numFmtId="0" fontId="155" fillId="0" borderId="0" xfId="0" applyFont="1" applyAlignment="1">
      <alignment horizontal="left" vertical="center" wrapText="1"/>
    </xf>
    <xf numFmtId="175" fontId="155" fillId="0" borderId="0" xfId="0" applyNumberFormat="1" applyFont="1" applyAlignment="1">
      <alignment horizontal="right" vertical="center"/>
    </xf>
    <xf numFmtId="2" fontId="0" fillId="0" borderId="21" xfId="0" applyNumberFormat="1" applyBorder="1"/>
    <xf numFmtId="0" fontId="88" fillId="0" borderId="22" xfId="0" applyFont="1" applyBorder="1"/>
    <xf numFmtId="0" fontId="155" fillId="0" borderId="9" xfId="0" applyFont="1" applyBorder="1"/>
    <xf numFmtId="175" fontId="175" fillId="0" borderId="41" xfId="0" applyNumberFormat="1" applyFont="1" applyBorder="1" applyAlignment="1">
      <alignment horizontal="right" vertical="center"/>
    </xf>
    <xf numFmtId="0" fontId="175" fillId="0" borderId="0" xfId="0" applyFont="1"/>
    <xf numFmtId="0" fontId="176" fillId="0" borderId="0" xfId="0" applyFont="1" applyAlignment="1">
      <alignment horizontal="left" vertical="center" wrapText="1"/>
    </xf>
    <xf numFmtId="0" fontId="59" fillId="0" borderId="0" xfId="0" applyFont="1" applyAlignment="1">
      <alignment horizontal="left"/>
    </xf>
    <xf numFmtId="0" fontId="105" fillId="0" borderId="22" xfId="0" applyFont="1" applyBorder="1"/>
    <xf numFmtId="0" fontId="155" fillId="38" borderId="38" xfId="0" applyFont="1" applyFill="1" applyBorder="1" applyAlignment="1">
      <alignment horizontal="center" vertical="center" wrapText="1"/>
    </xf>
    <xf numFmtId="175" fontId="155" fillId="38" borderId="38" xfId="0" applyNumberFormat="1" applyFont="1" applyFill="1" applyBorder="1" applyAlignment="1">
      <alignment horizontal="left"/>
    </xf>
    <xf numFmtId="0" fontId="143" fillId="32" borderId="6" xfId="0" applyFont="1" applyFill="1" applyBorder="1"/>
    <xf numFmtId="0" fontId="92" fillId="0" borderId="8" xfId="0" applyFont="1" applyBorder="1"/>
    <xf numFmtId="0" fontId="167" fillId="19" borderId="8" xfId="0" applyFont="1" applyFill="1" applyBorder="1"/>
    <xf numFmtId="176" fontId="0" fillId="0" borderId="0" xfId="1" applyNumberFormat="1" applyFont="1"/>
    <xf numFmtId="175" fontId="155" fillId="37" borderId="41" xfId="0" applyNumberFormat="1" applyFont="1" applyFill="1" applyBorder="1" applyAlignment="1">
      <alignment horizontal="right" vertical="center"/>
    </xf>
    <xf numFmtId="0" fontId="155" fillId="37" borderId="35" xfId="0" applyFont="1" applyFill="1" applyBorder="1" applyAlignment="1">
      <alignment horizontal="left" vertical="center" wrapText="1"/>
    </xf>
    <xf numFmtId="0" fontId="155" fillId="37" borderId="24" xfId="0" applyFont="1" applyFill="1" applyBorder="1" applyAlignment="1">
      <alignment horizontal="left" vertical="center" wrapText="1"/>
    </xf>
    <xf numFmtId="0" fontId="158" fillId="0" borderId="37" xfId="0" applyFont="1" applyBorder="1" applyAlignment="1">
      <alignment horizontal="left" vertical="center" wrapText="1"/>
    </xf>
    <xf numFmtId="175" fontId="155" fillId="37" borderId="41" xfId="0" applyNumberFormat="1" applyFont="1" applyFill="1" applyBorder="1" applyAlignment="1">
      <alignment horizontal="left" vertical="center"/>
    </xf>
    <xf numFmtId="0" fontId="158" fillId="0" borderId="23" xfId="0" applyFont="1" applyBorder="1" applyAlignment="1">
      <alignment horizontal="left" vertical="center" wrapText="1"/>
    </xf>
    <xf numFmtId="175" fontId="155" fillId="37" borderId="28" xfId="0" applyNumberFormat="1" applyFont="1" applyFill="1" applyBorder="1" applyAlignment="1">
      <alignment horizontal="right" vertical="center"/>
    </xf>
    <xf numFmtId="175" fontId="155" fillId="0" borderId="28" xfId="0" applyNumberFormat="1" applyFont="1" applyBorder="1" applyAlignment="1">
      <alignment horizontal="right" vertical="center"/>
    </xf>
    <xf numFmtId="175" fontId="155" fillId="37" borderId="28" xfId="0" applyNumberFormat="1" applyFont="1" applyFill="1" applyBorder="1" applyAlignment="1">
      <alignment horizontal="left" vertical="center"/>
    </xf>
    <xf numFmtId="3" fontId="155" fillId="37" borderId="41" xfId="0" applyNumberFormat="1" applyFont="1" applyFill="1" applyBorder="1" applyAlignment="1">
      <alignment horizontal="right" vertical="center"/>
    </xf>
    <xf numFmtId="175" fontId="177" fillId="37" borderId="41" xfId="0" applyNumberFormat="1" applyFont="1" applyFill="1" applyBorder="1" applyAlignment="1">
      <alignment horizontal="right" vertical="center"/>
    </xf>
    <xf numFmtId="0" fontId="174" fillId="37" borderId="52" xfId="0" applyFont="1" applyFill="1" applyBorder="1" applyAlignment="1">
      <alignment horizontal="left" vertical="center" wrapText="1"/>
    </xf>
    <xf numFmtId="0" fontId="155" fillId="37" borderId="9" xfId="0" applyFont="1" applyFill="1" applyBorder="1" applyAlignment="1">
      <alignment horizontal="left" vertical="center" wrapText="1"/>
    </xf>
    <xf numFmtId="175" fontId="155" fillId="37" borderId="0" xfId="0" applyNumberFormat="1" applyFont="1" applyFill="1" applyAlignment="1">
      <alignment horizontal="left" vertical="center"/>
    </xf>
    <xf numFmtId="175" fontId="155" fillId="0" borderId="0" xfId="0" applyNumberFormat="1" applyFont="1" applyAlignment="1">
      <alignment horizontal="left" vertical="center"/>
    </xf>
    <xf numFmtId="175" fontId="155" fillId="37" borderId="22" xfId="0" applyNumberFormat="1" applyFont="1" applyFill="1" applyBorder="1" applyAlignment="1">
      <alignment horizontal="right" vertical="center"/>
    </xf>
    <xf numFmtId="175" fontId="158" fillId="0" borderId="0" xfId="0" applyNumberFormat="1" applyFont="1" applyAlignment="1">
      <alignment horizontal="left" vertical="center"/>
    </xf>
    <xf numFmtId="0" fontId="155" fillId="37" borderId="9" xfId="0" applyFont="1" applyFill="1" applyBorder="1" applyAlignment="1">
      <alignment horizontal="left" vertical="center" wrapText="1" indent="1"/>
    </xf>
    <xf numFmtId="175" fontId="155" fillId="0" borderId="22" xfId="0" applyNumberFormat="1" applyFont="1" applyBorder="1" applyAlignment="1">
      <alignment horizontal="right" vertical="center"/>
    </xf>
    <xf numFmtId="175" fontId="155" fillId="0" borderId="22" xfId="0" applyNumberFormat="1" applyFont="1" applyBorder="1" applyAlignment="1">
      <alignment horizontal="left" vertical="center"/>
    </xf>
    <xf numFmtId="3" fontId="155" fillId="37" borderId="22" xfId="0" applyNumberFormat="1" applyFont="1" applyFill="1" applyBorder="1" applyAlignment="1">
      <alignment horizontal="right" vertical="center"/>
    </xf>
    <xf numFmtId="175" fontId="155" fillId="37" borderId="23" xfId="0" applyNumberFormat="1" applyFont="1" applyFill="1" applyBorder="1" applyAlignment="1">
      <alignment horizontal="left" vertical="center"/>
    </xf>
    <xf numFmtId="175" fontId="158" fillId="37" borderId="0" xfId="0" applyNumberFormat="1" applyFont="1" applyFill="1" applyAlignment="1">
      <alignment horizontal="left" vertical="center"/>
    </xf>
    <xf numFmtId="175" fontId="155" fillId="0" borderId="28" xfId="0" applyNumberFormat="1" applyFont="1" applyBorder="1" applyAlignment="1">
      <alignment horizontal="left" vertical="center"/>
    </xf>
    <xf numFmtId="175" fontId="177" fillId="37" borderId="28" xfId="0" applyNumberFormat="1" applyFont="1" applyFill="1" applyBorder="1" applyAlignment="1">
      <alignment horizontal="right" vertical="center"/>
    </xf>
    <xf numFmtId="0" fontId="155" fillId="37" borderId="23" xfId="0" applyFont="1" applyFill="1" applyBorder="1" applyAlignment="1">
      <alignment horizontal="left" vertical="center" wrapText="1" indent="1"/>
    </xf>
    <xf numFmtId="3" fontId="177" fillId="37" borderId="41" xfId="0" applyNumberFormat="1" applyFont="1" applyFill="1" applyBorder="1" applyAlignment="1">
      <alignment horizontal="right" vertical="center"/>
    </xf>
    <xf numFmtId="177" fontId="155" fillId="39" borderId="41" xfId="0" applyNumberFormat="1" applyFont="1" applyFill="1" applyBorder="1" applyAlignment="1">
      <alignment horizontal="right" vertical="center"/>
    </xf>
    <xf numFmtId="0" fontId="157" fillId="0" borderId="23" xfId="0" applyFont="1" applyBorder="1" applyAlignment="1">
      <alignment horizontal="left" vertical="center" wrapText="1"/>
    </xf>
    <xf numFmtId="175" fontId="178" fillId="0" borderId="41" xfId="0" applyNumberFormat="1" applyFont="1" applyBorder="1" applyAlignment="1">
      <alignment horizontal="right" vertical="center"/>
    </xf>
    <xf numFmtId="0" fontId="152" fillId="41" borderId="0" xfId="0" applyFont="1" applyFill="1"/>
    <xf numFmtId="0" fontId="152" fillId="0" borderId="0" xfId="0" applyFont="1"/>
    <xf numFmtId="0" fontId="152" fillId="41" borderId="0" xfId="0" applyFont="1" applyFill="1" applyAlignment="1">
      <alignment horizontal="right"/>
    </xf>
    <xf numFmtId="0" fontId="154" fillId="42" borderId="9" xfId="0" applyFont="1" applyFill="1" applyBorder="1" applyAlignment="1">
      <alignment horizontal="left"/>
    </xf>
    <xf numFmtId="0" fontId="154" fillId="42" borderId="9" xfId="0" applyFont="1" applyFill="1" applyBorder="1" applyAlignment="1">
      <alignment horizontal="center"/>
    </xf>
    <xf numFmtId="0" fontId="154" fillId="42" borderId="36" xfId="0" applyFont="1" applyFill="1" applyBorder="1" applyAlignment="1">
      <alignment horizontal="left"/>
    </xf>
    <xf numFmtId="0" fontId="154" fillId="42" borderId="36" xfId="0" applyFont="1" applyFill="1" applyBorder="1" applyAlignment="1">
      <alignment horizontal="center"/>
    </xf>
    <xf numFmtId="0" fontId="155" fillId="43" borderId="38" xfId="0" applyFont="1" applyFill="1" applyBorder="1" applyAlignment="1">
      <alignment horizontal="center" vertical="center" wrapText="1"/>
    </xf>
    <xf numFmtId="0" fontId="158" fillId="28" borderId="9" xfId="0" applyFont="1" applyFill="1" applyBorder="1" applyAlignment="1">
      <alignment horizontal="right" vertical="center" wrapText="1"/>
    </xf>
    <xf numFmtId="0" fontId="158" fillId="28" borderId="9" xfId="0" applyFont="1" applyFill="1" applyBorder="1" applyAlignment="1">
      <alignment horizontal="left" vertical="center" wrapText="1"/>
    </xf>
    <xf numFmtId="175" fontId="158" fillId="28" borderId="41" xfId="0" applyNumberFormat="1" applyFont="1" applyFill="1" applyBorder="1" applyAlignment="1">
      <alignment horizontal="right" vertical="center"/>
    </xf>
    <xf numFmtId="176" fontId="158" fillId="28" borderId="41" xfId="1" applyNumberFormat="1" applyFont="1" applyFill="1" applyBorder="1" applyAlignment="1">
      <alignment horizontal="right" vertical="center"/>
    </xf>
    <xf numFmtId="4" fontId="158" fillId="28" borderId="41" xfId="0" applyNumberFormat="1" applyFont="1" applyFill="1" applyBorder="1" applyAlignment="1">
      <alignment horizontal="right" vertical="center"/>
    </xf>
    <xf numFmtId="0" fontId="154" fillId="44" borderId="36" xfId="0" applyFont="1" applyFill="1" applyBorder="1" applyAlignment="1">
      <alignment horizontal="left"/>
    </xf>
    <xf numFmtId="0" fontId="154" fillId="44" borderId="36" xfId="0" applyFont="1" applyFill="1" applyBorder="1" applyAlignment="1">
      <alignment horizontal="center"/>
    </xf>
    <xf numFmtId="3" fontId="155" fillId="0" borderId="22" xfId="0" applyNumberFormat="1" applyFont="1" applyBorder="1" applyAlignment="1">
      <alignment horizontal="right" vertical="center"/>
    </xf>
    <xf numFmtId="175" fontId="155" fillId="0" borderId="41" xfId="0" applyNumberFormat="1" applyFont="1" applyBorder="1" applyAlignment="1">
      <alignment horizontal="left" vertical="center"/>
    </xf>
    <xf numFmtId="175" fontId="155" fillId="0" borderId="23" xfId="0" applyNumberFormat="1" applyFont="1" applyBorder="1" applyAlignment="1">
      <alignment horizontal="left" vertical="center"/>
    </xf>
    <xf numFmtId="175" fontId="155" fillId="0" borderId="58" xfId="0" applyNumberFormat="1" applyFont="1" applyBorder="1" applyAlignment="1">
      <alignment horizontal="left" vertical="center"/>
    </xf>
    <xf numFmtId="0" fontId="155" fillId="0" borderId="23" xfId="0" applyFont="1" applyBorder="1" applyAlignment="1">
      <alignment horizontal="left" vertical="center" wrapText="1" indent="1"/>
    </xf>
    <xf numFmtId="0" fontId="155" fillId="37" borderId="36" xfId="0" applyFont="1" applyFill="1" applyBorder="1" applyAlignment="1">
      <alignment horizontal="left" vertical="center" wrapText="1" indent="1"/>
    </xf>
    <xf numFmtId="175" fontId="175" fillId="0" borderId="0" xfId="0" applyNumberFormat="1" applyFont="1" applyAlignment="1">
      <alignment horizontal="right" vertical="center"/>
    </xf>
    <xf numFmtId="175" fontId="179" fillId="0" borderId="41" xfId="0" applyNumberFormat="1" applyFont="1" applyBorder="1" applyAlignment="1">
      <alignment horizontal="left" vertical="center"/>
    </xf>
    <xf numFmtId="0" fontId="179" fillId="45" borderId="28" xfId="0" applyFont="1" applyFill="1" applyBorder="1" applyAlignment="1">
      <alignment horizontal="left" vertical="center"/>
    </xf>
    <xf numFmtId="0" fontId="179" fillId="45" borderId="41" xfId="0" applyFont="1" applyFill="1" applyBorder="1" applyAlignment="1">
      <alignment horizontal="left" vertical="center"/>
    </xf>
    <xf numFmtId="175" fontId="179" fillId="45" borderId="41" xfId="0" applyNumberFormat="1" applyFont="1" applyFill="1" applyBorder="1" applyAlignment="1">
      <alignment horizontal="left" vertical="center"/>
    </xf>
    <xf numFmtId="0" fontId="174" fillId="37" borderId="23" xfId="0" applyFont="1" applyFill="1" applyBorder="1" applyAlignment="1">
      <alignment horizontal="left" vertical="center" wrapText="1"/>
    </xf>
    <xf numFmtId="175" fontId="158" fillId="37" borderId="28" xfId="0" applyNumberFormat="1" applyFont="1" applyFill="1" applyBorder="1" applyAlignment="1">
      <alignment horizontal="left" vertical="center"/>
    </xf>
    <xf numFmtId="0" fontId="158" fillId="37" borderId="37" xfId="0" applyFont="1" applyFill="1" applyBorder="1" applyAlignment="1">
      <alignment horizontal="left" vertical="center" wrapText="1"/>
    </xf>
    <xf numFmtId="0" fontId="0" fillId="37" borderId="0" xfId="0" applyFill="1"/>
    <xf numFmtId="173" fontId="155" fillId="0" borderId="41" xfId="0" applyNumberFormat="1" applyFont="1" applyBorder="1" applyAlignment="1">
      <alignment horizontal="right" vertical="center"/>
    </xf>
    <xf numFmtId="173" fontId="155" fillId="36" borderId="28" xfId="0" applyNumberFormat="1" applyFont="1" applyFill="1" applyBorder="1" applyAlignment="1">
      <alignment horizontal="left" vertical="center" wrapText="1"/>
    </xf>
    <xf numFmtId="4" fontId="155" fillId="0" borderId="41" xfId="0" applyNumberFormat="1" applyFont="1" applyBorder="1" applyAlignment="1">
      <alignment horizontal="right" vertical="center"/>
    </xf>
    <xf numFmtId="175" fontId="155" fillId="36" borderId="28" xfId="0" applyNumberFormat="1" applyFont="1" applyFill="1" applyBorder="1" applyAlignment="1">
      <alignment horizontal="left" vertical="center" wrapText="1"/>
    </xf>
    <xf numFmtId="179" fontId="155" fillId="0" borderId="41" xfId="0" applyNumberFormat="1" applyFont="1" applyBorder="1" applyAlignment="1">
      <alignment horizontal="right" vertical="center"/>
    </xf>
    <xf numFmtId="4" fontId="155" fillId="0" borderId="0" xfId="0" applyNumberFormat="1" applyFont="1" applyAlignment="1">
      <alignment horizontal="right" vertical="center"/>
    </xf>
    <xf numFmtId="3" fontId="155" fillId="17" borderId="41" xfId="0" applyNumberFormat="1" applyFont="1" applyFill="1" applyBorder="1" applyAlignment="1">
      <alignment horizontal="right" vertical="center"/>
    </xf>
    <xf numFmtId="175" fontId="139" fillId="20" borderId="0" xfId="0" applyNumberFormat="1" applyFont="1" applyFill="1"/>
    <xf numFmtId="175" fontId="139" fillId="16" borderId="0" xfId="0" applyNumberFormat="1" applyFont="1" applyFill="1"/>
    <xf numFmtId="175" fontId="139" fillId="25" borderId="0" xfId="0" applyNumberFormat="1" applyFont="1" applyFill="1"/>
    <xf numFmtId="175" fontId="150" fillId="0" borderId="21" xfId="0" applyNumberFormat="1" applyFont="1" applyBorder="1"/>
    <xf numFmtId="0" fontId="128" fillId="0" borderId="21" xfId="0" applyFont="1" applyBorder="1"/>
    <xf numFmtId="0" fontId="128" fillId="10" borderId="21" xfId="0" applyFont="1" applyFill="1" applyBorder="1"/>
    <xf numFmtId="168" fontId="150" fillId="15" borderId="34" xfId="0" applyNumberFormat="1" applyFont="1" applyFill="1" applyBorder="1"/>
    <xf numFmtId="168" fontId="150" fillId="0" borderId="22" xfId="0" applyNumberFormat="1" applyFont="1" applyBorder="1"/>
    <xf numFmtId="175" fontId="91" fillId="20" borderId="0" xfId="0" applyNumberFormat="1" applyFont="1" applyFill="1"/>
    <xf numFmtId="169" fontId="139" fillId="24" borderId="0" xfId="1" applyNumberFormat="1" applyFont="1" applyFill="1" applyBorder="1"/>
    <xf numFmtId="169" fontId="139" fillId="10" borderId="0" xfId="1" applyNumberFormat="1" applyFont="1" applyFill="1" applyBorder="1"/>
    <xf numFmtId="169" fontId="139" fillId="23" borderId="0" xfId="1" applyNumberFormat="1" applyFont="1" applyFill="1" applyBorder="1"/>
    <xf numFmtId="169" fontId="139" fillId="0" borderId="0" xfId="1" applyNumberFormat="1" applyFont="1" applyFill="1" applyBorder="1"/>
    <xf numFmtId="169" fontId="139" fillId="20" borderId="0" xfId="1" applyNumberFormat="1" applyFont="1" applyFill="1" applyBorder="1"/>
    <xf numFmtId="169" fontId="139" fillId="26" borderId="0" xfId="1" applyNumberFormat="1" applyFont="1" applyFill="1" applyBorder="1"/>
    <xf numFmtId="169" fontId="139" fillId="0" borderId="1" xfId="1" applyNumberFormat="1" applyFont="1" applyFill="1" applyBorder="1"/>
    <xf numFmtId="169" fontId="139" fillId="10" borderId="1" xfId="1" applyNumberFormat="1" applyFont="1" applyFill="1" applyBorder="1"/>
    <xf numFmtId="166" fontId="91" fillId="20" borderId="0" xfId="1" applyNumberFormat="1" applyFont="1" applyFill="1" applyBorder="1"/>
    <xf numFmtId="0" fontId="128" fillId="0" borderId="1" xfId="0" applyFont="1" applyBorder="1"/>
    <xf numFmtId="0" fontId="8" fillId="0" borderId="65" xfId="0" applyFont="1" applyBorder="1"/>
    <xf numFmtId="0" fontId="8" fillId="0" borderId="63" xfId="0" applyFont="1" applyBorder="1"/>
    <xf numFmtId="0" fontId="8" fillId="0" borderId="64" xfId="0" applyFont="1" applyBorder="1"/>
    <xf numFmtId="0" fontId="9" fillId="18" borderId="64" xfId="5" applyFont="1" applyFill="1" applyBorder="1"/>
    <xf numFmtId="166" fontId="9" fillId="0" borderId="0" xfId="2" applyNumberFormat="1" applyFont="1" applyFill="1" applyBorder="1"/>
    <xf numFmtId="166" fontId="9" fillId="0" borderId="22" xfId="2" applyNumberFormat="1" applyFont="1" applyFill="1" applyBorder="1"/>
    <xf numFmtId="166" fontId="8" fillId="27" borderId="0" xfId="2" applyNumberFormat="1" applyFont="1" applyFill="1" applyBorder="1"/>
    <xf numFmtId="166" fontId="8" fillId="27" borderId="22" xfId="2" applyNumberFormat="1" applyFont="1" applyFill="1" applyBorder="1"/>
    <xf numFmtId="39" fontId="92" fillId="12" borderId="11" xfId="2" applyNumberFormat="1" applyFont="1" applyFill="1" applyBorder="1"/>
    <xf numFmtId="180" fontId="139" fillId="0" borderId="22" xfId="2" applyNumberFormat="1" applyFont="1" applyFill="1" applyBorder="1"/>
    <xf numFmtId="173" fontId="9" fillId="0" borderId="1" xfId="1" applyNumberFormat="1" applyFont="1" applyFill="1" applyBorder="1" applyAlignment="1">
      <alignment horizontal="right"/>
    </xf>
    <xf numFmtId="173" fontId="9" fillId="18" borderId="21" xfId="1" applyNumberFormat="1" applyFont="1" applyFill="1" applyBorder="1" applyAlignment="1">
      <alignment horizontal="right"/>
    </xf>
    <xf numFmtId="9" fontId="183" fillId="12" borderId="0" xfId="0" applyNumberFormat="1" applyFont="1" applyFill="1" applyAlignment="1">
      <alignment horizontal="center"/>
    </xf>
    <xf numFmtId="0" fontId="184" fillId="12" borderId="0" xfId="0" applyFont="1" applyFill="1" applyAlignment="1">
      <alignment horizontal="center" vertical="center" wrapText="1"/>
    </xf>
    <xf numFmtId="3" fontId="183" fillId="12" borderId="0" xfId="0" applyNumberFormat="1" applyFont="1" applyFill="1" applyAlignment="1">
      <alignment horizontal="center"/>
    </xf>
    <xf numFmtId="0" fontId="182" fillId="12" borderId="63" xfId="0" applyFont="1" applyFill="1" applyBorder="1" applyAlignment="1">
      <alignment vertical="center"/>
    </xf>
    <xf numFmtId="0" fontId="182" fillId="12" borderId="64" xfId="0" applyFont="1" applyFill="1" applyBorder="1" applyAlignment="1">
      <alignment vertical="center"/>
    </xf>
    <xf numFmtId="43" fontId="8" fillId="19" borderId="0" xfId="1" applyFont="1" applyFill="1" applyBorder="1"/>
    <xf numFmtId="43" fontId="8" fillId="19" borderId="0" xfId="2" applyFont="1" applyFill="1" applyBorder="1"/>
    <xf numFmtId="0" fontId="182" fillId="12" borderId="0" xfId="0" applyFont="1" applyFill="1" applyAlignment="1">
      <alignment horizontal="center"/>
    </xf>
    <xf numFmtId="166" fontId="0" fillId="0" borderId="0" xfId="1" applyNumberFormat="1" applyFont="1"/>
    <xf numFmtId="0" fontId="184" fillId="12" borderId="0" xfId="0" applyFont="1" applyFill="1" applyAlignment="1">
      <alignment horizontal="center" vertical="center"/>
    </xf>
    <xf numFmtId="0" fontId="182" fillId="12" borderId="0" xfId="0" applyFont="1" applyFill="1" applyAlignment="1">
      <alignment horizontal="center" vertical="center" wrapText="1"/>
    </xf>
    <xf numFmtId="43" fontId="26" fillId="0" borderId="0" xfId="1" applyFont="1" applyFill="1" applyBorder="1"/>
    <xf numFmtId="166" fontId="8" fillId="19" borderId="0" xfId="1" applyNumberFormat="1" applyFont="1" applyFill="1" applyBorder="1"/>
    <xf numFmtId="2" fontId="8" fillId="0" borderId="0" xfId="0" applyNumberFormat="1" applyFont="1" applyAlignment="1">
      <alignment horizontal="right"/>
    </xf>
    <xf numFmtId="43" fontId="8" fillId="0" borderId="0" xfId="1" applyFont="1" applyFill="1" applyBorder="1" applyAlignment="1">
      <alignment horizontal="right"/>
    </xf>
    <xf numFmtId="43" fontId="9" fillId="0" borderId="0" xfId="1" applyFont="1" applyFill="1" applyBorder="1" applyAlignment="1">
      <alignment horizontal="right"/>
    </xf>
    <xf numFmtId="2" fontId="9" fillId="0" borderId="0" xfId="0" applyNumberFormat="1" applyFont="1" applyAlignment="1">
      <alignment horizontal="right"/>
    </xf>
    <xf numFmtId="2" fontId="8" fillId="0" borderId="1" xfId="0" applyNumberFormat="1" applyFont="1" applyBorder="1" applyAlignment="1">
      <alignment horizontal="right"/>
    </xf>
    <xf numFmtId="166" fontId="8" fillId="0" borderId="1" xfId="1" applyNumberFormat="1" applyFont="1" applyFill="1" applyBorder="1"/>
    <xf numFmtId="166" fontId="8" fillId="0" borderId="3" xfId="1" applyNumberFormat="1" applyFont="1" applyFill="1" applyBorder="1"/>
    <xf numFmtId="2" fontId="9" fillId="0" borderId="1" xfId="0" applyNumberFormat="1" applyFont="1" applyBorder="1" applyAlignment="1">
      <alignment horizontal="right"/>
    </xf>
    <xf numFmtId="2" fontId="8" fillId="0" borderId="1" xfId="0" applyNumberFormat="1" applyFont="1" applyBorder="1"/>
    <xf numFmtId="43" fontId="8" fillId="19" borderId="1" xfId="1" applyFont="1" applyFill="1" applyBorder="1"/>
    <xf numFmtId="43" fontId="8" fillId="19" borderId="1" xfId="2" applyFont="1" applyFill="1" applyBorder="1"/>
    <xf numFmtId="43" fontId="8" fillId="19" borderId="6" xfId="1" applyFont="1" applyFill="1" applyBorder="1"/>
    <xf numFmtId="2" fontId="8" fillId="0" borderId="6" xfId="0" applyNumberFormat="1" applyFont="1" applyBorder="1"/>
    <xf numFmtId="2" fontId="139" fillId="0" borderId="1" xfId="0" applyNumberFormat="1" applyFont="1" applyBorder="1"/>
    <xf numFmtId="0" fontId="8" fillId="19" borderId="0" xfId="0" applyFont="1" applyFill="1" applyAlignment="1">
      <alignment vertical="center"/>
    </xf>
    <xf numFmtId="0" fontId="182" fillId="0" borderId="0" xfId="0" applyFont="1" applyAlignment="1">
      <alignment horizontal="right"/>
    </xf>
    <xf numFmtId="0" fontId="183" fillId="0" borderId="0" xfId="0" applyFont="1"/>
    <xf numFmtId="0" fontId="182" fillId="0" borderId="52" xfId="0" applyFont="1" applyBorder="1" applyAlignment="1">
      <alignment horizontal="right"/>
    </xf>
    <xf numFmtId="0" fontId="182" fillId="0" borderId="37" xfId="0" applyFont="1" applyBorder="1" applyAlignment="1">
      <alignment horizontal="right"/>
    </xf>
    <xf numFmtId="0" fontId="182" fillId="0" borderId="58" xfId="0" applyFont="1" applyBorder="1" applyAlignment="1">
      <alignment horizontal="right"/>
    </xf>
    <xf numFmtId="0" fontId="183" fillId="0" borderId="22" xfId="0" applyFont="1" applyBorder="1"/>
    <xf numFmtId="0" fontId="183" fillId="0" borderId="41" xfId="0" applyFont="1" applyBorder="1"/>
    <xf numFmtId="0" fontId="183" fillId="0" borderId="46" xfId="0" applyFont="1" applyBorder="1"/>
    <xf numFmtId="0" fontId="183" fillId="0" borderId="45" xfId="0" applyFont="1" applyBorder="1"/>
    <xf numFmtId="0" fontId="0" fillId="0" borderId="37" xfId="0" applyBorder="1" applyAlignment="1">
      <alignment horizontal="right"/>
    </xf>
    <xf numFmtId="0" fontId="183" fillId="0" borderId="37" xfId="0" applyFont="1" applyBorder="1"/>
    <xf numFmtId="0" fontId="183" fillId="0" borderId="58" xfId="0" applyFont="1" applyBorder="1"/>
    <xf numFmtId="0" fontId="183" fillId="0" borderId="44" xfId="0" applyFont="1" applyBorder="1"/>
    <xf numFmtId="43" fontId="91" fillId="0" borderId="0" xfId="1" applyFont="1" applyFill="1" applyBorder="1"/>
    <xf numFmtId="43" fontId="91" fillId="0" borderId="0" xfId="2" applyFont="1" applyFill="1" applyBorder="1"/>
    <xf numFmtId="165" fontId="0" fillId="0" borderId="0" xfId="0" applyNumberFormat="1"/>
    <xf numFmtId="0" fontId="33" fillId="14" borderId="47" xfId="0" applyFont="1" applyFill="1" applyBorder="1"/>
    <xf numFmtId="0" fontId="17" fillId="0" borderId="43" xfId="0" applyFont="1" applyBorder="1" applyAlignment="1">
      <alignment horizontal="left" indent="4"/>
    </xf>
    <xf numFmtId="0" fontId="186" fillId="0" borderId="2" xfId="0" applyFont="1" applyBorder="1"/>
    <xf numFmtId="175" fontId="155" fillId="0" borderId="23" xfId="0" applyNumberFormat="1" applyFont="1" applyBorder="1" applyAlignment="1">
      <alignment horizontal="right" vertical="center"/>
    </xf>
    <xf numFmtId="175" fontId="155" fillId="0" borderId="52" xfId="0" applyNumberFormat="1" applyFont="1" applyBorder="1" applyAlignment="1">
      <alignment horizontal="right" vertical="center"/>
    </xf>
    <xf numFmtId="175" fontId="155" fillId="0" borderId="58" xfId="0" applyNumberFormat="1" applyFont="1" applyBorder="1" applyAlignment="1">
      <alignment horizontal="right" vertical="center"/>
    </xf>
    <xf numFmtId="0" fontId="188" fillId="0" borderId="9" xfId="0" applyFont="1" applyBorder="1"/>
    <xf numFmtId="175" fontId="178" fillId="36" borderId="9" xfId="0" applyNumberFormat="1" applyFont="1" applyFill="1" applyBorder="1" applyAlignment="1">
      <alignment horizontal="right" vertical="center"/>
    </xf>
    <xf numFmtId="175" fontId="178" fillId="0" borderId="22" xfId="0" applyNumberFormat="1" applyFont="1" applyBorder="1" applyAlignment="1">
      <alignment horizontal="right" vertical="center"/>
    </xf>
    <xf numFmtId="4" fontId="158" fillId="40" borderId="28" xfId="0" applyNumberFormat="1" applyFont="1" applyFill="1" applyBorder="1" applyAlignment="1">
      <alignment horizontal="right" vertical="center"/>
    </xf>
    <xf numFmtId="176" fontId="178" fillId="0" borderId="9" xfId="1" applyNumberFormat="1" applyFont="1" applyBorder="1"/>
    <xf numFmtId="176" fontId="155" fillId="0" borderId="9" xfId="1" applyNumberFormat="1" applyFont="1" applyBorder="1"/>
    <xf numFmtId="175" fontId="153" fillId="0" borderId="9" xfId="0" applyNumberFormat="1" applyFont="1" applyBorder="1" applyAlignment="1">
      <alignment horizontal="right" vertical="center"/>
    </xf>
    <xf numFmtId="0" fontId="153" fillId="0" borderId="9" xfId="0" applyFont="1" applyBorder="1"/>
    <xf numFmtId="0" fontId="9" fillId="26" borderId="0" xfId="0" applyFont="1" applyFill="1"/>
    <xf numFmtId="0" fontId="9" fillId="18" borderId="0" xfId="0" applyFont="1" applyFill="1"/>
    <xf numFmtId="0" fontId="93" fillId="0" borderId="41" xfId="0" applyFont="1" applyBorder="1"/>
    <xf numFmtId="168" fontId="121" fillId="0" borderId="46" xfId="0" applyNumberFormat="1" applyFont="1" applyBorder="1" applyAlignment="1">
      <alignment horizontal="right"/>
    </xf>
    <xf numFmtId="0" fontId="48" fillId="0" borderId="45" xfId="0" applyFont="1" applyBorder="1" applyAlignment="1">
      <alignment horizontal="right"/>
    </xf>
    <xf numFmtId="168" fontId="121" fillId="0" borderId="45" xfId="0" applyNumberFormat="1" applyFont="1" applyBorder="1"/>
    <xf numFmtId="168" fontId="104" fillId="0" borderId="45" xfId="0" applyNumberFormat="1" applyFont="1" applyBorder="1"/>
    <xf numFmtId="175" fontId="121" fillId="0" borderId="45" xfId="0" applyNumberFormat="1" applyFont="1" applyBorder="1"/>
    <xf numFmtId="175" fontId="92" fillId="0" borderId="45" xfId="0" applyNumberFormat="1" applyFont="1" applyBorder="1"/>
    <xf numFmtId="168" fontId="50" fillId="0" borderId="23" xfId="0" applyNumberFormat="1" applyFont="1" applyBorder="1"/>
    <xf numFmtId="168" fontId="50" fillId="0" borderId="28" xfId="0" applyNumberFormat="1" applyFont="1" applyBorder="1"/>
    <xf numFmtId="168" fontId="17" fillId="0" borderId="28" xfId="0" applyNumberFormat="1" applyFont="1" applyBorder="1"/>
    <xf numFmtId="168" fontId="121" fillId="0" borderId="28" xfId="0" applyNumberFormat="1" applyFont="1" applyBorder="1"/>
    <xf numFmtId="168" fontId="50" fillId="0" borderId="58" xfId="0" applyNumberFormat="1" applyFont="1" applyBorder="1"/>
    <xf numFmtId="168" fontId="50" fillId="0" borderId="22" xfId="0" applyNumberFormat="1" applyFont="1" applyBorder="1"/>
    <xf numFmtId="168" fontId="50" fillId="0" borderId="41" xfId="0" applyNumberFormat="1" applyFont="1" applyBorder="1"/>
    <xf numFmtId="0" fontId="86" fillId="0" borderId="0" xfId="0" applyFont="1"/>
    <xf numFmtId="4" fontId="0" fillId="0" borderId="42" xfId="0" applyNumberFormat="1" applyBorder="1"/>
    <xf numFmtId="0" fontId="0" fillId="0" borderId="62" xfId="0" applyBorder="1"/>
    <xf numFmtId="0" fontId="134" fillId="0" borderId="0" xfId="0" applyFont="1" applyAlignment="1">
      <alignment horizontal="right"/>
    </xf>
    <xf numFmtId="0" fontId="153" fillId="0" borderId="24" xfId="0" applyFont="1" applyBorder="1" applyAlignment="1">
      <alignment horizontal="left" vertical="center" wrapText="1"/>
    </xf>
    <xf numFmtId="0" fontId="153" fillId="0" borderId="35" xfId="0" applyFont="1" applyBorder="1" applyAlignment="1">
      <alignment horizontal="left" vertical="center" wrapText="1"/>
    </xf>
    <xf numFmtId="0" fontId="153" fillId="0" borderId="36" xfId="0" applyFont="1" applyBorder="1" applyAlignment="1">
      <alignment horizontal="left" vertical="center" wrapText="1"/>
    </xf>
    <xf numFmtId="175" fontId="8" fillId="14" borderId="0" xfId="0" applyNumberFormat="1" applyFont="1" applyFill="1"/>
    <xf numFmtId="0" fontId="71" fillId="0" borderId="59" xfId="0" applyFont="1" applyBorder="1"/>
    <xf numFmtId="0" fontId="8" fillId="14" borderId="0" xfId="0" applyFont="1" applyFill="1" applyAlignment="1">
      <alignment horizontal="center"/>
    </xf>
    <xf numFmtId="0" fontId="8" fillId="14" borderId="3" xfId="0" applyFont="1" applyFill="1" applyBorder="1" applyAlignment="1">
      <alignment horizontal="left"/>
    </xf>
    <xf numFmtId="0" fontId="8" fillId="23" borderId="0" xfId="0" applyFont="1" applyFill="1" applyAlignment="1">
      <alignment horizontal="right"/>
    </xf>
    <xf numFmtId="164" fontId="8" fillId="0" borderId="0" xfId="0" applyNumberFormat="1" applyFont="1"/>
    <xf numFmtId="0" fontId="8" fillId="14" borderId="3" xfId="0" applyFont="1" applyFill="1" applyBorder="1" applyAlignment="1">
      <alignment horizontal="right"/>
    </xf>
    <xf numFmtId="43" fontId="121" fillId="0" borderId="0" xfId="1" applyFont="1" applyFill="1" applyBorder="1"/>
    <xf numFmtId="0" fontId="121" fillId="0" borderId="1" xfId="4" applyFont="1" applyBorder="1" applyAlignment="1">
      <alignment horizontal="center"/>
    </xf>
    <xf numFmtId="0" fontId="92" fillId="0" borderId="0" xfId="0" applyFont="1" applyAlignment="1">
      <alignment horizontal="left" vertical="top" wrapText="1"/>
    </xf>
    <xf numFmtId="0" fontId="191" fillId="0" borderId="0" xfId="3" applyFont="1" applyFill="1" applyAlignment="1" applyProtection="1"/>
    <xf numFmtId="43" fontId="8" fillId="26" borderId="3" xfId="2" applyFont="1" applyFill="1" applyBorder="1"/>
    <xf numFmtId="14" fontId="92" fillId="0" borderId="0" xfId="0" applyNumberFormat="1" applyFont="1"/>
    <xf numFmtId="173" fontId="8" fillId="23" borderId="0" xfId="0" applyNumberFormat="1" applyFont="1" applyFill="1"/>
    <xf numFmtId="175" fontId="8" fillId="15" borderId="34" xfId="0" applyNumberFormat="1" applyFont="1" applyFill="1" applyBorder="1"/>
    <xf numFmtId="4" fontId="8" fillId="0" borderId="0" xfId="0" applyNumberFormat="1" applyFont="1"/>
    <xf numFmtId="185" fontId="91" fillId="0" borderId="0" xfId="1" applyNumberFormat="1" applyFont="1" applyFill="1" applyBorder="1"/>
    <xf numFmtId="172" fontId="0" fillId="0" borderId="21" xfId="8" applyNumberFormat="1" applyFont="1" applyBorder="1"/>
    <xf numFmtId="175" fontId="91" fillId="16" borderId="0" xfId="0" applyNumberFormat="1" applyFont="1" applyFill="1"/>
    <xf numFmtId="2" fontId="0" fillId="0" borderId="0" xfId="0" applyNumberFormat="1"/>
    <xf numFmtId="171" fontId="0" fillId="0" borderId="0" xfId="0" applyNumberFormat="1"/>
    <xf numFmtId="183" fontId="0" fillId="0" borderId="0" xfId="0" applyNumberFormat="1"/>
    <xf numFmtId="0" fontId="192" fillId="0" borderId="0" xfId="0" applyFont="1"/>
    <xf numFmtId="0" fontId="193" fillId="0" borderId="0" xfId="0" applyFont="1"/>
    <xf numFmtId="169" fontId="0" fillId="0" borderId="0" xfId="0" applyNumberFormat="1"/>
    <xf numFmtId="0" fontId="154" fillId="0" borderId="0" xfId="0" applyFont="1" applyAlignment="1">
      <alignment horizontal="center"/>
    </xf>
    <xf numFmtId="184" fontId="0" fillId="0" borderId="0" xfId="0" applyNumberFormat="1"/>
    <xf numFmtId="0" fontId="154" fillId="42" borderId="23" xfId="0" applyFont="1" applyFill="1" applyBorder="1" applyAlignment="1">
      <alignment horizontal="center"/>
    </xf>
    <xf numFmtId="4" fontId="155" fillId="0" borderId="23" xfId="0" applyNumberFormat="1" applyFont="1" applyBorder="1" applyAlignment="1">
      <alignment horizontal="right" vertical="center"/>
    </xf>
    <xf numFmtId="4" fontId="155" fillId="0" borderId="22" xfId="0" applyNumberFormat="1" applyFont="1" applyBorder="1" applyAlignment="1">
      <alignment horizontal="right" vertical="center"/>
    </xf>
    <xf numFmtId="39" fontId="91" fillId="0" borderId="0" xfId="1" applyNumberFormat="1" applyFont="1" applyFill="1" applyBorder="1"/>
    <xf numFmtId="39" fontId="0" fillId="0" borderId="0" xfId="0" applyNumberFormat="1"/>
    <xf numFmtId="166" fontId="0" fillId="0" borderId="0" xfId="0" applyNumberFormat="1"/>
    <xf numFmtId="0" fontId="154" fillId="44" borderId="52" xfId="0" applyFont="1" applyFill="1" applyBorder="1" applyAlignment="1">
      <alignment horizontal="center"/>
    </xf>
    <xf numFmtId="0" fontId="154" fillId="34" borderId="52" xfId="0" applyFont="1" applyFill="1" applyBorder="1" applyAlignment="1">
      <alignment horizontal="center"/>
    </xf>
    <xf numFmtId="0" fontId="188" fillId="0" borderId="23" xfId="0" applyFont="1" applyBorder="1"/>
    <xf numFmtId="175" fontId="178" fillId="36" borderId="23" xfId="0" applyNumberFormat="1" applyFont="1" applyFill="1" applyBorder="1" applyAlignment="1">
      <alignment horizontal="right" vertical="center"/>
    </xf>
    <xf numFmtId="0" fontId="154" fillId="42" borderId="52" xfId="0" applyFont="1" applyFill="1" applyBorder="1" applyAlignment="1">
      <alignment horizontal="center"/>
    </xf>
    <xf numFmtId="3" fontId="155" fillId="0" borderId="0" xfId="0" applyNumberFormat="1" applyFont="1" applyAlignment="1">
      <alignment horizontal="right" vertical="center"/>
    </xf>
    <xf numFmtId="3" fontId="178" fillId="0" borderId="0" xfId="0" applyNumberFormat="1" applyFont="1" applyAlignment="1">
      <alignment horizontal="right" vertical="center"/>
    </xf>
    <xf numFmtId="179" fontId="155" fillId="0" borderId="0" xfId="0" applyNumberFormat="1" applyFont="1" applyAlignment="1">
      <alignment horizontal="right" vertical="center"/>
    </xf>
    <xf numFmtId="175" fontId="153" fillId="0" borderId="0" xfId="0" applyNumberFormat="1" applyFont="1"/>
    <xf numFmtId="175" fontId="153" fillId="0" borderId="0" xfId="0" applyNumberFormat="1" applyFont="1" applyAlignment="1">
      <alignment horizontal="right" vertical="center"/>
    </xf>
    <xf numFmtId="175" fontId="155" fillId="0" borderId="0" xfId="0" applyNumberFormat="1" applyFont="1"/>
    <xf numFmtId="175" fontId="178" fillId="0" borderId="0" xfId="0" applyNumberFormat="1" applyFont="1" applyAlignment="1">
      <alignment horizontal="right" vertical="center"/>
    </xf>
    <xf numFmtId="175" fontId="158" fillId="0" borderId="0" xfId="0" applyNumberFormat="1" applyFont="1" applyAlignment="1">
      <alignment horizontal="right" vertical="center"/>
    </xf>
    <xf numFmtId="4" fontId="158" fillId="0" borderId="0" xfId="0" applyNumberFormat="1" applyFont="1" applyAlignment="1">
      <alignment horizontal="right" vertical="center"/>
    </xf>
    <xf numFmtId="0" fontId="153" fillId="0" borderId="0" xfId="0" applyFont="1" applyAlignment="1">
      <alignment horizontal="right"/>
    </xf>
    <xf numFmtId="176" fontId="155" fillId="0" borderId="0" xfId="1" applyNumberFormat="1" applyFont="1" applyFill="1" applyBorder="1"/>
    <xf numFmtId="175" fontId="155" fillId="0" borderId="0" xfId="0" applyNumberFormat="1" applyFont="1" applyAlignment="1">
      <alignment horizontal="left" vertical="center" wrapText="1"/>
    </xf>
    <xf numFmtId="173" fontId="155" fillId="0" borderId="0" xfId="0" applyNumberFormat="1" applyFont="1" applyAlignment="1">
      <alignment horizontal="right" vertical="center"/>
    </xf>
    <xf numFmtId="173" fontId="155" fillId="0" borderId="0" xfId="0" applyNumberFormat="1" applyFont="1" applyAlignment="1">
      <alignment horizontal="left" vertical="center" wrapText="1"/>
    </xf>
    <xf numFmtId="176" fontId="158" fillId="0" borderId="0" xfId="1" applyNumberFormat="1" applyFont="1" applyFill="1" applyBorder="1" applyAlignment="1">
      <alignment horizontal="right" vertical="center"/>
    </xf>
    <xf numFmtId="179" fontId="158" fillId="0" borderId="0" xfId="0" applyNumberFormat="1" applyFont="1" applyAlignment="1">
      <alignment horizontal="right" vertical="center"/>
    </xf>
    <xf numFmtId="166" fontId="89" fillId="0" borderId="0" xfId="0" applyNumberFormat="1" applyFont="1"/>
    <xf numFmtId="169" fontId="27" fillId="0" borderId="0" xfId="1" applyNumberFormat="1" applyFont="1" applyFill="1" applyBorder="1"/>
    <xf numFmtId="180" fontId="27" fillId="0" borderId="0" xfId="1" applyNumberFormat="1" applyFont="1" applyFill="1" applyBorder="1"/>
    <xf numFmtId="173" fontId="8" fillId="0" borderId="0" xfId="0" applyNumberFormat="1" applyFont="1"/>
    <xf numFmtId="175" fontId="89" fillId="0" borderId="0" xfId="0" applyNumberFormat="1" applyFont="1"/>
    <xf numFmtId="175" fontId="131" fillId="0" borderId="0" xfId="0" applyNumberFormat="1" applyFont="1"/>
    <xf numFmtId="172" fontId="0" fillId="0" borderId="0" xfId="8" applyNumberFormat="1" applyFont="1" applyFill="1" applyBorder="1"/>
    <xf numFmtId="0" fontId="9" fillId="0" borderId="68" xfId="0" applyFont="1" applyBorder="1"/>
    <xf numFmtId="3" fontId="91" fillId="25" borderId="1" xfId="1" applyNumberFormat="1" applyFont="1" applyFill="1" applyBorder="1"/>
    <xf numFmtId="1" fontId="91" fillId="25" borderId="1" xfId="1" applyNumberFormat="1" applyFont="1" applyFill="1" applyBorder="1"/>
    <xf numFmtId="168" fontId="27" fillId="15" borderId="21" xfId="0" applyNumberFormat="1" applyFont="1" applyFill="1" applyBorder="1"/>
    <xf numFmtId="175" fontId="9" fillId="15" borderId="32" xfId="0" applyNumberFormat="1" applyFont="1" applyFill="1" applyBorder="1"/>
    <xf numFmtId="43" fontId="91" fillId="0" borderId="1" xfId="2" applyFont="1" applyFill="1" applyBorder="1"/>
    <xf numFmtId="168" fontId="17" fillId="0" borderId="55" xfId="0" applyNumberFormat="1" applyFont="1" applyBorder="1"/>
    <xf numFmtId="175" fontId="153" fillId="0" borderId="23" xfId="0" applyNumberFormat="1" applyFont="1" applyBorder="1" applyAlignment="1">
      <alignment horizontal="right" vertical="center"/>
    </xf>
    <xf numFmtId="0" fontId="153" fillId="0" borderId="23" xfId="0" applyFont="1" applyBorder="1"/>
    <xf numFmtId="175" fontId="155" fillId="0" borderId="37" xfId="0" applyNumberFormat="1" applyFont="1" applyBorder="1" applyAlignment="1">
      <alignment horizontal="right" vertical="center"/>
    </xf>
    <xf numFmtId="176" fontId="155" fillId="0" borderId="23" xfId="1" applyNumberFormat="1" applyFont="1" applyBorder="1"/>
    <xf numFmtId="3" fontId="155" fillId="0" borderId="58" xfId="0" applyNumberFormat="1" applyFont="1" applyBorder="1" applyAlignment="1">
      <alignment horizontal="right" vertical="center"/>
    </xf>
    <xf numFmtId="175" fontId="153" fillId="0" borderId="24" xfId="0" applyNumberFormat="1" applyFont="1" applyBorder="1" applyAlignment="1">
      <alignment horizontal="right" vertical="center"/>
    </xf>
    <xf numFmtId="0" fontId="153" fillId="0" borderId="9" xfId="0" applyFont="1" applyBorder="1" applyAlignment="1">
      <alignment vertical="center" wrapText="1"/>
    </xf>
    <xf numFmtId="0" fontId="153" fillId="0" borderId="42" xfId="0" applyFont="1" applyBorder="1" applyAlignment="1">
      <alignment vertical="center" wrapText="1"/>
    </xf>
    <xf numFmtId="175" fontId="153" fillId="0" borderId="42" xfId="0" applyNumberFormat="1" applyFont="1" applyBorder="1" applyAlignment="1">
      <alignment horizontal="right" vertical="center"/>
    </xf>
    <xf numFmtId="0" fontId="153" fillId="0" borderId="0" xfId="0" applyFont="1" applyAlignment="1">
      <alignment vertical="center" wrapText="1"/>
    </xf>
    <xf numFmtId="43" fontId="0" fillId="0" borderId="0" xfId="1" applyFont="1"/>
    <xf numFmtId="4" fontId="150" fillId="0" borderId="21" xfId="0" applyNumberFormat="1" applyFont="1" applyBorder="1"/>
    <xf numFmtId="39" fontId="91" fillId="0" borderId="0" xfId="1" applyNumberFormat="1" applyFont="1" applyFill="1"/>
    <xf numFmtId="166" fontId="91" fillId="0" borderId="0" xfId="1" applyNumberFormat="1" applyFont="1" applyFill="1"/>
    <xf numFmtId="0" fontId="121" fillId="0" borderId="1" xfId="4" applyFont="1" applyBorder="1" applyAlignment="1">
      <alignment horizontal="right"/>
    </xf>
    <xf numFmtId="1" fontId="194" fillId="19" borderId="22" xfId="0" applyNumberFormat="1" applyFont="1" applyFill="1" applyBorder="1"/>
    <xf numFmtId="1" fontId="194" fillId="19" borderId="41" xfId="0" applyNumberFormat="1" applyFont="1" applyFill="1" applyBorder="1"/>
    <xf numFmtId="0" fontId="153" fillId="0" borderId="24" xfId="0" applyFont="1" applyBorder="1" applyAlignment="1">
      <alignment vertical="center" wrapText="1"/>
    </xf>
    <xf numFmtId="0" fontId="196" fillId="0" borderId="9" xfId="0" applyFont="1" applyBorder="1"/>
    <xf numFmtId="164" fontId="196" fillId="0" borderId="9" xfId="0" applyNumberFormat="1" applyFont="1" applyBorder="1"/>
    <xf numFmtId="165" fontId="196" fillId="0" borderId="24" xfId="0" applyNumberFormat="1" applyFont="1" applyBorder="1"/>
    <xf numFmtId="0" fontId="196" fillId="0" borderId="0" xfId="0" applyFont="1"/>
    <xf numFmtId="165" fontId="196" fillId="0" borderId="9" xfId="0" applyNumberFormat="1" applyFont="1" applyBorder="1"/>
    <xf numFmtId="165" fontId="196" fillId="0" borderId="42" xfId="0" applyNumberFormat="1" applyFont="1" applyBorder="1"/>
    <xf numFmtId="0" fontId="196" fillId="0" borderId="42" xfId="0" applyFont="1" applyBorder="1"/>
    <xf numFmtId="166" fontId="0" fillId="0" borderId="41" xfId="1" applyNumberFormat="1" applyFont="1" applyBorder="1"/>
    <xf numFmtId="164" fontId="0" fillId="0" borderId="9" xfId="0" applyNumberFormat="1" applyBorder="1"/>
    <xf numFmtId="0" fontId="196" fillId="0" borderId="24" xfId="0" applyFont="1" applyBorder="1"/>
    <xf numFmtId="175" fontId="131" fillId="15" borderId="32" xfId="0" applyNumberFormat="1" applyFont="1" applyFill="1" applyBorder="1"/>
    <xf numFmtId="43" fontId="0" fillId="0" borderId="22" xfId="1" applyFont="1" applyBorder="1"/>
    <xf numFmtId="0" fontId="73" fillId="0" borderId="0" xfId="0" applyFont="1"/>
    <xf numFmtId="0" fontId="0" fillId="0" borderId="38" xfId="0" applyBorder="1"/>
    <xf numFmtId="4" fontId="119" fillId="0" borderId="0" xfId="0" applyNumberFormat="1" applyFont="1"/>
    <xf numFmtId="4" fontId="88" fillId="0" borderId="0" xfId="0" applyNumberFormat="1" applyFont="1"/>
    <xf numFmtId="0" fontId="71" fillId="0" borderId="1" xfId="0" applyFont="1" applyBorder="1" applyAlignment="1">
      <alignment horizontal="right"/>
    </xf>
    <xf numFmtId="0" fontId="71" fillId="0" borderId="21" xfId="0" applyFont="1" applyBorder="1" applyAlignment="1">
      <alignment horizontal="right"/>
    </xf>
    <xf numFmtId="175" fontId="92" fillId="0" borderId="21" xfId="0" applyNumberFormat="1" applyFont="1" applyBorder="1"/>
    <xf numFmtId="168" fontId="121" fillId="0" borderId="0" xfId="0" applyNumberFormat="1" applyFont="1"/>
    <xf numFmtId="168" fontId="17" fillId="0" borderId="0" xfId="0" applyNumberFormat="1" applyFont="1"/>
    <xf numFmtId="175" fontId="91" fillId="15" borderId="34" xfId="0" applyNumberFormat="1" applyFont="1" applyFill="1" applyBorder="1"/>
    <xf numFmtId="175" fontId="91" fillId="26" borderId="0" xfId="0" applyNumberFormat="1" applyFont="1" applyFill="1"/>
    <xf numFmtId="175" fontId="91" fillId="14" borderId="0" xfId="0" applyNumberFormat="1" applyFont="1" applyFill="1"/>
    <xf numFmtId="175" fontId="8" fillId="0" borderId="22" xfId="0" applyNumberFormat="1" applyFont="1" applyBorder="1"/>
    <xf numFmtId="175" fontId="139" fillId="0" borderId="22" xfId="0" applyNumberFormat="1" applyFont="1" applyBorder="1"/>
    <xf numFmtId="175" fontId="92" fillId="0" borderId="34" xfId="0" applyNumberFormat="1" applyFont="1" applyBorder="1"/>
    <xf numFmtId="175" fontId="8" fillId="0" borderId="28" xfId="0" applyNumberFormat="1" applyFont="1" applyBorder="1"/>
    <xf numFmtId="175" fontId="17" fillId="0" borderId="28" xfId="0" applyNumberFormat="1" applyFont="1" applyBorder="1"/>
    <xf numFmtId="0" fontId="9" fillId="24" borderId="22" xfId="0" applyFont="1" applyFill="1" applyBorder="1" applyAlignment="1">
      <alignment horizontal="left" indent="3"/>
    </xf>
    <xf numFmtId="0" fontId="8" fillId="0" borderId="22" xfId="0" applyFont="1" applyBorder="1" applyAlignment="1">
      <alignment horizontal="left" indent="4"/>
    </xf>
    <xf numFmtId="175" fontId="8" fillId="24" borderId="8" xfId="0" applyNumberFormat="1" applyFont="1" applyFill="1" applyBorder="1"/>
    <xf numFmtId="175" fontId="8" fillId="24" borderId="3" xfId="0" applyNumberFormat="1" applyFont="1" applyFill="1" applyBorder="1"/>
    <xf numFmtId="175" fontId="139" fillId="24" borderId="3" xfId="0" applyNumberFormat="1" applyFont="1" applyFill="1" applyBorder="1"/>
    <xf numFmtId="175" fontId="8" fillId="0" borderId="5" xfId="0" applyNumberFormat="1" applyFont="1" applyBorder="1"/>
    <xf numFmtId="175" fontId="17" fillId="0" borderId="20" xfId="0" applyNumberFormat="1" applyFont="1" applyBorder="1"/>
    <xf numFmtId="172" fontId="0" fillId="0" borderId="1" xfId="8" applyNumberFormat="1" applyFont="1" applyBorder="1"/>
    <xf numFmtId="43" fontId="198" fillId="26" borderId="3" xfId="2" applyFont="1" applyFill="1" applyBorder="1"/>
    <xf numFmtId="3" fontId="92" fillId="0" borderId="22" xfId="0" applyNumberFormat="1" applyFont="1" applyBorder="1"/>
    <xf numFmtId="166" fontId="0" fillId="0" borderId="41" xfId="1" applyNumberFormat="1" applyFont="1" applyFill="1" applyBorder="1"/>
    <xf numFmtId="43" fontId="17" fillId="0" borderId="1" xfId="4" applyNumberFormat="1" applyFont="1" applyBorder="1"/>
    <xf numFmtId="186" fontId="92" fillId="0" borderId="1" xfId="0" applyNumberFormat="1" applyFont="1" applyBorder="1"/>
    <xf numFmtId="0" fontId="91" fillId="0" borderId="0" xfId="4" applyFont="1" applyBorder="1" applyAlignment="1">
      <alignment horizontal="left" indent="1"/>
    </xf>
    <xf numFmtId="0" fontId="91" fillId="0" borderId="0" xfId="0" applyFont="1" applyAlignment="1">
      <alignment horizontal="left" indent="1"/>
    </xf>
    <xf numFmtId="0" fontId="201" fillId="0" borderId="22" xfId="0" applyFont="1" applyBorder="1" applyAlignment="1">
      <alignment horizontal="right"/>
    </xf>
    <xf numFmtId="0" fontId="202" fillId="12" borderId="23" xfId="0" applyFont="1" applyFill="1" applyBorder="1" applyAlignment="1">
      <alignment horizontal="left" vertical="center" wrapText="1"/>
    </xf>
    <xf numFmtId="0" fontId="153" fillId="0" borderId="9" xfId="0" applyFont="1" applyBorder="1" applyAlignment="1">
      <alignment horizontal="left" vertical="center" wrapText="1"/>
    </xf>
    <xf numFmtId="1" fontId="194" fillId="0" borderId="0" xfId="0" applyNumberFormat="1" applyFont="1"/>
    <xf numFmtId="0" fontId="153" fillId="0" borderId="41" xfId="0" applyFont="1" applyBorder="1" applyAlignment="1">
      <alignment vertical="center" wrapText="1"/>
    </xf>
    <xf numFmtId="0" fontId="153" fillId="0" borderId="22" xfId="0" applyFont="1" applyBorder="1" applyAlignment="1">
      <alignment vertical="center" wrapText="1"/>
    </xf>
    <xf numFmtId="0" fontId="153" fillId="12" borderId="28" xfId="0" applyFont="1" applyFill="1" applyBorder="1" applyAlignment="1">
      <alignment horizontal="left" vertical="center" wrapText="1"/>
    </xf>
    <xf numFmtId="14" fontId="153" fillId="0" borderId="24" xfId="0" applyNumberFormat="1" applyFont="1" applyBorder="1" applyAlignment="1">
      <alignment horizontal="left" vertical="center" wrapText="1"/>
    </xf>
    <xf numFmtId="0" fontId="203" fillId="19" borderId="52" xfId="0" applyFont="1" applyFill="1" applyBorder="1"/>
    <xf numFmtId="0" fontId="204" fillId="46" borderId="36" xfId="0" applyFont="1" applyFill="1" applyBorder="1" applyAlignment="1">
      <alignment horizontal="left"/>
    </xf>
    <xf numFmtId="0" fontId="204" fillId="46" borderId="36" xfId="0" applyFont="1" applyFill="1" applyBorder="1" applyAlignment="1">
      <alignment horizontal="center"/>
    </xf>
    <xf numFmtId="175" fontId="153" fillId="0" borderId="36" xfId="0" applyNumberFormat="1" applyFont="1" applyBorder="1" applyAlignment="1">
      <alignment horizontal="right" vertical="center"/>
    </xf>
    <xf numFmtId="175" fontId="153" fillId="12" borderId="28" xfId="0" applyNumberFormat="1" applyFont="1" applyFill="1" applyBorder="1" applyAlignment="1">
      <alignment horizontal="right" vertical="center"/>
    </xf>
    <xf numFmtId="175" fontId="153" fillId="0" borderId="58" xfId="0" applyNumberFormat="1" applyFont="1" applyBorder="1" applyAlignment="1">
      <alignment horizontal="right" vertical="center"/>
    </xf>
    <xf numFmtId="175" fontId="153" fillId="0" borderId="44" xfId="0" applyNumberFormat="1" applyFont="1" applyBorder="1" applyAlignment="1">
      <alignment horizontal="right" vertical="center"/>
    </xf>
    <xf numFmtId="0" fontId="0" fillId="19" borderId="0" xfId="0" applyFill="1"/>
    <xf numFmtId="0" fontId="152" fillId="0" borderId="0" xfId="0" applyFont="1" applyAlignment="1">
      <alignment horizontal="left"/>
    </xf>
    <xf numFmtId="173" fontId="153" fillId="0" borderId="9" xfId="0" applyNumberFormat="1" applyFont="1" applyBorder="1" applyAlignment="1">
      <alignment horizontal="right" vertical="center"/>
    </xf>
    <xf numFmtId="173" fontId="153" fillId="0" borderId="36" xfId="0" applyNumberFormat="1" applyFont="1" applyBorder="1" applyAlignment="1">
      <alignment horizontal="right" vertical="center"/>
    </xf>
    <xf numFmtId="173" fontId="153" fillId="12" borderId="28" xfId="0" applyNumberFormat="1" applyFont="1" applyFill="1" applyBorder="1" applyAlignment="1">
      <alignment horizontal="right" vertical="center"/>
    </xf>
    <xf numFmtId="173" fontId="153" fillId="0" borderId="24" xfId="0" applyNumberFormat="1" applyFont="1" applyBorder="1" applyAlignment="1">
      <alignment horizontal="right" vertical="center"/>
    </xf>
    <xf numFmtId="173" fontId="153" fillId="0" borderId="58" xfId="0" applyNumberFormat="1" applyFont="1" applyBorder="1" applyAlignment="1">
      <alignment horizontal="right" vertical="center"/>
    </xf>
    <xf numFmtId="173" fontId="153" fillId="0" borderId="44" xfId="0" applyNumberFormat="1" applyFont="1" applyBorder="1" applyAlignment="1">
      <alignment horizontal="right" vertical="center"/>
    </xf>
    <xf numFmtId="0" fontId="153" fillId="0" borderId="52" xfId="0" applyFont="1" applyBorder="1" applyAlignment="1">
      <alignment horizontal="left" vertical="center" wrapText="1"/>
    </xf>
    <xf numFmtId="179" fontId="153" fillId="0" borderId="9" xfId="0" applyNumberFormat="1" applyFont="1" applyBorder="1" applyAlignment="1">
      <alignment horizontal="right" vertical="center"/>
    </xf>
    <xf numFmtId="43" fontId="0" fillId="0" borderId="0" xfId="1" applyFont="1" applyBorder="1"/>
    <xf numFmtId="0" fontId="153" fillId="0" borderId="62" xfId="0" applyFont="1" applyBorder="1" applyAlignment="1">
      <alignment vertical="center" wrapText="1"/>
    </xf>
    <xf numFmtId="1" fontId="196" fillId="0" borderId="62" xfId="0" applyNumberFormat="1" applyFont="1" applyBorder="1"/>
    <xf numFmtId="43" fontId="0" fillId="0" borderId="21" xfId="1" applyFont="1" applyBorder="1"/>
    <xf numFmtId="43" fontId="0" fillId="0" borderId="28" xfId="1" applyFont="1" applyBorder="1"/>
    <xf numFmtId="43" fontId="0" fillId="0" borderId="28" xfId="1" applyFont="1" applyFill="1" applyBorder="1"/>
    <xf numFmtId="43" fontId="0" fillId="15" borderId="28" xfId="1" applyFont="1" applyFill="1" applyBorder="1"/>
    <xf numFmtId="43" fontId="88" fillId="0" borderId="0" xfId="1" applyFont="1" applyBorder="1"/>
    <xf numFmtId="0" fontId="153" fillId="0" borderId="36" xfId="0" applyFont="1" applyBorder="1" applyAlignment="1">
      <alignment vertical="center" wrapText="1"/>
    </xf>
    <xf numFmtId="3" fontId="0" fillId="0" borderId="58" xfId="0" applyNumberFormat="1" applyBorder="1"/>
    <xf numFmtId="43" fontId="0" fillId="19" borderId="28" xfId="1" applyFont="1" applyFill="1" applyBorder="1"/>
    <xf numFmtId="43" fontId="0" fillId="0" borderId="0" xfId="1" applyFont="1" applyFill="1" applyBorder="1"/>
    <xf numFmtId="0" fontId="155" fillId="38" borderId="26" xfId="0" applyFont="1" applyFill="1" applyBorder="1" applyAlignment="1">
      <alignment horizontal="center" vertical="center" wrapText="1"/>
    </xf>
    <xf numFmtId="0" fontId="154" fillId="34" borderId="35" xfId="0" applyFont="1" applyFill="1" applyBorder="1" applyAlignment="1">
      <alignment horizontal="left"/>
    </xf>
    <xf numFmtId="175" fontId="155" fillId="38" borderId="9" xfId="0" applyNumberFormat="1" applyFont="1" applyFill="1" applyBorder="1" applyAlignment="1">
      <alignment horizontal="left"/>
    </xf>
    <xf numFmtId="171" fontId="196" fillId="0" borderId="9" xfId="0" applyNumberFormat="1" applyFont="1" applyBorder="1"/>
    <xf numFmtId="0" fontId="196" fillId="15" borderId="24" xfId="0" applyFont="1" applyFill="1" applyBorder="1"/>
    <xf numFmtId="165" fontId="196" fillId="15" borderId="24" xfId="0" applyNumberFormat="1" applyFont="1" applyFill="1" applyBorder="1"/>
    <xf numFmtId="168" fontId="200" fillId="0" borderId="22" xfId="0" applyNumberFormat="1" applyFont="1" applyBorder="1"/>
    <xf numFmtId="0" fontId="8" fillId="0" borderId="0" xfId="0" applyFont="1" applyAlignment="1">
      <alignment horizontal="left" indent="4"/>
    </xf>
    <xf numFmtId="0" fontId="71" fillId="0" borderId="47" xfId="0" applyFont="1" applyBorder="1" applyAlignment="1">
      <alignment horizontal="right"/>
    </xf>
    <xf numFmtId="0" fontId="8" fillId="0" borderId="53" xfId="0" applyFont="1" applyBorder="1" applyAlignment="1">
      <alignment horizontal="left" indent="6"/>
    </xf>
    <xf numFmtId="0" fontId="8" fillId="0" borderId="2" xfId="0" applyFont="1" applyBorder="1" applyAlignment="1">
      <alignment horizontal="left" indent="6"/>
    </xf>
    <xf numFmtId="0" fontId="8" fillId="0" borderId="48" xfId="0" applyFont="1" applyBorder="1" applyAlignment="1">
      <alignment horizontal="left" indent="6"/>
    </xf>
    <xf numFmtId="0" fontId="10" fillId="0" borderId="1" xfId="0" applyFont="1" applyBorder="1"/>
    <xf numFmtId="0" fontId="10" fillId="0" borderId="39" xfId="0" applyFont="1" applyBorder="1" applyAlignment="1">
      <alignment horizontal="right"/>
    </xf>
    <xf numFmtId="175" fontId="11" fillId="15" borderId="34" xfId="0" applyNumberFormat="1" applyFont="1" applyFill="1" applyBorder="1"/>
    <xf numFmtId="175" fontId="11" fillId="14" borderId="0" xfId="0" applyNumberFormat="1" applyFont="1" applyFill="1"/>
    <xf numFmtId="175" fontId="11" fillId="20" borderId="0" xfId="0" applyNumberFormat="1" applyFont="1" applyFill="1"/>
    <xf numFmtId="175" fontId="11" fillId="18" borderId="0" xfId="0" applyNumberFormat="1" applyFont="1" applyFill="1"/>
    <xf numFmtId="175" fontId="10" fillId="15" borderId="32" xfId="0" applyNumberFormat="1" applyFont="1" applyFill="1" applyBorder="1"/>
    <xf numFmtId="175" fontId="11" fillId="0" borderId="30" xfId="0" applyNumberFormat="1" applyFont="1" applyBorder="1"/>
    <xf numFmtId="175" fontId="11" fillId="0" borderId="22" xfId="0" applyNumberFormat="1" applyFont="1" applyBorder="1"/>
    <xf numFmtId="166" fontId="17" fillId="0" borderId="0" xfId="0" applyNumberFormat="1" applyFont="1"/>
    <xf numFmtId="166" fontId="17" fillId="18" borderId="0" xfId="0" applyNumberFormat="1" applyFont="1" applyFill="1"/>
    <xf numFmtId="171" fontId="17" fillId="0" borderId="0" xfId="5" applyNumberFormat="1" applyFont="1"/>
    <xf numFmtId="0" fontId="15" fillId="4" borderId="3" xfId="0" applyFont="1" applyFill="1" applyBorder="1"/>
    <xf numFmtId="0" fontId="15" fillId="3" borderId="0" xfId="0" applyFont="1" applyFill="1"/>
    <xf numFmtId="0" fontId="15" fillId="7" borderId="0" xfId="0" applyFont="1" applyFill="1"/>
    <xf numFmtId="0" fontId="18" fillId="0" borderId="0" xfId="0" applyFont="1"/>
    <xf numFmtId="0" fontId="15" fillId="0" borderId="0" xfId="0" applyFont="1" applyAlignment="1">
      <alignment wrapText="1"/>
    </xf>
    <xf numFmtId="10" fontId="5" fillId="0" borderId="23" xfId="8" applyNumberFormat="1" applyFont="1" applyBorder="1"/>
    <xf numFmtId="10" fontId="5" fillId="0" borderId="0" xfId="8" applyNumberFormat="1" applyFont="1"/>
    <xf numFmtId="1" fontId="15" fillId="0" borderId="9" xfId="0" applyNumberFormat="1" applyFont="1" applyBorder="1"/>
    <xf numFmtId="1" fontId="15" fillId="0" borderId="23" xfId="0" applyNumberFormat="1" applyFont="1" applyBorder="1"/>
    <xf numFmtId="1" fontId="89" fillId="0" borderId="0" xfId="0" applyNumberFormat="1" applyFont="1"/>
    <xf numFmtId="43" fontId="89" fillId="0" borderId="0" xfId="1" applyFont="1" applyBorder="1"/>
    <xf numFmtId="166" fontId="0" fillId="15" borderId="41" xfId="1" applyNumberFormat="1" applyFont="1" applyFill="1" applyBorder="1"/>
    <xf numFmtId="175" fontId="178" fillId="0" borderId="23" xfId="0" applyNumberFormat="1" applyFont="1" applyBorder="1" applyAlignment="1">
      <alignment horizontal="right" vertical="center"/>
    </xf>
    <xf numFmtId="175" fontId="178" fillId="36" borderId="28" xfId="0" applyNumberFormat="1" applyFont="1" applyFill="1" applyBorder="1" applyAlignment="1">
      <alignment horizontal="right" vertical="center"/>
    </xf>
    <xf numFmtId="168" fontId="121" fillId="0" borderId="41" xfId="0" applyNumberFormat="1" applyFont="1" applyBorder="1" applyAlignment="1">
      <alignment horizontal="left"/>
    </xf>
    <xf numFmtId="0" fontId="104" fillId="0" borderId="22" xfId="0" applyFont="1" applyBorder="1" applyAlignment="1">
      <alignment horizontal="right"/>
    </xf>
    <xf numFmtId="4" fontId="121" fillId="0" borderId="22" xfId="0" applyNumberFormat="1" applyFont="1" applyBorder="1"/>
    <xf numFmtId="4" fontId="121" fillId="0" borderId="28" xfId="0" applyNumberFormat="1" applyFont="1" applyBorder="1"/>
    <xf numFmtId="4" fontId="121" fillId="0" borderId="41" xfId="0" applyNumberFormat="1" applyFont="1" applyBorder="1"/>
    <xf numFmtId="175" fontId="104" fillId="0" borderId="28" xfId="0" applyNumberFormat="1" applyFont="1" applyBorder="1"/>
    <xf numFmtId="175" fontId="121" fillId="0" borderId="0" xfId="0" applyNumberFormat="1" applyFont="1"/>
    <xf numFmtId="175" fontId="27" fillId="0" borderId="21" xfId="0" applyNumberFormat="1" applyFont="1" applyBorder="1"/>
    <xf numFmtId="168" fontId="27" fillId="0" borderId="22" xfId="0" applyNumberFormat="1" applyFont="1" applyBorder="1"/>
    <xf numFmtId="0" fontId="71" fillId="0" borderId="34" xfId="0" applyFont="1" applyBorder="1" applyAlignment="1">
      <alignment horizontal="right"/>
    </xf>
    <xf numFmtId="0" fontId="208" fillId="0" borderId="0" xfId="0" applyFont="1" applyAlignment="1">
      <alignment horizontal="left" vertical="center"/>
    </xf>
    <xf numFmtId="175" fontId="206" fillId="40" borderId="41" xfId="0" applyNumberFormat="1" applyFont="1" applyFill="1" applyBorder="1" applyAlignment="1">
      <alignment horizontal="right" vertical="center"/>
    </xf>
    <xf numFmtId="4" fontId="206" fillId="40" borderId="28" xfId="0" applyNumberFormat="1" applyFont="1" applyFill="1" applyBorder="1" applyAlignment="1">
      <alignment horizontal="right" vertical="center"/>
    </xf>
    <xf numFmtId="4" fontId="178" fillId="0" borderId="41" xfId="0" applyNumberFormat="1" applyFont="1" applyBorder="1" applyAlignment="1">
      <alignment horizontal="right" vertical="center"/>
    </xf>
    <xf numFmtId="175" fontId="91" fillId="26" borderId="0" xfId="1" applyNumberFormat="1" applyFont="1" applyFill="1" applyBorder="1"/>
    <xf numFmtId="0" fontId="213" fillId="0" borderId="0" xfId="14" applyFont="1"/>
    <xf numFmtId="0" fontId="214" fillId="0" borderId="0" xfId="0" applyFont="1"/>
    <xf numFmtId="2" fontId="42" fillId="0" borderId="41" xfId="0" applyNumberFormat="1" applyFont="1" applyBorder="1"/>
    <xf numFmtId="1" fontId="215" fillId="0" borderId="41" xfId="0" applyNumberFormat="1" applyFont="1" applyBorder="1" applyAlignment="1">
      <alignment horizontal="center"/>
    </xf>
    <xf numFmtId="0" fontId="216" fillId="0" borderId="0" xfId="0" applyFont="1"/>
    <xf numFmtId="0" fontId="217" fillId="47" borderId="28" xfId="0" applyFont="1" applyFill="1" applyBorder="1" applyAlignment="1">
      <alignment vertical="center" readingOrder="1"/>
    </xf>
    <xf numFmtId="168" fontId="217" fillId="48" borderId="28" xfId="0" applyNumberFormat="1" applyFont="1" applyFill="1" applyBorder="1" applyAlignment="1">
      <alignment horizontal="center"/>
    </xf>
    <xf numFmtId="9" fontId="214" fillId="0" borderId="0" xfId="8" applyFont="1"/>
    <xf numFmtId="0" fontId="215" fillId="49" borderId="28" xfId="0" applyFont="1" applyFill="1" applyBorder="1" applyAlignment="1">
      <alignment vertical="center" readingOrder="1"/>
    </xf>
    <xf numFmtId="0" fontId="220" fillId="50" borderId="28" xfId="0" applyFont="1" applyFill="1" applyBorder="1"/>
    <xf numFmtId="0" fontId="162" fillId="0" borderId="0" xfId="0" applyFont="1" applyAlignment="1">
      <alignment vertical="center"/>
    </xf>
    <xf numFmtId="0" fontId="162" fillId="0" borderId="0" xfId="0" applyFont="1" applyAlignment="1">
      <alignment horizontal="center" vertical="center"/>
    </xf>
    <xf numFmtId="0" fontId="161" fillId="0" borderId="0" xfId="0" applyFont="1"/>
    <xf numFmtId="2" fontId="214" fillId="0" borderId="0" xfId="0" applyNumberFormat="1" applyFont="1"/>
    <xf numFmtId="0" fontId="218" fillId="0" borderId="0" xfId="0" applyFont="1"/>
    <xf numFmtId="168" fontId="161" fillId="0" borderId="0" xfId="0" applyNumberFormat="1" applyFont="1"/>
    <xf numFmtId="0" fontId="42" fillId="51" borderId="28" xfId="0" applyFont="1" applyFill="1" applyBorder="1" applyAlignment="1">
      <alignment vertical="center" readingOrder="1"/>
    </xf>
    <xf numFmtId="2" fontId="220" fillId="52" borderId="0" xfId="0" applyNumberFormat="1" applyFont="1" applyFill="1" applyAlignment="1">
      <alignment vertical="center" wrapText="1"/>
    </xf>
    <xf numFmtId="2" fontId="42" fillId="0" borderId="28" xfId="0" applyNumberFormat="1" applyFont="1" applyBorder="1"/>
    <xf numFmtId="0" fontId="222" fillId="0" borderId="0" xfId="0" applyFont="1"/>
    <xf numFmtId="172" fontId="223" fillId="0" borderId="0" xfId="8" applyNumberFormat="1" applyFont="1" applyFill="1" applyBorder="1"/>
    <xf numFmtId="0" fontId="224" fillId="0" borderId="0" xfId="0" applyFont="1" applyAlignment="1">
      <alignment horizontal="left"/>
    </xf>
    <xf numFmtId="0" fontId="187" fillId="0" borderId="0" xfId="11" applyAlignment="1" applyProtection="1"/>
    <xf numFmtId="0" fontId="0" fillId="0" borderId="0" xfId="0" applyAlignment="1">
      <alignment horizontal="left" wrapText="1"/>
    </xf>
    <xf numFmtId="0" fontId="225" fillId="0" borderId="0" xfId="11" applyFont="1" applyFill="1" applyAlignment="1" applyProtection="1">
      <alignment horizontal="left" vertical="center"/>
    </xf>
    <xf numFmtId="0" fontId="225" fillId="0" borderId="0" xfId="11" applyFont="1" applyAlignment="1" applyProtection="1"/>
    <xf numFmtId="0" fontId="161" fillId="0" borderId="0" xfId="0" applyFont="1" applyAlignment="1">
      <alignment horizontal="left" indent="1"/>
    </xf>
    <xf numFmtId="0" fontId="161" fillId="0" borderId="0" xfId="0" applyFont="1" applyAlignment="1">
      <alignment horizontal="left" vertical="center" indent="1" readingOrder="1"/>
    </xf>
    <xf numFmtId="2" fontId="226" fillId="0" borderId="0" xfId="0" applyNumberFormat="1" applyFont="1" applyAlignment="1">
      <alignment horizontal="right" vertical="center"/>
    </xf>
    <xf numFmtId="0" fontId="162" fillId="0" borderId="0" xfId="0" applyFont="1" applyAlignment="1">
      <alignment horizontal="left" vertical="center" readingOrder="1"/>
    </xf>
    <xf numFmtId="0" fontId="226" fillId="0" borderId="0" xfId="0" applyFont="1" applyAlignment="1">
      <alignment vertical="center" readingOrder="1"/>
    </xf>
    <xf numFmtId="0" fontId="155" fillId="0" borderId="0" xfId="0" applyFont="1" applyAlignment="1">
      <alignment horizontal="left" indent="1"/>
    </xf>
    <xf numFmtId="2" fontId="156" fillId="0" borderId="0" xfId="0" applyNumberFormat="1" applyFont="1" applyAlignment="1">
      <alignment horizontal="right" vertical="center"/>
    </xf>
    <xf numFmtId="2" fontId="161" fillId="0" borderId="0" xfId="0" applyNumberFormat="1" applyFont="1" applyAlignment="1">
      <alignment horizontal="right" vertical="center"/>
    </xf>
    <xf numFmtId="0" fontId="227" fillId="0" borderId="0" xfId="0" applyFont="1"/>
    <xf numFmtId="168" fontId="228" fillId="0" borderId="0" xfId="0" applyNumberFormat="1" applyFont="1" applyAlignment="1">
      <alignment horizontal="right" vertical="center"/>
    </xf>
    <xf numFmtId="168" fontId="221" fillId="50" borderId="28" xfId="0" applyNumberFormat="1" applyFont="1" applyFill="1" applyBorder="1" applyAlignment="1">
      <alignment horizontal="center"/>
    </xf>
    <xf numFmtId="168" fontId="221" fillId="52" borderId="0" xfId="0" applyNumberFormat="1" applyFont="1" applyFill="1" applyAlignment="1">
      <alignment horizontal="center"/>
    </xf>
    <xf numFmtId="168" fontId="42" fillId="0" borderId="28" xfId="0" applyNumberFormat="1" applyFont="1" applyBorder="1" applyAlignment="1">
      <alignment horizontal="center" vertical="center"/>
    </xf>
    <xf numFmtId="0" fontId="207" fillId="0" borderId="0" xfId="0" applyFont="1"/>
    <xf numFmtId="0" fontId="229" fillId="0" borderId="0" xfId="0" applyFont="1"/>
    <xf numFmtId="0" fontId="8" fillId="0" borderId="21" xfId="1" applyNumberFormat="1" applyFont="1" applyBorder="1"/>
    <xf numFmtId="1" fontId="8" fillId="0" borderId="0" xfId="1" applyNumberFormat="1" applyFont="1"/>
    <xf numFmtId="1" fontId="8" fillId="0" borderId="3" xfId="1" applyNumberFormat="1" applyFont="1" applyBorder="1"/>
    <xf numFmtId="1" fontId="8" fillId="0" borderId="1" xfId="1" applyNumberFormat="1" applyFont="1" applyBorder="1"/>
    <xf numFmtId="1" fontId="91" fillId="0" borderId="3" xfId="1" applyNumberFormat="1" applyFont="1" applyBorder="1"/>
    <xf numFmtId="1" fontId="91" fillId="0" borderId="0" xfId="1" applyNumberFormat="1" applyFont="1"/>
    <xf numFmtId="1" fontId="91" fillId="0" borderId="1" xfId="1" applyNumberFormat="1" applyFont="1" applyBorder="1"/>
    <xf numFmtId="43" fontId="230" fillId="0" borderId="0" xfId="0" applyNumberFormat="1" applyFont="1"/>
    <xf numFmtId="166" fontId="131" fillId="0" borderId="28" xfId="1" applyNumberFormat="1" applyFont="1" applyBorder="1" applyAlignment="1">
      <alignment horizontal="right"/>
    </xf>
    <xf numFmtId="166" fontId="131" fillId="0" borderId="0" xfId="1" applyNumberFormat="1" applyFont="1" applyAlignment="1">
      <alignment horizontal="right"/>
    </xf>
    <xf numFmtId="181" fontId="8" fillId="0" borderId="0" xfId="1" applyNumberFormat="1" applyFont="1" applyFill="1" applyBorder="1"/>
    <xf numFmtId="0" fontId="8" fillId="16" borderId="0" xfId="0" applyFont="1" applyFill="1"/>
    <xf numFmtId="175" fontId="8" fillId="16" borderId="0" xfId="1" applyNumberFormat="1" applyFont="1" applyFill="1"/>
    <xf numFmtId="175" fontId="8" fillId="16" borderId="37" xfId="1" applyNumberFormat="1" applyFont="1" applyFill="1" applyBorder="1"/>
    <xf numFmtId="0" fontId="9" fillId="0" borderId="47" xfId="0" applyFont="1" applyBorder="1" applyAlignment="1">
      <alignment horizontal="left"/>
    </xf>
    <xf numFmtId="0" fontId="71" fillId="0" borderId="7" xfId="0" applyFont="1" applyBorder="1" applyAlignment="1">
      <alignment horizontal="right"/>
    </xf>
    <xf numFmtId="0" fontId="9" fillId="0" borderId="22" xfId="0" applyFont="1" applyBorder="1" applyAlignment="1">
      <alignment horizontal="left"/>
    </xf>
    <xf numFmtId="175" fontId="8" fillId="0" borderId="20" xfId="0" applyNumberFormat="1" applyFont="1" applyBorder="1"/>
    <xf numFmtId="175" fontId="92" fillId="0" borderId="0" xfId="0" applyNumberFormat="1" applyFont="1"/>
    <xf numFmtId="43" fontId="91" fillId="25" borderId="0" xfId="2" applyFont="1" applyFill="1" applyBorder="1"/>
    <xf numFmtId="175" fontId="231" fillId="0" borderId="41" xfId="0" applyNumberFormat="1" applyFont="1" applyBorder="1" applyAlignment="1">
      <alignment horizontal="right" vertical="center"/>
    </xf>
    <xf numFmtId="0" fontId="209" fillId="0" borderId="37" xfId="0" applyFont="1" applyBorder="1" applyAlignment="1">
      <alignment horizontal="left" vertical="center"/>
    </xf>
    <xf numFmtId="0" fontId="19" fillId="0" borderId="1" xfId="0" applyFont="1" applyBorder="1" applyProtection="1">
      <protection locked="0"/>
    </xf>
    <xf numFmtId="0" fontId="20" fillId="0" borderId="0" xfId="0" applyFont="1" applyAlignment="1">
      <alignment horizontal="left"/>
    </xf>
    <xf numFmtId="0" fontId="92" fillId="0" borderId="37" xfId="0" applyFont="1" applyBorder="1"/>
    <xf numFmtId="0" fontId="92" fillId="0" borderId="0" xfId="0" applyFont="1" applyAlignment="1">
      <alignment horizontal="right"/>
    </xf>
    <xf numFmtId="0" fontId="92" fillId="2" borderId="0" xfId="0" applyFont="1" applyFill="1"/>
    <xf numFmtId="0" fontId="92" fillId="0" borderId="62" xfId="0" applyFont="1" applyBorder="1"/>
    <xf numFmtId="0" fontId="4" fillId="0" borderId="0" xfId="0" applyFont="1"/>
    <xf numFmtId="0" fontId="4" fillId="0" borderId="0" xfId="0" applyFont="1" applyAlignment="1">
      <alignment vertical="center" wrapText="1"/>
    </xf>
    <xf numFmtId="0" fontId="4" fillId="0" borderId="0" xfId="0" applyFont="1" applyAlignment="1">
      <alignment wrapText="1"/>
    </xf>
    <xf numFmtId="0" fontId="4" fillId="0" borderId="5" xfId="0" applyFont="1" applyBorder="1" applyAlignment="1">
      <alignment horizontal="center"/>
    </xf>
    <xf numFmtId="0" fontId="4" fillId="0" borderId="5" xfId="0" applyFont="1" applyBorder="1"/>
    <xf numFmtId="0" fontId="4" fillId="0" borderId="36" xfId="0" applyFont="1" applyBorder="1" applyAlignment="1">
      <alignment vertical="center" wrapText="1"/>
    </xf>
    <xf numFmtId="0" fontId="4" fillId="0" borderId="52" xfId="0" applyFont="1" applyBorder="1" applyAlignment="1">
      <alignment vertical="center" wrapText="1"/>
    </xf>
    <xf numFmtId="0" fontId="4" fillId="0" borderId="46" xfId="0" applyFont="1" applyBorder="1" applyAlignment="1">
      <alignment vertical="center" wrapText="1"/>
    </xf>
    <xf numFmtId="0" fontId="4" fillId="0" borderId="53" xfId="0" applyFont="1" applyBorder="1" applyAlignment="1">
      <alignment vertical="center" wrapText="1"/>
    </xf>
    <xf numFmtId="167" fontId="4" fillId="0" borderId="23" xfId="0" applyNumberFormat="1" applyFont="1" applyBorder="1" applyAlignment="1">
      <alignment horizontal="center"/>
    </xf>
    <xf numFmtId="167" fontId="4" fillId="0" borderId="13" xfId="0" applyNumberFormat="1" applyFont="1" applyBorder="1"/>
    <xf numFmtId="167" fontId="4" fillId="0" borderId="13" xfId="0" applyNumberFormat="1" applyFont="1" applyBorder="1" applyAlignment="1">
      <alignment horizontal="center"/>
    </xf>
    <xf numFmtId="167" fontId="4" fillId="0" borderId="47" xfId="0" applyNumberFormat="1" applyFont="1" applyBorder="1" applyAlignment="1">
      <alignment horizontal="center"/>
    </xf>
    <xf numFmtId="167" fontId="4" fillId="0" borderId="41" xfId="0" applyNumberFormat="1" applyFont="1" applyBorder="1" applyAlignment="1">
      <alignment horizontal="center"/>
    </xf>
    <xf numFmtId="0" fontId="4" fillId="0" borderId="1" xfId="0" applyFont="1" applyBorder="1"/>
    <xf numFmtId="0" fontId="4" fillId="0" borderId="7" xfId="0" applyFont="1" applyBorder="1"/>
    <xf numFmtId="168" fontId="4" fillId="49" borderId="28" xfId="0" applyNumberFormat="1" applyFont="1" applyFill="1" applyBorder="1" applyAlignment="1">
      <alignment horizontal="center"/>
    </xf>
    <xf numFmtId="168" fontId="4" fillId="51" borderId="28" xfId="0" applyNumberFormat="1" applyFont="1" applyFill="1" applyBorder="1" applyAlignment="1">
      <alignment horizontal="center"/>
    </xf>
    <xf numFmtId="39" fontId="4" fillId="12" borderId="11" xfId="1" applyNumberFormat="1" applyFont="1" applyFill="1" applyBorder="1"/>
    <xf numFmtId="39" fontId="4" fillId="12" borderId="11" xfId="2" applyNumberFormat="1" applyFont="1" applyFill="1" applyBorder="1"/>
    <xf numFmtId="39" fontId="4" fillId="12" borderId="66" xfId="1" applyNumberFormat="1" applyFont="1" applyFill="1" applyBorder="1"/>
    <xf numFmtId="187" fontId="0" fillId="0" borderId="0" xfId="0" applyNumberFormat="1"/>
    <xf numFmtId="0" fontId="8" fillId="14" borderId="3" xfId="0" applyFont="1" applyFill="1" applyBorder="1" applyAlignment="1">
      <alignment horizontal="center"/>
    </xf>
    <xf numFmtId="0" fontId="182" fillId="12" borderId="0" xfId="0" applyFont="1" applyFill="1" applyAlignment="1">
      <alignment horizontal="center" vertical="center"/>
    </xf>
    <xf numFmtId="0" fontId="0" fillId="0" borderId="0" xfId="0" applyAlignment="1">
      <alignment horizontal="center" vertical="top" wrapText="1"/>
    </xf>
    <xf numFmtId="0" fontId="0" fillId="0" borderId="2" xfId="0" applyBorder="1" applyAlignment="1">
      <alignment horizontal="center" vertical="top" wrapText="1"/>
    </xf>
    <xf numFmtId="0" fontId="4" fillId="0" borderId="28" xfId="0" applyFont="1" applyBorder="1" applyAlignment="1">
      <alignment horizontal="center"/>
    </xf>
    <xf numFmtId="0" fontId="4" fillId="0" borderId="47" xfId="0" applyFont="1" applyBorder="1" applyAlignment="1">
      <alignment horizontal="center"/>
    </xf>
    <xf numFmtId="0" fontId="32" fillId="0" borderId="8" xfId="0" applyFont="1" applyBorder="1" applyAlignment="1">
      <alignment horizontal="center" vertical="center"/>
    </xf>
    <xf numFmtId="0" fontId="32" fillId="0" borderId="3" xfId="0" applyFont="1" applyBorder="1" applyAlignment="1">
      <alignment horizontal="center" vertical="center"/>
    </xf>
    <xf numFmtId="0" fontId="96" fillId="0" borderId="0" xfId="0" applyFont="1" applyAlignment="1">
      <alignment horizontal="left" wrapText="1"/>
    </xf>
    <xf numFmtId="4" fontId="8" fillId="0" borderId="0" xfId="1" applyNumberFormat="1" applyFont="1" applyFill="1" applyBorder="1"/>
    <xf numFmtId="4" fontId="8" fillId="0" borderId="37" xfId="1" applyNumberFormat="1" applyFont="1" applyFill="1" applyBorder="1"/>
    <xf numFmtId="180" fontId="9" fillId="0" borderId="52" xfId="1" applyNumberFormat="1" applyFont="1" applyFill="1" applyBorder="1"/>
    <xf numFmtId="176" fontId="8" fillId="0" borderId="5" xfId="1" applyNumberFormat="1" applyFont="1" applyFill="1" applyBorder="1"/>
    <xf numFmtId="188" fontId="9" fillId="0" borderId="22" xfId="2" applyNumberFormat="1" applyFont="1" applyFill="1" applyBorder="1"/>
    <xf numFmtId="188" fontId="128" fillId="0" borderId="22" xfId="2" applyNumberFormat="1" applyFont="1" applyFill="1" applyBorder="1"/>
    <xf numFmtId="188" fontId="9" fillId="0" borderId="22" xfId="1" applyNumberFormat="1" applyFont="1" applyFill="1" applyBorder="1"/>
    <xf numFmtId="179" fontId="0" fillId="0" borderId="0" xfId="0" applyNumberFormat="1"/>
    <xf numFmtId="175" fontId="92" fillId="0" borderId="28" xfId="0" applyNumberFormat="1" applyFont="1" applyBorder="1"/>
    <xf numFmtId="168" fontId="8" fillId="0" borderId="6" xfId="0" applyNumberFormat="1" applyFont="1" applyBorder="1"/>
    <xf numFmtId="172" fontId="0" fillId="0" borderId="59" xfId="8" applyNumberFormat="1" applyFont="1" applyBorder="1"/>
    <xf numFmtId="0" fontId="27" fillId="14" borderId="0" xfId="0" applyFont="1" applyFill="1"/>
    <xf numFmtId="0" fontId="17" fillId="14" borderId="0" xfId="0" applyFont="1" applyFill="1"/>
    <xf numFmtId="43" fontId="27" fillId="19" borderId="0" xfId="0" applyNumberFormat="1" applyFont="1" applyFill="1"/>
    <xf numFmtId="189" fontId="17" fillId="0" borderId="0" xfId="0" applyNumberFormat="1" applyFont="1"/>
    <xf numFmtId="166" fontId="27" fillId="0" borderId="23" xfId="0" applyNumberFormat="1" applyFont="1" applyBorder="1"/>
    <xf numFmtId="166" fontId="27" fillId="0" borderId="28" xfId="0" applyNumberFormat="1" applyFont="1" applyBorder="1"/>
    <xf numFmtId="3" fontId="91" fillId="0" borderId="0" xfId="0" applyNumberFormat="1" applyFont="1"/>
    <xf numFmtId="166" fontId="8" fillId="0" borderId="5" xfId="1" applyNumberFormat="1" applyFont="1" applyFill="1" applyBorder="1"/>
    <xf numFmtId="166" fontId="8" fillId="0" borderId="51" xfId="1" applyNumberFormat="1" applyFont="1" applyFill="1" applyBorder="1"/>
    <xf numFmtId="166" fontId="8" fillId="0" borderId="20" xfId="1" applyNumberFormat="1" applyFont="1" applyFill="1" applyBorder="1"/>
    <xf numFmtId="166" fontId="8" fillId="0" borderId="5" xfId="1" applyNumberFormat="1" applyFont="1" applyBorder="1"/>
    <xf numFmtId="166" fontId="8" fillId="20" borderId="5" xfId="1" applyNumberFormat="1" applyFont="1" applyFill="1" applyBorder="1"/>
    <xf numFmtId="166" fontId="8" fillId="0" borderId="6" xfId="1" applyNumberFormat="1" applyFont="1" applyBorder="1"/>
    <xf numFmtId="169" fontId="17" fillId="0" borderId="5" xfId="1" applyNumberFormat="1" applyFont="1" applyFill="1" applyBorder="1"/>
    <xf numFmtId="169" fontId="27" fillId="16" borderId="6" xfId="1" applyNumberFormat="1" applyFont="1" applyFill="1" applyBorder="1"/>
    <xf numFmtId="169" fontId="17" fillId="0" borderId="6" xfId="1" applyNumberFormat="1" applyFont="1" applyFill="1" applyBorder="1"/>
    <xf numFmtId="166" fontId="27" fillId="0" borderId="5" xfId="1" applyNumberFormat="1" applyFont="1" applyFill="1" applyBorder="1"/>
    <xf numFmtId="166" fontId="17" fillId="0" borderId="5" xfId="1" applyNumberFormat="1" applyFont="1" applyFill="1" applyBorder="1"/>
    <xf numFmtId="166" fontId="27" fillId="16" borderId="6" xfId="1" applyNumberFormat="1" applyFont="1" applyFill="1" applyBorder="1"/>
    <xf numFmtId="1" fontId="8" fillId="0" borderId="5" xfId="1" applyNumberFormat="1" applyFont="1" applyFill="1" applyBorder="1"/>
    <xf numFmtId="1" fontId="8" fillId="0" borderId="8" xfId="1" applyNumberFormat="1" applyFont="1" applyFill="1" applyBorder="1"/>
    <xf numFmtId="1" fontId="8" fillId="0" borderId="5" xfId="1" applyNumberFormat="1" applyFont="1" applyFill="1" applyBorder="1" applyAlignment="1">
      <alignment horizontal="right"/>
    </xf>
    <xf numFmtId="1" fontId="8" fillId="0" borderId="6" xfId="1" applyNumberFormat="1" applyFont="1" applyFill="1" applyBorder="1"/>
    <xf numFmtId="3" fontId="8" fillId="25" borderId="6" xfId="1" applyNumberFormat="1" applyFont="1" applyFill="1" applyBorder="1"/>
    <xf numFmtId="1" fontId="8" fillId="25" borderId="6" xfId="1" applyNumberFormat="1" applyFont="1" applyFill="1" applyBorder="1"/>
    <xf numFmtId="0" fontId="8" fillId="0" borderId="39" xfId="1" applyNumberFormat="1" applyFont="1" applyFill="1" applyBorder="1"/>
    <xf numFmtId="166" fontId="9" fillId="0" borderId="0" xfId="2" applyNumberFormat="1" applyFont="1" applyAlignment="1">
      <alignment horizontal="right"/>
    </xf>
    <xf numFmtId="166" fontId="8" fillId="0" borderId="0" xfId="2" applyNumberFormat="1" applyFont="1" applyAlignment="1">
      <alignment horizontal="right"/>
    </xf>
    <xf numFmtId="166" fontId="9" fillId="13" borderId="28" xfId="2" applyNumberFormat="1" applyFont="1" applyFill="1" applyBorder="1" applyAlignment="1">
      <alignment horizontal="right"/>
    </xf>
    <xf numFmtId="166" fontId="9" fillId="0" borderId="28" xfId="2" applyNumberFormat="1" applyFont="1" applyBorder="1" applyAlignment="1">
      <alignment horizontal="right"/>
    </xf>
    <xf numFmtId="0" fontId="27" fillId="0" borderId="1" xfId="0" applyFont="1" applyBorder="1" applyAlignment="1">
      <alignment horizontal="right"/>
    </xf>
    <xf numFmtId="0" fontId="99" fillId="0" borderId="41" xfId="0" applyFont="1" applyBorder="1"/>
    <xf numFmtId="0" fontId="198" fillId="0" borderId="0" xfId="0" applyFont="1"/>
    <xf numFmtId="43" fontId="91" fillId="20" borderId="3" xfId="2" applyFont="1" applyFill="1" applyBorder="1"/>
    <xf numFmtId="43" fontId="91" fillId="0" borderId="0" xfId="2" applyFont="1" applyBorder="1"/>
    <xf numFmtId="3" fontId="121" fillId="0" borderId="28" xfId="0" applyNumberFormat="1" applyFont="1" applyBorder="1"/>
    <xf numFmtId="0" fontId="88" fillId="0" borderId="25" xfId="0" applyFont="1" applyBorder="1"/>
    <xf numFmtId="0" fontId="92" fillId="0" borderId="45" xfId="0" applyFont="1" applyBorder="1"/>
    <xf numFmtId="1" fontId="8" fillId="0" borderId="0" xfId="1" applyNumberFormat="1" applyFont="1" applyFill="1" applyBorder="1" applyAlignment="1">
      <alignment horizontal="right"/>
    </xf>
    <xf numFmtId="0" fontId="205" fillId="0" borderId="6" xfId="0" applyFont="1" applyBorder="1" applyAlignment="1">
      <alignment horizontal="left" vertical="center"/>
    </xf>
    <xf numFmtId="0" fontId="32" fillId="0" borderId="1" xfId="0" applyFont="1" applyBorder="1" applyAlignment="1">
      <alignment horizontal="center" vertical="center"/>
    </xf>
    <xf numFmtId="166" fontId="8" fillId="19" borderId="0" xfId="1" applyNumberFormat="1" applyFont="1" applyFill="1"/>
    <xf numFmtId="166" fontId="139" fillId="19" borderId="0" xfId="2" applyNumberFormat="1" applyFont="1" applyFill="1"/>
    <xf numFmtId="0" fontId="99" fillId="0" borderId="1" xfId="0" applyFont="1" applyBorder="1"/>
    <xf numFmtId="0" fontId="99" fillId="0" borderId="21" xfId="0" applyFont="1" applyBorder="1"/>
    <xf numFmtId="0" fontId="113" fillId="20" borderId="19" xfId="0" applyFont="1" applyFill="1" applyBorder="1"/>
    <xf numFmtId="0" fontId="113" fillId="20" borderId="11" xfId="0" applyFont="1" applyFill="1" applyBorder="1"/>
    <xf numFmtId="0" fontId="0" fillId="21" borderId="23" xfId="0" applyFill="1" applyBorder="1"/>
    <xf numFmtId="3" fontId="0" fillId="21" borderId="23" xfId="0" applyNumberFormat="1" applyFill="1" applyBorder="1"/>
    <xf numFmtId="43" fontId="92" fillId="0" borderId="0" xfId="1" applyFont="1" applyBorder="1"/>
    <xf numFmtId="43" fontId="92" fillId="0" borderId="21" xfId="1" applyFont="1" applyBorder="1"/>
    <xf numFmtId="2" fontId="92" fillId="0" borderId="21" xfId="0" applyNumberFormat="1" applyFont="1" applyBorder="1"/>
    <xf numFmtId="165" fontId="153" fillId="0" borderId="24" xfId="0" applyNumberFormat="1" applyFont="1" applyBorder="1"/>
    <xf numFmtId="165" fontId="153" fillId="0" borderId="9" xfId="0" applyNumberFormat="1" applyFont="1" applyBorder="1"/>
    <xf numFmtId="165" fontId="153" fillId="0" borderId="42" xfId="0" applyNumberFormat="1" applyFont="1" applyBorder="1"/>
    <xf numFmtId="165" fontId="153" fillId="15" borderId="24" xfId="0" applyNumberFormat="1" applyFont="1" applyFill="1" applyBorder="1"/>
    <xf numFmtId="1" fontId="153" fillId="0" borderId="62" xfId="0" applyNumberFormat="1" applyFont="1" applyBorder="1"/>
    <xf numFmtId="164" fontId="153" fillId="0" borderId="9" xfId="0" applyNumberFormat="1" applyFont="1" applyBorder="1"/>
    <xf numFmtId="171" fontId="153" fillId="0" borderId="9" xfId="0" applyNumberFormat="1" applyFont="1" applyBorder="1"/>
    <xf numFmtId="164" fontId="92" fillId="0" borderId="9" xfId="0" applyNumberFormat="1" applyFont="1" applyBorder="1"/>
    <xf numFmtId="4" fontId="158" fillId="28" borderId="28" xfId="0" applyNumberFormat="1" applyFont="1" applyFill="1" applyBorder="1" applyAlignment="1">
      <alignment horizontal="right" vertical="center"/>
    </xf>
    <xf numFmtId="43" fontId="26" fillId="26" borderId="3" xfId="2" applyFont="1" applyFill="1" applyBorder="1"/>
    <xf numFmtId="0" fontId="17" fillId="0" borderId="1" xfId="4" applyFont="1" applyBorder="1" applyAlignment="1">
      <alignment horizontal="right"/>
    </xf>
    <xf numFmtId="4" fontId="8" fillId="26" borderId="0" xfId="1" applyNumberFormat="1" applyFont="1" applyFill="1" applyBorder="1"/>
    <xf numFmtId="0" fontId="155" fillId="0" borderId="52" xfId="0" applyFont="1" applyBorder="1" applyAlignment="1">
      <alignment horizontal="left" vertical="center" wrapText="1" indent="1"/>
    </xf>
    <xf numFmtId="0" fontId="155" fillId="0" borderId="28" xfId="0" applyFont="1" applyBorder="1" applyAlignment="1">
      <alignment horizontal="left" vertical="center" wrapText="1"/>
    </xf>
    <xf numFmtId="168" fontId="0" fillId="0" borderId="9" xfId="0" applyNumberFormat="1" applyBorder="1"/>
    <xf numFmtId="175" fontId="155" fillId="0" borderId="9" xfId="0" applyNumberFormat="1" applyFont="1" applyBorder="1" applyAlignment="1">
      <alignment horizontal="left" vertical="center"/>
    </xf>
    <xf numFmtId="166" fontId="0" fillId="0" borderId="23" xfId="1" applyNumberFormat="1" applyFont="1" applyBorder="1"/>
    <xf numFmtId="166" fontId="0" fillId="0" borderId="28" xfId="1" applyNumberFormat="1" applyFont="1" applyBorder="1"/>
    <xf numFmtId="166" fontId="0" fillId="0" borderId="13" xfId="1" applyNumberFormat="1" applyFont="1" applyBorder="1"/>
    <xf numFmtId="0" fontId="46" fillId="0" borderId="0" xfId="3" applyAlignment="1" applyProtection="1">
      <alignment horizontal="right"/>
    </xf>
    <xf numFmtId="166" fontId="89" fillId="13" borderId="41" xfId="1" applyNumberFormat="1" applyFont="1" applyFill="1" applyBorder="1"/>
    <xf numFmtId="0" fontId="232" fillId="53" borderId="28" xfId="0" applyFont="1" applyFill="1" applyBorder="1" applyAlignment="1">
      <alignment horizontal="left" vertical="center" readingOrder="1"/>
    </xf>
    <xf numFmtId="2" fontId="232" fillId="53" borderId="28" xfId="0" applyNumberFormat="1" applyFont="1" applyFill="1" applyBorder="1" applyAlignment="1">
      <alignment horizontal="center"/>
    </xf>
    <xf numFmtId="2" fontId="156" fillId="54" borderId="0" xfId="0" applyNumberFormat="1" applyFont="1" applyFill="1" applyAlignment="1">
      <alignment vertical="center"/>
    </xf>
    <xf numFmtId="2" fontId="162" fillId="54" borderId="0" xfId="0" applyNumberFormat="1" applyFont="1" applyFill="1"/>
    <xf numFmtId="0" fontId="161" fillId="54" borderId="0" xfId="0" applyFont="1" applyFill="1" applyAlignment="1">
      <alignment horizontal="left" vertical="center" indent="1" readingOrder="1"/>
    </xf>
    <xf numFmtId="2" fontId="161" fillId="54" borderId="0" xfId="0" applyNumberFormat="1" applyFont="1" applyFill="1"/>
    <xf numFmtId="2" fontId="218" fillId="54" borderId="0" xfId="10" applyNumberFormat="1" applyFont="1" applyFill="1" applyBorder="1"/>
    <xf numFmtId="2" fontId="156" fillId="54" borderId="0" xfId="0" applyNumberFormat="1" applyFont="1" applyFill="1" applyAlignment="1">
      <alignment vertical="center" wrapText="1"/>
    </xf>
    <xf numFmtId="2" fontId="218" fillId="54" borderId="0" xfId="0" applyNumberFormat="1" applyFont="1" applyFill="1" applyAlignment="1">
      <alignment horizontal="left" vertical="center" wrapText="1" indent="1"/>
    </xf>
    <xf numFmtId="2" fontId="218" fillId="54" borderId="0" xfId="0" applyNumberFormat="1" applyFont="1" applyFill="1"/>
    <xf numFmtId="0" fontId="215" fillId="55" borderId="28" xfId="0" applyFont="1" applyFill="1" applyBorder="1" applyAlignment="1">
      <alignment vertical="center" readingOrder="1"/>
    </xf>
    <xf numFmtId="2" fontId="2" fillId="55" borderId="28" xfId="0" applyNumberFormat="1" applyFont="1" applyFill="1" applyBorder="1"/>
    <xf numFmtId="2" fontId="156" fillId="56" borderId="0" xfId="0" applyNumberFormat="1" applyFont="1" applyFill="1" applyAlignment="1">
      <alignment vertical="center" wrapText="1"/>
    </xf>
    <xf numFmtId="2" fontId="156" fillId="56" borderId="0" xfId="0" applyNumberFormat="1" applyFont="1" applyFill="1" applyAlignment="1">
      <alignment vertical="center"/>
    </xf>
    <xf numFmtId="2" fontId="218" fillId="56" borderId="0" xfId="0" applyNumberFormat="1" applyFont="1" applyFill="1" applyAlignment="1">
      <alignment horizontal="left" vertical="center" wrapText="1" indent="1"/>
    </xf>
    <xf numFmtId="2" fontId="218" fillId="56" borderId="0" xfId="0" applyNumberFormat="1" applyFont="1" applyFill="1"/>
    <xf numFmtId="2" fontId="218" fillId="56" borderId="0" xfId="0" applyNumberFormat="1" applyFont="1" applyFill="1" applyAlignment="1">
      <alignment vertical="center"/>
    </xf>
    <xf numFmtId="0" fontId="233" fillId="57" borderId="28" xfId="0" applyFont="1" applyFill="1" applyBorder="1"/>
    <xf numFmtId="2" fontId="234" fillId="57" borderId="28" xfId="0" applyNumberFormat="1" applyFont="1" applyFill="1" applyBorder="1"/>
    <xf numFmtId="2" fontId="156" fillId="58" borderId="0" xfId="0" applyNumberFormat="1" applyFont="1" applyFill="1" applyAlignment="1">
      <alignment vertical="center" wrapText="1"/>
    </xf>
    <xf numFmtId="2" fontId="162" fillId="58" borderId="0" xfId="0" applyNumberFormat="1" applyFont="1" applyFill="1"/>
    <xf numFmtId="2" fontId="218" fillId="58" borderId="0" xfId="0" applyNumberFormat="1" applyFont="1" applyFill="1" applyAlignment="1">
      <alignment horizontal="left" vertical="center" wrapText="1" indent="1"/>
    </xf>
    <xf numFmtId="2" fontId="218" fillId="58" borderId="0" xfId="0" applyNumberFormat="1" applyFont="1" applyFill="1"/>
    <xf numFmtId="2" fontId="218" fillId="58" borderId="0" xfId="0" applyNumberFormat="1" applyFont="1" applyFill="1" applyAlignment="1">
      <alignment horizontal="left" vertical="center" indent="1"/>
    </xf>
    <xf numFmtId="2" fontId="218" fillId="58" borderId="0" xfId="0" applyNumberFormat="1" applyFont="1" applyFill="1" applyAlignment="1">
      <alignment horizontal="right" vertical="center"/>
    </xf>
    <xf numFmtId="0" fontId="42" fillId="59" borderId="28" xfId="0" applyFont="1" applyFill="1" applyBorder="1" applyAlignment="1">
      <alignment vertical="center" readingOrder="1"/>
    </xf>
    <xf numFmtId="2" fontId="2" fillId="59" borderId="28" xfId="0" applyNumberFormat="1" applyFont="1" applyFill="1" applyBorder="1"/>
    <xf numFmtId="2" fontId="156" fillId="60" borderId="0" xfId="0" applyNumberFormat="1" applyFont="1" applyFill="1" applyAlignment="1">
      <alignment vertical="center"/>
    </xf>
    <xf numFmtId="2" fontId="162" fillId="60" borderId="0" xfId="0" applyNumberFormat="1" applyFont="1" applyFill="1"/>
    <xf numFmtId="2" fontId="218" fillId="60" borderId="0" xfId="0" applyNumberFormat="1" applyFont="1" applyFill="1" applyAlignment="1">
      <alignment horizontal="left" vertical="center" wrapText="1" indent="1"/>
    </xf>
    <xf numFmtId="2" fontId="161" fillId="60" borderId="0" xfId="0" applyNumberFormat="1" applyFont="1" applyFill="1"/>
    <xf numFmtId="2" fontId="219" fillId="60" borderId="0" xfId="0" applyNumberFormat="1" applyFont="1" applyFill="1"/>
    <xf numFmtId="2" fontId="156" fillId="60" borderId="0" xfId="0" applyNumberFormat="1" applyFont="1" applyFill="1" applyAlignment="1">
      <alignment vertical="center" wrapText="1"/>
    </xf>
    <xf numFmtId="2" fontId="233" fillId="61" borderId="0" xfId="0" applyNumberFormat="1" applyFont="1" applyFill="1" applyAlignment="1">
      <alignment vertical="center" wrapText="1"/>
    </xf>
    <xf numFmtId="2" fontId="234" fillId="61" borderId="0" xfId="0" applyNumberFormat="1" applyFont="1" applyFill="1"/>
    <xf numFmtId="2" fontId="42" fillId="0" borderId="28" xfId="0" applyNumberFormat="1" applyFont="1" applyBorder="1" applyAlignment="1">
      <alignment vertical="center"/>
    </xf>
    <xf numFmtId="0" fontId="235" fillId="0" borderId="0" xfId="13" applyFont="1" applyFill="1" applyBorder="1"/>
    <xf numFmtId="43" fontId="91" fillId="24" borderId="0" xfId="1" applyFont="1" applyFill="1" applyBorder="1"/>
    <xf numFmtId="43" fontId="91" fillId="0" borderId="0" xfId="1" applyFont="1" applyBorder="1"/>
    <xf numFmtId="43" fontId="91" fillId="23" borderId="3" xfId="1" applyFont="1" applyFill="1" applyBorder="1"/>
    <xf numFmtId="43" fontId="91" fillId="0" borderId="1" xfId="1" applyFont="1" applyFill="1" applyBorder="1"/>
    <xf numFmtId="169" fontId="91" fillId="0" borderId="0" xfId="1" applyNumberFormat="1" applyFont="1" applyFill="1" applyBorder="1" applyAlignment="1"/>
    <xf numFmtId="169" fontId="91" fillId="0" borderId="0" xfId="2" applyNumberFormat="1" applyFont="1" applyFill="1" applyBorder="1"/>
    <xf numFmtId="169" fontId="91" fillId="20" borderId="0" xfId="2" applyNumberFormat="1" applyFont="1" applyFill="1" applyBorder="1"/>
    <xf numFmtId="0" fontId="131" fillId="0" borderId="1" xfId="0" applyFont="1" applyBorder="1"/>
    <xf numFmtId="166" fontId="91" fillId="0" borderId="0" xfId="1" applyNumberFormat="1" applyFont="1" applyAlignment="1">
      <alignment horizontal="right"/>
    </xf>
    <xf numFmtId="166" fontId="131" fillId="13" borderId="28" xfId="1" applyNumberFormat="1" applyFont="1" applyFill="1" applyBorder="1" applyAlignment="1">
      <alignment horizontal="right"/>
    </xf>
    <xf numFmtId="43" fontId="121" fillId="0" borderId="0" xfId="0" applyNumberFormat="1" applyFont="1"/>
    <xf numFmtId="9" fontId="92" fillId="0" borderId="65" xfId="0" applyNumberFormat="1" applyFont="1" applyBorder="1"/>
    <xf numFmtId="9" fontId="92" fillId="0" borderId="63" xfId="0" applyNumberFormat="1" applyFont="1" applyBorder="1"/>
    <xf numFmtId="9" fontId="92" fillId="0" borderId="64" xfId="0" applyNumberFormat="1" applyFont="1" applyBorder="1"/>
    <xf numFmtId="4" fontId="91" fillId="0" borderId="0" xfId="5" applyNumberFormat="1" applyFont="1"/>
    <xf numFmtId="2" fontId="91" fillId="13" borderId="22" xfId="0" applyNumberFormat="1" applyFont="1" applyFill="1" applyBorder="1" applyAlignment="1">
      <alignment horizontal="right"/>
    </xf>
    <xf numFmtId="4" fontId="91" fillId="25" borderId="28" xfId="0" applyNumberFormat="1" applyFont="1" applyFill="1" applyBorder="1"/>
    <xf numFmtId="169" fontId="91" fillId="10" borderId="1" xfId="2" applyNumberFormat="1" applyFont="1" applyFill="1" applyBorder="1"/>
    <xf numFmtId="172" fontId="91" fillId="0" borderId="0" xfId="8" applyNumberFormat="1" applyFont="1"/>
    <xf numFmtId="0" fontId="134" fillId="0" borderId="0" xfId="0" applyFont="1"/>
    <xf numFmtId="0" fontId="183" fillId="19" borderId="0" xfId="0" applyFont="1" applyFill="1"/>
    <xf numFmtId="166" fontId="8" fillId="0" borderId="0" xfId="2" applyNumberFormat="1" applyFont="1" applyFill="1" applyBorder="1"/>
    <xf numFmtId="43" fontId="8" fillId="18" borderId="34" xfId="0" applyNumberFormat="1" applyFont="1" applyFill="1" applyBorder="1"/>
    <xf numFmtId="0" fontId="132" fillId="0" borderId="23" xfId="0" applyFont="1" applyBorder="1"/>
    <xf numFmtId="0" fontId="132" fillId="0" borderId="28" xfId="0" applyFont="1" applyBorder="1"/>
    <xf numFmtId="0" fontId="132" fillId="0" borderId="13" xfId="0" applyFont="1" applyBorder="1"/>
    <xf numFmtId="0" fontId="132" fillId="0" borderId="9" xfId="0" applyFont="1" applyBorder="1"/>
    <xf numFmtId="0" fontId="132" fillId="0" borderId="0" xfId="0" applyFont="1"/>
    <xf numFmtId="176" fontId="26" fillId="0" borderId="0" xfId="1" applyNumberFormat="1" applyFont="1" applyFill="1" applyBorder="1"/>
    <xf numFmtId="1" fontId="92" fillId="0" borderId="0" xfId="0" applyNumberFormat="1" applyFont="1"/>
    <xf numFmtId="175" fontId="155" fillId="19" borderId="22" xfId="0" applyNumberFormat="1" applyFont="1" applyFill="1" applyBorder="1" applyAlignment="1">
      <alignment horizontal="right" vertical="center"/>
    </xf>
    <xf numFmtId="3" fontId="155" fillId="19" borderId="22" xfId="0" applyNumberFormat="1" applyFont="1" applyFill="1" applyBorder="1" applyAlignment="1">
      <alignment horizontal="right" vertical="center"/>
    </xf>
    <xf numFmtId="175" fontId="155" fillId="19" borderId="28" xfId="0" applyNumberFormat="1" applyFont="1" applyFill="1" applyBorder="1" applyAlignment="1">
      <alignment horizontal="right" vertical="center"/>
    </xf>
    <xf numFmtId="175" fontId="155" fillId="19" borderId="41" xfId="0" applyNumberFormat="1" applyFont="1" applyFill="1" applyBorder="1" applyAlignment="1">
      <alignment horizontal="right" vertical="center"/>
    </xf>
    <xf numFmtId="3" fontId="155" fillId="19" borderId="41" xfId="0" applyNumberFormat="1" applyFont="1" applyFill="1" applyBorder="1" applyAlignment="1">
      <alignment horizontal="right" vertical="center"/>
    </xf>
    <xf numFmtId="0" fontId="154" fillId="0" borderId="28" xfId="0" applyFont="1" applyBorder="1" applyAlignment="1">
      <alignment horizontal="center"/>
    </xf>
    <xf numFmtId="168" fontId="121" fillId="0" borderId="1" xfId="0" applyNumberFormat="1" applyFont="1" applyBorder="1" applyAlignment="1">
      <alignment horizontal="right"/>
    </xf>
    <xf numFmtId="175" fontId="91" fillId="0" borderId="28" xfId="0" applyNumberFormat="1" applyFont="1" applyBorder="1"/>
    <xf numFmtId="175" fontId="121" fillId="0" borderId="28" xfId="0" applyNumberFormat="1" applyFont="1" applyBorder="1"/>
    <xf numFmtId="0" fontId="143" fillId="19" borderId="0" xfId="0" applyFont="1" applyFill="1" applyAlignment="1">
      <alignment horizontal="right"/>
    </xf>
    <xf numFmtId="0" fontId="91" fillId="0" borderId="0" xfId="0" applyFont="1" applyAlignment="1">
      <alignment horizontal="left"/>
    </xf>
    <xf numFmtId="175" fontId="188" fillId="0" borderId="9" xfId="0" applyNumberFormat="1" applyFont="1" applyBorder="1" applyAlignment="1">
      <alignment horizontal="right" vertical="center"/>
    </xf>
    <xf numFmtId="175" fontId="188" fillId="0" borderId="36" xfId="0" applyNumberFormat="1" applyFont="1" applyBorder="1" applyAlignment="1">
      <alignment horizontal="right" vertical="center"/>
    </xf>
    <xf numFmtId="175" fontId="188" fillId="12" borderId="28" xfId="0" applyNumberFormat="1" applyFont="1" applyFill="1" applyBorder="1" applyAlignment="1">
      <alignment horizontal="right" vertical="center"/>
    </xf>
    <xf numFmtId="175" fontId="188" fillId="0" borderId="24" xfId="0" applyNumberFormat="1" applyFont="1" applyBorder="1" applyAlignment="1">
      <alignment horizontal="right" vertical="center"/>
    </xf>
    <xf numFmtId="175" fontId="188" fillId="0" borderId="44" xfId="0" applyNumberFormat="1" applyFont="1" applyBorder="1" applyAlignment="1">
      <alignment horizontal="right" vertical="center"/>
    </xf>
    <xf numFmtId="173" fontId="188" fillId="0" borderId="9" xfId="0" applyNumberFormat="1" applyFont="1" applyBorder="1" applyAlignment="1">
      <alignment horizontal="right" vertical="center"/>
    </xf>
    <xf numFmtId="173" fontId="188" fillId="0" borderId="36" xfId="0" applyNumberFormat="1" applyFont="1" applyBorder="1" applyAlignment="1">
      <alignment horizontal="right" vertical="center"/>
    </xf>
    <xf numFmtId="173" fontId="188" fillId="12" borderId="28" xfId="0" applyNumberFormat="1" applyFont="1" applyFill="1" applyBorder="1" applyAlignment="1">
      <alignment horizontal="right" vertical="center"/>
    </xf>
    <xf numFmtId="173" fontId="188" fillId="0" borderId="24" xfId="0" applyNumberFormat="1" applyFont="1" applyBorder="1" applyAlignment="1">
      <alignment horizontal="right" vertical="center"/>
    </xf>
    <xf numFmtId="173" fontId="188" fillId="0" borderId="44" xfId="0" applyNumberFormat="1" applyFont="1" applyBorder="1" applyAlignment="1">
      <alignment horizontal="right" vertical="center"/>
    </xf>
    <xf numFmtId="179" fontId="188" fillId="0" borderId="9" xfId="0" applyNumberFormat="1" applyFont="1" applyBorder="1" applyAlignment="1">
      <alignment horizontal="right" vertical="center"/>
    </xf>
    <xf numFmtId="175" fontId="188" fillId="0" borderId="42" xfId="0" applyNumberFormat="1" applyFont="1" applyBorder="1" applyAlignment="1">
      <alignment horizontal="right" vertical="center"/>
    </xf>
    <xf numFmtId="165" fontId="188" fillId="0" borderId="24" xfId="0" applyNumberFormat="1" applyFont="1" applyBorder="1"/>
    <xf numFmtId="165" fontId="188" fillId="0" borderId="9" xfId="0" applyNumberFormat="1" applyFont="1" applyBorder="1"/>
    <xf numFmtId="165" fontId="188" fillId="0" borderId="42" xfId="0" applyNumberFormat="1" applyFont="1" applyBorder="1"/>
    <xf numFmtId="165" fontId="188" fillId="15" borderId="24" xfId="0" applyNumberFormat="1" applyFont="1" applyFill="1" applyBorder="1"/>
    <xf numFmtId="1" fontId="188" fillId="0" borderId="62" xfId="0" applyNumberFormat="1" applyFont="1" applyBorder="1"/>
    <xf numFmtId="43" fontId="89" fillId="0" borderId="21" xfId="1" applyFont="1" applyBorder="1"/>
    <xf numFmtId="2" fontId="89" fillId="0" borderId="21" xfId="0" applyNumberFormat="1" applyFont="1" applyBorder="1"/>
    <xf numFmtId="166" fontId="89" fillId="0" borderId="41" xfId="1" applyNumberFormat="1" applyFont="1" applyFill="1" applyBorder="1"/>
    <xf numFmtId="175" fontId="178" fillId="0" borderId="58" xfId="0" applyNumberFormat="1" applyFont="1" applyBorder="1" applyAlignment="1">
      <alignment horizontal="right" vertical="center"/>
    </xf>
    <xf numFmtId="4" fontId="178" fillId="0" borderId="23" xfId="0" applyNumberFormat="1" applyFont="1" applyBorder="1" applyAlignment="1">
      <alignment horizontal="right" vertical="center"/>
    </xf>
    <xf numFmtId="175" fontId="178" fillId="0" borderId="52" xfId="0" applyNumberFormat="1" applyFont="1" applyBorder="1" applyAlignment="1">
      <alignment horizontal="right" vertical="center"/>
    </xf>
    <xf numFmtId="4" fontId="178" fillId="0" borderId="58" xfId="0" applyNumberFormat="1" applyFont="1" applyBorder="1" applyAlignment="1">
      <alignment horizontal="right" vertical="center"/>
    </xf>
    <xf numFmtId="4" fontId="178" fillId="0" borderId="22" xfId="0" applyNumberFormat="1" applyFont="1" applyBorder="1" applyAlignment="1">
      <alignment horizontal="right" vertical="center"/>
    </xf>
    <xf numFmtId="175" fontId="206" fillId="37" borderId="28" xfId="0" applyNumberFormat="1" applyFont="1" applyFill="1" applyBorder="1" applyAlignment="1">
      <alignment horizontal="right" vertical="center"/>
    </xf>
    <xf numFmtId="164" fontId="188" fillId="0" borderId="9" xfId="0" applyNumberFormat="1" applyFont="1" applyBorder="1"/>
    <xf numFmtId="171" fontId="188" fillId="0" borderId="9" xfId="0" applyNumberFormat="1" applyFont="1" applyBorder="1"/>
    <xf numFmtId="164" fontId="89" fillId="0" borderId="9" xfId="0" applyNumberFormat="1" applyFont="1" applyBorder="1"/>
    <xf numFmtId="0" fontId="91" fillId="0" borderId="28" xfId="0" applyFont="1" applyBorder="1"/>
    <xf numFmtId="176" fontId="198" fillId="0" borderId="0" xfId="1" applyNumberFormat="1" applyFont="1" applyFill="1" applyBorder="1"/>
    <xf numFmtId="43" fontId="198" fillId="0" borderId="0" xfId="1" applyFont="1" applyFill="1" applyBorder="1"/>
    <xf numFmtId="2" fontId="91" fillId="0" borderId="0" xfId="0" applyNumberFormat="1" applyFont="1"/>
    <xf numFmtId="2" fontId="91" fillId="0" borderId="1" xfId="0" applyNumberFormat="1" applyFont="1" applyBorder="1"/>
    <xf numFmtId="43" fontId="91" fillId="18" borderId="21" xfId="0" applyNumberFormat="1" applyFont="1" applyFill="1" applyBorder="1"/>
    <xf numFmtId="175" fontId="91" fillId="18" borderId="0" xfId="0" applyNumberFormat="1" applyFont="1" applyFill="1"/>
    <xf numFmtId="181" fontId="91" fillId="0" borderId="0" xfId="1" applyNumberFormat="1" applyFont="1" applyBorder="1"/>
    <xf numFmtId="175" fontId="91" fillId="24" borderId="0" xfId="1" applyNumberFormat="1" applyFont="1" applyFill="1" applyBorder="1"/>
    <xf numFmtId="175" fontId="91" fillId="23" borderId="0" xfId="1" applyNumberFormat="1" applyFont="1" applyFill="1" applyBorder="1"/>
    <xf numFmtId="175" fontId="91" fillId="20" borderId="0" xfId="1" applyNumberFormat="1" applyFont="1" applyFill="1" applyBorder="1"/>
    <xf numFmtId="182" fontId="91" fillId="25" borderId="0" xfId="1" applyNumberFormat="1" applyFont="1" applyFill="1" applyBorder="1"/>
    <xf numFmtId="175" fontId="91" fillId="18" borderId="0" xfId="1" applyNumberFormat="1" applyFont="1" applyFill="1" applyBorder="1"/>
    <xf numFmtId="175" fontId="91" fillId="18" borderId="0" xfId="1" applyNumberFormat="1" applyFont="1" applyFill="1"/>
    <xf numFmtId="175" fontId="91" fillId="18" borderId="1" xfId="1" applyNumberFormat="1" applyFont="1" applyFill="1" applyBorder="1"/>
    <xf numFmtId="181" fontId="91" fillId="0" borderId="0" xfId="1" applyNumberFormat="1" applyFont="1" applyFill="1" applyBorder="1"/>
    <xf numFmtId="175" fontId="91" fillId="16" borderId="0" xfId="1" applyNumberFormat="1" applyFont="1" applyFill="1"/>
    <xf numFmtId="175" fontId="91" fillId="15" borderId="1" xfId="1" applyNumberFormat="1" applyFont="1" applyFill="1" applyBorder="1"/>
    <xf numFmtId="169" fontId="91" fillId="23" borderId="0" xfId="1" applyNumberFormat="1" applyFont="1" applyFill="1" applyBorder="1"/>
    <xf numFmtId="0" fontId="113" fillId="20" borderId="12" xfId="0" applyFont="1" applyFill="1" applyBorder="1"/>
    <xf numFmtId="3" fontId="92" fillId="0" borderId="16" xfId="0" applyNumberFormat="1" applyFont="1" applyBorder="1"/>
    <xf numFmtId="4" fontId="92" fillId="0" borderId="56" xfId="0" applyNumberFormat="1" applyFont="1" applyBorder="1"/>
    <xf numFmtId="0" fontId="92" fillId="0" borderId="72" xfId="0" applyFont="1" applyBorder="1"/>
    <xf numFmtId="3" fontId="92" fillId="0" borderId="73" xfId="0" applyNumberFormat="1" applyFont="1" applyBorder="1"/>
    <xf numFmtId="0" fontId="0" fillId="0" borderId="0" xfId="0" applyAlignment="1">
      <alignment horizontal="left" vertical="center" wrapText="1"/>
    </xf>
    <xf numFmtId="0" fontId="225" fillId="0" borderId="0" xfId="11" applyFont="1" applyAlignment="1" applyProtection="1">
      <alignment horizontal="left" vertical="center"/>
    </xf>
    <xf numFmtId="0" fontId="0" fillId="0" borderId="0" xfId="0" applyAlignment="1">
      <alignment vertical="top" wrapText="1"/>
    </xf>
    <xf numFmtId="0" fontId="225" fillId="0" borderId="0" xfId="11" applyFont="1" applyFill="1" applyAlignment="1" applyProtection="1">
      <alignment horizontal="left" vertical="top"/>
    </xf>
    <xf numFmtId="0" fontId="236" fillId="0" borderId="0" xfId="0" applyFont="1"/>
    <xf numFmtId="2" fontId="218" fillId="0" borderId="0" xfId="0" applyNumberFormat="1" applyFont="1" applyAlignment="1">
      <alignment vertical="center"/>
    </xf>
    <xf numFmtId="0" fontId="59" fillId="0" borderId="39" xfId="0" applyFont="1" applyBorder="1" applyAlignment="1">
      <alignment horizontal="center"/>
    </xf>
    <xf numFmtId="0" fontId="59" fillId="0" borderId="21" xfId="0" applyFont="1" applyBorder="1" applyAlignment="1">
      <alignment horizontal="center"/>
    </xf>
    <xf numFmtId="0" fontId="59" fillId="0" borderId="26" xfId="0" applyFont="1" applyBorder="1" applyAlignment="1">
      <alignment horizontal="center"/>
    </xf>
    <xf numFmtId="0" fontId="59" fillId="0" borderId="23" xfId="0" applyFont="1" applyBorder="1" applyAlignment="1">
      <alignment horizontal="center"/>
    </xf>
    <xf numFmtId="0" fontId="59" fillId="0" borderId="28" xfId="0" applyFont="1" applyBorder="1" applyAlignment="1">
      <alignment horizontal="center"/>
    </xf>
    <xf numFmtId="0" fontId="59" fillId="0" borderId="13" xfId="0" applyFont="1" applyBorder="1" applyAlignment="1">
      <alignment horizontal="center"/>
    </xf>
    <xf numFmtId="0" fontId="143" fillId="0" borderId="8" xfId="0" applyFont="1" applyBorder="1" applyAlignment="1">
      <alignment horizontal="left" vertical="center" wrapText="1"/>
    </xf>
    <xf numFmtId="0" fontId="143" fillId="0" borderId="3" xfId="0" applyFont="1" applyBorder="1" applyAlignment="1">
      <alignment horizontal="left" vertical="center" wrapText="1"/>
    </xf>
    <xf numFmtId="0" fontId="143" fillId="0" borderId="4" xfId="0" applyFont="1" applyBorder="1" applyAlignment="1">
      <alignment horizontal="left" vertical="center" wrapText="1"/>
    </xf>
    <xf numFmtId="0" fontId="143" fillId="0" borderId="5" xfId="0" applyFont="1" applyBorder="1" applyAlignment="1">
      <alignment horizontal="left" vertical="center" wrapText="1"/>
    </xf>
    <xf numFmtId="0" fontId="143" fillId="0" borderId="0" xfId="0" applyFont="1" applyAlignment="1">
      <alignment horizontal="left" vertical="center" wrapText="1"/>
    </xf>
    <xf numFmtId="0" fontId="143" fillId="0" borderId="2" xfId="0" applyFont="1" applyBorder="1" applyAlignment="1">
      <alignment horizontal="left" vertical="center" wrapText="1"/>
    </xf>
    <xf numFmtId="0" fontId="143" fillId="0" borderId="6" xfId="0" applyFont="1" applyBorder="1" applyAlignment="1">
      <alignment horizontal="left" vertical="center" wrapText="1"/>
    </xf>
    <xf numFmtId="0" fontId="143" fillId="0" borderId="1" xfId="0" applyFont="1" applyBorder="1" applyAlignment="1">
      <alignment horizontal="left" vertical="center" wrapText="1"/>
    </xf>
    <xf numFmtId="0" fontId="143" fillId="0" borderId="7" xfId="0" applyFont="1" applyBorder="1" applyAlignment="1">
      <alignment horizontal="left" vertical="center" wrapText="1"/>
    </xf>
    <xf numFmtId="0" fontId="1" fillId="0" borderId="23" xfId="0" applyFont="1" applyBorder="1" applyAlignment="1">
      <alignment horizontal="left" vertical="center" wrapText="1"/>
    </xf>
    <xf numFmtId="0" fontId="1" fillId="0" borderId="28" xfId="0" applyFont="1" applyBorder="1" applyAlignment="1">
      <alignment horizontal="left" vertical="center" wrapText="1"/>
    </xf>
    <xf numFmtId="0" fontId="1" fillId="0" borderId="13" xfId="0" applyFont="1" applyBorder="1" applyAlignment="1">
      <alignment horizontal="left" vertical="center" wrapText="1"/>
    </xf>
    <xf numFmtId="0" fontId="73" fillId="0" borderId="1" xfId="0" applyFont="1" applyBorder="1" applyAlignment="1">
      <alignment horizontal="left" vertical="center" wrapText="1"/>
    </xf>
    <xf numFmtId="0" fontId="73" fillId="0" borderId="7" xfId="0" applyFont="1" applyBorder="1" applyAlignment="1">
      <alignment horizontal="left" vertical="center" wrapText="1"/>
    </xf>
    <xf numFmtId="0" fontId="92" fillId="0" borderId="28" xfId="0" applyFont="1" applyBorder="1" applyAlignment="1">
      <alignment horizontal="left" vertical="center" wrapText="1"/>
    </xf>
    <xf numFmtId="0" fontId="92" fillId="0" borderId="13" xfId="0" applyFont="1" applyBorder="1" applyAlignment="1">
      <alignment horizontal="left" vertical="center" wrapText="1"/>
    </xf>
    <xf numFmtId="0" fontId="3" fillId="0" borderId="23" xfId="0" applyFont="1" applyBorder="1" applyAlignment="1">
      <alignment horizontal="left" vertical="center" wrapText="1"/>
    </xf>
    <xf numFmtId="0" fontId="8" fillId="14" borderId="3" xfId="0" applyFont="1" applyFill="1" applyBorder="1" applyAlignment="1">
      <alignment horizontal="center"/>
    </xf>
    <xf numFmtId="0" fontId="8" fillId="0" borderId="23" xfId="0" applyFont="1" applyBorder="1" applyAlignment="1">
      <alignment horizontal="left" vertical="center" wrapText="1"/>
    </xf>
    <xf numFmtId="0" fontId="8" fillId="0" borderId="28" xfId="0" applyFont="1" applyBorder="1" applyAlignment="1">
      <alignment horizontal="left" vertical="center" wrapText="1"/>
    </xf>
    <xf numFmtId="0" fontId="8" fillId="0" borderId="13" xfId="0" applyFont="1" applyBorder="1" applyAlignment="1">
      <alignment horizontal="left" vertical="center" wrapText="1"/>
    </xf>
    <xf numFmtId="0" fontId="199" fillId="0" borderId="23" xfId="0" applyFont="1" applyBorder="1" applyAlignment="1">
      <alignment horizontal="left" vertical="center" wrapText="1"/>
    </xf>
    <xf numFmtId="0" fontId="199" fillId="0" borderId="28" xfId="0" applyFont="1" applyBorder="1" applyAlignment="1">
      <alignment horizontal="left" vertical="center" wrapText="1"/>
    </xf>
    <xf numFmtId="0" fontId="199" fillId="0" borderId="13" xfId="0" applyFont="1" applyBorder="1" applyAlignment="1">
      <alignment horizontal="left" vertical="center" wrapText="1"/>
    </xf>
    <xf numFmtId="0" fontId="152" fillId="33" borderId="0" xfId="0" applyFont="1" applyFill="1" applyAlignment="1">
      <alignment horizontal="left"/>
    </xf>
    <xf numFmtId="175" fontId="155" fillId="38" borderId="5" xfId="0" applyNumberFormat="1" applyFont="1" applyFill="1" applyBorder="1" applyAlignment="1">
      <alignment horizontal="center"/>
    </xf>
    <xf numFmtId="175" fontId="155" fillId="38" borderId="0" xfId="0" applyNumberFormat="1" applyFont="1" applyFill="1" applyAlignment="1">
      <alignment horizontal="center"/>
    </xf>
    <xf numFmtId="0" fontId="173" fillId="0" borderId="39" xfId="0" applyFont="1" applyBorder="1" applyAlignment="1">
      <alignment horizontal="left"/>
    </xf>
    <xf numFmtId="0" fontId="173" fillId="0" borderId="21" xfId="0" applyFont="1" applyBorder="1" applyAlignment="1">
      <alignment horizontal="left"/>
    </xf>
    <xf numFmtId="0" fontId="173" fillId="0" borderId="26" xfId="0" applyFont="1" applyBorder="1" applyAlignment="1">
      <alignment horizontal="left"/>
    </xf>
    <xf numFmtId="175" fontId="155" fillId="38" borderId="39" xfId="0" applyNumberFormat="1" applyFont="1" applyFill="1" applyBorder="1" applyAlignment="1">
      <alignment horizontal="center"/>
    </xf>
    <xf numFmtId="175" fontId="155" fillId="38" borderId="21" xfId="0" applyNumberFormat="1" applyFont="1" applyFill="1" applyBorder="1" applyAlignment="1">
      <alignment horizontal="center"/>
    </xf>
    <xf numFmtId="175" fontId="155" fillId="38" borderId="26" xfId="0" applyNumberFormat="1" applyFont="1" applyFill="1" applyBorder="1" applyAlignment="1">
      <alignment horizontal="center"/>
    </xf>
    <xf numFmtId="175" fontId="155" fillId="43" borderId="39" xfId="0" applyNumberFormat="1" applyFont="1" applyFill="1" applyBorder="1" applyAlignment="1">
      <alignment horizontal="center"/>
    </xf>
    <xf numFmtId="175" fontId="155" fillId="43" borderId="21" xfId="0" applyNumberFormat="1" applyFont="1" applyFill="1" applyBorder="1" applyAlignment="1">
      <alignment horizontal="center"/>
    </xf>
    <xf numFmtId="175" fontId="155" fillId="43" borderId="26" xfId="0" applyNumberFormat="1" applyFont="1" applyFill="1" applyBorder="1" applyAlignment="1">
      <alignment horizontal="center"/>
    </xf>
    <xf numFmtId="0" fontId="8" fillId="0" borderId="23" xfId="0" applyFont="1" applyBorder="1" applyAlignment="1">
      <alignment horizontal="left" wrapText="1"/>
    </xf>
    <xf numFmtId="0" fontId="8" fillId="0" borderId="28" xfId="0" applyFont="1" applyBorder="1" applyAlignment="1">
      <alignment horizontal="left" wrapText="1"/>
    </xf>
    <xf numFmtId="0" fontId="8" fillId="0" borderId="13" xfId="0" applyFont="1" applyBorder="1" applyAlignment="1">
      <alignment horizontal="left" wrapText="1"/>
    </xf>
    <xf numFmtId="0" fontId="27" fillId="14" borderId="37" xfId="0" applyFont="1" applyFill="1" applyBorder="1" applyAlignment="1">
      <alignment horizontal="left" wrapText="1"/>
    </xf>
    <xf numFmtId="0" fontId="27" fillId="14" borderId="0" xfId="0" applyFont="1" applyFill="1" applyAlignment="1">
      <alignment horizontal="left" wrapText="1"/>
    </xf>
    <xf numFmtId="0" fontId="119" fillId="0" borderId="36" xfId="0" applyFont="1" applyBorder="1" applyAlignment="1">
      <alignment horizontal="center" vertical="center" wrapText="1"/>
    </xf>
    <xf numFmtId="0" fontId="119" fillId="0" borderId="24" xfId="0" applyFont="1" applyBorder="1" applyAlignment="1">
      <alignment horizontal="center" vertical="center" wrapText="1"/>
    </xf>
    <xf numFmtId="0" fontId="9" fillId="26" borderId="39" xfId="0" applyFont="1" applyFill="1" applyBorder="1" applyAlignment="1">
      <alignment horizontal="left"/>
    </xf>
    <xf numFmtId="0" fontId="9" fillId="26" borderId="21" xfId="0" applyFont="1" applyFill="1" applyBorder="1" applyAlignment="1">
      <alignment horizontal="left"/>
    </xf>
    <xf numFmtId="0" fontId="9" fillId="26" borderId="26" xfId="0" applyFont="1" applyFill="1" applyBorder="1" applyAlignment="1">
      <alignment horizontal="left"/>
    </xf>
    <xf numFmtId="0" fontId="9" fillId="20" borderId="39" xfId="0" applyFont="1" applyFill="1" applyBorder="1" applyAlignment="1">
      <alignment horizontal="left"/>
    </xf>
    <xf numFmtId="0" fontId="9" fillId="20" borderId="21" xfId="0" applyFont="1" applyFill="1" applyBorder="1" applyAlignment="1">
      <alignment horizontal="left"/>
    </xf>
    <xf numFmtId="0" fontId="9" fillId="20" borderId="26" xfId="0" applyFont="1" applyFill="1" applyBorder="1" applyAlignment="1">
      <alignment horizontal="left"/>
    </xf>
    <xf numFmtId="0" fontId="92" fillId="0" borderId="9" xfId="0" applyFont="1" applyBorder="1" applyAlignment="1">
      <alignment horizontal="center"/>
    </xf>
    <xf numFmtId="0" fontId="8" fillId="22" borderId="23" xfId="0" applyFont="1" applyFill="1" applyBorder="1" applyAlignment="1">
      <alignment horizontal="left" vertical="center" wrapText="1"/>
    </xf>
    <xf numFmtId="0" fontId="8" fillId="22" borderId="28" xfId="0" applyFont="1" applyFill="1" applyBorder="1" applyAlignment="1">
      <alignment horizontal="left" vertical="center" wrapText="1"/>
    </xf>
    <xf numFmtId="0" fontId="8" fillId="22" borderId="13" xfId="0" applyFont="1" applyFill="1" applyBorder="1" applyAlignment="1">
      <alignment horizontal="left" vertical="center" wrapText="1"/>
    </xf>
    <xf numFmtId="0" fontId="182" fillId="12" borderId="0" xfId="0" applyFont="1" applyFill="1" applyAlignment="1">
      <alignment horizontal="center" vertical="center"/>
    </xf>
    <xf numFmtId="0" fontId="0" fillId="0" borderId="0" xfId="0" applyAlignment="1">
      <alignment horizontal="left" vertical="top" wrapText="1"/>
    </xf>
    <xf numFmtId="0" fontId="4" fillId="0" borderId="51" xfId="0" applyFont="1" applyBorder="1" applyAlignment="1">
      <alignment horizontal="center" wrapText="1"/>
    </xf>
    <xf numFmtId="0" fontId="4" fillId="0" borderId="41" xfId="0" applyFont="1" applyBorder="1" applyAlignment="1">
      <alignment horizontal="center" wrapText="1"/>
    </xf>
    <xf numFmtId="0" fontId="4" fillId="0" borderId="53" xfId="0" applyFont="1" applyBorder="1" applyAlignment="1">
      <alignment horizontal="center"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wrapText="1"/>
    </xf>
    <xf numFmtId="0" fontId="4" fillId="0" borderId="23" xfId="0" applyFont="1" applyBorder="1" applyAlignment="1">
      <alignment horizontal="center"/>
    </xf>
    <xf numFmtId="0" fontId="4" fillId="0" borderId="28" xfId="0" applyFont="1" applyBorder="1" applyAlignment="1">
      <alignment horizontal="center"/>
    </xf>
    <xf numFmtId="0" fontId="4" fillId="0" borderId="47" xfId="0" applyFont="1" applyBorder="1" applyAlignment="1">
      <alignment horizontal="center"/>
    </xf>
    <xf numFmtId="0" fontId="4" fillId="0" borderId="13" xfId="0" applyFont="1" applyBorder="1" applyAlignment="1">
      <alignment horizontal="center"/>
    </xf>
    <xf numFmtId="0" fontId="0" fillId="0" borderId="3" xfId="0" applyBorder="1" applyAlignment="1">
      <alignment horizontal="center" vertical="top" wrapText="1"/>
    </xf>
    <xf numFmtId="0" fontId="0" fillId="0" borderId="0" xfId="0" applyAlignment="1">
      <alignment horizontal="center" vertical="top" wrapText="1"/>
    </xf>
    <xf numFmtId="0" fontId="31" fillId="0" borderId="19" xfId="0" applyFont="1" applyBorder="1" applyAlignment="1">
      <alignment horizontal="center"/>
    </xf>
    <xf numFmtId="0" fontId="31" fillId="0" borderId="34" xfId="0" applyFont="1" applyBorder="1" applyAlignment="1">
      <alignment horizontal="center"/>
    </xf>
    <xf numFmtId="0" fontId="31" fillId="0" borderId="54" xfId="0" applyFont="1" applyBorder="1" applyAlignment="1">
      <alignment horizontal="center"/>
    </xf>
    <xf numFmtId="0" fontId="0" fillId="0" borderId="36" xfId="0" applyBorder="1" applyAlignment="1">
      <alignment horizontal="center" wrapText="1"/>
    </xf>
    <xf numFmtId="0" fontId="0" fillId="0" borderId="35" xfId="0" applyBorder="1" applyAlignment="1">
      <alignment horizontal="center" wrapText="1"/>
    </xf>
    <xf numFmtId="0" fontId="0" fillId="0" borderId="24" xfId="0" applyBorder="1" applyAlignment="1">
      <alignment horizontal="center" wrapText="1"/>
    </xf>
    <xf numFmtId="0" fontId="16" fillId="0" borderId="19" xfId="0" applyFont="1" applyBorder="1" applyAlignment="1">
      <alignment horizontal="center"/>
    </xf>
    <xf numFmtId="0" fontId="16" fillId="0" borderId="34" xfId="0" applyFont="1" applyBorder="1" applyAlignment="1">
      <alignment horizontal="center"/>
    </xf>
    <xf numFmtId="0" fontId="16" fillId="0" borderId="54" xfId="0" applyFont="1" applyBorder="1" applyAlignment="1">
      <alignment horizontal="center"/>
    </xf>
    <xf numFmtId="0" fontId="31" fillId="0" borderId="8" xfId="0" applyFont="1" applyBorder="1" applyAlignment="1">
      <alignment horizont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1" fillId="0" borderId="2" xfId="0" applyFont="1" applyBorder="1" applyAlignment="1">
      <alignment horizontal="center" wrapText="1"/>
    </xf>
    <xf numFmtId="0" fontId="31" fillId="0" borderId="30" xfId="0" applyFont="1" applyBorder="1" applyAlignment="1">
      <alignment horizontal="center" wrapText="1"/>
    </xf>
    <xf numFmtId="0" fontId="31" fillId="0" borderId="48" xfId="0" applyFont="1" applyBorder="1" applyAlignment="1">
      <alignment horizontal="center" wrapText="1"/>
    </xf>
    <xf numFmtId="0" fontId="18" fillId="0" borderId="39" xfId="0" applyFont="1" applyBorder="1" applyAlignment="1">
      <alignment horizontal="center" wrapText="1"/>
    </xf>
    <xf numFmtId="0" fontId="18" fillId="0" borderId="21" xfId="0" applyFont="1" applyBorder="1" applyAlignment="1">
      <alignment horizontal="center" wrapText="1"/>
    </xf>
    <xf numFmtId="0" fontId="18" fillId="0" borderId="26" xfId="0" applyFont="1" applyBorder="1" applyAlignment="1">
      <alignment horizontal="center" wrapText="1"/>
    </xf>
    <xf numFmtId="0" fontId="4" fillId="0" borderId="20" xfId="0" applyFont="1" applyBorder="1" applyAlignment="1">
      <alignment horizontal="center"/>
    </xf>
    <xf numFmtId="0" fontId="42" fillId="0" borderId="19" xfId="0" applyFont="1" applyBorder="1" applyAlignment="1">
      <alignment horizontal="center"/>
    </xf>
    <xf numFmtId="0" fontId="42" fillId="0" borderId="34" xfId="0" applyFont="1" applyBorder="1" applyAlignment="1">
      <alignment horizontal="center"/>
    </xf>
    <xf numFmtId="0" fontId="42" fillId="0" borderId="54" xfId="0" applyFont="1" applyBorder="1" applyAlignment="1">
      <alignment horizontal="center"/>
    </xf>
    <xf numFmtId="0" fontId="4" fillId="0" borderId="8"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6" xfId="0" applyFont="1" applyBorder="1" applyAlignment="1">
      <alignment horizontal="center" wrapText="1"/>
    </xf>
    <xf numFmtId="0" fontId="4" fillId="0" borderId="1" xfId="0" applyFont="1" applyBorder="1" applyAlignment="1">
      <alignment horizontal="center" wrapText="1"/>
    </xf>
    <xf numFmtId="0" fontId="4" fillId="0" borderId="7" xfId="0" applyFont="1" applyBorder="1" applyAlignment="1">
      <alignment horizontal="center" wrapText="1"/>
    </xf>
    <xf numFmtId="0" fontId="31" fillId="0" borderId="8"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64" xfId="0" applyFont="1" applyBorder="1" applyAlignment="1">
      <alignment horizontal="center" vertical="center" wrapText="1"/>
    </xf>
    <xf numFmtId="0" fontId="15" fillId="0" borderId="8"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5" fillId="0" borderId="1" xfId="0" applyFont="1" applyBorder="1" applyAlignment="1">
      <alignment horizontal="center" wrapText="1"/>
    </xf>
    <xf numFmtId="0" fontId="15" fillId="0" borderId="7" xfId="0" applyFont="1" applyBorder="1" applyAlignment="1">
      <alignment horizontal="center" wrapText="1"/>
    </xf>
    <xf numFmtId="0" fontId="18" fillId="0" borderId="39" xfId="0" applyFont="1" applyBorder="1" applyAlignment="1">
      <alignment horizontal="left"/>
    </xf>
    <xf numFmtId="0" fontId="18" fillId="0" borderId="21" xfId="0" applyFont="1" applyBorder="1" applyAlignment="1">
      <alignment horizontal="left"/>
    </xf>
    <xf numFmtId="0" fontId="18" fillId="0" borderId="26" xfId="0" applyFont="1" applyBorder="1" applyAlignment="1">
      <alignment horizontal="left"/>
    </xf>
    <xf numFmtId="0" fontId="32" fillId="0" borderId="8"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7" xfId="0" applyFont="1" applyBorder="1" applyAlignment="1">
      <alignment horizontal="center" vertical="center" wrapText="1"/>
    </xf>
    <xf numFmtId="0" fontId="119" fillId="0" borderId="68" xfId="0" applyFont="1" applyBorder="1" applyAlignment="1">
      <alignment horizontal="center"/>
    </xf>
    <xf numFmtId="0" fontId="119" fillId="0" borderId="21" xfId="0" applyFont="1" applyBorder="1" applyAlignment="1">
      <alignment horizontal="center"/>
    </xf>
    <xf numFmtId="0" fontId="0" fillId="0" borderId="2" xfId="0" applyBorder="1" applyAlignment="1">
      <alignment horizontal="center" vertical="top" wrapText="1"/>
    </xf>
    <xf numFmtId="0" fontId="88" fillId="0" borderId="19" xfId="0" applyFont="1" applyBorder="1" applyAlignment="1">
      <alignment horizontal="center"/>
    </xf>
    <xf numFmtId="0" fontId="88" fillId="0" borderId="34" xfId="0" applyFont="1" applyBorder="1" applyAlignment="1">
      <alignment horizontal="center"/>
    </xf>
    <xf numFmtId="0" fontId="88" fillId="0" borderId="19" xfId="0" applyFont="1" applyBorder="1" applyAlignment="1">
      <alignment horizontal="center" wrapText="1"/>
    </xf>
    <xf numFmtId="0" fontId="88" fillId="0" borderId="34" xfId="0" applyFont="1" applyBorder="1" applyAlignment="1">
      <alignment horizontal="center" wrapText="1"/>
    </xf>
    <xf numFmtId="0" fontId="41" fillId="0" borderId="8"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7" xfId="0" applyFont="1" applyBorder="1" applyAlignment="1">
      <alignment horizontal="center" vertical="center" wrapText="1"/>
    </xf>
    <xf numFmtId="0" fontId="0" fillId="2" borderId="39" xfId="0" applyFill="1" applyBorder="1" applyAlignment="1">
      <alignment horizontal="left"/>
    </xf>
    <xf numFmtId="0" fontId="0" fillId="2" borderId="21" xfId="0" applyFill="1" applyBorder="1" applyAlignment="1">
      <alignment horizontal="left"/>
    </xf>
    <xf numFmtId="0" fontId="0" fillId="2" borderId="26" xfId="0" applyFill="1" applyBorder="1" applyAlignment="1">
      <alignment horizontal="left"/>
    </xf>
    <xf numFmtId="0" fontId="0" fillId="11" borderId="39" xfId="0" applyFill="1" applyBorder="1" applyAlignment="1">
      <alignment horizontal="left"/>
    </xf>
    <xf numFmtId="0" fontId="0" fillId="11" borderId="21" xfId="0" applyFill="1" applyBorder="1" applyAlignment="1">
      <alignment horizontal="left"/>
    </xf>
    <xf numFmtId="0" fontId="0" fillId="11" borderId="26" xfId="0" applyFill="1" applyBorder="1" applyAlignment="1">
      <alignment horizontal="left"/>
    </xf>
    <xf numFmtId="0" fontId="15" fillId="0" borderId="39" xfId="0" applyFont="1" applyBorder="1" applyAlignment="1">
      <alignment horizontal="left"/>
    </xf>
    <xf numFmtId="0" fontId="15" fillId="0" borderId="21" xfId="0" applyFont="1" applyBorder="1" applyAlignment="1">
      <alignment horizontal="left"/>
    </xf>
    <xf numFmtId="0" fontId="15" fillId="0" borderId="26" xfId="0" applyFont="1" applyBorder="1" applyAlignment="1">
      <alignment horizontal="left"/>
    </xf>
    <xf numFmtId="0" fontId="88" fillId="0" borderId="39" xfId="0" applyFont="1" applyBorder="1" applyAlignment="1">
      <alignment horizontal="center"/>
    </xf>
    <xf numFmtId="0" fontId="88" fillId="0" borderId="21" xfId="0" applyFont="1" applyBorder="1" applyAlignment="1">
      <alignment horizontal="center"/>
    </xf>
    <xf numFmtId="0" fontId="88" fillId="0" borderId="26" xfId="0" applyFont="1" applyBorder="1" applyAlignment="1">
      <alignment horizontal="center"/>
    </xf>
    <xf numFmtId="0" fontId="32" fillId="0" borderId="8"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6" xfId="0" applyFont="1" applyBorder="1" applyAlignment="1">
      <alignment horizontal="center" vertical="center"/>
    </xf>
    <xf numFmtId="0" fontId="32" fillId="0" borderId="1" xfId="0" applyFont="1" applyBorder="1" applyAlignment="1">
      <alignment horizontal="center" vertical="center"/>
    </xf>
    <xf numFmtId="0" fontId="32" fillId="0" borderId="7" xfId="0" applyFont="1" applyBorder="1" applyAlignment="1">
      <alignment horizontal="center" vertical="center"/>
    </xf>
    <xf numFmtId="0" fontId="31" fillId="0" borderId="39" xfId="0" applyFont="1" applyBorder="1" applyAlignment="1">
      <alignment horizontal="center"/>
    </xf>
    <xf numFmtId="0" fontId="31" fillId="0" borderId="26" xfId="0" applyFont="1" applyBorder="1" applyAlignment="1">
      <alignment horizontal="center"/>
    </xf>
    <xf numFmtId="0" fontId="31" fillId="0" borderId="21" xfId="0" applyFont="1" applyBorder="1" applyAlignment="1">
      <alignment horizontal="center"/>
    </xf>
    <xf numFmtId="0" fontId="0" fillId="0" borderId="52" xfId="0" applyBorder="1" applyAlignment="1">
      <alignment horizontal="center" wrapText="1"/>
    </xf>
    <xf numFmtId="0" fontId="0" fillId="0" borderId="41" xfId="0" applyBorder="1" applyAlignment="1">
      <alignment horizontal="center" wrapText="1"/>
    </xf>
    <xf numFmtId="0" fontId="0" fillId="0" borderId="46" xfId="0" applyBorder="1" applyAlignment="1">
      <alignment horizontal="center" wrapText="1"/>
    </xf>
    <xf numFmtId="0" fontId="0" fillId="0" borderId="58" xfId="0" applyBorder="1" applyAlignment="1">
      <alignment horizontal="center" wrapText="1"/>
    </xf>
    <xf numFmtId="0" fontId="0" fillId="0" borderId="22" xfId="0" applyBorder="1" applyAlignment="1">
      <alignment horizontal="center" wrapText="1"/>
    </xf>
    <xf numFmtId="0" fontId="0" fillId="0" borderId="44" xfId="0" applyBorder="1" applyAlignment="1">
      <alignment horizontal="center" wrapText="1"/>
    </xf>
    <xf numFmtId="0" fontId="0" fillId="0" borderId="8"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0" fillId="0" borderId="6" xfId="0" applyBorder="1" applyAlignment="1">
      <alignment horizontal="center" wrapText="1"/>
    </xf>
    <xf numFmtId="0" fontId="0" fillId="0" borderId="1" xfId="0" applyBorder="1" applyAlignment="1">
      <alignment horizontal="center" wrapText="1"/>
    </xf>
    <xf numFmtId="0" fontId="0" fillId="0" borderId="7" xfId="0" applyBorder="1" applyAlignment="1">
      <alignment horizontal="center" wrapText="1"/>
    </xf>
    <xf numFmtId="0" fontId="8" fillId="15" borderId="23" xfId="0" applyFont="1" applyFill="1" applyBorder="1" applyAlignment="1">
      <alignment horizontal="left" vertical="center" wrapText="1"/>
    </xf>
    <xf numFmtId="0" fontId="8" fillId="15" borderId="28" xfId="0" applyFont="1" applyFill="1" applyBorder="1" applyAlignment="1">
      <alignment horizontal="left" vertical="center" wrapText="1"/>
    </xf>
    <xf numFmtId="0" fontId="8" fillId="15" borderId="13" xfId="0" applyFont="1" applyFill="1" applyBorder="1" applyAlignment="1">
      <alignment horizontal="left" vertical="center" wrapText="1"/>
    </xf>
    <xf numFmtId="0" fontId="92" fillId="17" borderId="0" xfId="0" applyFont="1" applyFill="1" applyAlignment="1">
      <alignment horizontal="center" wrapText="1"/>
    </xf>
    <xf numFmtId="0" fontId="0" fillId="0" borderId="65" xfId="0" applyBorder="1" applyAlignment="1">
      <alignment vertical="top" wrapText="1"/>
    </xf>
    <xf numFmtId="0" fontId="0" fillId="0" borderId="64"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39" xfId="0" applyBorder="1" applyAlignment="1">
      <alignment vertical="top" wrapText="1"/>
    </xf>
    <xf numFmtId="0" fontId="0" fillId="0" borderId="70" xfId="0" applyBorder="1"/>
    <xf numFmtId="0" fontId="0" fillId="0" borderId="19" xfId="0" applyBorder="1" applyAlignment="1">
      <alignment horizontal="center"/>
    </xf>
    <xf numFmtId="0" fontId="0" fillId="0" borderId="34" xfId="0" applyBorder="1" applyAlignment="1">
      <alignment horizontal="center"/>
    </xf>
    <xf numFmtId="0" fontId="0" fillId="0" borderId="54" xfId="0" applyBorder="1" applyAlignment="1">
      <alignment horizontal="center"/>
    </xf>
    <xf numFmtId="0" fontId="96" fillId="0" borderId="0" xfId="0" applyFont="1" applyAlignment="1">
      <alignment horizontal="left" wrapText="1"/>
    </xf>
    <xf numFmtId="0" fontId="0" fillId="0" borderId="70" xfId="0" applyBorder="1" applyAlignment="1">
      <alignment vertical="top" wrapText="1"/>
    </xf>
    <xf numFmtId="0" fontId="0" fillId="26" borderId="8" xfId="0" applyFill="1" applyBorder="1" applyAlignment="1">
      <alignment horizontal="left" wrapText="1"/>
    </xf>
    <xf numFmtId="0" fontId="0" fillId="0" borderId="3" xfId="0" applyBorder="1"/>
    <xf numFmtId="0" fontId="0" fillId="0" borderId="4" xfId="0" applyBorder="1"/>
    <xf numFmtId="0" fontId="0" fillId="0" borderId="6" xfId="0" applyBorder="1"/>
    <xf numFmtId="0" fontId="0" fillId="0" borderId="1" xfId="0" applyBorder="1"/>
    <xf numFmtId="0" fontId="0" fillId="0" borderId="7" xfId="0" applyBorder="1"/>
    <xf numFmtId="0" fontId="0" fillId="0" borderId="8" xfId="0" applyBorder="1" applyAlignment="1">
      <alignment vertical="top" wrapText="1"/>
    </xf>
    <xf numFmtId="0" fontId="0" fillId="0" borderId="69" xfId="0" applyBorder="1"/>
    <xf numFmtId="0" fontId="0" fillId="0" borderId="40" xfId="0" applyBorder="1"/>
    <xf numFmtId="0" fontId="0" fillId="0" borderId="71" xfId="0" applyBorder="1" applyAlignment="1">
      <alignment horizontal="center" vertical="top" wrapText="1"/>
    </xf>
    <xf numFmtId="0" fontId="0" fillId="0" borderId="21" xfId="0" applyBorder="1" applyAlignment="1">
      <alignment horizontal="center" vertical="top" wrapText="1"/>
    </xf>
    <xf numFmtId="0" fontId="0" fillId="0" borderId="26" xfId="0" applyBorder="1" applyAlignment="1">
      <alignment horizontal="center" vertical="top" wrapText="1"/>
    </xf>
    <xf numFmtId="0" fontId="19" fillId="0" borderId="0" xfId="0" applyFont="1" applyAlignment="1">
      <alignment horizontal="left" vertical="center" wrapText="1"/>
    </xf>
    <xf numFmtId="0" fontId="209" fillId="0" borderId="0" xfId="0" applyFont="1" applyAlignment="1">
      <alignment horizontal="left" vertical="center" wrapText="1"/>
    </xf>
    <xf numFmtId="0" fontId="209" fillId="0" borderId="2" xfId="0" applyFont="1" applyBorder="1" applyAlignment="1">
      <alignment horizontal="left" vertical="center" wrapText="1"/>
    </xf>
    <xf numFmtId="0" fontId="88" fillId="26" borderId="39" xfId="0" applyFont="1" applyFill="1" applyBorder="1" applyAlignment="1">
      <alignment horizontal="left"/>
    </xf>
    <xf numFmtId="0" fontId="88" fillId="26" borderId="26" xfId="0" applyFont="1" applyFill="1" applyBorder="1" applyAlignment="1">
      <alignment horizontal="left"/>
    </xf>
    <xf numFmtId="0" fontId="88" fillId="0" borderId="36" xfId="0" applyFont="1" applyBorder="1" applyAlignment="1">
      <alignment horizontal="center" vertical="center" wrapText="1"/>
    </xf>
    <xf numFmtId="0" fontId="88" fillId="0" borderId="24" xfId="0" applyFont="1" applyBorder="1" applyAlignment="1">
      <alignment horizontal="center"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46" fillId="0" borderId="5" xfId="3" applyFill="1" applyBorder="1" applyAlignment="1" applyProtection="1">
      <alignment horizontal="left" vertical="center" wrapText="1"/>
    </xf>
    <xf numFmtId="0" fontId="46" fillId="0" borderId="0" xfId="3" applyFill="1" applyBorder="1" applyAlignment="1" applyProtection="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2" fontId="218" fillId="60" borderId="0" xfId="0" applyNumberFormat="1" applyFont="1" applyFill="1"/>
    <xf numFmtId="2" fontId="236" fillId="58" borderId="0" xfId="0" applyNumberFormat="1" applyFont="1" applyFill="1" applyAlignment="1">
      <alignment horizontal="right" vertical="center"/>
    </xf>
  </cellXfs>
  <cellStyles count="15">
    <cellStyle name="Comma" xfId="1" builtinId="3"/>
    <cellStyle name="Comma 2" xfId="2" xr:uid="{00000000-0005-0000-0000-000001000000}"/>
    <cellStyle name="Comma 3" xfId="10" xr:uid="{B946B7C6-DDAE-4E3E-AD1E-367E753215D3}"/>
    <cellStyle name="Hyperlink" xfId="3" builtinId="8"/>
    <cellStyle name="Hyperlink 2" xfId="11" xr:uid="{9ADC8F51-63FB-4CC6-A0A6-20E635361267}"/>
    <cellStyle name="Normal" xfId="0" builtinId="0"/>
    <cellStyle name="Normal 7" xfId="12" xr:uid="{999EFD00-7552-4EAE-908A-0B61BB844EC9}"/>
    <cellStyle name="Normal_Coal Module_7.23" xfId="4" xr:uid="{00000000-0005-0000-0000-000005000000}"/>
    <cellStyle name="Normal_Energy Module2" xfId="5" xr:uid="{00000000-0005-0000-0000-000006000000}"/>
    <cellStyle name="Normal_mobile96" xfId="6" xr:uid="{00000000-0005-0000-0000-000008000000}"/>
    <cellStyle name="Normal_State Transportation Module 02.13.02" xfId="7" xr:uid="{00000000-0005-0000-0000-000009000000}"/>
    <cellStyle name="Normal_Summary 1996 Inventory" xfId="14" xr:uid="{94F50B2F-C76E-4F99-AF5F-AB4F8C4AA728}"/>
    <cellStyle name="Percent" xfId="8" builtinId="5"/>
    <cellStyle name="Percent 2" xfId="9" xr:uid="{00000000-0005-0000-0000-00000B000000}"/>
    <cellStyle name="Title" xfId="13" builtinId="15"/>
  </cellStyles>
  <dxfs count="41">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s>
  <tableStyles count="0" defaultTableStyle="TableStyleMedium9" defaultPivotStyle="PivotStyleLight16"/>
  <colors>
    <mruColors>
      <color rgb="FFFF00FF"/>
      <color rgb="FFFFFFCC"/>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2.xml"/><Relationship Id="rId18" Type="http://schemas.openxmlformats.org/officeDocument/2006/relationships/worksheet" Target="worksheets/sheet17.xml"/><Relationship Id="rId26" Type="http://schemas.openxmlformats.org/officeDocument/2006/relationships/externalLink" Target="externalLinks/externalLink4.xml"/><Relationship Id="rId21" Type="http://schemas.openxmlformats.org/officeDocument/2006/relationships/worksheet" Target="worksheets/sheet20.xml"/><Relationship Id="rId34" Type="http://schemas.openxmlformats.org/officeDocument/2006/relationships/customXml" Target="../customXml/item1.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1.xml"/><Relationship Id="rId16" Type="http://schemas.openxmlformats.org/officeDocument/2006/relationships/worksheet" Target="worksheets/sheet15.xml"/><Relationship Id="rId20" Type="http://schemas.openxmlformats.org/officeDocument/2006/relationships/worksheet" Target="worksheets/sheet19.xml"/><Relationship Id="rId29" Type="http://schemas.openxmlformats.org/officeDocument/2006/relationships/externalLink" Target="externalLinks/externalLink7.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24" Type="http://schemas.openxmlformats.org/officeDocument/2006/relationships/externalLink" Target="externalLinks/externalLink2.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4.xml"/><Relationship Id="rId15" Type="http://schemas.openxmlformats.org/officeDocument/2006/relationships/worksheet" Target="worksheets/sheet14.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ustomXml" Target="../customXml/item3.xml"/><Relationship Id="rId10" Type="http://schemas.openxmlformats.org/officeDocument/2006/relationships/worksheet" Target="worksheets/sheet9.xml"/><Relationship Id="rId19" Type="http://schemas.openxmlformats.org/officeDocument/2006/relationships/worksheet" Target="worksheets/sheet18.xml"/><Relationship Id="rId31" Type="http://schemas.openxmlformats.org/officeDocument/2006/relationships/styles" Target="styles.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worksheet" Target="worksheets/sheet21.xml"/><Relationship Id="rId27" Type="http://schemas.openxmlformats.org/officeDocument/2006/relationships/externalLink" Target="externalLinks/externalLink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7.xml"/><Relationship Id="rId3"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4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5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5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880" b="0" i="0" u="none" strike="noStrike" baseline="0">
                <a:solidFill>
                  <a:srgbClr val="000000"/>
                </a:solidFill>
                <a:latin typeface="Calibri"/>
                <a:ea typeface="Calibri"/>
                <a:cs typeface="Calibri"/>
              </a:defRPr>
            </a:pPr>
            <a:r>
              <a:rPr lang="en-US"/>
              <a:t>Massachusetts GHG Emissions</a:t>
            </a:r>
          </a:p>
        </c:rich>
      </c:tx>
      <c:overlay val="0"/>
    </c:title>
    <c:autoTitleDeleted val="0"/>
    <c:plotArea>
      <c:layout>
        <c:manualLayout>
          <c:layoutTarget val="inner"/>
          <c:xMode val="edge"/>
          <c:yMode val="edge"/>
          <c:x val="0.16284977024499503"/>
          <c:y val="0.14123216416129802"/>
          <c:w val="0.79254859404977906"/>
          <c:h val="0.71541068747286707"/>
        </c:manualLayout>
      </c:layout>
      <c:lineChart>
        <c:grouping val="standard"/>
        <c:varyColors val="0"/>
        <c:ser>
          <c:idx val="1"/>
          <c:order val="0"/>
          <c:tx>
            <c:v>Historic Emissions</c:v>
          </c:tx>
          <c:spPr>
            <a:ln w="25400">
              <a:solidFill>
                <a:srgbClr val="000000"/>
              </a:solidFill>
              <a:prstDash val="solid"/>
            </a:ln>
          </c:spPr>
          <c:marker>
            <c:symbol val="diamond"/>
            <c:size val="6"/>
            <c:spPr>
              <a:solidFill>
                <a:schemeClr val="bg1">
                  <a:lumMod val="65000"/>
                </a:schemeClr>
              </a:solidFill>
              <a:ln w="25400">
                <a:solidFill>
                  <a:srgbClr val="000000"/>
                </a:solidFill>
              </a:ln>
            </c:spPr>
          </c:marker>
          <c:dPt>
            <c:idx val="20"/>
            <c:bubble3D val="0"/>
            <c:extLst>
              <c:ext xmlns:c16="http://schemas.microsoft.com/office/drawing/2014/chart" uri="{C3380CC4-5D6E-409C-BE32-E72D297353CC}">
                <c16:uniqueId val="{00000004-C6B3-4059-AC3E-633653293B14}"/>
              </c:ext>
            </c:extLst>
          </c:dPt>
          <c:dPt>
            <c:idx val="22"/>
            <c:bubble3D val="0"/>
            <c:extLst>
              <c:ext xmlns:c16="http://schemas.microsoft.com/office/drawing/2014/chart" uri="{C3380CC4-5D6E-409C-BE32-E72D297353CC}">
                <c16:uniqueId val="{00000005-C6B3-4059-AC3E-633653293B14}"/>
              </c:ext>
            </c:extLst>
          </c:dPt>
          <c:dPt>
            <c:idx val="23"/>
            <c:marker>
              <c:spPr>
                <a:solidFill>
                  <a:schemeClr val="bg1">
                    <a:lumMod val="75000"/>
                  </a:schemeClr>
                </a:solidFill>
                <a:ln w="25400">
                  <a:solidFill>
                    <a:schemeClr val="tx1"/>
                  </a:solidFill>
                </a:ln>
              </c:spPr>
            </c:marker>
            <c:bubble3D val="0"/>
            <c:extLst>
              <c:ext xmlns:c16="http://schemas.microsoft.com/office/drawing/2014/chart" uri="{C3380CC4-5D6E-409C-BE32-E72D297353CC}">
                <c16:uniqueId val="{00000006-C6B3-4059-AC3E-633653293B14}"/>
              </c:ext>
            </c:extLst>
          </c:dPt>
          <c:dPt>
            <c:idx val="24"/>
            <c:marker>
              <c:spPr>
                <a:solidFill>
                  <a:schemeClr val="bg1">
                    <a:lumMod val="75000"/>
                  </a:schemeClr>
                </a:solidFill>
                <a:ln w="25400">
                  <a:solidFill>
                    <a:schemeClr val="tx1"/>
                  </a:solidFill>
                </a:ln>
              </c:spPr>
            </c:marker>
            <c:bubble3D val="0"/>
            <c:extLst>
              <c:ext xmlns:c16="http://schemas.microsoft.com/office/drawing/2014/chart" uri="{C3380CC4-5D6E-409C-BE32-E72D297353CC}">
                <c16:uniqueId val="{00000007-C6B3-4059-AC3E-633653293B14}"/>
              </c:ext>
            </c:extLst>
          </c:dPt>
          <c:dLbls>
            <c:dLbl>
              <c:idx val="0"/>
              <c:layout>
                <c:manualLayout>
                  <c:x val="-1.7715715956920532E-2"/>
                  <c:y val="-3.095104864061644E-2"/>
                </c:manualLayout>
              </c:layout>
              <c:tx>
                <c:rich>
                  <a:bodyPr wrap="square" lIns="38100" tIns="19050" rIns="38100" bIns="19050" anchor="ctr">
                    <a:noAutofit/>
                  </a:bodyPr>
                  <a:lstStyle/>
                  <a:p>
                    <a:pPr>
                      <a:defRPr sz="2000"/>
                    </a:pPr>
                    <a:fld id="{3F1D89A9-6254-4D17-A36D-C5A4526AD277}" type="VALUE">
                      <a:rPr lang="en-US" sz="2000" b="1"/>
                      <a:pPr>
                        <a:defRPr sz="2000"/>
                      </a:pPr>
                      <a:t>[VALUE]</a:t>
                    </a:fld>
                    <a:endParaRPr 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6.5609952494753085E-2"/>
                      <c:h val="6.1451765265770723E-2"/>
                    </c:manualLayout>
                  </c15:layout>
                  <c15:dlblFieldTable/>
                  <c15:showDataLabelsRange val="0"/>
                </c:ext>
                <c:ext xmlns:c16="http://schemas.microsoft.com/office/drawing/2014/chart" uri="{C3380CC4-5D6E-409C-BE32-E72D297353CC}">
                  <c16:uniqueId val="{00000005-A5CB-4E69-9F31-4A45BC8A60C4}"/>
                </c:ext>
              </c:extLst>
            </c:dLbl>
            <c:dLbl>
              <c:idx val="29"/>
              <c:layout>
                <c:manualLayout>
                  <c:x val="3.0577109352022083E-2"/>
                  <c:y val="3.9612769262318978E-2"/>
                </c:manualLayout>
              </c:layout>
              <c:tx>
                <c:rich>
                  <a:bodyPr wrap="square" lIns="38100" tIns="19050" rIns="38100" bIns="19050" anchor="ctr">
                    <a:spAutoFit/>
                  </a:bodyPr>
                  <a:lstStyle/>
                  <a:p>
                    <a:pPr>
                      <a:defRPr sz="2000" b="1"/>
                    </a:pPr>
                    <a:r>
                      <a:rPr lang="en-US" sz="2000"/>
                      <a:t>67.0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6.4787332301937325E-2"/>
                      <c:h val="5.045462499005806E-2"/>
                    </c:manualLayout>
                  </c15:layout>
                  <c15:showDataLabelsRange val="0"/>
                </c:ext>
                <c:ext xmlns:c16="http://schemas.microsoft.com/office/drawing/2014/chart" uri="{C3380CC4-5D6E-409C-BE32-E72D297353CC}">
                  <c16:uniqueId val="{00000005-5932-48E3-A781-9BFDCA05A8C7}"/>
                </c:ext>
              </c:extLst>
            </c:dLbl>
            <c:spPr>
              <a:noFill/>
              <a:ln>
                <a:noFill/>
              </a:ln>
              <a:effectLst/>
            </c:spPr>
            <c:txPr>
              <a:bodyPr wrap="square" lIns="38100" tIns="19050" rIns="38100" bIns="19050" anchor="ctr">
                <a:spAutoFit/>
              </a:bodyPr>
              <a:lstStyle/>
              <a:p>
                <a:pPr>
                  <a:defRPr sz="2000"/>
                </a:pPr>
                <a:endParaRPr lang="en-US"/>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Summary!$D$5:$AR$5</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Summary!$D$14:$AI$14</c:f>
              <c:numCache>
                <c:formatCode>0.0</c:formatCode>
                <c:ptCount val="32"/>
                <c:pt idx="0">
                  <c:v>93.005061114385569</c:v>
                </c:pt>
                <c:pt idx="1">
                  <c:v>90.599737379157702</c:v>
                </c:pt>
                <c:pt idx="2">
                  <c:v>92.489660131074473</c:v>
                </c:pt>
                <c:pt idx="3">
                  <c:v>90.305037995464318</c:v>
                </c:pt>
                <c:pt idx="4">
                  <c:v>90.508084788605458</c:v>
                </c:pt>
                <c:pt idx="5">
                  <c:v>88.4721237775818</c:v>
                </c:pt>
                <c:pt idx="6">
                  <c:v>88.734732848490793</c:v>
                </c:pt>
                <c:pt idx="7">
                  <c:v>93.150082414946795</c:v>
                </c:pt>
                <c:pt idx="8">
                  <c:v>91.216972459069638</c:v>
                </c:pt>
                <c:pt idx="9">
                  <c:v>90.245063067645717</c:v>
                </c:pt>
                <c:pt idx="10">
                  <c:v>92.260422011841143</c:v>
                </c:pt>
                <c:pt idx="11">
                  <c:v>91.338730265470673</c:v>
                </c:pt>
                <c:pt idx="12">
                  <c:v>93.563238760799052</c:v>
                </c:pt>
                <c:pt idx="13">
                  <c:v>95.525441854684175</c:v>
                </c:pt>
                <c:pt idx="14">
                  <c:v>93.329265222521599</c:v>
                </c:pt>
                <c:pt idx="15">
                  <c:v>94.940856084570882</c:v>
                </c:pt>
                <c:pt idx="16">
                  <c:v>86.370607986684732</c:v>
                </c:pt>
                <c:pt idx="17">
                  <c:v>89.152814153537705</c:v>
                </c:pt>
                <c:pt idx="18">
                  <c:v>86.279749378414238</c:v>
                </c:pt>
                <c:pt idx="19">
                  <c:v>80.722161510833203</c:v>
                </c:pt>
                <c:pt idx="20">
                  <c:v>82.093870625663172</c:v>
                </c:pt>
                <c:pt idx="21">
                  <c:v>76.951674607689228</c:v>
                </c:pt>
                <c:pt idx="22">
                  <c:v>70.698772111507324</c:v>
                </c:pt>
                <c:pt idx="23">
                  <c:v>75.100467178615006</c:v>
                </c:pt>
                <c:pt idx="24">
                  <c:v>73.620007742783187</c:v>
                </c:pt>
                <c:pt idx="25">
                  <c:v>75.049917556968396</c:v>
                </c:pt>
                <c:pt idx="26">
                  <c:v>71.298850611459457</c:v>
                </c:pt>
                <c:pt idx="27">
                  <c:v>70.465383692116802</c:v>
                </c:pt>
                <c:pt idx="28">
                  <c:v>71.588429139639686</c:v>
                </c:pt>
                <c:pt idx="29">
                  <c:v>70.36768440467425</c:v>
                </c:pt>
                <c:pt idx="30">
                  <c:v>63.98786501878962</c:v>
                </c:pt>
                <c:pt idx="31">
                  <c:v>67.039425884707882</c:v>
                </c:pt>
              </c:numCache>
            </c:numRef>
          </c:val>
          <c:smooth val="0"/>
          <c:extLst>
            <c:ext xmlns:c16="http://schemas.microsoft.com/office/drawing/2014/chart" uri="{C3380CC4-5D6E-409C-BE32-E72D297353CC}">
              <c16:uniqueId val="{0000000A-C6B3-4059-AC3E-633653293B14}"/>
            </c:ext>
          </c:extLst>
        </c:ser>
        <c:ser>
          <c:idx val="4"/>
          <c:order val="1"/>
          <c:tx>
            <c:strRef>
              <c:f>Summary!$C$17</c:f>
              <c:strCache>
                <c:ptCount val="1"/>
                <c:pt idx="0">
                  <c:v>2020 Limit (25% below 1990)</c:v>
                </c:pt>
              </c:strCache>
            </c:strRef>
          </c:tx>
          <c:spPr>
            <a:ln w="25400">
              <a:noFill/>
              <a:prstDash val="dash"/>
            </a:ln>
          </c:spPr>
          <c:marker>
            <c:symbol val="diamond"/>
            <c:size val="10"/>
            <c:spPr>
              <a:solidFill>
                <a:schemeClr val="tx1"/>
              </a:solidFill>
              <a:ln>
                <a:solidFill>
                  <a:schemeClr val="tx1"/>
                </a:solidFill>
              </a:ln>
            </c:spPr>
          </c:marker>
          <c:dPt>
            <c:idx val="0"/>
            <c:marker>
              <c:symbol val="none"/>
            </c:marker>
            <c:bubble3D val="0"/>
            <c:extLst>
              <c:ext xmlns:c16="http://schemas.microsoft.com/office/drawing/2014/chart" uri="{C3380CC4-5D6E-409C-BE32-E72D297353CC}">
                <c16:uniqueId val="{00000004-E42D-4041-8837-DBCF875B8D99}"/>
              </c:ext>
            </c:extLst>
          </c:dPt>
          <c:dLbls>
            <c:dLbl>
              <c:idx val="30"/>
              <c:layout>
                <c:manualLayout>
                  <c:x val="-3.0934547765157104E-2"/>
                  <c:y val="-7.0771967313369849E-2"/>
                </c:manualLayout>
              </c:layout>
              <c:tx>
                <c:rich>
                  <a:bodyPr/>
                  <a:lstStyle/>
                  <a:p>
                    <a:pPr>
                      <a:defRPr sz="1400" b="1" i="0" u="none" strike="noStrike" baseline="0">
                        <a:solidFill>
                          <a:sysClr val="windowText" lastClr="000000"/>
                        </a:solidFill>
                        <a:latin typeface="Calibri"/>
                        <a:ea typeface="Calibri"/>
                        <a:cs typeface="Calibri"/>
                      </a:defRPr>
                    </a:pPr>
                    <a:r>
                      <a:rPr lang="en-US">
                        <a:solidFill>
                          <a:sysClr val="windowText" lastClr="000000"/>
                        </a:solidFill>
                      </a:rPr>
                      <a:t>69.8</a:t>
                    </a:r>
                  </a:p>
                </c:rich>
              </c:tx>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B3-4059-AC3E-633653293B14}"/>
                </c:ext>
              </c:extLst>
            </c:dLbl>
            <c:spPr>
              <a:noFill/>
              <a:ln>
                <a:noFill/>
              </a:ln>
              <a:effectLst/>
            </c:spPr>
            <c:txPr>
              <a:bodyPr wrap="square" lIns="38100" tIns="19050" rIns="38100" bIns="19050" anchor="ctr">
                <a:spAutoFit/>
              </a:bodyPr>
              <a:lstStyle/>
              <a:p>
                <a:pPr>
                  <a:defRPr>
                    <a:solidFill>
                      <a:sysClr val="windowText" lastClr="000000"/>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Summary!$D$5:$AR$5</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Summary!$D$17:$AH$17</c:f>
              <c:numCache>
                <c:formatCode>#,##0.0</c:formatCode>
                <c:ptCount val="31"/>
                <c:pt idx="0">
                  <c:v>69.753795835789177</c:v>
                </c:pt>
                <c:pt idx="30">
                  <c:v>69.753795835789177</c:v>
                </c:pt>
              </c:numCache>
            </c:numRef>
          </c:val>
          <c:smooth val="0"/>
          <c:extLst>
            <c:ext xmlns:c16="http://schemas.microsoft.com/office/drawing/2014/chart" uri="{C3380CC4-5D6E-409C-BE32-E72D297353CC}">
              <c16:uniqueId val="{0000000C-C6B3-4059-AC3E-633653293B14}"/>
            </c:ext>
          </c:extLst>
        </c:ser>
        <c:ser>
          <c:idx val="0"/>
          <c:order val="2"/>
          <c:tx>
            <c:strRef>
              <c:f>Summary!$C$18</c:f>
              <c:strCache>
                <c:ptCount val="1"/>
                <c:pt idx="0">
                  <c:v>2025 CECP Linit (33% below 1990)</c:v>
                </c:pt>
              </c:strCache>
            </c:strRef>
          </c:tx>
          <c:spPr>
            <a:ln>
              <a:noFill/>
              <a:prstDash val="dash"/>
            </a:ln>
          </c:spPr>
          <c:marker>
            <c:symbol val="diamond"/>
            <c:size val="10"/>
            <c:spPr>
              <a:solidFill>
                <a:srgbClr val="FFC000"/>
              </a:solidFill>
              <a:ln>
                <a:solidFill>
                  <a:schemeClr val="tx1"/>
                </a:solidFill>
              </a:ln>
            </c:spPr>
          </c:marker>
          <c:dPt>
            <c:idx val="0"/>
            <c:marker>
              <c:symbol val="none"/>
            </c:marker>
            <c:bubble3D val="0"/>
            <c:extLst>
              <c:ext xmlns:c16="http://schemas.microsoft.com/office/drawing/2014/chart" uri="{C3380CC4-5D6E-409C-BE32-E72D297353CC}">
                <c16:uniqueId val="{00000005-E42D-4041-8837-DBCF875B8D99}"/>
              </c:ext>
            </c:extLst>
          </c:dPt>
          <c:dPt>
            <c:idx val="35"/>
            <c:marker>
              <c:spPr>
                <a:solidFill>
                  <a:schemeClr val="tx1"/>
                </a:solidFill>
                <a:ln>
                  <a:solidFill>
                    <a:schemeClr val="tx1"/>
                  </a:solidFill>
                </a:ln>
              </c:spPr>
            </c:marker>
            <c:bubble3D val="0"/>
            <c:extLst>
              <c:ext xmlns:c16="http://schemas.microsoft.com/office/drawing/2014/chart" uri="{C3380CC4-5D6E-409C-BE32-E72D297353CC}">
                <c16:uniqueId val="{00000005-7C7A-43BB-B484-39F37B791110}"/>
              </c:ext>
            </c:extLst>
          </c:dPt>
          <c:dLbls>
            <c:dLbl>
              <c:idx val="35"/>
              <c:layout>
                <c:manualLayout>
                  <c:x val="-4.4733645830928023E-2"/>
                  <c:y val="2.5343513878946879E-2"/>
                </c:manualLayout>
              </c:layout>
              <c:tx>
                <c:rich>
                  <a:bodyPr wrap="square" lIns="38100" tIns="19050" rIns="38100" bIns="19050" anchor="ctr">
                    <a:noAutofit/>
                  </a:bodyPr>
                  <a:lstStyle/>
                  <a:p>
                    <a:pPr>
                      <a:defRPr sz="1400"/>
                    </a:pPr>
                    <a:fld id="{3FEE26AE-A3DB-41E8-B24F-EA3B7FED938B}" type="VALUE">
                      <a:rPr lang="en-US" b="1"/>
                      <a:pPr>
                        <a:defRPr sz="1400"/>
                      </a:pPr>
                      <a:t>[VALUE]</a:t>
                    </a:fld>
                    <a:endParaRPr 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6.718475073313783E-2"/>
                      <c:h val="5.2707070707070709E-2"/>
                    </c:manualLayout>
                  </c15:layout>
                  <c15:dlblFieldTable/>
                  <c15:showDataLabelsRange val="0"/>
                </c:ext>
                <c:ext xmlns:c16="http://schemas.microsoft.com/office/drawing/2014/chart" uri="{C3380CC4-5D6E-409C-BE32-E72D297353CC}">
                  <c16:uniqueId val="{00000005-7C7A-43BB-B484-39F37B791110}"/>
                </c:ext>
              </c:extLst>
            </c:dLbl>
            <c:spPr>
              <a:noFill/>
              <a:ln>
                <a:noFill/>
              </a:ln>
              <a:effectLst/>
            </c:spPr>
            <c:txPr>
              <a:bodyPr wrap="square" lIns="38100" tIns="19050" rIns="38100" bIns="19050" anchor="ctr">
                <a:spAutoFit/>
              </a:bodyPr>
              <a:lstStyle/>
              <a:p>
                <a:pPr>
                  <a:defRPr sz="14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Summary!$D$5:$AR$5</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Summary!$D$18:$AM$18</c:f>
              <c:numCache>
                <c:formatCode>#,##0.0</c:formatCode>
                <c:ptCount val="36"/>
                <c:pt idx="0">
                  <c:v>63.2</c:v>
                </c:pt>
                <c:pt idx="35">
                  <c:v>63.2</c:v>
                </c:pt>
              </c:numCache>
            </c:numRef>
          </c:val>
          <c:smooth val="0"/>
          <c:extLst>
            <c:ext xmlns:c16="http://schemas.microsoft.com/office/drawing/2014/chart" uri="{C3380CC4-5D6E-409C-BE32-E72D297353CC}">
              <c16:uniqueId val="{00000004-7C7A-43BB-B484-39F37B791110}"/>
            </c:ext>
          </c:extLst>
        </c:ser>
        <c:ser>
          <c:idx val="2"/>
          <c:order val="3"/>
          <c:tx>
            <c:strRef>
              <c:f>Summary!$C$19</c:f>
              <c:strCache>
                <c:ptCount val="1"/>
                <c:pt idx="0">
                  <c:v>2030 CECP Limit (50% below 1990)</c:v>
                </c:pt>
              </c:strCache>
            </c:strRef>
          </c:tx>
          <c:spPr>
            <a:ln>
              <a:noFill/>
              <a:prstDash val="dash"/>
            </a:ln>
          </c:spPr>
          <c:marker>
            <c:symbol val="diamond"/>
            <c:size val="10"/>
            <c:spPr>
              <a:solidFill>
                <a:srgbClr val="FFC000"/>
              </a:solidFill>
              <a:ln>
                <a:solidFill>
                  <a:schemeClr val="tx1"/>
                </a:solidFill>
              </a:ln>
            </c:spPr>
          </c:marker>
          <c:dPt>
            <c:idx val="0"/>
            <c:marker>
              <c:symbol val="none"/>
            </c:marker>
            <c:bubble3D val="0"/>
            <c:extLst>
              <c:ext xmlns:c16="http://schemas.microsoft.com/office/drawing/2014/chart" uri="{C3380CC4-5D6E-409C-BE32-E72D297353CC}">
                <c16:uniqueId val="{00000006-E42D-4041-8837-DBCF875B8D99}"/>
              </c:ext>
            </c:extLst>
          </c:dPt>
          <c:dPt>
            <c:idx val="40"/>
            <c:marker>
              <c:spPr>
                <a:solidFill>
                  <a:schemeClr val="tx1"/>
                </a:solidFill>
                <a:ln>
                  <a:solidFill>
                    <a:schemeClr val="tx1"/>
                  </a:solidFill>
                </a:ln>
              </c:spPr>
            </c:marker>
            <c:bubble3D val="0"/>
            <c:extLst>
              <c:ext xmlns:c16="http://schemas.microsoft.com/office/drawing/2014/chart" uri="{C3380CC4-5D6E-409C-BE32-E72D297353CC}">
                <c16:uniqueId val="{00000004-7972-414F-A3AC-C8F91CCA85A9}"/>
              </c:ext>
            </c:extLst>
          </c:dPt>
          <c:dLbls>
            <c:dLbl>
              <c:idx val="35"/>
              <c:layout>
                <c:manualLayout>
                  <c:x val="3.6789549033643627E-2"/>
                  <c:y val="2.9399029666746204E-2"/>
                </c:manualLayout>
              </c:layout>
              <c:tx>
                <c:rich>
                  <a:bodyPr/>
                  <a:lstStyle/>
                  <a:p>
                    <a:fld id="{BABC96D7-75B2-429A-A530-52F7A049E9D1}" type="VALUE">
                      <a:rPr lang="en-US" sz="1400" b="1"/>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50D2-4725-BFED-79A98C7EE3CE}"/>
                </c:ext>
              </c:extLst>
            </c:dLbl>
            <c:dLbl>
              <c:idx val="40"/>
              <c:tx>
                <c:rich>
                  <a:bodyPr/>
                  <a:lstStyle/>
                  <a:p>
                    <a:fld id="{943095ED-3082-475D-B3A7-4D8A0FEAC68F}" type="VALUE">
                      <a:rPr lang="en-US" sz="1400" b="1"/>
                      <a:pPr/>
                      <a:t>[VALUE]</a:t>
                    </a:fld>
                    <a:endParaRPr lang="en-US"/>
                  </a:p>
                </c:rich>
              </c:tx>
              <c:dLblPos val="b"/>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7972-414F-A3AC-C8F91CCA85A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Summary!$D$5:$AR$5</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Summary!$D$19:$AR$19</c:f>
              <c:numCache>
                <c:formatCode>#,##0.0</c:formatCode>
                <c:ptCount val="41"/>
                <c:pt idx="0">
                  <c:v>47</c:v>
                </c:pt>
                <c:pt idx="40">
                  <c:v>47</c:v>
                </c:pt>
              </c:numCache>
            </c:numRef>
          </c:val>
          <c:smooth val="0"/>
          <c:extLst>
            <c:ext xmlns:c16="http://schemas.microsoft.com/office/drawing/2014/chart" uri="{C3380CC4-5D6E-409C-BE32-E72D297353CC}">
              <c16:uniqueId val="{00000005-50D2-4725-BFED-79A98C7EE3CE}"/>
            </c:ext>
          </c:extLst>
        </c:ser>
        <c:dLbls>
          <c:showLegendKey val="0"/>
          <c:showVal val="0"/>
          <c:showCatName val="0"/>
          <c:showSerName val="0"/>
          <c:showPercent val="0"/>
          <c:showBubbleSize val="0"/>
        </c:dLbls>
        <c:marker val="1"/>
        <c:smooth val="0"/>
        <c:axId val="45303680"/>
        <c:axId val="45305216"/>
      </c:lineChart>
      <c:catAx>
        <c:axId val="45303680"/>
        <c:scaling>
          <c:orientation val="minMax"/>
        </c:scaling>
        <c:delete val="0"/>
        <c:axPos val="b"/>
        <c:numFmt formatCode="General" sourceLinked="1"/>
        <c:majorTickMark val="out"/>
        <c:minorTickMark val="none"/>
        <c:tickLblPos val="nextTo"/>
        <c:txPr>
          <a:bodyPr rot="0" vert="horz"/>
          <a:lstStyle/>
          <a:p>
            <a:pPr>
              <a:defRPr sz="2400" b="0" i="0" u="none" strike="noStrike" baseline="0">
                <a:solidFill>
                  <a:srgbClr val="000000"/>
                </a:solidFill>
                <a:latin typeface="Calibri"/>
                <a:ea typeface="Calibri"/>
                <a:cs typeface="Calibri"/>
              </a:defRPr>
            </a:pPr>
            <a:endParaRPr lang="en-US"/>
          </a:p>
        </c:txPr>
        <c:crossAx val="45305216"/>
        <c:crosses val="autoZero"/>
        <c:auto val="1"/>
        <c:lblAlgn val="ctr"/>
        <c:lblOffset val="100"/>
        <c:tickLblSkip val="5"/>
        <c:tickMarkSkip val="1"/>
        <c:noMultiLvlLbl val="0"/>
      </c:catAx>
      <c:valAx>
        <c:axId val="45305216"/>
        <c:scaling>
          <c:orientation val="minMax"/>
          <c:max val="100"/>
          <c:min val="40"/>
        </c:scaling>
        <c:delete val="0"/>
        <c:axPos val="l"/>
        <c:majorGridlines>
          <c:spPr>
            <a:ln>
              <a:solidFill>
                <a:schemeClr val="bg1">
                  <a:lumMod val="85000"/>
                </a:schemeClr>
              </a:solidFill>
            </a:ln>
          </c:spPr>
        </c:majorGridlines>
        <c:title>
          <c:tx>
            <c:rich>
              <a:bodyPr/>
              <a:lstStyle/>
              <a:p>
                <a:pPr>
                  <a:defRPr sz="2400" b="0" i="0" u="none" strike="noStrike" baseline="0">
                    <a:solidFill>
                      <a:srgbClr val="000000"/>
                    </a:solidFill>
                    <a:latin typeface="Calibri"/>
                    <a:ea typeface="Calibri"/>
                    <a:cs typeface="Calibri"/>
                  </a:defRPr>
                </a:pPr>
                <a:r>
                  <a:rPr lang="en-US" sz="2400" b="0" i="0" u="none" strike="noStrike" baseline="0">
                    <a:solidFill>
                      <a:srgbClr val="000000"/>
                    </a:solidFill>
                    <a:latin typeface="Calibri"/>
                  </a:rPr>
                  <a:t>Million Metric Tons of CO</a:t>
                </a:r>
                <a:r>
                  <a:rPr lang="en-US" sz="2400" b="0" i="0" u="none" strike="noStrike" baseline="-25000">
                    <a:solidFill>
                      <a:srgbClr val="000000"/>
                    </a:solidFill>
                    <a:latin typeface="Calibri"/>
                  </a:rPr>
                  <a:t>2</a:t>
                </a:r>
                <a:r>
                  <a:rPr lang="en-US" sz="2400" b="0" i="0" u="none" strike="noStrike" baseline="0">
                    <a:solidFill>
                      <a:srgbClr val="000000"/>
                    </a:solidFill>
                    <a:latin typeface="Calibri"/>
                  </a:rPr>
                  <a:t> equivalent   </a:t>
                </a:r>
              </a:p>
            </c:rich>
          </c:tx>
          <c:overlay val="0"/>
          <c:spPr>
            <a:noFill/>
            <a:ln w="25400">
              <a:noFill/>
            </a:ln>
          </c:spPr>
        </c:title>
        <c:numFmt formatCode="_(* #,##0_);_(* \(#,##0\);_(* &quot;-&quot;_);_(@_)" sourceLinked="0"/>
        <c:majorTickMark val="none"/>
        <c:minorTickMark val="none"/>
        <c:tickLblPos val="nextTo"/>
        <c:txPr>
          <a:bodyPr rot="0" vert="horz"/>
          <a:lstStyle/>
          <a:p>
            <a:pPr>
              <a:defRPr sz="2400" b="0" i="0" u="none" strike="noStrike" baseline="0">
                <a:solidFill>
                  <a:srgbClr val="000000"/>
                </a:solidFill>
                <a:latin typeface="Calibri"/>
                <a:ea typeface="Calibri"/>
                <a:cs typeface="Calibri"/>
              </a:defRPr>
            </a:pPr>
            <a:endParaRPr lang="en-US"/>
          </a:p>
        </c:txPr>
        <c:crossAx val="45303680"/>
        <c:crosses val="autoZero"/>
        <c:crossBetween val="midCat"/>
      </c:valAx>
      <c:spPr>
        <a:noFill/>
        <a:ln w="25400">
          <a:noFill/>
        </a:ln>
      </c:spPr>
    </c:plotArea>
    <c:plotVisOnly val="1"/>
    <c:dispBlanksAs val="gap"/>
    <c:showDLblsOverMax val="0"/>
  </c:chart>
  <c:txPr>
    <a:bodyPr/>
    <a:lstStyle/>
    <a:p>
      <a:pPr>
        <a:defRPr sz="2400" b="0" i="0" u="none" strike="noStrike" baseline="0">
          <a:solidFill>
            <a:srgbClr val="000000"/>
          </a:solidFill>
          <a:latin typeface="Calibri"/>
          <a:ea typeface="Calibri"/>
          <a:cs typeface="Calibri"/>
        </a:defRPr>
      </a:pPr>
      <a:endParaRPr lang="en-US"/>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mn-lt"/>
              </a:rPr>
              <a:t>Natural and Working Lands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0"/>
          <c:tx>
            <c:strRef>
              <c:f>'Biogenic Summary'!$B$26</c:f>
              <c:strCache>
                <c:ptCount val="1"/>
                <c:pt idx="0">
                  <c:v>Cropland &amp; Grassland</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Summary'!$C$26:$AH$26</c:f>
              <c:numCache>
                <c:formatCode>0.0</c:formatCode>
                <c:ptCount val="32"/>
                <c:pt idx="0">
                  <c:v>0.28978702310560001</c:v>
                </c:pt>
                <c:pt idx="1">
                  <c:v>0.30046698151260004</c:v>
                </c:pt>
                <c:pt idx="2">
                  <c:v>0.26979463935530001</c:v>
                </c:pt>
                <c:pt idx="3">
                  <c:v>0.28551053537109999</c:v>
                </c:pt>
                <c:pt idx="4">
                  <c:v>0.27143371585099996</c:v>
                </c:pt>
                <c:pt idx="5">
                  <c:v>0.26360081351260001</c:v>
                </c:pt>
                <c:pt idx="6">
                  <c:v>0.26174698088670001</c:v>
                </c:pt>
                <c:pt idx="7">
                  <c:v>0.24125841543590001</c:v>
                </c:pt>
                <c:pt idx="8">
                  <c:v>0.25571400048340004</c:v>
                </c:pt>
                <c:pt idx="9">
                  <c:v>0.23268648722169999</c:v>
                </c:pt>
                <c:pt idx="10">
                  <c:v>0.30953517288330001</c:v>
                </c:pt>
                <c:pt idx="11">
                  <c:v>0.28330836780590002</c:v>
                </c:pt>
                <c:pt idx="12">
                  <c:v>0.2838346253813</c:v>
                </c:pt>
                <c:pt idx="13">
                  <c:v>0.27816865413269998</c:v>
                </c:pt>
                <c:pt idx="14">
                  <c:v>0.2981598121465</c:v>
                </c:pt>
                <c:pt idx="15">
                  <c:v>0.22517721354000003</c:v>
                </c:pt>
                <c:pt idx="16">
                  <c:v>0.21536012199120003</c:v>
                </c:pt>
                <c:pt idx="17">
                  <c:v>0.22735671178019998</c:v>
                </c:pt>
                <c:pt idx="18">
                  <c:v>0.2608287179371</c:v>
                </c:pt>
                <c:pt idx="19">
                  <c:v>0.29591659239920004</c:v>
                </c:pt>
                <c:pt idx="20">
                  <c:v>0.26099809392119999</c:v>
                </c:pt>
                <c:pt idx="21">
                  <c:v>0.2563052145345</c:v>
                </c:pt>
                <c:pt idx="22">
                  <c:v>0.2523459240682</c:v>
                </c:pt>
                <c:pt idx="23">
                  <c:v>0.27834175921420001</c:v>
                </c:pt>
                <c:pt idx="24">
                  <c:v>0.28444429139360006</c:v>
                </c:pt>
                <c:pt idx="25">
                  <c:v>0.24042800620539997</c:v>
                </c:pt>
                <c:pt idx="26">
                  <c:v>0.25895812800950002</c:v>
                </c:pt>
                <c:pt idx="27">
                  <c:v>0.27081783066769999</c:v>
                </c:pt>
                <c:pt idx="28">
                  <c:v>0.27479130450050004</c:v>
                </c:pt>
                <c:pt idx="29">
                  <c:v>0.27635183497850002</c:v>
                </c:pt>
                <c:pt idx="30">
                  <c:v>0.27636179565230001</c:v>
                </c:pt>
                <c:pt idx="31">
                  <c:v>0.2769859872955</c:v>
                </c:pt>
              </c:numCache>
            </c:numRef>
          </c:val>
          <c:smooth val="0"/>
          <c:extLst>
            <c:ext xmlns:c16="http://schemas.microsoft.com/office/drawing/2014/chart" uri="{C3380CC4-5D6E-409C-BE32-E72D297353CC}">
              <c16:uniqueId val="{00000000-1045-4768-8C90-49413225A1A1}"/>
            </c:ext>
          </c:extLst>
        </c:ser>
        <c:ser>
          <c:idx val="5"/>
          <c:order val="1"/>
          <c:tx>
            <c:strRef>
              <c:f>'Biogenic Summary'!$B$29</c:f>
              <c:strCache>
                <c:ptCount val="1"/>
                <c:pt idx="0">
                  <c:v>Other Land</c:v>
                </c:pt>
              </c:strCache>
            </c:strRef>
          </c:tx>
          <c:spPr>
            <a:ln w="28575" cap="rnd">
              <a:solidFill>
                <a:schemeClr val="tx2">
                  <a:lumMod val="50000"/>
                </a:schemeClr>
              </a:solidFill>
              <a:round/>
            </a:ln>
            <a:effectLst/>
          </c:spPr>
          <c:marker>
            <c:symbol val="circle"/>
            <c:size val="5"/>
            <c:spPr>
              <a:solidFill>
                <a:schemeClr val="tx2">
                  <a:lumMod val="50000"/>
                </a:schemeClr>
              </a:solidFill>
              <a:ln w="9525">
                <a:solidFill>
                  <a:schemeClr val="tx2">
                    <a:lumMod val="50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Summary'!$C$29:$AH$29</c:f>
              <c:numCache>
                <c:formatCode>0.0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1-1045-4768-8C90-49413225A1A1}"/>
            </c:ext>
          </c:extLst>
        </c:ser>
        <c:ser>
          <c:idx val="3"/>
          <c:order val="2"/>
          <c:tx>
            <c:strRef>
              <c:f>'Biogenic Summary'!$B$27</c:f>
              <c:strCache>
                <c:ptCount val="1"/>
                <c:pt idx="0">
                  <c:v>Wetlands</c:v>
                </c:pt>
              </c:strCache>
            </c:strRef>
          </c:tx>
          <c:spPr>
            <a:ln w="28575" cap="rnd">
              <a:solidFill>
                <a:schemeClr val="accent5">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Summary'!$C$27:$AH$27</c:f>
              <c:numCache>
                <c:formatCode>0.0</c:formatCode>
                <c:ptCount val="32"/>
                <c:pt idx="0">
                  <c:v>7.9161219477199965E-2</c:v>
                </c:pt>
                <c:pt idx="1">
                  <c:v>7.5639151131400004E-2</c:v>
                </c:pt>
                <c:pt idx="2">
                  <c:v>7.3852744419999991E-2</c:v>
                </c:pt>
                <c:pt idx="3">
                  <c:v>7.4202946167700012E-2</c:v>
                </c:pt>
                <c:pt idx="4">
                  <c:v>7.2713172091900008E-2</c:v>
                </c:pt>
                <c:pt idx="5">
                  <c:v>7.5141272146499988E-2</c:v>
                </c:pt>
                <c:pt idx="6">
                  <c:v>7.0660668598099996E-2</c:v>
                </c:pt>
                <c:pt idx="7">
                  <c:v>7.4928919787399989E-2</c:v>
                </c:pt>
                <c:pt idx="8">
                  <c:v>7.4472834159899998E-2</c:v>
                </c:pt>
                <c:pt idx="9">
                  <c:v>7.6323808444699964E-2</c:v>
                </c:pt>
                <c:pt idx="10">
                  <c:v>7.7802728788699982E-2</c:v>
                </c:pt>
                <c:pt idx="11">
                  <c:v>8.0112403677399996E-2</c:v>
                </c:pt>
                <c:pt idx="12">
                  <c:v>7.6298821827700036E-2</c:v>
                </c:pt>
                <c:pt idx="13">
                  <c:v>7.5725315558599987E-2</c:v>
                </c:pt>
                <c:pt idx="14">
                  <c:v>7.7764213371699989E-2</c:v>
                </c:pt>
                <c:pt idx="15">
                  <c:v>7.6903455339100021E-2</c:v>
                </c:pt>
                <c:pt idx="16">
                  <c:v>7.9459336996399996E-2</c:v>
                </c:pt>
                <c:pt idx="17">
                  <c:v>8.3116101311900004E-2</c:v>
                </c:pt>
                <c:pt idx="18">
                  <c:v>8.2724922095100017E-2</c:v>
                </c:pt>
                <c:pt idx="19">
                  <c:v>8.21669477393E-2</c:v>
                </c:pt>
                <c:pt idx="20">
                  <c:v>8.4117234552400014E-2</c:v>
                </c:pt>
                <c:pt idx="21">
                  <c:v>7.264064191910001E-2</c:v>
                </c:pt>
                <c:pt idx="22">
                  <c:v>6.9757187211800006E-2</c:v>
                </c:pt>
                <c:pt idx="23">
                  <c:v>7.1630844382900016E-2</c:v>
                </c:pt>
                <c:pt idx="24">
                  <c:v>7.3030609059599988E-2</c:v>
                </c:pt>
                <c:pt idx="25">
                  <c:v>7.2667445020299995E-2</c:v>
                </c:pt>
                <c:pt idx="26">
                  <c:v>7.2251007459700006E-2</c:v>
                </c:pt>
                <c:pt idx="27">
                  <c:v>7.417031378860002E-2</c:v>
                </c:pt>
                <c:pt idx="28">
                  <c:v>7.3331760052699979E-2</c:v>
                </c:pt>
                <c:pt idx="29">
                  <c:v>7.2490651950900001E-2</c:v>
                </c:pt>
                <c:pt idx="30">
                  <c:v>7.2110015527699994E-2</c:v>
                </c:pt>
                <c:pt idx="31">
                  <c:v>7.1433277902600012E-2</c:v>
                </c:pt>
              </c:numCache>
            </c:numRef>
          </c:val>
          <c:smooth val="0"/>
          <c:extLst>
            <c:ext xmlns:c16="http://schemas.microsoft.com/office/drawing/2014/chart" uri="{C3380CC4-5D6E-409C-BE32-E72D297353CC}">
              <c16:uniqueId val="{00000002-1045-4768-8C90-49413225A1A1}"/>
            </c:ext>
          </c:extLst>
        </c:ser>
        <c:ser>
          <c:idx val="4"/>
          <c:order val="3"/>
          <c:tx>
            <c:strRef>
              <c:f>'Biogenic Summary'!$B$28</c:f>
              <c:strCache>
                <c:ptCount val="1"/>
                <c:pt idx="0">
                  <c:v>Settlements</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Summary'!$C$28:$AH$28</c:f>
              <c:numCache>
                <c:formatCode>0.0</c:formatCode>
                <c:ptCount val="32"/>
                <c:pt idx="0">
                  <c:v>-1.1454179257269832</c:v>
                </c:pt>
                <c:pt idx="1">
                  <c:v>-1.1430593718748079</c:v>
                </c:pt>
                <c:pt idx="2">
                  <c:v>-1.1530090121479271</c:v>
                </c:pt>
                <c:pt idx="3">
                  <c:v>-1.1585748364226691</c:v>
                </c:pt>
                <c:pt idx="4">
                  <c:v>-1.1633325320271455</c:v>
                </c:pt>
                <c:pt idx="5">
                  <c:v>-1.1713006558608419</c:v>
                </c:pt>
                <c:pt idx="6">
                  <c:v>-1.1882673219216933</c:v>
                </c:pt>
                <c:pt idx="7">
                  <c:v>-1.2229448716438389</c:v>
                </c:pt>
                <c:pt idx="8">
                  <c:v>-1.2311766904948203</c:v>
                </c:pt>
                <c:pt idx="9">
                  <c:v>-1.2342939058213673</c:v>
                </c:pt>
                <c:pt idx="10">
                  <c:v>-1.2531334030172829</c:v>
                </c:pt>
                <c:pt idx="11">
                  <c:v>-1.2567457878843864</c:v>
                </c:pt>
                <c:pt idx="12">
                  <c:v>-1.2623614455748076</c:v>
                </c:pt>
                <c:pt idx="13">
                  <c:v>-1.2707765225426035</c:v>
                </c:pt>
                <c:pt idx="14">
                  <c:v>-1.2972769474918953</c:v>
                </c:pt>
                <c:pt idx="15">
                  <c:v>-1.3180083497299573</c:v>
                </c:pt>
                <c:pt idx="16">
                  <c:v>-1.3343009821492982</c:v>
                </c:pt>
                <c:pt idx="17">
                  <c:v>-1.3583312320194252</c:v>
                </c:pt>
                <c:pt idx="18">
                  <c:v>-1.3357002837578615</c:v>
                </c:pt>
                <c:pt idx="19">
                  <c:v>-1.3819834086279228</c:v>
                </c:pt>
                <c:pt idx="20">
                  <c:v>-1.3994370169927701</c:v>
                </c:pt>
                <c:pt idx="21">
                  <c:v>-1.4008962808020939</c:v>
                </c:pt>
                <c:pt idx="22">
                  <c:v>-1.4046341420053516</c:v>
                </c:pt>
                <c:pt idx="23">
                  <c:v>-1.4139106695810997</c:v>
                </c:pt>
                <c:pt idx="24">
                  <c:v>-1.425362352888383</c:v>
                </c:pt>
                <c:pt idx="25">
                  <c:v>-1.4523758355129994</c:v>
                </c:pt>
                <c:pt idx="26">
                  <c:v>-1.4242748173710091</c:v>
                </c:pt>
                <c:pt idx="27">
                  <c:v>-1.421112856598449</c:v>
                </c:pt>
                <c:pt idx="28">
                  <c:v>-1.4488200792786954</c:v>
                </c:pt>
                <c:pt idx="29">
                  <c:v>-1.4457120244844244</c:v>
                </c:pt>
                <c:pt idx="30">
                  <c:v>-1.665003946209636</c:v>
                </c:pt>
                <c:pt idx="31">
                  <c:v>-1.6839923561929644</c:v>
                </c:pt>
              </c:numCache>
            </c:numRef>
          </c:val>
          <c:smooth val="0"/>
          <c:extLst>
            <c:ext xmlns:c16="http://schemas.microsoft.com/office/drawing/2014/chart" uri="{C3380CC4-5D6E-409C-BE32-E72D297353CC}">
              <c16:uniqueId val="{00000003-1045-4768-8C90-49413225A1A1}"/>
            </c:ext>
          </c:extLst>
        </c:ser>
        <c:ser>
          <c:idx val="1"/>
          <c:order val="4"/>
          <c:tx>
            <c:strRef>
              <c:f>'Biogenic Summary'!$B$25</c:f>
              <c:strCache>
                <c:ptCount val="1"/>
                <c:pt idx="0">
                  <c:v>Forest Land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Summary'!$C$25:$AH$25</c:f>
              <c:numCache>
                <c:formatCode>0.0</c:formatCode>
                <c:ptCount val="32"/>
                <c:pt idx="0">
                  <c:v>-4.9076768905666128</c:v>
                </c:pt>
                <c:pt idx="1">
                  <c:v>-4.9276768905666124</c:v>
                </c:pt>
                <c:pt idx="2">
                  <c:v>-4.9476768905666129</c:v>
                </c:pt>
                <c:pt idx="3">
                  <c:v>-5.0797651136523783</c:v>
                </c:pt>
                <c:pt idx="4">
                  <c:v>-5.1197651136523783</c:v>
                </c:pt>
                <c:pt idx="5">
                  <c:v>-5.1497651136523785</c:v>
                </c:pt>
                <c:pt idx="6">
                  <c:v>-5.1997651136523784</c:v>
                </c:pt>
                <c:pt idx="7">
                  <c:v>-5.2397651136523784</c:v>
                </c:pt>
                <c:pt idx="8">
                  <c:v>-5.2797651136523784</c:v>
                </c:pt>
                <c:pt idx="9">
                  <c:v>-5.3097651136523787</c:v>
                </c:pt>
                <c:pt idx="10">
                  <c:v>-5.2997651136523789</c:v>
                </c:pt>
                <c:pt idx="11">
                  <c:v>-5.3397651136523789</c:v>
                </c:pt>
                <c:pt idx="12">
                  <c:v>-5.3597651136523785</c:v>
                </c:pt>
                <c:pt idx="13">
                  <c:v>-5.4097651136523783</c:v>
                </c:pt>
                <c:pt idx="14">
                  <c:v>-5.419765113652379</c:v>
                </c:pt>
                <c:pt idx="15">
                  <c:v>-5.4497651136523784</c:v>
                </c:pt>
                <c:pt idx="16">
                  <c:v>-5.4997651136523791</c:v>
                </c:pt>
                <c:pt idx="17">
                  <c:v>-5.5297651136523784</c:v>
                </c:pt>
                <c:pt idx="18">
                  <c:v>-5.5497651136523789</c:v>
                </c:pt>
                <c:pt idx="19">
                  <c:v>-5.5897651136523789</c:v>
                </c:pt>
                <c:pt idx="20">
                  <c:v>-5.629765113652379</c:v>
                </c:pt>
                <c:pt idx="21">
                  <c:v>-5.669765113652379</c:v>
                </c:pt>
                <c:pt idx="22">
                  <c:v>-5.709765113652379</c:v>
                </c:pt>
                <c:pt idx="23">
                  <c:v>-5.7397651136523784</c:v>
                </c:pt>
                <c:pt idx="24">
                  <c:v>-5.7797651136523776</c:v>
                </c:pt>
                <c:pt idx="25">
                  <c:v>-5.8097651136523778</c:v>
                </c:pt>
                <c:pt idx="26">
                  <c:v>-5.8097651136523778</c:v>
                </c:pt>
                <c:pt idx="27">
                  <c:v>-5.7897651136523782</c:v>
                </c:pt>
                <c:pt idx="28">
                  <c:v>-5.799765113652378</c:v>
                </c:pt>
                <c:pt idx="29">
                  <c:v>-5.7897651136523782</c:v>
                </c:pt>
                <c:pt idx="30">
                  <c:v>-5.7797651136523776</c:v>
                </c:pt>
                <c:pt idx="31">
                  <c:v>-5.7797651136523776</c:v>
                </c:pt>
              </c:numCache>
            </c:numRef>
          </c:val>
          <c:smooth val="0"/>
          <c:extLst>
            <c:ext xmlns:c16="http://schemas.microsoft.com/office/drawing/2014/chart" uri="{C3380CC4-5D6E-409C-BE32-E72D297353CC}">
              <c16:uniqueId val="{00000004-1045-4768-8C90-49413225A1A1}"/>
            </c:ext>
          </c:extLst>
        </c:ser>
        <c:ser>
          <c:idx val="6"/>
          <c:order val="5"/>
          <c:tx>
            <c:strRef>
              <c:f>'Biogenic Summary'!$B$30</c:f>
              <c:strCache>
                <c:ptCount val="1"/>
                <c:pt idx="0">
                  <c:v>Net NWL Emissions</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Summary'!$C$30:$AH$30</c:f>
              <c:numCache>
                <c:formatCode>0.0</c:formatCode>
                <c:ptCount val="32"/>
                <c:pt idx="0">
                  <c:v>-5.6841465737107963</c:v>
                </c:pt>
                <c:pt idx="1">
                  <c:v>-5.6946301297974209</c:v>
                </c:pt>
                <c:pt idx="2">
                  <c:v>-5.7570385189392397</c:v>
                </c:pt>
                <c:pt idx="3">
                  <c:v>-5.8786264685362468</c:v>
                </c:pt>
                <c:pt idx="4">
                  <c:v>-5.9389507577366238</c:v>
                </c:pt>
                <c:pt idx="5">
                  <c:v>-5.9823236838541201</c:v>
                </c:pt>
                <c:pt idx="6">
                  <c:v>-6.0556247860892718</c:v>
                </c:pt>
                <c:pt idx="7">
                  <c:v>-6.1465226500729173</c:v>
                </c:pt>
                <c:pt idx="8">
                  <c:v>-6.1807549695038979</c:v>
                </c:pt>
                <c:pt idx="9">
                  <c:v>-6.2350487238073464</c:v>
                </c:pt>
                <c:pt idx="10">
                  <c:v>-6.1655606149976618</c:v>
                </c:pt>
                <c:pt idx="11">
                  <c:v>-6.2330901300534656</c:v>
                </c:pt>
                <c:pt idx="12">
                  <c:v>-6.2619931120181862</c:v>
                </c:pt>
                <c:pt idx="13">
                  <c:v>-6.3266476665036819</c:v>
                </c:pt>
                <c:pt idx="14">
                  <c:v>-6.3411180356260743</c:v>
                </c:pt>
                <c:pt idx="15">
                  <c:v>-6.4656927945032354</c:v>
                </c:pt>
                <c:pt idx="16">
                  <c:v>-6.5392466368140774</c:v>
                </c:pt>
                <c:pt idx="17">
                  <c:v>-6.5776235325797039</c:v>
                </c:pt>
                <c:pt idx="18">
                  <c:v>-6.541911757378041</c:v>
                </c:pt>
                <c:pt idx="19">
                  <c:v>-6.5936649821418012</c:v>
                </c:pt>
                <c:pt idx="20">
                  <c:v>-6.6840868021715494</c:v>
                </c:pt>
                <c:pt idx="21">
                  <c:v>-6.7417155380008733</c:v>
                </c:pt>
                <c:pt idx="22">
                  <c:v>-6.7922961443777314</c:v>
                </c:pt>
                <c:pt idx="23">
                  <c:v>-6.8037031796363774</c:v>
                </c:pt>
                <c:pt idx="24">
                  <c:v>-6.8476525660875609</c:v>
                </c:pt>
                <c:pt idx="25">
                  <c:v>-6.949045497939677</c:v>
                </c:pt>
                <c:pt idx="26">
                  <c:v>-6.9028307955541877</c:v>
                </c:pt>
                <c:pt idx="27">
                  <c:v>-6.8658898257945271</c:v>
                </c:pt>
                <c:pt idx="28">
                  <c:v>-6.9004621283778729</c:v>
                </c:pt>
                <c:pt idx="29">
                  <c:v>-6.8866346512074035</c:v>
                </c:pt>
                <c:pt idx="30">
                  <c:v>-7.0962972486820135</c:v>
                </c:pt>
                <c:pt idx="31">
                  <c:v>-7.1153382046472409</c:v>
                </c:pt>
              </c:numCache>
            </c:numRef>
          </c:val>
          <c:smooth val="0"/>
          <c:extLst>
            <c:ext xmlns:c16="http://schemas.microsoft.com/office/drawing/2014/chart" uri="{C3380CC4-5D6E-409C-BE32-E72D297353CC}">
              <c16:uniqueId val="{00000005-1045-4768-8C90-49413225A1A1}"/>
            </c:ext>
          </c:extLst>
        </c:ser>
        <c:dLbls>
          <c:showLegendKey val="0"/>
          <c:showVal val="0"/>
          <c:showCatName val="0"/>
          <c:showSerName val="0"/>
          <c:showPercent val="0"/>
          <c:showBubbleSize val="0"/>
        </c:dLbls>
        <c:marker val="1"/>
        <c:smooth val="0"/>
        <c:axId val="763958440"/>
        <c:axId val="763958768"/>
      </c:lineChart>
      <c:catAx>
        <c:axId val="76395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763958768"/>
        <c:crosses val="autoZero"/>
        <c:auto val="1"/>
        <c:lblAlgn val="ctr"/>
        <c:lblOffset val="100"/>
        <c:noMultiLvlLbl val="0"/>
      </c:catAx>
      <c:valAx>
        <c:axId val="763958768"/>
        <c:scaling>
          <c:orientation val="minMax"/>
          <c:max val="0.5"/>
          <c:min val="-7.5"/>
        </c:scaling>
        <c:delete val="0"/>
        <c:axPos val="l"/>
        <c:majorGridlines>
          <c:spPr>
            <a:ln w="12700" cap="flat" cmpd="sng" algn="ctr">
              <a:solidFill>
                <a:schemeClr val="tx1"/>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solidFill>
                      <a:sysClr val="windowText" lastClr="000000"/>
                    </a:solidFill>
                  </a:rPr>
                  <a:t>Million Metric Tons of CO</a:t>
                </a:r>
                <a:r>
                  <a:rPr lang="en-US" b="1" baseline="-25000">
                    <a:solidFill>
                      <a:sysClr val="windowText" lastClr="000000"/>
                    </a:solidFill>
                  </a:rPr>
                  <a:t>2</a:t>
                </a:r>
                <a:endParaRPr lang="en-US"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763958440"/>
        <c:crosses val="autoZero"/>
        <c:crossBetween val="between"/>
        <c:majorUnit val="0.5"/>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col"/>
        <c:grouping val="clustered"/>
        <c:varyColors val="0"/>
        <c:ser>
          <c:idx val="0"/>
          <c:order val="0"/>
          <c:tx>
            <c:strRef>
              <c:f>Summary!$C$15</c:f>
              <c:strCache>
                <c:ptCount val="1"/>
                <c:pt idx="0">
                  <c:v>% Change from previous year</c:v>
                </c:pt>
              </c:strCache>
            </c:strRef>
          </c:tx>
          <c:invertIfNegative val="0"/>
          <c:dPt>
            <c:idx val="23"/>
            <c:invertIfNegative val="0"/>
            <c:bubble3D val="0"/>
            <c:spPr>
              <a:solidFill>
                <a:schemeClr val="tx2">
                  <a:lumMod val="60000"/>
                  <a:lumOff val="40000"/>
                </a:schemeClr>
              </a:solidFill>
              <a:ln>
                <a:solidFill>
                  <a:srgbClr val="4F81BD"/>
                </a:solidFill>
              </a:ln>
            </c:spPr>
            <c:extLst>
              <c:ext xmlns:c16="http://schemas.microsoft.com/office/drawing/2014/chart" uri="{C3380CC4-5D6E-409C-BE32-E72D297353CC}">
                <c16:uniqueId val="{00000001-A80C-4DC8-A6E9-802F678D26D1}"/>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03-A80C-4DC8-A6E9-802F678D26D1}"/>
              </c:ext>
            </c:extLst>
          </c:dPt>
          <c:dPt>
            <c:idx val="25"/>
            <c:invertIfNegative val="0"/>
            <c:bubble3D val="0"/>
            <c:spPr>
              <a:solidFill>
                <a:srgbClr val="0070C0"/>
              </a:solidFill>
            </c:spPr>
            <c:extLst>
              <c:ext xmlns:c16="http://schemas.microsoft.com/office/drawing/2014/chart" uri="{C3380CC4-5D6E-409C-BE32-E72D297353CC}">
                <c16:uniqueId val="{00000005-A80C-4DC8-A6E9-802F678D26D1}"/>
              </c:ext>
            </c:extLst>
          </c:dPt>
          <c:cat>
            <c:numRef>
              <c:f>Summary!$D$5:$AI$5</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Summary!$D$15:$AI$15</c:f>
              <c:numCache>
                <c:formatCode>#,##0.0</c:formatCode>
                <c:ptCount val="32"/>
                <c:pt idx="1">
                  <c:v>-2.5862288636847381</c:v>
                </c:pt>
                <c:pt idx="2">
                  <c:v>2.0860134991423678</c:v>
                </c:pt>
                <c:pt idx="3">
                  <c:v>-2.3620176920470328</c:v>
                </c:pt>
                <c:pt idx="4">
                  <c:v>0.2248454766735648</c:v>
                </c:pt>
                <c:pt idx="5">
                  <c:v>-2.2494797186118092</c:v>
                </c:pt>
                <c:pt idx="6">
                  <c:v>0.29682690964804692</c:v>
                </c:pt>
                <c:pt idx="7">
                  <c:v>4.9758977400596223</c:v>
                </c:pt>
                <c:pt idx="8">
                  <c:v>-2.0752638170151272</c:v>
                </c:pt>
                <c:pt idx="9">
                  <c:v>-1.0654918325205642</c:v>
                </c:pt>
                <c:pt idx="10">
                  <c:v>2.2332068654933153</c:v>
                </c:pt>
                <c:pt idx="11">
                  <c:v>-0.99901098030115065</c:v>
                </c:pt>
                <c:pt idx="12">
                  <c:v>2.4354493311467849</c:v>
                </c:pt>
                <c:pt idx="13">
                  <c:v>2.0971944963359164</c:v>
                </c:pt>
                <c:pt idx="14">
                  <c:v>-2.2990489125435829</c:v>
                </c:pt>
                <c:pt idx="15">
                  <c:v>1.7267797600322154</c:v>
                </c:pt>
                <c:pt idx="16">
                  <c:v>-9.0269336630501726</c:v>
                </c:pt>
                <c:pt idx="17">
                  <c:v>3.2212418457004333</c:v>
                </c:pt>
                <c:pt idx="18">
                  <c:v>-3.2226293722770407</c:v>
                </c:pt>
                <c:pt idx="19">
                  <c:v>-6.4413583808710655</c:v>
                </c:pt>
                <c:pt idx="20">
                  <c:v>1.6992968091493594</c:v>
                </c:pt>
                <c:pt idx="21">
                  <c:v>-6.263800182381047</c:v>
                </c:pt>
                <c:pt idx="22">
                  <c:v>-8.1257523349038223</c:v>
                </c:pt>
                <c:pt idx="23">
                  <c:v>6.2259851701034421</c:v>
                </c:pt>
                <c:pt idx="24">
                  <c:v>-1.9713052281163215</c:v>
                </c:pt>
                <c:pt idx="25">
                  <c:v>1.942284248571525</c:v>
                </c:pt>
                <c:pt idx="26">
                  <c:v>-4.9980960241050241</c:v>
                </c:pt>
                <c:pt idx="27">
                  <c:v>-1.1689766555769694</c:v>
                </c:pt>
                <c:pt idx="28">
                  <c:v>1.5937548178688559</c:v>
                </c:pt>
                <c:pt idx="29">
                  <c:v>-1.7052263188849395</c:v>
                </c:pt>
                <c:pt idx="30">
                  <c:v>-9.0664051828041181</c:v>
                </c:pt>
                <c:pt idx="31">
                  <c:v>4.7689680926566069</c:v>
                </c:pt>
              </c:numCache>
            </c:numRef>
          </c:val>
          <c:extLst>
            <c:ext xmlns:c16="http://schemas.microsoft.com/office/drawing/2014/chart" uri="{C3380CC4-5D6E-409C-BE32-E72D297353CC}">
              <c16:uniqueId val="{00000006-A80C-4DC8-A6E9-802F678D26D1}"/>
            </c:ext>
          </c:extLst>
        </c:ser>
        <c:dLbls>
          <c:showLegendKey val="0"/>
          <c:showVal val="0"/>
          <c:showCatName val="0"/>
          <c:showSerName val="0"/>
          <c:showPercent val="0"/>
          <c:showBubbleSize val="0"/>
        </c:dLbls>
        <c:gapWidth val="150"/>
        <c:axId val="48644096"/>
        <c:axId val="48645632"/>
      </c:barChart>
      <c:catAx>
        <c:axId val="48644096"/>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8645632"/>
        <c:crosses val="autoZero"/>
        <c:auto val="1"/>
        <c:lblAlgn val="ctr"/>
        <c:lblOffset val="100"/>
        <c:noMultiLvlLbl val="0"/>
      </c:catAx>
      <c:valAx>
        <c:axId val="48645632"/>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864409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col"/>
        <c:grouping val="clustered"/>
        <c:varyColors val="0"/>
        <c:ser>
          <c:idx val="0"/>
          <c:order val="0"/>
          <c:tx>
            <c:strRef>
              <c:f>Summary!$C$16</c:f>
              <c:strCache>
                <c:ptCount val="1"/>
                <c:pt idx="0">
                  <c:v>% Change from 1990</c:v>
                </c:pt>
              </c:strCache>
            </c:strRef>
          </c:tx>
          <c:invertIfNegative val="0"/>
          <c:dPt>
            <c:idx val="23"/>
            <c:invertIfNegative val="0"/>
            <c:bubble3D val="0"/>
            <c:spPr>
              <a:solidFill>
                <a:schemeClr val="tx2">
                  <a:lumMod val="60000"/>
                  <a:lumOff val="40000"/>
                </a:schemeClr>
              </a:solidFill>
              <a:ln>
                <a:solidFill>
                  <a:srgbClr val="4F81BD"/>
                </a:solidFill>
              </a:ln>
            </c:spPr>
            <c:extLst>
              <c:ext xmlns:c16="http://schemas.microsoft.com/office/drawing/2014/chart" uri="{C3380CC4-5D6E-409C-BE32-E72D297353CC}">
                <c16:uniqueId val="{00000001-79AE-44BF-AF63-C02C86D04738}"/>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03-79AE-44BF-AF63-C02C86D04738}"/>
              </c:ext>
            </c:extLst>
          </c:dPt>
          <c:dPt>
            <c:idx val="25"/>
            <c:invertIfNegative val="0"/>
            <c:bubble3D val="0"/>
            <c:spPr>
              <a:solidFill>
                <a:srgbClr val="0070C0"/>
              </a:solidFill>
            </c:spPr>
            <c:extLst>
              <c:ext xmlns:c16="http://schemas.microsoft.com/office/drawing/2014/chart" uri="{C3380CC4-5D6E-409C-BE32-E72D297353CC}">
                <c16:uniqueId val="{00000005-79AE-44BF-AF63-C02C86D04738}"/>
              </c:ext>
            </c:extLst>
          </c:dPt>
          <c:cat>
            <c:numRef>
              <c:f>Summary!$D$5:$AI$5</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Summary!$D$16:$AI$16</c:f>
              <c:numCache>
                <c:formatCode>#,##0.0</c:formatCode>
                <c:ptCount val="32"/>
                <c:pt idx="1">
                  <c:v>-2.5862288636847381</c:v>
                </c:pt>
                <c:pt idx="2">
                  <c:v>-0.55416444775754314</c:v>
                </c:pt>
                <c:pt idx="3">
                  <c:v>-2.9030926775055121</c:v>
                </c:pt>
                <c:pt idx="4">
                  <c:v>-2.6847746734009519</c:v>
                </c:pt>
                <c:pt idx="5">
                  <c:v>-4.8738609302441915</c:v>
                </c:pt>
                <c:pt idx="6">
                  <c:v>-4.5915009513759202</c:v>
                </c:pt>
                <c:pt idx="7">
                  <c:v>0.15592839660936875</c:v>
                </c:pt>
                <c:pt idx="8">
                  <c:v>-1.9225713460010354</c:v>
                </c:pt>
                <c:pt idx="9">
                  <c:v>-2.9675783378555849</c:v>
                </c:pt>
                <c:pt idx="10">
                  <c:v>-0.80064363554215845</c:v>
                </c:pt>
                <c:pt idx="11">
                  <c:v>-1.7916560980111598</c:v>
                </c:pt>
                <c:pt idx="12">
                  <c:v>0.60015835668016848</c:v>
                </c:pt>
                <c:pt idx="13">
                  <c:v>2.7099393410416894</c:v>
                </c:pt>
                <c:pt idx="14">
                  <c:v>0.34858759754729363</c:v>
                </c:pt>
                <c:pt idx="15">
                  <c:v>2.0813866976599371</c:v>
                </c:pt>
                <c:pt idx="16">
                  <c:v>-7.1334323618595619</c:v>
                </c:pt>
                <c:pt idx="17">
                  <c:v>-4.1419756244340817</c:v>
                </c:pt>
                <c:pt idx="18">
                  <c:v>-7.2311244736455507</c:v>
                </c:pt>
                <c:pt idx="19">
                  <c:v>-13.206700212202222</c:v>
                </c:pt>
                <c:pt idx="20">
                  <c:v>-11.73182443835276</c:v>
                </c:pt>
                <c:pt idx="21">
                  <c:v>-17.260766580167626</c:v>
                </c:pt>
                <c:pt idx="22">
                  <c:v>-23.983951771661182</c:v>
                </c:pt>
                <c:pt idx="23">
                  <c:v>-19.251203882066122</c:v>
                </c:pt>
                <c:pt idx="24">
                  <c:v>-20.843009121579939</c:v>
                </c:pt>
                <c:pt idx="25">
                  <c:v>-19.305555356105202</c:v>
                </c:pt>
                <c:pt idx="26">
                  <c:v>-23.338741185525336</c:v>
                </c:pt>
                <c:pt idx="27">
                  <c:v>-24.234893404937992</c:v>
                </c:pt>
                <c:pt idx="28">
                  <c:v>-23.027383368315711</c:v>
                </c:pt>
                <c:pt idx="29">
                  <c:v>-24.339940685453598</c:v>
                </c:pt>
                <c:pt idx="30">
                  <c:v>-31.1995882244603</c:v>
                </c:pt>
                <c:pt idx="31">
                  <c:v>-27.918518539268462</c:v>
                </c:pt>
              </c:numCache>
            </c:numRef>
          </c:val>
          <c:extLst>
            <c:ext xmlns:c16="http://schemas.microsoft.com/office/drawing/2014/chart" uri="{C3380CC4-5D6E-409C-BE32-E72D297353CC}">
              <c16:uniqueId val="{00000006-79AE-44BF-AF63-C02C86D04738}"/>
            </c:ext>
          </c:extLst>
        </c:ser>
        <c:dLbls>
          <c:showLegendKey val="0"/>
          <c:showVal val="0"/>
          <c:showCatName val="0"/>
          <c:showSerName val="0"/>
          <c:showPercent val="0"/>
          <c:showBubbleSize val="0"/>
        </c:dLbls>
        <c:gapWidth val="150"/>
        <c:axId val="48672768"/>
        <c:axId val="48674304"/>
      </c:barChart>
      <c:catAx>
        <c:axId val="4867276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8674304"/>
        <c:crosses val="autoZero"/>
        <c:auto val="1"/>
        <c:lblAlgn val="ctr"/>
        <c:lblOffset val="100"/>
        <c:noMultiLvlLbl val="0"/>
      </c:catAx>
      <c:valAx>
        <c:axId val="48674304"/>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867276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 of 2021 </a:t>
            </a:r>
            <a:r>
              <a:rPr lang="en-US" sz="1400" b="1" i="0" u="none" strike="noStrike" baseline="0">
                <a:solidFill>
                  <a:sysClr val="windowText" lastClr="000000"/>
                </a:solidFill>
                <a:latin typeface="Calibri"/>
              </a:rPr>
              <a:t>67.0</a:t>
            </a:r>
            <a:r>
              <a:rPr lang="en-US" sz="1400" b="1" i="0" u="none" strike="noStrike" baseline="0">
                <a:solidFill>
                  <a:srgbClr val="000000"/>
                </a:solidFill>
                <a:latin typeface="Calibri"/>
              </a:rPr>
              <a:t> MMTCO</a:t>
            </a:r>
            <a:r>
              <a:rPr lang="en-US" sz="1400" b="1" i="0" u="none" strike="noStrike" baseline="-25000">
                <a:solidFill>
                  <a:srgbClr val="000000"/>
                </a:solidFill>
                <a:latin typeface="Calibri"/>
              </a:rPr>
              <a:t>2</a:t>
            </a:r>
            <a:r>
              <a:rPr lang="en-US" sz="1400" b="1" i="0" u="none" strike="noStrike" baseline="0">
                <a:solidFill>
                  <a:srgbClr val="000000"/>
                </a:solidFill>
                <a:latin typeface="Calibri"/>
              </a:rPr>
              <a:t>e</a:t>
            </a:r>
            <a:br>
              <a:rPr lang="en-US" sz="1400" b="1" i="0" u="none" strike="noStrike" baseline="0">
                <a:solidFill>
                  <a:srgbClr val="000000"/>
                </a:solidFill>
                <a:latin typeface="Calibri"/>
              </a:rPr>
            </a:br>
            <a:r>
              <a:rPr lang="en-US" sz="1400" b="1" i="0" u="none" strike="noStrike" baseline="0">
                <a:solidFill>
                  <a:srgbClr val="000000"/>
                </a:solidFill>
                <a:latin typeface="Calibri"/>
              </a:rPr>
              <a:t>GHG Emissions by Sector</a:t>
            </a:r>
          </a:p>
        </c:rich>
      </c:tx>
      <c:layout>
        <c:manualLayout>
          <c:xMode val="edge"/>
          <c:yMode val="edge"/>
          <c:x val="3.3736014786231193E-2"/>
          <c:y val="2.1447705856252209E-2"/>
        </c:manualLayout>
      </c:layout>
      <c:overlay val="0"/>
      <c:spPr>
        <a:noFill/>
      </c:spPr>
    </c:title>
    <c:autoTitleDeleted val="0"/>
    <c:plotArea>
      <c:layout>
        <c:manualLayout>
          <c:layoutTarget val="inner"/>
          <c:xMode val="edge"/>
          <c:yMode val="edge"/>
          <c:x val="0.15370306148554536"/>
          <c:y val="0.34553643455011529"/>
          <c:w val="0.37007260013075982"/>
          <c:h val="0.59807532226499693"/>
        </c:manualLayout>
      </c:layout>
      <c:pieChart>
        <c:varyColors val="1"/>
        <c:ser>
          <c:idx val="0"/>
          <c:order val="0"/>
          <c:tx>
            <c:strRef>
              <c:f>Summary!$BD$3</c:f>
              <c:strCache>
                <c:ptCount val="1"/>
                <c:pt idx="0">
                  <c:v>% of Total GHG Emissions by Sector (2021)</c:v>
                </c:pt>
              </c:strCache>
            </c:strRef>
          </c:tx>
          <c:dPt>
            <c:idx val="0"/>
            <c:bubble3D val="0"/>
            <c:extLst>
              <c:ext xmlns:c16="http://schemas.microsoft.com/office/drawing/2014/chart" uri="{C3380CC4-5D6E-409C-BE32-E72D297353CC}">
                <c16:uniqueId val="{00000000-BDE4-44BC-B30E-0730179F23C3}"/>
              </c:ext>
            </c:extLst>
          </c:dPt>
          <c:dPt>
            <c:idx val="1"/>
            <c:bubble3D val="0"/>
            <c:extLst>
              <c:ext xmlns:c16="http://schemas.microsoft.com/office/drawing/2014/chart" uri="{C3380CC4-5D6E-409C-BE32-E72D297353CC}">
                <c16:uniqueId val="{00000001-BDE4-44BC-B30E-0730179F23C3}"/>
              </c:ext>
            </c:extLst>
          </c:dPt>
          <c:dPt>
            <c:idx val="2"/>
            <c:bubble3D val="0"/>
            <c:extLst>
              <c:ext xmlns:c16="http://schemas.microsoft.com/office/drawing/2014/chart" uri="{C3380CC4-5D6E-409C-BE32-E72D297353CC}">
                <c16:uniqueId val="{00000002-BDE4-44BC-B30E-0730179F23C3}"/>
              </c:ext>
            </c:extLst>
          </c:dPt>
          <c:dPt>
            <c:idx val="3"/>
            <c:bubble3D val="0"/>
            <c:extLst>
              <c:ext xmlns:c16="http://schemas.microsoft.com/office/drawing/2014/chart" uri="{C3380CC4-5D6E-409C-BE32-E72D297353CC}">
                <c16:uniqueId val="{00000003-BDE4-44BC-B30E-0730179F23C3}"/>
              </c:ext>
            </c:extLst>
          </c:dPt>
          <c:dPt>
            <c:idx val="4"/>
            <c:bubble3D val="0"/>
            <c:extLst>
              <c:ext xmlns:c16="http://schemas.microsoft.com/office/drawing/2014/chart" uri="{C3380CC4-5D6E-409C-BE32-E72D297353CC}">
                <c16:uniqueId val="{00000004-BDE4-44BC-B30E-0730179F23C3}"/>
              </c:ext>
            </c:extLst>
          </c:dPt>
          <c:dPt>
            <c:idx val="5"/>
            <c:bubble3D val="0"/>
            <c:extLst>
              <c:ext xmlns:c16="http://schemas.microsoft.com/office/drawing/2014/chart" uri="{C3380CC4-5D6E-409C-BE32-E72D297353CC}">
                <c16:uniqueId val="{00000005-BDE4-44BC-B30E-0730179F23C3}"/>
              </c:ext>
            </c:extLst>
          </c:dPt>
          <c:dPt>
            <c:idx val="6"/>
            <c:bubble3D val="0"/>
            <c:extLst>
              <c:ext xmlns:c16="http://schemas.microsoft.com/office/drawing/2014/chart" uri="{C3380CC4-5D6E-409C-BE32-E72D297353CC}">
                <c16:uniqueId val="{00000006-BDE4-44BC-B30E-0730179F23C3}"/>
              </c:ext>
            </c:extLst>
          </c:dPt>
          <c:dPt>
            <c:idx val="7"/>
            <c:bubble3D val="0"/>
            <c:extLst>
              <c:ext xmlns:c16="http://schemas.microsoft.com/office/drawing/2014/chart" uri="{C3380CC4-5D6E-409C-BE32-E72D297353CC}">
                <c16:uniqueId val="{00000007-BDE4-44BC-B30E-0730179F23C3}"/>
              </c:ext>
            </c:extLst>
          </c:dPt>
          <c:dPt>
            <c:idx val="8"/>
            <c:bubble3D val="0"/>
            <c:extLst>
              <c:ext xmlns:c16="http://schemas.microsoft.com/office/drawing/2014/chart" uri="{C3380CC4-5D6E-409C-BE32-E72D297353CC}">
                <c16:uniqueId val="{00000008-BDE4-44BC-B30E-0730179F23C3}"/>
              </c:ext>
            </c:extLst>
          </c:dPt>
          <c:dLbls>
            <c:dLbl>
              <c:idx val="3"/>
              <c:layout>
                <c:manualLayout>
                  <c:x val="-0.10437804545954935"/>
                  <c:y val="4.007576722812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E4-44BC-B30E-0730179F23C3}"/>
                </c:ext>
              </c:extLst>
            </c:dLbl>
            <c:dLbl>
              <c:idx val="4"/>
              <c:layout>
                <c:manualLayout>
                  <c:x val="-0.13348606258654755"/>
                  <c:y val="-1.576094250354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E4-44BC-B30E-0730179F23C3}"/>
                </c:ext>
              </c:extLst>
            </c:dLbl>
            <c:dLbl>
              <c:idx val="5"/>
              <c:layout>
                <c:manualLayout>
                  <c:x val="-7.288870348160123E-2"/>
                  <c:y val="-2.8273747334981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E4-44BC-B30E-0730179F23C3}"/>
                </c:ext>
              </c:extLst>
            </c:dLbl>
            <c:dLbl>
              <c:idx val="6"/>
              <c:layout>
                <c:manualLayout>
                  <c:x val="5.3103271838312628E-2"/>
                  <c:y val="3.56503167022632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E4-44BC-B30E-0730179F23C3}"/>
                </c:ext>
              </c:extLst>
            </c:dLbl>
            <c:dLbl>
              <c:idx val="8"/>
              <c:layout>
                <c:manualLayout>
                  <c:x val="0.1202769521359499"/>
                  <c:y val="-2.835848957275755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E4-44BC-B30E-0730179F23C3}"/>
                </c:ext>
              </c:extLst>
            </c:dLbl>
            <c:spPr>
              <a:noFill/>
              <a:ln>
                <a:noFill/>
              </a:ln>
              <a:effectLst/>
            </c:spPr>
            <c:txPr>
              <a:bodyPr/>
              <a:lstStyle/>
              <a:p>
                <a:pPr>
                  <a:defRPr sz="12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Summary!$C$7:$C$13</c:f>
              <c:strCache>
                <c:ptCount val="7"/>
                <c:pt idx="0">
                  <c:v>Building Consumption</c:v>
                </c:pt>
                <c:pt idx="1">
                  <c:v>Electricity Consumption</c:v>
                </c:pt>
                <c:pt idx="2">
                  <c:v>Mobile Combustion</c:v>
                </c:pt>
                <c:pt idx="3">
                  <c:v>Natural Gas Systems</c:v>
                </c:pt>
                <c:pt idx="4">
                  <c:v>Industrial Processes</c:v>
                </c:pt>
                <c:pt idx="5">
                  <c:v>Agriculture &amp; Land Use</c:v>
                </c:pt>
                <c:pt idx="6">
                  <c:v>Waste</c:v>
                </c:pt>
              </c:strCache>
            </c:strRef>
          </c:cat>
          <c:val>
            <c:numRef>
              <c:f>Summary!$BD$4:$BD$10</c:f>
              <c:numCache>
                <c:formatCode>0.0%</c:formatCode>
                <c:ptCount val="7"/>
                <c:pt idx="0">
                  <c:v>0.34811812205254605</c:v>
                </c:pt>
                <c:pt idx="1">
                  <c:v>0.18626626949331027</c:v>
                </c:pt>
                <c:pt idx="2">
                  <c:v>0.38196588818458099</c:v>
                </c:pt>
                <c:pt idx="3">
                  <c:v>1.0671492903238093E-2</c:v>
                </c:pt>
                <c:pt idx="4">
                  <c:v>6.1191698321238386E-2</c:v>
                </c:pt>
                <c:pt idx="5">
                  <c:v>2.88760561818083E-3</c:v>
                </c:pt>
                <c:pt idx="6">
                  <c:v>8.8989234269053995E-3</c:v>
                </c:pt>
              </c:numCache>
            </c:numRef>
          </c:val>
          <c:extLst>
            <c:ext xmlns:c16="http://schemas.microsoft.com/office/drawing/2014/chart" uri="{C3380CC4-5D6E-409C-BE32-E72D297353CC}">
              <c16:uniqueId val="{00000009-BDE4-44BC-B30E-0730179F23C3}"/>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6.1111917603065065E-2"/>
          <c:w val="0.31556807054747293"/>
          <c:h val="0.90421815709442366"/>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rPr>
              <a:t>% of 1990 93.0 MMTCO</a:t>
            </a:r>
            <a:r>
              <a:rPr lang="en-US" sz="1600" b="1" i="0" u="none" strike="noStrike" baseline="-25000">
                <a:solidFill>
                  <a:srgbClr val="000000"/>
                </a:solidFill>
                <a:latin typeface="Calibri"/>
              </a:rPr>
              <a:t>2</a:t>
            </a:r>
            <a:r>
              <a:rPr lang="en-US" sz="1600" b="1" i="0" u="none" strike="noStrike" baseline="0">
                <a:solidFill>
                  <a:srgbClr val="000000"/>
                </a:solidFill>
                <a:latin typeface="Calibri"/>
              </a:rPr>
              <a:t>e</a:t>
            </a:r>
            <a:br>
              <a:rPr lang="en-US" sz="1600" b="1" i="0" u="none" strike="noStrike" baseline="0">
                <a:solidFill>
                  <a:srgbClr val="000000"/>
                </a:solidFill>
                <a:latin typeface="Calibri"/>
              </a:rPr>
            </a:br>
            <a:r>
              <a:rPr lang="en-US" sz="1600" b="1" i="0" u="none" strike="noStrike" baseline="0">
                <a:solidFill>
                  <a:srgbClr val="000000"/>
                </a:solidFill>
                <a:latin typeface="Calibri"/>
              </a:rPr>
              <a:t> GHG Emissions by Sector</a:t>
            </a:r>
          </a:p>
        </c:rich>
      </c:tx>
      <c:layout>
        <c:manualLayout>
          <c:xMode val="edge"/>
          <c:yMode val="edge"/>
          <c:x val="3.3736014786231193E-2"/>
          <c:y val="2.1447736860190525E-2"/>
        </c:manualLayout>
      </c:layout>
      <c:overlay val="0"/>
    </c:title>
    <c:autoTitleDeleted val="0"/>
    <c:plotArea>
      <c:layout/>
      <c:pieChart>
        <c:varyColors val="1"/>
        <c:ser>
          <c:idx val="0"/>
          <c:order val="0"/>
          <c:tx>
            <c:strRef>
              <c:f>Summary!$BD$17</c:f>
              <c:strCache>
                <c:ptCount val="1"/>
                <c:pt idx="0">
                  <c:v>% of Total GHG Emissions by Sector (1990)</c:v>
                </c:pt>
              </c:strCache>
            </c:strRef>
          </c:tx>
          <c:dPt>
            <c:idx val="0"/>
            <c:bubble3D val="0"/>
            <c:extLst>
              <c:ext xmlns:c16="http://schemas.microsoft.com/office/drawing/2014/chart" uri="{C3380CC4-5D6E-409C-BE32-E72D297353CC}">
                <c16:uniqueId val="{00000000-1BA4-4AC4-AE31-D84DB87BB81D}"/>
              </c:ext>
            </c:extLst>
          </c:dPt>
          <c:dPt>
            <c:idx val="1"/>
            <c:bubble3D val="0"/>
            <c:extLst>
              <c:ext xmlns:c16="http://schemas.microsoft.com/office/drawing/2014/chart" uri="{C3380CC4-5D6E-409C-BE32-E72D297353CC}">
                <c16:uniqueId val="{00000001-1BA4-4AC4-AE31-D84DB87BB81D}"/>
              </c:ext>
            </c:extLst>
          </c:dPt>
          <c:dPt>
            <c:idx val="2"/>
            <c:bubble3D val="0"/>
            <c:extLst>
              <c:ext xmlns:c16="http://schemas.microsoft.com/office/drawing/2014/chart" uri="{C3380CC4-5D6E-409C-BE32-E72D297353CC}">
                <c16:uniqueId val="{00000002-1BA4-4AC4-AE31-D84DB87BB81D}"/>
              </c:ext>
            </c:extLst>
          </c:dPt>
          <c:dPt>
            <c:idx val="3"/>
            <c:bubble3D val="0"/>
            <c:extLst>
              <c:ext xmlns:c16="http://schemas.microsoft.com/office/drawing/2014/chart" uri="{C3380CC4-5D6E-409C-BE32-E72D297353CC}">
                <c16:uniqueId val="{00000003-1BA4-4AC4-AE31-D84DB87BB81D}"/>
              </c:ext>
            </c:extLst>
          </c:dPt>
          <c:dPt>
            <c:idx val="4"/>
            <c:bubble3D val="0"/>
            <c:extLst>
              <c:ext xmlns:c16="http://schemas.microsoft.com/office/drawing/2014/chart" uri="{C3380CC4-5D6E-409C-BE32-E72D297353CC}">
                <c16:uniqueId val="{00000004-1BA4-4AC4-AE31-D84DB87BB81D}"/>
              </c:ext>
            </c:extLst>
          </c:dPt>
          <c:dPt>
            <c:idx val="5"/>
            <c:bubble3D val="0"/>
            <c:extLst>
              <c:ext xmlns:c16="http://schemas.microsoft.com/office/drawing/2014/chart" uri="{C3380CC4-5D6E-409C-BE32-E72D297353CC}">
                <c16:uniqueId val="{00000005-1BA4-4AC4-AE31-D84DB87BB81D}"/>
              </c:ext>
            </c:extLst>
          </c:dPt>
          <c:dPt>
            <c:idx val="6"/>
            <c:bubble3D val="0"/>
            <c:extLst>
              <c:ext xmlns:c16="http://schemas.microsoft.com/office/drawing/2014/chart" uri="{C3380CC4-5D6E-409C-BE32-E72D297353CC}">
                <c16:uniqueId val="{00000006-1BA4-4AC4-AE31-D84DB87BB81D}"/>
              </c:ext>
            </c:extLst>
          </c:dPt>
          <c:dPt>
            <c:idx val="7"/>
            <c:bubble3D val="0"/>
            <c:extLst>
              <c:ext xmlns:c16="http://schemas.microsoft.com/office/drawing/2014/chart" uri="{C3380CC4-5D6E-409C-BE32-E72D297353CC}">
                <c16:uniqueId val="{00000007-1BA4-4AC4-AE31-D84DB87BB81D}"/>
              </c:ext>
            </c:extLst>
          </c:dPt>
          <c:dPt>
            <c:idx val="8"/>
            <c:bubble3D val="0"/>
            <c:extLst>
              <c:ext xmlns:c16="http://schemas.microsoft.com/office/drawing/2014/chart" uri="{C3380CC4-5D6E-409C-BE32-E72D297353CC}">
                <c16:uniqueId val="{00000008-1BA4-4AC4-AE31-D84DB87BB81D}"/>
              </c:ext>
            </c:extLst>
          </c:dPt>
          <c:dLbls>
            <c:dLbl>
              <c:idx val="6"/>
              <c:layout>
                <c:manualLayout>
                  <c:x val="0.148158963573262"/>
                  <c:y val="-1.3543014644060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A4-4AC4-AE31-D84DB87BB81D}"/>
                </c:ext>
              </c:extLst>
            </c:dLbl>
            <c:dLbl>
              <c:idx val="8"/>
              <c:layout>
                <c:manualLayout>
                  <c:x val="0.15993232634000221"/>
                  <c:y val="-6.1149737898361593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A4-4AC4-AE31-D84DB87BB81D}"/>
                </c:ext>
              </c:extLst>
            </c:dLbl>
            <c:spPr>
              <a:noFill/>
              <a:ln>
                <a:noFill/>
              </a:ln>
              <a:effectLst/>
            </c:spPr>
            <c:txPr>
              <a:bodyPr/>
              <a:lstStyle/>
              <a:p>
                <a:pPr>
                  <a:defRPr sz="14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Summary!$C$7:$C$13</c:f>
              <c:strCache>
                <c:ptCount val="7"/>
                <c:pt idx="0">
                  <c:v>Building Consumption</c:v>
                </c:pt>
                <c:pt idx="1">
                  <c:v>Electricity Consumption</c:v>
                </c:pt>
                <c:pt idx="2">
                  <c:v>Mobile Combustion</c:v>
                </c:pt>
                <c:pt idx="3">
                  <c:v>Natural Gas Systems</c:v>
                </c:pt>
                <c:pt idx="4">
                  <c:v>Industrial Processes</c:v>
                </c:pt>
                <c:pt idx="5">
                  <c:v>Agriculture &amp; Land Use</c:v>
                </c:pt>
                <c:pt idx="6">
                  <c:v>Waste</c:v>
                </c:pt>
              </c:strCache>
            </c:strRef>
          </c:cat>
          <c:val>
            <c:numRef>
              <c:f>Summary!$BD$21:$BD$27</c:f>
              <c:numCache>
                <c:formatCode>0.0%</c:formatCode>
                <c:ptCount val="7"/>
                <c:pt idx="0">
                  <c:v>0.31577885999214939</c:v>
                </c:pt>
                <c:pt idx="1">
                  <c:v>0.30280536341435854</c:v>
                </c:pt>
                <c:pt idx="2">
                  <c:v>0.31806597562279965</c:v>
                </c:pt>
                <c:pt idx="3">
                  <c:v>2.0082403080929814E-2</c:v>
                </c:pt>
                <c:pt idx="4">
                  <c:v>7.0560890198005793E-3</c:v>
                </c:pt>
                <c:pt idx="5">
                  <c:v>4.7965214329284698E-3</c:v>
                </c:pt>
                <c:pt idx="6">
                  <c:v>3.1414787437033603E-2</c:v>
                </c:pt>
              </c:numCache>
            </c:numRef>
          </c:val>
          <c:extLst>
            <c:ext xmlns:c16="http://schemas.microsoft.com/office/drawing/2014/chart" uri="{C3380CC4-5D6E-409C-BE32-E72D297353CC}">
              <c16:uniqueId val="{00000009-1BA4-4AC4-AE31-D84DB87BB81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3.4330450919494312E-2"/>
          <c:w val="0.31556807054747293"/>
          <c:h val="0.92796860703377693"/>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 of </a:t>
            </a:r>
            <a:r>
              <a:rPr lang="en-US" sz="1800" b="1" i="0" u="none" strike="noStrike" baseline="0">
                <a:solidFill>
                  <a:sysClr val="windowText" lastClr="000000"/>
                </a:solidFill>
                <a:latin typeface="Calibri"/>
              </a:rPr>
              <a:t>2021 67.0 </a:t>
            </a:r>
            <a:r>
              <a:rPr lang="en-US" sz="1800" b="1" i="0" u="none" strike="noStrike" baseline="0">
                <a:solidFill>
                  <a:srgbClr val="000000"/>
                </a:solidFill>
                <a:latin typeface="Calibri"/>
              </a:rPr>
              <a:t>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 </a:t>
            </a:r>
          </a:p>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GHG Emissions by Sector</a:t>
            </a:r>
          </a:p>
        </c:rich>
      </c:tx>
      <c:layout>
        <c:manualLayout>
          <c:xMode val="edge"/>
          <c:yMode val="edge"/>
          <c:x val="4.9003225741820471E-2"/>
          <c:y val="4.112914921387806E-3"/>
        </c:manualLayout>
      </c:layout>
      <c:overlay val="0"/>
      <c:spPr>
        <a:noFill/>
      </c:spPr>
    </c:title>
    <c:autoTitleDeleted val="0"/>
    <c:plotArea>
      <c:layout>
        <c:manualLayout>
          <c:layoutTarget val="inner"/>
          <c:xMode val="edge"/>
          <c:yMode val="edge"/>
          <c:x val="0.15201238204003126"/>
          <c:y val="0.32529768556828553"/>
          <c:w val="0.38823185269780208"/>
          <c:h val="0.66121394630654917"/>
        </c:manualLayout>
      </c:layout>
      <c:pieChart>
        <c:varyColors val="1"/>
        <c:ser>
          <c:idx val="0"/>
          <c:order val="0"/>
          <c:tx>
            <c:strRef>
              <c:f>Summary!$BD$37</c:f>
              <c:strCache>
                <c:ptCount val="1"/>
                <c:pt idx="0">
                  <c:v>% of Total GHG Emissions by Sector (2021)</c:v>
                </c:pt>
              </c:strCache>
            </c:strRef>
          </c:tx>
          <c:dPt>
            <c:idx val="0"/>
            <c:bubble3D val="0"/>
            <c:extLst>
              <c:ext xmlns:c16="http://schemas.microsoft.com/office/drawing/2014/chart" uri="{C3380CC4-5D6E-409C-BE32-E72D297353CC}">
                <c16:uniqueId val="{00000000-1027-45C4-8C4F-CA2686428AEF}"/>
              </c:ext>
            </c:extLst>
          </c:dPt>
          <c:dPt>
            <c:idx val="1"/>
            <c:bubble3D val="0"/>
            <c:extLst>
              <c:ext xmlns:c16="http://schemas.microsoft.com/office/drawing/2014/chart" uri="{C3380CC4-5D6E-409C-BE32-E72D297353CC}">
                <c16:uniqueId val="{00000001-1027-45C4-8C4F-CA2686428AEF}"/>
              </c:ext>
            </c:extLst>
          </c:dPt>
          <c:dPt>
            <c:idx val="2"/>
            <c:bubble3D val="0"/>
            <c:extLst>
              <c:ext xmlns:c16="http://schemas.microsoft.com/office/drawing/2014/chart" uri="{C3380CC4-5D6E-409C-BE32-E72D297353CC}">
                <c16:uniqueId val="{00000002-1027-45C4-8C4F-CA2686428AEF}"/>
              </c:ext>
            </c:extLst>
          </c:dPt>
          <c:dPt>
            <c:idx val="3"/>
            <c:bubble3D val="0"/>
            <c:extLst>
              <c:ext xmlns:c16="http://schemas.microsoft.com/office/drawing/2014/chart" uri="{C3380CC4-5D6E-409C-BE32-E72D297353CC}">
                <c16:uniqueId val="{00000003-1027-45C4-8C4F-CA2686428AEF}"/>
              </c:ext>
            </c:extLst>
          </c:dPt>
          <c:dPt>
            <c:idx val="4"/>
            <c:bubble3D val="0"/>
            <c:extLst>
              <c:ext xmlns:c16="http://schemas.microsoft.com/office/drawing/2014/chart" uri="{C3380CC4-5D6E-409C-BE32-E72D297353CC}">
                <c16:uniqueId val="{00000004-1027-45C4-8C4F-CA2686428AEF}"/>
              </c:ext>
            </c:extLst>
          </c:dPt>
          <c:dPt>
            <c:idx val="5"/>
            <c:bubble3D val="0"/>
            <c:extLst>
              <c:ext xmlns:c16="http://schemas.microsoft.com/office/drawing/2014/chart" uri="{C3380CC4-5D6E-409C-BE32-E72D297353CC}">
                <c16:uniqueId val="{00000005-1027-45C4-8C4F-CA2686428AEF}"/>
              </c:ext>
            </c:extLst>
          </c:dPt>
          <c:dPt>
            <c:idx val="6"/>
            <c:bubble3D val="0"/>
            <c:extLst>
              <c:ext xmlns:c16="http://schemas.microsoft.com/office/drawing/2014/chart" uri="{C3380CC4-5D6E-409C-BE32-E72D297353CC}">
                <c16:uniqueId val="{00000006-1027-45C4-8C4F-CA2686428AEF}"/>
              </c:ext>
            </c:extLst>
          </c:dPt>
          <c:dPt>
            <c:idx val="7"/>
            <c:bubble3D val="0"/>
            <c:extLst>
              <c:ext xmlns:c16="http://schemas.microsoft.com/office/drawing/2014/chart" uri="{C3380CC4-5D6E-409C-BE32-E72D297353CC}">
                <c16:uniqueId val="{00000007-1027-45C4-8C4F-CA2686428AEF}"/>
              </c:ext>
            </c:extLst>
          </c:dPt>
          <c:dPt>
            <c:idx val="8"/>
            <c:bubble3D val="0"/>
            <c:extLst>
              <c:ext xmlns:c16="http://schemas.microsoft.com/office/drawing/2014/chart" uri="{C3380CC4-5D6E-409C-BE32-E72D297353CC}">
                <c16:uniqueId val="{00000008-1027-45C4-8C4F-CA2686428AEF}"/>
              </c:ext>
            </c:extLst>
          </c:dPt>
          <c:dLbls>
            <c:dLbl>
              <c:idx val="8"/>
              <c:layout>
                <c:manualLayout>
                  <c:x val="0.15648724730019434"/>
                  <c:y val="2.426288804906970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27-45C4-8C4F-CA2686428AEF}"/>
                </c:ext>
              </c:extLst>
            </c:dLbl>
            <c:spPr>
              <a:noFill/>
              <a:ln>
                <a:noFill/>
              </a:ln>
              <a:effectLst/>
            </c:spPr>
            <c:txPr>
              <a:bodyPr wrap="square" lIns="38100" tIns="19050" rIns="38100" bIns="19050" anchor="ctr">
                <a:spAutoFit/>
              </a:bodyPr>
              <a:lstStyle/>
              <a:p>
                <a:pPr>
                  <a:defRPr sz="1200" b="1"/>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Summary!$BB$38:$BB$46</c:f>
              <c:strCache>
                <c:ptCount val="9"/>
                <c:pt idx="0">
                  <c:v>Electric Power</c:v>
                </c:pt>
                <c:pt idx="1">
                  <c:v>Transportation</c:v>
                </c:pt>
                <c:pt idx="2">
                  <c:v>Commercial &amp; Industrial Heating and Cooling</c:v>
                </c:pt>
                <c:pt idx="3">
                  <c:v>Residential Heating and Cooling</c:v>
                </c:pt>
                <c:pt idx="4">
                  <c:v>Industrial Processes</c:v>
                </c:pt>
                <c:pt idx="5">
                  <c:v>Natural Gas Distribution and Service</c:v>
                </c:pt>
                <c:pt idx="6">
                  <c:v>Natural Gas Transmission and Storage</c:v>
                </c:pt>
                <c:pt idx="7">
                  <c:v>Agriculture &amp; Land Use</c:v>
                </c:pt>
                <c:pt idx="8">
                  <c:v>Waste</c:v>
                </c:pt>
              </c:strCache>
            </c:strRef>
          </c:cat>
          <c:val>
            <c:numRef>
              <c:f>Summary!$BD$38:$BD$46</c:f>
              <c:numCache>
                <c:formatCode>0.0%</c:formatCode>
                <c:ptCount val="9"/>
                <c:pt idx="0">
                  <c:v>0.18626626949331027</c:v>
                </c:pt>
                <c:pt idx="1">
                  <c:v>0.38196588818458099</c:v>
                </c:pt>
                <c:pt idx="2">
                  <c:v>0.16035976560129625</c:v>
                </c:pt>
                <c:pt idx="3">
                  <c:v>0.1877583564512498</c:v>
                </c:pt>
                <c:pt idx="4">
                  <c:v>6.1191698321238386E-2</c:v>
                </c:pt>
                <c:pt idx="5">
                  <c:v>9.3480083554936429E-3</c:v>
                </c:pt>
                <c:pt idx="6">
                  <c:v>1.3234845477444496E-3</c:v>
                </c:pt>
                <c:pt idx="7">
                  <c:v>2.88760561818083E-3</c:v>
                </c:pt>
                <c:pt idx="8">
                  <c:v>8.8989234269053995E-3</c:v>
                </c:pt>
              </c:numCache>
            </c:numRef>
          </c:val>
          <c:extLst>
            <c:ext xmlns:c16="http://schemas.microsoft.com/office/drawing/2014/chart" uri="{C3380CC4-5D6E-409C-BE32-E72D297353CC}">
              <c16:uniqueId val="{00000009-1027-45C4-8C4F-CA2686428AEF}"/>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68048786840576225"/>
          <c:y val="1.3019074956767534E-2"/>
          <c:w val="0.31556807054747293"/>
          <c:h val="0.98698092504323232"/>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 of 1990 93.0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 GHG Emissions by Sector</a:t>
            </a:r>
          </a:p>
        </c:rich>
      </c:tx>
      <c:layout>
        <c:manualLayout>
          <c:xMode val="edge"/>
          <c:yMode val="edge"/>
          <c:x val="3.3736014786231193E-2"/>
          <c:y val="2.1447736860190525E-2"/>
        </c:manualLayout>
      </c:layout>
      <c:overlay val="0"/>
    </c:title>
    <c:autoTitleDeleted val="0"/>
    <c:plotArea>
      <c:layout/>
      <c:pieChart>
        <c:varyColors val="1"/>
        <c:ser>
          <c:idx val="0"/>
          <c:order val="0"/>
          <c:tx>
            <c:strRef>
              <c:f>Summary!$BD$52</c:f>
              <c:strCache>
                <c:ptCount val="1"/>
                <c:pt idx="0">
                  <c:v>% of Total GHG Emissions by Sector (1990)</c:v>
                </c:pt>
              </c:strCache>
            </c:strRef>
          </c:tx>
          <c:dPt>
            <c:idx val="0"/>
            <c:bubble3D val="0"/>
            <c:extLst>
              <c:ext xmlns:c16="http://schemas.microsoft.com/office/drawing/2014/chart" uri="{C3380CC4-5D6E-409C-BE32-E72D297353CC}">
                <c16:uniqueId val="{00000000-0AA5-45B5-89F4-76A6409B7767}"/>
              </c:ext>
            </c:extLst>
          </c:dPt>
          <c:dPt>
            <c:idx val="1"/>
            <c:bubble3D val="0"/>
            <c:extLst>
              <c:ext xmlns:c16="http://schemas.microsoft.com/office/drawing/2014/chart" uri="{C3380CC4-5D6E-409C-BE32-E72D297353CC}">
                <c16:uniqueId val="{00000001-0AA5-45B5-89F4-76A6409B7767}"/>
              </c:ext>
            </c:extLst>
          </c:dPt>
          <c:dPt>
            <c:idx val="2"/>
            <c:bubble3D val="0"/>
            <c:extLst>
              <c:ext xmlns:c16="http://schemas.microsoft.com/office/drawing/2014/chart" uri="{C3380CC4-5D6E-409C-BE32-E72D297353CC}">
                <c16:uniqueId val="{00000002-0AA5-45B5-89F4-76A6409B7767}"/>
              </c:ext>
            </c:extLst>
          </c:dPt>
          <c:dPt>
            <c:idx val="3"/>
            <c:bubble3D val="0"/>
            <c:extLst>
              <c:ext xmlns:c16="http://schemas.microsoft.com/office/drawing/2014/chart" uri="{C3380CC4-5D6E-409C-BE32-E72D297353CC}">
                <c16:uniqueId val="{00000003-0AA5-45B5-89F4-76A6409B7767}"/>
              </c:ext>
            </c:extLst>
          </c:dPt>
          <c:dPt>
            <c:idx val="4"/>
            <c:bubble3D val="0"/>
            <c:extLst>
              <c:ext xmlns:c16="http://schemas.microsoft.com/office/drawing/2014/chart" uri="{C3380CC4-5D6E-409C-BE32-E72D297353CC}">
                <c16:uniqueId val="{00000004-0AA5-45B5-89F4-76A6409B7767}"/>
              </c:ext>
            </c:extLst>
          </c:dPt>
          <c:dPt>
            <c:idx val="5"/>
            <c:bubble3D val="0"/>
            <c:extLst>
              <c:ext xmlns:c16="http://schemas.microsoft.com/office/drawing/2014/chart" uri="{C3380CC4-5D6E-409C-BE32-E72D297353CC}">
                <c16:uniqueId val="{00000005-0AA5-45B5-89F4-76A6409B7767}"/>
              </c:ext>
            </c:extLst>
          </c:dPt>
          <c:dPt>
            <c:idx val="6"/>
            <c:bubble3D val="0"/>
            <c:extLst>
              <c:ext xmlns:c16="http://schemas.microsoft.com/office/drawing/2014/chart" uri="{C3380CC4-5D6E-409C-BE32-E72D297353CC}">
                <c16:uniqueId val="{00000006-0AA5-45B5-89F4-76A6409B7767}"/>
              </c:ext>
            </c:extLst>
          </c:dPt>
          <c:dPt>
            <c:idx val="7"/>
            <c:bubble3D val="0"/>
            <c:extLst>
              <c:ext xmlns:c16="http://schemas.microsoft.com/office/drawing/2014/chart" uri="{C3380CC4-5D6E-409C-BE32-E72D297353CC}">
                <c16:uniqueId val="{00000007-0AA5-45B5-89F4-76A6409B7767}"/>
              </c:ext>
            </c:extLst>
          </c:dPt>
          <c:dPt>
            <c:idx val="8"/>
            <c:bubble3D val="0"/>
            <c:extLst>
              <c:ext xmlns:c16="http://schemas.microsoft.com/office/drawing/2014/chart" uri="{C3380CC4-5D6E-409C-BE32-E72D297353CC}">
                <c16:uniqueId val="{00000008-0AA5-45B5-89F4-76A6409B7767}"/>
              </c:ext>
            </c:extLst>
          </c:dPt>
          <c:dLbls>
            <c:dLbl>
              <c:idx val="8"/>
              <c:layout>
                <c:manualLayout>
                  <c:x val="0.14194411187560549"/>
                  <c:y val="3.944262245530249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A5-45B5-89F4-76A6409B7767}"/>
                </c:ext>
              </c:extLst>
            </c:dLbl>
            <c:spPr>
              <a:noFill/>
              <a:ln>
                <a:noFill/>
              </a:ln>
              <a:effectLst/>
            </c:spPr>
            <c:txPr>
              <a:bodyPr wrap="square" lIns="38100" tIns="19050" rIns="38100" bIns="19050" anchor="ctr">
                <a:spAutoFit/>
              </a:bodyPr>
              <a:lstStyle/>
              <a:p>
                <a:pPr>
                  <a:defRPr sz="1200" b="1"/>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Summary!$BB$56:$BB$64</c:f>
              <c:strCache>
                <c:ptCount val="9"/>
                <c:pt idx="0">
                  <c:v>Electric Power</c:v>
                </c:pt>
                <c:pt idx="1">
                  <c:v>Transportation</c:v>
                </c:pt>
                <c:pt idx="2">
                  <c:v>Commercial &amp; Industrial Heating and Cooling</c:v>
                </c:pt>
                <c:pt idx="3">
                  <c:v>Residential Heating and Cooling</c:v>
                </c:pt>
                <c:pt idx="4">
                  <c:v>Industrial Processes</c:v>
                </c:pt>
                <c:pt idx="5">
                  <c:v>Natural Gas Distribution and Service</c:v>
                </c:pt>
                <c:pt idx="6">
                  <c:v>Natural Gas Transmission and Storage</c:v>
                </c:pt>
                <c:pt idx="7">
                  <c:v>Agriculture &amp; Land Use</c:v>
                </c:pt>
                <c:pt idx="8">
                  <c:v>Waste</c:v>
                </c:pt>
              </c:strCache>
            </c:strRef>
          </c:cat>
          <c:val>
            <c:numRef>
              <c:f>Summary!$BD$56:$BD$64</c:f>
              <c:numCache>
                <c:formatCode>0.0%</c:formatCode>
                <c:ptCount val="9"/>
                <c:pt idx="0">
                  <c:v>0.3028053634143586</c:v>
                </c:pt>
                <c:pt idx="1">
                  <c:v>0.3180659756227997</c:v>
                </c:pt>
                <c:pt idx="2">
                  <c:v>0.15112491297187566</c:v>
                </c:pt>
                <c:pt idx="3">
                  <c:v>0.16465394702027372</c:v>
                </c:pt>
                <c:pt idx="4">
                  <c:v>7.0560890198005802E-3</c:v>
                </c:pt>
                <c:pt idx="5">
                  <c:v>1.8258330506836402E-2</c:v>
                </c:pt>
                <c:pt idx="6">
                  <c:v>1.8240725740934153E-3</c:v>
                </c:pt>
                <c:pt idx="7">
                  <c:v>4.7965214329284706E-3</c:v>
                </c:pt>
                <c:pt idx="8">
                  <c:v>3.1414787437033603E-2</c:v>
                </c:pt>
              </c:numCache>
            </c:numRef>
          </c:val>
          <c:extLst>
            <c:ext xmlns:c16="http://schemas.microsoft.com/office/drawing/2014/chart" uri="{C3380CC4-5D6E-409C-BE32-E72D297353CC}">
              <c16:uniqueId val="{00000009-0AA5-45B5-89F4-76A6409B7767}"/>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6.1735910650324181E-2"/>
          <c:w val="0.31556807054747293"/>
          <c:h val="0.90056312058881316"/>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All GHGs</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(MMTCO</a:t>
            </a:r>
            <a:r>
              <a:rPr lang="en-US" sz="1400" b="1" i="0" u="none" strike="noStrike" baseline="-25000">
                <a:solidFill>
                  <a:srgbClr val="000000"/>
                </a:solidFill>
                <a:latin typeface="Calibri"/>
              </a:rPr>
              <a:t>2</a:t>
            </a:r>
            <a:r>
              <a:rPr lang="en-US" sz="1400" b="1" i="0" u="none" strike="noStrike" baseline="0">
                <a:solidFill>
                  <a:srgbClr val="000000"/>
                </a:solidFill>
                <a:latin typeface="Calibri"/>
              </a:rPr>
              <a:t>e</a:t>
            </a:r>
            <a:r>
              <a:rPr lang="en-US" sz="1200" b="0" i="0" u="none" strike="noStrike" baseline="0">
                <a:solidFill>
                  <a:srgbClr val="000000"/>
                </a:solidFill>
                <a:latin typeface="Calibri"/>
              </a:rPr>
              <a:t>)</a:t>
            </a:r>
          </a:p>
        </c:rich>
      </c:tx>
      <c:layout>
        <c:manualLayout>
          <c:xMode val="edge"/>
          <c:yMode val="edge"/>
          <c:x val="0.78946121892243781"/>
          <c:y val="2.589564124997196E-2"/>
        </c:manualLayout>
      </c:layout>
      <c:overlay val="0"/>
    </c:title>
    <c:autoTitleDeleted val="0"/>
    <c:plotArea>
      <c:layout>
        <c:manualLayout>
          <c:layoutTarget val="inner"/>
          <c:xMode val="edge"/>
          <c:yMode val="edge"/>
          <c:x val="7.7823229736222452E-2"/>
          <c:y val="3.3117135525844506E-2"/>
          <c:w val="0.71623163246326482"/>
          <c:h val="0.86807118908794123"/>
        </c:manualLayout>
      </c:layout>
      <c:lineChart>
        <c:grouping val="standard"/>
        <c:varyColors val="0"/>
        <c:ser>
          <c:idx val="0"/>
          <c:order val="0"/>
          <c:tx>
            <c:strRef>
              <c:f>'Summary by Gas'!$C$43</c:f>
              <c:strCache>
                <c:ptCount val="1"/>
                <c:pt idx="0">
                  <c:v>CO2 </c:v>
                </c:pt>
              </c:strCache>
            </c:strRef>
          </c:tx>
          <c:spPr>
            <a:ln>
              <a:solidFill>
                <a:schemeClr val="tx2">
                  <a:lumMod val="75000"/>
                </a:schemeClr>
              </a:solidFill>
            </a:ln>
          </c:spPr>
          <c:marker>
            <c:spPr>
              <a:solidFill>
                <a:schemeClr val="tx2">
                  <a:lumMod val="75000"/>
                </a:schemeClr>
              </a:solidFill>
              <a:ln>
                <a:solidFill>
                  <a:srgbClr val="1F497D">
                    <a:lumMod val="75000"/>
                  </a:srgbClr>
                </a:solidFill>
              </a:ln>
            </c:spPr>
          </c:marker>
          <c:cat>
            <c:strRef>
              <c:f>'Summary by Gas'!$D$33:$AU$33</c:f>
              <c:strCache>
                <c:ptCount val="3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6">
                  <c:v>2021</c:v>
                </c:pt>
                <c:pt idx="37">
                  <c:v>2021 GHG Emissions in MA</c:v>
                </c:pt>
              </c:strCache>
            </c:strRef>
          </c:cat>
          <c:val>
            <c:numRef>
              <c:f>'Summary by Gas'!$D$43:$AI$43</c:f>
              <c:numCache>
                <c:formatCode>0.0</c:formatCode>
                <c:ptCount val="32"/>
                <c:pt idx="0">
                  <c:v>83.895847239273991</c:v>
                </c:pt>
                <c:pt idx="1">
                  <c:v>82.232474302760636</c:v>
                </c:pt>
                <c:pt idx="2">
                  <c:v>83.863532688370654</c:v>
                </c:pt>
                <c:pt idx="3">
                  <c:v>81.132198684691915</c:v>
                </c:pt>
                <c:pt idx="4">
                  <c:v>81.558014061956371</c:v>
                </c:pt>
                <c:pt idx="5">
                  <c:v>79.1386144958107</c:v>
                </c:pt>
                <c:pt idx="6">
                  <c:v>79.415168917866922</c:v>
                </c:pt>
                <c:pt idx="7">
                  <c:v>85.3747346945717</c:v>
                </c:pt>
                <c:pt idx="8">
                  <c:v>83.431043289475852</c:v>
                </c:pt>
                <c:pt idx="9">
                  <c:v>81.053843054956275</c:v>
                </c:pt>
                <c:pt idx="10">
                  <c:v>82.669759411832828</c:v>
                </c:pt>
                <c:pt idx="11">
                  <c:v>82.559100552364328</c:v>
                </c:pt>
                <c:pt idx="12">
                  <c:v>83.728504499354244</c:v>
                </c:pt>
                <c:pt idx="13">
                  <c:v>85.897544828487256</c:v>
                </c:pt>
                <c:pt idx="14">
                  <c:v>83.897375457031515</c:v>
                </c:pt>
                <c:pt idx="15">
                  <c:v>85.123775670628334</c:v>
                </c:pt>
                <c:pt idx="16">
                  <c:v>77.531823404685895</c:v>
                </c:pt>
                <c:pt idx="17">
                  <c:v>80.777660106793547</c:v>
                </c:pt>
                <c:pt idx="18">
                  <c:v>77.317256331301522</c:v>
                </c:pt>
                <c:pt idx="19">
                  <c:v>71.746397345180185</c:v>
                </c:pt>
                <c:pt idx="20">
                  <c:v>74.058218643622567</c:v>
                </c:pt>
                <c:pt idx="21">
                  <c:v>68.52975079615689</c:v>
                </c:pt>
                <c:pt idx="22">
                  <c:v>62.286280582803393</c:v>
                </c:pt>
                <c:pt idx="23">
                  <c:v>66.353334243710052</c:v>
                </c:pt>
                <c:pt idx="24">
                  <c:v>64.306225172329647</c:v>
                </c:pt>
                <c:pt idx="25">
                  <c:v>65.663343349149727</c:v>
                </c:pt>
                <c:pt idx="26">
                  <c:v>62.39661259389564</c:v>
                </c:pt>
                <c:pt idx="27">
                  <c:v>62.766065026942329</c:v>
                </c:pt>
                <c:pt idx="28">
                  <c:v>62.41508481416772</c:v>
                </c:pt>
                <c:pt idx="29">
                  <c:v>61.206244600069454</c:v>
                </c:pt>
                <c:pt idx="30">
                  <c:v>52.168713108994488</c:v>
                </c:pt>
                <c:pt idx="31">
                  <c:v>55.952979029143179</c:v>
                </c:pt>
              </c:numCache>
            </c:numRef>
          </c:val>
          <c:smooth val="0"/>
          <c:extLst>
            <c:ext xmlns:c16="http://schemas.microsoft.com/office/drawing/2014/chart" uri="{C3380CC4-5D6E-409C-BE32-E72D297353CC}">
              <c16:uniqueId val="{00000000-3F6C-4629-B2AD-B18E4574F633}"/>
            </c:ext>
          </c:extLst>
        </c:ser>
        <c:ser>
          <c:idx val="1"/>
          <c:order val="1"/>
          <c:tx>
            <c:strRef>
              <c:f>'Summary by Gas'!$C$54</c:f>
              <c:strCache>
                <c:ptCount val="1"/>
                <c:pt idx="0">
                  <c:v>CH4</c:v>
                </c:pt>
              </c:strCache>
            </c:strRef>
          </c:tx>
          <c:spPr>
            <a:ln>
              <a:solidFill>
                <a:schemeClr val="bg2">
                  <a:lumMod val="25000"/>
                </a:schemeClr>
              </a:solidFill>
            </a:ln>
          </c:spPr>
          <c:marker>
            <c:spPr>
              <a:solidFill>
                <a:schemeClr val="bg2">
                  <a:lumMod val="25000"/>
                </a:schemeClr>
              </a:solidFill>
              <a:ln>
                <a:solidFill>
                  <a:schemeClr val="bg2">
                    <a:lumMod val="25000"/>
                  </a:schemeClr>
                </a:solidFill>
              </a:ln>
            </c:spPr>
          </c:marker>
          <c:cat>
            <c:strRef>
              <c:f>'Summary by Gas'!$D$33:$AU$33</c:f>
              <c:strCache>
                <c:ptCount val="3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6">
                  <c:v>2021</c:v>
                </c:pt>
                <c:pt idx="37">
                  <c:v>2021 GHG Emissions in MA</c:v>
                </c:pt>
              </c:strCache>
            </c:strRef>
          </c:cat>
          <c:val>
            <c:numRef>
              <c:f>'Summary by Gas'!$D$54:$AI$54</c:f>
              <c:numCache>
                <c:formatCode>0.0</c:formatCode>
                <c:ptCount val="32"/>
                <c:pt idx="0">
                  <c:v>5.1774503553999587</c:v>
                </c:pt>
                <c:pt idx="1">
                  <c:v>5.2339724343504228</c:v>
                </c:pt>
                <c:pt idx="2">
                  <c:v>5.1280105008198573</c:v>
                </c:pt>
                <c:pt idx="3">
                  <c:v>4.9276742620927489</c:v>
                </c:pt>
                <c:pt idx="4">
                  <c:v>4.8405621939278278</c:v>
                </c:pt>
                <c:pt idx="5">
                  <c:v>4.8061675591934252</c:v>
                </c:pt>
                <c:pt idx="6">
                  <c:v>4.3541830775083081</c:v>
                </c:pt>
                <c:pt idx="7">
                  <c:v>3.7918582415991469</c:v>
                </c:pt>
                <c:pt idx="8">
                  <c:v>3.6211719760523264</c:v>
                </c:pt>
                <c:pt idx="9">
                  <c:v>3.5526708693466151</c:v>
                </c:pt>
                <c:pt idx="10">
                  <c:v>2.9199064091848217</c:v>
                </c:pt>
                <c:pt idx="11">
                  <c:v>2.4588556550142471</c:v>
                </c:pt>
                <c:pt idx="12">
                  <c:v>2.8014758726098097</c:v>
                </c:pt>
                <c:pt idx="13">
                  <c:v>3.2350255342743668</c:v>
                </c:pt>
                <c:pt idx="14">
                  <c:v>2.9621898070909176</c:v>
                </c:pt>
                <c:pt idx="15">
                  <c:v>2.7959826101623313</c:v>
                </c:pt>
                <c:pt idx="16">
                  <c:v>2.6172961880610943</c:v>
                </c:pt>
                <c:pt idx="17">
                  <c:v>2.4808648279017609</c:v>
                </c:pt>
                <c:pt idx="18">
                  <c:v>2.4730422196810662</c:v>
                </c:pt>
                <c:pt idx="19">
                  <c:v>2.4960327715151296</c:v>
                </c:pt>
                <c:pt idx="20">
                  <c:v>2.0515745961197771</c:v>
                </c:pt>
                <c:pt idx="21">
                  <c:v>1.9013244708958128</c:v>
                </c:pt>
                <c:pt idx="22">
                  <c:v>1.9203799639968526</c:v>
                </c:pt>
                <c:pt idx="23">
                  <c:v>1.8322196779423892</c:v>
                </c:pt>
                <c:pt idx="24">
                  <c:v>1.7512340426633828</c:v>
                </c:pt>
                <c:pt idx="25">
                  <c:v>1.7736878564632832</c:v>
                </c:pt>
                <c:pt idx="26">
                  <c:v>1.6935882296123266</c:v>
                </c:pt>
                <c:pt idx="27">
                  <c:v>1.6458191015579251</c:v>
                </c:pt>
                <c:pt idx="28">
                  <c:v>1.62483565627236</c:v>
                </c:pt>
                <c:pt idx="29">
                  <c:v>1.6371027260696185</c:v>
                </c:pt>
                <c:pt idx="30">
                  <c:v>1.5847636756460195</c:v>
                </c:pt>
                <c:pt idx="31">
                  <c:v>1.4809994395208321</c:v>
                </c:pt>
              </c:numCache>
            </c:numRef>
          </c:val>
          <c:smooth val="0"/>
          <c:extLst>
            <c:ext xmlns:c16="http://schemas.microsoft.com/office/drawing/2014/chart" uri="{C3380CC4-5D6E-409C-BE32-E72D297353CC}">
              <c16:uniqueId val="{00000001-3F6C-4629-B2AD-B18E4574F633}"/>
            </c:ext>
          </c:extLst>
        </c:ser>
        <c:ser>
          <c:idx val="2"/>
          <c:order val="2"/>
          <c:tx>
            <c:strRef>
              <c:f>'Summary by Gas'!$C$64</c:f>
              <c:strCache>
                <c:ptCount val="1"/>
                <c:pt idx="0">
                  <c:v>N2O</c:v>
                </c:pt>
              </c:strCache>
            </c:strRef>
          </c:tx>
          <c:spPr>
            <a:ln>
              <a:solidFill>
                <a:srgbClr val="C00000"/>
              </a:solidFill>
            </a:ln>
          </c:spPr>
          <c:marker>
            <c:spPr>
              <a:solidFill>
                <a:srgbClr val="C00000"/>
              </a:solidFill>
              <a:ln>
                <a:solidFill>
                  <a:srgbClr val="C00000"/>
                </a:solidFill>
              </a:ln>
            </c:spPr>
          </c:marker>
          <c:cat>
            <c:strRef>
              <c:f>'Summary by Gas'!$D$33:$AU$33</c:f>
              <c:strCache>
                <c:ptCount val="3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6">
                  <c:v>2021</c:v>
                </c:pt>
                <c:pt idx="37">
                  <c:v>2021 GHG Emissions in MA</c:v>
                </c:pt>
              </c:strCache>
            </c:strRef>
          </c:cat>
          <c:val>
            <c:numRef>
              <c:f>'Summary by Gas'!$D$64:$AI$64</c:f>
              <c:numCache>
                <c:formatCode>0.0</c:formatCode>
                <c:ptCount val="32"/>
                <c:pt idx="0">
                  <c:v>1.5644862123341978</c:v>
                </c:pt>
                <c:pt idx="1">
                  <c:v>1.4955950377476575</c:v>
                </c:pt>
                <c:pt idx="2">
                  <c:v>1.5363736772498184</c:v>
                </c:pt>
                <c:pt idx="3">
                  <c:v>1.5247699277065485</c:v>
                </c:pt>
                <c:pt idx="4">
                  <c:v>1.5489080279666019</c:v>
                </c:pt>
                <c:pt idx="5">
                  <c:v>1.5752718328242239</c:v>
                </c:pt>
                <c:pt idx="6">
                  <c:v>1.6282792394003203</c:v>
                </c:pt>
                <c:pt idx="7">
                  <c:v>1.6305569989046631</c:v>
                </c:pt>
                <c:pt idx="8">
                  <c:v>1.6092539001338109</c:v>
                </c:pt>
                <c:pt idx="9">
                  <c:v>1.5359658239359852</c:v>
                </c:pt>
                <c:pt idx="10">
                  <c:v>1.5303971434768702</c:v>
                </c:pt>
                <c:pt idx="11">
                  <c:v>1.4891342311217226</c:v>
                </c:pt>
                <c:pt idx="12">
                  <c:v>1.4179822796250086</c:v>
                </c:pt>
                <c:pt idx="13">
                  <c:v>1.3824227860898006</c:v>
                </c:pt>
                <c:pt idx="14">
                  <c:v>1.3265611935304362</c:v>
                </c:pt>
                <c:pt idx="15">
                  <c:v>1.2951920909083758</c:v>
                </c:pt>
                <c:pt idx="16">
                  <c:v>1.2654737935973426</c:v>
                </c:pt>
                <c:pt idx="17">
                  <c:v>1.1791183531603564</c:v>
                </c:pt>
                <c:pt idx="18">
                  <c:v>1.1159102306424495</c:v>
                </c:pt>
                <c:pt idx="19">
                  <c:v>1.0234112065793413</c:v>
                </c:pt>
                <c:pt idx="20">
                  <c:v>0.96138646279248885</c:v>
                </c:pt>
                <c:pt idx="21">
                  <c:v>0.94585100439595449</c:v>
                </c:pt>
                <c:pt idx="22">
                  <c:v>0.86746466753329721</c:v>
                </c:pt>
                <c:pt idx="23">
                  <c:v>0.87516244487956296</c:v>
                </c:pt>
                <c:pt idx="24">
                  <c:v>0.83739253618565124</c:v>
                </c:pt>
                <c:pt idx="25">
                  <c:v>0.75767177501043714</c:v>
                </c:pt>
                <c:pt idx="26">
                  <c:v>0.68560557556766533</c:v>
                </c:pt>
                <c:pt idx="27">
                  <c:v>0.64405659400762283</c:v>
                </c:pt>
                <c:pt idx="28">
                  <c:v>0.6183643533436074</c:v>
                </c:pt>
                <c:pt idx="29">
                  <c:v>0.64705229771492412</c:v>
                </c:pt>
                <c:pt idx="30">
                  <c:v>0.56600131211479165</c:v>
                </c:pt>
                <c:pt idx="31">
                  <c:v>0.54456775549342451</c:v>
                </c:pt>
              </c:numCache>
            </c:numRef>
          </c:val>
          <c:smooth val="0"/>
          <c:extLst>
            <c:ext xmlns:c16="http://schemas.microsoft.com/office/drawing/2014/chart" uri="{C3380CC4-5D6E-409C-BE32-E72D297353CC}">
              <c16:uniqueId val="{00000002-3F6C-4629-B2AD-B18E4574F633}"/>
            </c:ext>
          </c:extLst>
        </c:ser>
        <c:ser>
          <c:idx val="4"/>
          <c:order val="3"/>
          <c:tx>
            <c:strRef>
              <c:f>'Summary by Gas'!$C$68</c:f>
              <c:strCache>
                <c:ptCount val="1"/>
                <c:pt idx="0">
                  <c:v>SF6 &amp; Other GHG Gases</c:v>
                </c:pt>
              </c:strCache>
            </c:strRef>
          </c:tx>
          <c:spPr>
            <a:ln>
              <a:solidFill>
                <a:schemeClr val="accent4">
                  <a:lumMod val="75000"/>
                </a:schemeClr>
              </a:solidFill>
            </a:ln>
          </c:spPr>
          <c:marker>
            <c:spPr>
              <a:solidFill>
                <a:schemeClr val="accent4">
                  <a:lumMod val="75000"/>
                </a:schemeClr>
              </a:solidFill>
              <a:ln>
                <a:solidFill>
                  <a:srgbClr val="8064A2">
                    <a:lumMod val="75000"/>
                  </a:srgbClr>
                </a:solidFill>
              </a:ln>
            </c:spPr>
          </c:marker>
          <c:cat>
            <c:strRef>
              <c:f>'Summary by Gas'!$D$33:$AU$33</c:f>
              <c:strCache>
                <c:ptCount val="38"/>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6">
                  <c:v>2021</c:v>
                </c:pt>
                <c:pt idx="37">
                  <c:v>2021 GHG Emissions in MA</c:v>
                </c:pt>
              </c:strCache>
            </c:strRef>
          </c:cat>
          <c:val>
            <c:numRef>
              <c:f>'Summary by Gas'!$D$68:$AI$68</c:f>
              <c:numCache>
                <c:formatCode>0.0</c:formatCode>
                <c:ptCount val="32"/>
                <c:pt idx="0">
                  <c:v>0.48138328615922965</c:v>
                </c:pt>
                <c:pt idx="1">
                  <c:v>0.46529148834258227</c:v>
                </c:pt>
                <c:pt idx="2">
                  <c:v>0.48652128246690873</c:v>
                </c:pt>
                <c:pt idx="3">
                  <c:v>0.55976312398357897</c:v>
                </c:pt>
                <c:pt idx="4">
                  <c:v>0.69991080705756736</c:v>
                </c:pt>
                <c:pt idx="5">
                  <c:v>1.0096285768811575</c:v>
                </c:pt>
                <c:pt idx="6">
                  <c:v>1.2270874909229028</c:v>
                </c:pt>
                <c:pt idx="7">
                  <c:v>1.430746486275341</c:v>
                </c:pt>
                <c:pt idx="8">
                  <c:v>1.6444085872431364</c:v>
                </c:pt>
                <c:pt idx="9">
                  <c:v>1.8818905739800844</c:v>
                </c:pt>
                <c:pt idx="10">
                  <c:v>2.0225838871160193</c:v>
                </c:pt>
                <c:pt idx="11">
                  <c:v>2.101178751343558</c:v>
                </c:pt>
                <c:pt idx="12">
                  <c:v>2.2472329580084796</c:v>
                </c:pt>
                <c:pt idx="13">
                  <c:v>2.2728014810555566</c:v>
                </c:pt>
                <c:pt idx="14">
                  <c:v>2.2814287160123681</c:v>
                </c:pt>
                <c:pt idx="15">
                  <c:v>2.3114360742542002</c:v>
                </c:pt>
                <c:pt idx="16">
                  <c:v>2.4025151103988636</c:v>
                </c:pt>
                <c:pt idx="17">
                  <c:v>2.4884749500308887</c:v>
                </c:pt>
                <c:pt idx="18">
                  <c:v>2.6600021936905893</c:v>
                </c:pt>
                <c:pt idx="19">
                  <c:v>2.7127203035823739</c:v>
                </c:pt>
                <c:pt idx="20">
                  <c:v>2.5801942468803643</c:v>
                </c:pt>
                <c:pt idx="21">
                  <c:v>2.8121403761619899</c:v>
                </c:pt>
                <c:pt idx="22">
                  <c:v>3.0455043545793794</c:v>
                </c:pt>
                <c:pt idx="23">
                  <c:v>3.4622474424496583</c:v>
                </c:pt>
                <c:pt idx="24">
                  <c:v>3.8679355522063457</c:v>
                </c:pt>
                <c:pt idx="25">
                  <c:v>3.7271996809326224</c:v>
                </c:pt>
                <c:pt idx="26">
                  <c:v>3.7544585266230239</c:v>
                </c:pt>
                <c:pt idx="27">
                  <c:v>3.263749667026314</c:v>
                </c:pt>
                <c:pt idx="28">
                  <c:v>3.6254868312521999</c:v>
                </c:pt>
                <c:pt idx="29">
                  <c:v>3.4776280502116483</c:v>
                </c:pt>
                <c:pt idx="30">
                  <c:v>3.7840702413895992</c:v>
                </c:pt>
                <c:pt idx="31">
                  <c:v>3.949011002114271</c:v>
                </c:pt>
              </c:numCache>
            </c:numRef>
          </c:val>
          <c:smooth val="0"/>
          <c:extLst>
            <c:ext xmlns:c16="http://schemas.microsoft.com/office/drawing/2014/chart" uri="{C3380CC4-5D6E-409C-BE32-E72D297353CC}">
              <c16:uniqueId val="{00000003-3F6C-4629-B2AD-B18E4574F633}"/>
            </c:ext>
          </c:extLst>
        </c:ser>
        <c:dLbls>
          <c:showLegendKey val="0"/>
          <c:showVal val="0"/>
          <c:showCatName val="0"/>
          <c:showSerName val="0"/>
          <c:showPercent val="0"/>
          <c:showBubbleSize val="0"/>
        </c:dLbls>
        <c:marker val="1"/>
        <c:smooth val="0"/>
        <c:axId val="47875968"/>
        <c:axId val="47890432"/>
      </c:lineChart>
      <c:catAx>
        <c:axId val="4787596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7890432"/>
        <c:crosses val="autoZero"/>
        <c:auto val="1"/>
        <c:lblAlgn val="ctr"/>
        <c:lblOffset val="100"/>
        <c:noMultiLvlLbl val="0"/>
      </c:catAx>
      <c:valAx>
        <c:axId val="47890432"/>
        <c:scaling>
          <c:orientation val="minMax"/>
          <c:max val="9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875968"/>
        <c:crosses val="autoZero"/>
        <c:crossBetween val="between"/>
      </c:valAx>
    </c:plotArea>
    <c:legend>
      <c:legendPos val="r"/>
      <c:layout>
        <c:manualLayout>
          <c:xMode val="edge"/>
          <c:yMode val="edge"/>
          <c:x val="0.80173373013412685"/>
          <c:y val="0.18494088879915652"/>
          <c:w val="0.19548680430694199"/>
          <c:h val="0.78788478363281511"/>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 as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overlay val="0"/>
    </c:title>
    <c:autoTitleDeleted val="0"/>
    <c:plotArea>
      <c:layout/>
      <c:lineChart>
        <c:grouping val="standard"/>
        <c:varyColors val="0"/>
        <c:ser>
          <c:idx val="0"/>
          <c:order val="0"/>
          <c:tx>
            <c:strRef>
              <c:f>'Summary by Gas'!$C$54</c:f>
              <c:strCache>
                <c:ptCount val="1"/>
                <c:pt idx="0">
                  <c:v>CH4</c:v>
                </c:pt>
              </c:strCache>
            </c:strRef>
          </c:tx>
          <c:spPr>
            <a:ln>
              <a:solidFill>
                <a:schemeClr val="bg2">
                  <a:lumMod val="25000"/>
                </a:schemeClr>
              </a:solidFill>
            </a:ln>
          </c:spPr>
          <c:marker>
            <c:symbol val="diamond"/>
            <c:size val="7"/>
            <c:spPr>
              <a:solidFill>
                <a:schemeClr val="bg2">
                  <a:lumMod val="25000"/>
                </a:schemeClr>
              </a:solidFill>
              <a:ln>
                <a:solidFill>
                  <a:schemeClr val="bg2">
                    <a:lumMod val="25000"/>
                  </a:schemeClr>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Gas'!$D$54:$AI$54</c:f>
              <c:numCache>
                <c:formatCode>0.0</c:formatCode>
                <c:ptCount val="32"/>
                <c:pt idx="0">
                  <c:v>5.1774503553999587</c:v>
                </c:pt>
                <c:pt idx="1">
                  <c:v>5.2339724343504228</c:v>
                </c:pt>
                <c:pt idx="2">
                  <c:v>5.1280105008198573</c:v>
                </c:pt>
                <c:pt idx="3">
                  <c:v>4.9276742620927489</c:v>
                </c:pt>
                <c:pt idx="4">
                  <c:v>4.8405621939278278</c:v>
                </c:pt>
                <c:pt idx="5">
                  <c:v>4.8061675591934252</c:v>
                </c:pt>
                <c:pt idx="6">
                  <c:v>4.3541830775083081</c:v>
                </c:pt>
                <c:pt idx="7">
                  <c:v>3.7918582415991469</c:v>
                </c:pt>
                <c:pt idx="8">
                  <c:v>3.6211719760523264</c:v>
                </c:pt>
                <c:pt idx="9">
                  <c:v>3.5526708693466151</c:v>
                </c:pt>
                <c:pt idx="10">
                  <c:v>2.9199064091848217</c:v>
                </c:pt>
                <c:pt idx="11">
                  <c:v>2.4588556550142471</c:v>
                </c:pt>
                <c:pt idx="12">
                  <c:v>2.8014758726098097</c:v>
                </c:pt>
                <c:pt idx="13">
                  <c:v>3.2350255342743668</c:v>
                </c:pt>
                <c:pt idx="14">
                  <c:v>2.9621898070909176</c:v>
                </c:pt>
                <c:pt idx="15">
                  <c:v>2.7959826101623313</c:v>
                </c:pt>
                <c:pt idx="16">
                  <c:v>2.6172961880610943</c:v>
                </c:pt>
                <c:pt idx="17">
                  <c:v>2.4808648279017609</c:v>
                </c:pt>
                <c:pt idx="18">
                  <c:v>2.4730422196810662</c:v>
                </c:pt>
                <c:pt idx="19">
                  <c:v>2.4960327715151296</c:v>
                </c:pt>
                <c:pt idx="20">
                  <c:v>2.0515745961197771</c:v>
                </c:pt>
                <c:pt idx="21">
                  <c:v>1.9013244708958128</c:v>
                </c:pt>
                <c:pt idx="22">
                  <c:v>1.9203799639968526</c:v>
                </c:pt>
                <c:pt idx="23">
                  <c:v>1.8322196779423892</c:v>
                </c:pt>
                <c:pt idx="24">
                  <c:v>1.7512340426633828</c:v>
                </c:pt>
                <c:pt idx="25">
                  <c:v>1.7736878564632832</c:v>
                </c:pt>
                <c:pt idx="26">
                  <c:v>1.6935882296123266</c:v>
                </c:pt>
                <c:pt idx="27">
                  <c:v>1.6458191015579251</c:v>
                </c:pt>
                <c:pt idx="28">
                  <c:v>1.62483565627236</c:v>
                </c:pt>
                <c:pt idx="29">
                  <c:v>1.6371027260696185</c:v>
                </c:pt>
                <c:pt idx="30">
                  <c:v>1.5847636756460195</c:v>
                </c:pt>
                <c:pt idx="31">
                  <c:v>1.4809994395208321</c:v>
                </c:pt>
              </c:numCache>
            </c:numRef>
          </c:val>
          <c:smooth val="0"/>
          <c:extLst>
            <c:ext xmlns:c16="http://schemas.microsoft.com/office/drawing/2014/chart" uri="{C3380CC4-5D6E-409C-BE32-E72D297353CC}">
              <c16:uniqueId val="{00000000-D276-4B9C-991D-105041F2BA29}"/>
            </c:ext>
          </c:extLst>
        </c:ser>
        <c:dLbls>
          <c:showLegendKey val="0"/>
          <c:showVal val="0"/>
          <c:showCatName val="0"/>
          <c:showSerName val="0"/>
          <c:showPercent val="0"/>
          <c:showBubbleSize val="0"/>
        </c:dLbls>
        <c:marker val="1"/>
        <c:smooth val="0"/>
        <c:axId val="48058752"/>
        <c:axId val="48060672"/>
      </c:lineChart>
      <c:catAx>
        <c:axId val="48058752"/>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8060672"/>
        <c:crosses val="autoZero"/>
        <c:auto val="1"/>
        <c:lblAlgn val="ctr"/>
        <c:lblOffset val="100"/>
        <c:noMultiLvlLbl val="0"/>
      </c:catAx>
      <c:valAx>
        <c:axId val="48060672"/>
        <c:scaling>
          <c:orientation val="minMax"/>
          <c:max val="6"/>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805875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N</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O as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overlay val="0"/>
    </c:title>
    <c:autoTitleDeleted val="0"/>
    <c:plotArea>
      <c:layout/>
      <c:lineChart>
        <c:grouping val="standard"/>
        <c:varyColors val="0"/>
        <c:ser>
          <c:idx val="0"/>
          <c:order val="0"/>
          <c:tx>
            <c:strRef>
              <c:f>'Summary by Gas'!$C$64</c:f>
              <c:strCache>
                <c:ptCount val="1"/>
                <c:pt idx="0">
                  <c:v>N2O</c:v>
                </c:pt>
              </c:strCache>
            </c:strRef>
          </c:tx>
          <c:spPr>
            <a:ln>
              <a:solidFill>
                <a:srgbClr val="FF0000"/>
              </a:solidFill>
            </a:ln>
          </c:spPr>
          <c:marker>
            <c:symbol val="diamond"/>
            <c:size val="7"/>
            <c:spPr>
              <a:solidFill>
                <a:srgbClr val="FF0000"/>
              </a:solidFill>
              <a:ln>
                <a:solidFill>
                  <a:srgbClr val="FF0000"/>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Gas'!$D$64:$AI$64</c:f>
              <c:numCache>
                <c:formatCode>0.0</c:formatCode>
                <c:ptCount val="32"/>
                <c:pt idx="0">
                  <c:v>1.5644862123341978</c:v>
                </c:pt>
                <c:pt idx="1">
                  <c:v>1.4955950377476575</c:v>
                </c:pt>
                <c:pt idx="2">
                  <c:v>1.5363736772498184</c:v>
                </c:pt>
                <c:pt idx="3">
                  <c:v>1.5247699277065485</c:v>
                </c:pt>
                <c:pt idx="4">
                  <c:v>1.5489080279666019</c:v>
                </c:pt>
                <c:pt idx="5">
                  <c:v>1.5752718328242239</c:v>
                </c:pt>
                <c:pt idx="6">
                  <c:v>1.6282792394003203</c:v>
                </c:pt>
                <c:pt idx="7">
                  <c:v>1.6305569989046631</c:v>
                </c:pt>
                <c:pt idx="8">
                  <c:v>1.6092539001338109</c:v>
                </c:pt>
                <c:pt idx="9">
                  <c:v>1.5359658239359852</c:v>
                </c:pt>
                <c:pt idx="10">
                  <c:v>1.5303971434768702</c:v>
                </c:pt>
                <c:pt idx="11">
                  <c:v>1.4891342311217226</c:v>
                </c:pt>
                <c:pt idx="12">
                  <c:v>1.4179822796250086</c:v>
                </c:pt>
                <c:pt idx="13">
                  <c:v>1.3824227860898006</c:v>
                </c:pt>
                <c:pt idx="14">
                  <c:v>1.3265611935304362</c:v>
                </c:pt>
                <c:pt idx="15">
                  <c:v>1.2951920909083758</c:v>
                </c:pt>
                <c:pt idx="16">
                  <c:v>1.2654737935973426</c:v>
                </c:pt>
                <c:pt idx="17">
                  <c:v>1.1791183531603564</c:v>
                </c:pt>
                <c:pt idx="18">
                  <c:v>1.1159102306424495</c:v>
                </c:pt>
                <c:pt idx="19">
                  <c:v>1.0234112065793413</c:v>
                </c:pt>
                <c:pt idx="20">
                  <c:v>0.96138646279248885</c:v>
                </c:pt>
                <c:pt idx="21">
                  <c:v>0.94585100439595449</c:v>
                </c:pt>
                <c:pt idx="22">
                  <c:v>0.86746466753329721</c:v>
                </c:pt>
                <c:pt idx="23">
                  <c:v>0.87516244487956296</c:v>
                </c:pt>
                <c:pt idx="24">
                  <c:v>0.83739253618565124</c:v>
                </c:pt>
                <c:pt idx="25">
                  <c:v>0.75767177501043714</c:v>
                </c:pt>
                <c:pt idx="26">
                  <c:v>0.68560557556766533</c:v>
                </c:pt>
                <c:pt idx="27">
                  <c:v>0.64405659400762283</c:v>
                </c:pt>
                <c:pt idx="28">
                  <c:v>0.6183643533436074</c:v>
                </c:pt>
                <c:pt idx="29">
                  <c:v>0.64705229771492412</c:v>
                </c:pt>
                <c:pt idx="30">
                  <c:v>0.56600131211479165</c:v>
                </c:pt>
                <c:pt idx="31">
                  <c:v>0.54456775549342451</c:v>
                </c:pt>
              </c:numCache>
            </c:numRef>
          </c:val>
          <c:smooth val="0"/>
          <c:extLst>
            <c:ext xmlns:c16="http://schemas.microsoft.com/office/drawing/2014/chart" uri="{C3380CC4-5D6E-409C-BE32-E72D297353CC}">
              <c16:uniqueId val="{00000000-DA6B-4DC1-83D5-48A7F9EC5243}"/>
            </c:ext>
          </c:extLst>
        </c:ser>
        <c:dLbls>
          <c:showLegendKey val="0"/>
          <c:showVal val="0"/>
          <c:showCatName val="0"/>
          <c:showSerName val="0"/>
          <c:showPercent val="0"/>
          <c:showBubbleSize val="0"/>
        </c:dLbls>
        <c:marker val="1"/>
        <c:smooth val="0"/>
        <c:axId val="48072576"/>
        <c:axId val="49025024"/>
      </c:lineChart>
      <c:catAx>
        <c:axId val="4807257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49025024"/>
        <c:crosses val="autoZero"/>
        <c:auto val="1"/>
        <c:lblAlgn val="ctr"/>
        <c:lblOffset val="100"/>
        <c:noMultiLvlLbl val="0"/>
      </c:catAx>
      <c:valAx>
        <c:axId val="49025024"/>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80725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sz="1800" b="1" i="0" baseline="0">
                <a:effectLst/>
              </a:rPr>
              <a:t>Massachusetts GHG Emissions</a:t>
            </a:r>
            <a:endParaRPr lang="en-US" b="1">
              <a:effectLst/>
            </a:endParaRPr>
          </a:p>
        </c:rich>
      </c:tx>
      <c:overlay val="0"/>
    </c:title>
    <c:autoTitleDeleted val="0"/>
    <c:plotArea>
      <c:layout>
        <c:manualLayout>
          <c:layoutTarget val="inner"/>
          <c:xMode val="edge"/>
          <c:yMode val="edge"/>
          <c:x val="0.15036988023555878"/>
          <c:y val="0.10646327653859321"/>
          <c:w val="0.76130367895189577"/>
          <c:h val="0.75219998419929945"/>
        </c:manualLayout>
      </c:layout>
      <c:lineChart>
        <c:grouping val="standard"/>
        <c:varyColors val="0"/>
        <c:ser>
          <c:idx val="1"/>
          <c:order val="0"/>
          <c:tx>
            <c:v>Historic Emissions</c:v>
          </c:tx>
          <c:spPr>
            <a:ln w="25400">
              <a:solidFill>
                <a:srgbClr val="000000"/>
              </a:solidFill>
              <a:prstDash val="solid"/>
            </a:ln>
          </c:spPr>
          <c:marker>
            <c:symbol val="diamond"/>
            <c:size val="6"/>
            <c:spPr>
              <a:solidFill>
                <a:schemeClr val="bg1">
                  <a:lumMod val="65000"/>
                </a:schemeClr>
              </a:solidFill>
              <a:ln w="25400">
                <a:solidFill>
                  <a:srgbClr val="000000"/>
                </a:solidFill>
              </a:ln>
            </c:spPr>
          </c:marker>
          <c:dPt>
            <c:idx val="23"/>
            <c:marker>
              <c:spPr>
                <a:solidFill>
                  <a:schemeClr val="bg1">
                    <a:lumMod val="50000"/>
                  </a:schemeClr>
                </a:solidFill>
                <a:ln w="25400">
                  <a:solidFill>
                    <a:schemeClr val="tx1"/>
                  </a:solidFill>
                </a:ln>
              </c:spPr>
            </c:marker>
            <c:bubble3D val="0"/>
            <c:extLst>
              <c:ext xmlns:c16="http://schemas.microsoft.com/office/drawing/2014/chart" uri="{C3380CC4-5D6E-409C-BE32-E72D297353CC}">
                <c16:uniqueId val="{00000004-4909-4B8E-9565-D95C69C9289D}"/>
              </c:ext>
            </c:extLst>
          </c:dPt>
          <c:dPt>
            <c:idx val="28"/>
            <c:bubble3D val="0"/>
            <c:extLst>
              <c:ext xmlns:c16="http://schemas.microsoft.com/office/drawing/2014/chart" uri="{C3380CC4-5D6E-409C-BE32-E72D297353CC}">
                <c16:uniqueId val="{00000002-77F3-DA4A-8219-73FD36483175}"/>
              </c:ext>
            </c:extLst>
          </c:dPt>
          <c:dLbls>
            <c:dLbl>
              <c:idx val="0"/>
              <c:layout>
                <c:manualLayout>
                  <c:x val="-2.4850625289485891E-2"/>
                  <c:y val="-7.9288046770073478E-2"/>
                </c:manualLayout>
              </c:layout>
              <c:tx>
                <c:rich>
                  <a:bodyPr wrap="square" lIns="38100" tIns="19050" rIns="38100" bIns="19050" anchor="ctr">
                    <a:noAutofit/>
                  </a:bodyPr>
                  <a:lstStyle/>
                  <a:p>
                    <a:pPr>
                      <a:defRPr sz="1400" b="1">
                        <a:solidFill>
                          <a:sysClr val="windowText" lastClr="000000"/>
                        </a:solidFill>
                      </a:defRPr>
                    </a:pPr>
                    <a:r>
                      <a:rPr lang="en-US" sz="1400">
                        <a:solidFill>
                          <a:sysClr val="windowText" lastClr="000000"/>
                        </a:solidFill>
                      </a:rPr>
                      <a:t>1990 </a:t>
                    </a:r>
                    <a:fld id="{395ABF40-A99C-4B0F-A9FC-97DBF33ADDCA}" type="VALUE">
                      <a:rPr lang="en-US" sz="1400">
                        <a:solidFill>
                          <a:sysClr val="windowText" lastClr="000000"/>
                        </a:solidFill>
                      </a:rPr>
                      <a:pPr>
                        <a:defRPr sz="1400" b="1">
                          <a:solidFill>
                            <a:sysClr val="windowText" lastClr="000000"/>
                          </a:solidFill>
                        </a:defRPr>
                      </a:pPr>
                      <a:t>[VALUE]</a:t>
                    </a:fld>
                    <a:endParaRPr lang="en-US" sz="1400">
                      <a:solidFill>
                        <a:sysClr val="windowText" lastClr="000000"/>
                      </a:solidFill>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9.9089856415006949E-2"/>
                      <c:h val="0.1619479630263608"/>
                    </c:manualLayout>
                  </c15:layout>
                  <c15:dlblFieldTable/>
                  <c15:showDataLabelsRange val="0"/>
                </c:ext>
                <c:ext xmlns:c16="http://schemas.microsoft.com/office/drawing/2014/chart" uri="{C3380CC4-5D6E-409C-BE32-E72D297353CC}">
                  <c16:uniqueId val="{00000003-37F0-417A-A5FE-8C667339808E}"/>
                </c:ext>
              </c:extLst>
            </c:dLbl>
            <c:dLbl>
              <c:idx val="29"/>
              <c:layout>
                <c:manualLayout>
                  <c:x val="-3.4350641831535765E-2"/>
                  <c:y val="-0.14208095225555006"/>
                </c:manualLayout>
              </c:layout>
              <c:tx>
                <c:rich>
                  <a:bodyPr wrap="square" lIns="38100" tIns="19050" rIns="38100" bIns="19050" anchor="ctr">
                    <a:noAutofit/>
                  </a:bodyPr>
                  <a:lstStyle/>
                  <a:p>
                    <a:pPr>
                      <a:defRPr sz="1400" b="1">
                        <a:solidFill>
                          <a:sysClr val="windowText" lastClr="000000"/>
                        </a:solidFill>
                      </a:defRPr>
                    </a:pPr>
                    <a:r>
                      <a:rPr lang="en-US" sz="1400">
                        <a:solidFill>
                          <a:sysClr val="windowText" lastClr="000000"/>
                        </a:solidFill>
                      </a:rPr>
                      <a:t>2021</a:t>
                    </a:r>
                    <a:br>
                      <a:rPr lang="en-US" sz="1400">
                        <a:solidFill>
                          <a:sysClr val="windowText" lastClr="000000"/>
                        </a:solidFill>
                      </a:rPr>
                    </a:br>
                    <a:r>
                      <a:rPr lang="en-US" sz="1400">
                        <a:solidFill>
                          <a:sysClr val="windowText" lastClr="000000"/>
                        </a:solidFill>
                      </a:rPr>
                      <a:t>67.0</a:t>
                    </a:r>
                    <a:endParaRPr lang="en-US" sz="1400">
                      <a:solidFill>
                        <a:srgbClr val="FF0000"/>
                      </a:solidFill>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1780701754385965"/>
                      <c:h val="0.19733022449863669"/>
                    </c:manualLayout>
                  </c15:layout>
                  <c15:showDataLabelsRange val="0"/>
                </c:ext>
                <c:ext xmlns:c16="http://schemas.microsoft.com/office/drawing/2014/chart" uri="{C3380CC4-5D6E-409C-BE32-E72D297353CC}">
                  <c16:uniqueId val="{00000004-6A81-4180-9BF9-990BE1FC5ABA}"/>
                </c:ext>
              </c:extLst>
            </c:dLbl>
            <c:spPr>
              <a:noFill/>
              <a:ln>
                <a:noFill/>
              </a:ln>
              <a:effectLst/>
            </c:spPr>
            <c:txPr>
              <a:bodyPr wrap="square" lIns="38100" tIns="19050" rIns="38100" bIns="19050" anchor="ctr">
                <a:spAutoFit/>
              </a:bodyPr>
              <a:lstStyle/>
              <a:p>
                <a:pPr>
                  <a:defRPr sz="1400" b="1">
                    <a:solidFill>
                      <a:sysClr val="windowText" lastClr="000000"/>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Summary!$D$5:$AI$5</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Summary!$D$14:$AI$14</c:f>
              <c:numCache>
                <c:formatCode>0.0</c:formatCode>
                <c:ptCount val="32"/>
                <c:pt idx="0">
                  <c:v>93.005061114385569</c:v>
                </c:pt>
                <c:pt idx="1">
                  <c:v>90.599737379157702</c:v>
                </c:pt>
                <c:pt idx="2">
                  <c:v>92.489660131074473</c:v>
                </c:pt>
                <c:pt idx="3">
                  <c:v>90.305037995464318</c:v>
                </c:pt>
                <c:pt idx="4">
                  <c:v>90.508084788605458</c:v>
                </c:pt>
                <c:pt idx="5">
                  <c:v>88.4721237775818</c:v>
                </c:pt>
                <c:pt idx="6">
                  <c:v>88.734732848490793</c:v>
                </c:pt>
                <c:pt idx="7">
                  <c:v>93.150082414946795</c:v>
                </c:pt>
                <c:pt idx="8">
                  <c:v>91.216972459069638</c:v>
                </c:pt>
                <c:pt idx="9">
                  <c:v>90.245063067645717</c:v>
                </c:pt>
                <c:pt idx="10">
                  <c:v>92.260422011841143</c:v>
                </c:pt>
                <c:pt idx="11">
                  <c:v>91.338730265470673</c:v>
                </c:pt>
                <c:pt idx="12">
                  <c:v>93.563238760799052</c:v>
                </c:pt>
                <c:pt idx="13">
                  <c:v>95.525441854684175</c:v>
                </c:pt>
                <c:pt idx="14">
                  <c:v>93.329265222521599</c:v>
                </c:pt>
                <c:pt idx="15">
                  <c:v>94.940856084570882</c:v>
                </c:pt>
                <c:pt idx="16">
                  <c:v>86.370607986684732</c:v>
                </c:pt>
                <c:pt idx="17">
                  <c:v>89.152814153537705</c:v>
                </c:pt>
                <c:pt idx="18">
                  <c:v>86.279749378414238</c:v>
                </c:pt>
                <c:pt idx="19">
                  <c:v>80.722161510833203</c:v>
                </c:pt>
                <c:pt idx="20">
                  <c:v>82.093870625663172</c:v>
                </c:pt>
                <c:pt idx="21">
                  <c:v>76.951674607689228</c:v>
                </c:pt>
                <c:pt idx="22">
                  <c:v>70.698772111507324</c:v>
                </c:pt>
                <c:pt idx="23">
                  <c:v>75.100467178615006</c:v>
                </c:pt>
                <c:pt idx="24">
                  <c:v>73.620007742783187</c:v>
                </c:pt>
                <c:pt idx="25">
                  <c:v>75.049917556968396</c:v>
                </c:pt>
                <c:pt idx="26">
                  <c:v>71.298850611459457</c:v>
                </c:pt>
                <c:pt idx="27">
                  <c:v>70.465383692116802</c:v>
                </c:pt>
                <c:pt idx="28">
                  <c:v>71.588429139639686</c:v>
                </c:pt>
                <c:pt idx="29">
                  <c:v>70.36768440467425</c:v>
                </c:pt>
                <c:pt idx="30">
                  <c:v>63.98786501878962</c:v>
                </c:pt>
                <c:pt idx="31">
                  <c:v>67.039425884707882</c:v>
                </c:pt>
              </c:numCache>
            </c:numRef>
          </c:val>
          <c:smooth val="0"/>
          <c:extLst>
            <c:ext xmlns:c16="http://schemas.microsoft.com/office/drawing/2014/chart" uri="{C3380CC4-5D6E-409C-BE32-E72D297353CC}">
              <c16:uniqueId val="{00000007-4909-4B8E-9565-D95C69C9289D}"/>
            </c:ext>
          </c:extLst>
        </c:ser>
        <c:dLbls>
          <c:showLegendKey val="0"/>
          <c:showVal val="0"/>
          <c:showCatName val="0"/>
          <c:showSerName val="0"/>
          <c:showPercent val="0"/>
          <c:showBubbleSize val="0"/>
        </c:dLbls>
        <c:marker val="1"/>
        <c:smooth val="0"/>
        <c:axId val="46807296"/>
        <c:axId val="46821376"/>
      </c:lineChart>
      <c:catAx>
        <c:axId val="46807296"/>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6821376"/>
        <c:crosses val="autoZero"/>
        <c:auto val="1"/>
        <c:lblAlgn val="ctr"/>
        <c:lblOffset val="100"/>
        <c:tickLblSkip val="5"/>
        <c:tickMarkSkip val="1"/>
        <c:noMultiLvlLbl val="0"/>
      </c:catAx>
      <c:valAx>
        <c:axId val="46821376"/>
        <c:scaling>
          <c:orientation val="minMax"/>
          <c:max val="100"/>
          <c:min val="60"/>
        </c:scaling>
        <c:delete val="0"/>
        <c:axPos val="l"/>
        <c:majorGridlines>
          <c:spPr>
            <a:ln>
              <a:solidFill>
                <a:schemeClr val="bg1">
                  <a:lumMod val="8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1200" b="1" i="0" u="none" strike="noStrike" baseline="0">
                    <a:solidFill>
                      <a:srgbClr val="000000"/>
                    </a:solidFill>
                    <a:latin typeface="Calibri"/>
                  </a:rPr>
                  <a:t>Million Metric Tons of CO</a:t>
                </a:r>
                <a:r>
                  <a:rPr lang="en-US" sz="1200" b="1" i="0" u="none" strike="noStrike" baseline="-25000">
                    <a:solidFill>
                      <a:srgbClr val="000000"/>
                    </a:solidFill>
                    <a:latin typeface="Calibri"/>
                  </a:rPr>
                  <a:t>2</a:t>
                </a:r>
                <a:r>
                  <a:rPr lang="en-US" sz="1200" b="1" i="0" u="none" strike="noStrike" baseline="0">
                    <a:solidFill>
                      <a:srgbClr val="000000"/>
                    </a:solidFill>
                    <a:latin typeface="Calibri"/>
                  </a:rPr>
                  <a:t> equivalent   </a:t>
                </a:r>
              </a:p>
            </c:rich>
          </c:tx>
          <c:overlay val="0"/>
          <c:spPr>
            <a:noFill/>
            <a:ln w="25400">
              <a:noFill/>
            </a:ln>
          </c:spPr>
        </c:title>
        <c:numFmt formatCode="_(* #,##0_);_(* \(#,##0\);_(* &quot;-&quot;_);_(@_)" sourceLinked="0"/>
        <c:majorTickMark val="none"/>
        <c:minorTickMark val="none"/>
        <c:tickLblPos val="nextTo"/>
        <c:txPr>
          <a:bodyPr rot="0" vert="horz"/>
          <a:lstStyle/>
          <a:p>
            <a:pPr>
              <a:defRPr sz="1200" b="1" i="0" u="none" strike="noStrike" baseline="0">
                <a:solidFill>
                  <a:srgbClr val="000000"/>
                </a:solidFill>
                <a:latin typeface="Calibri"/>
                <a:ea typeface="Calibri"/>
                <a:cs typeface="Calibri"/>
              </a:defRPr>
            </a:pPr>
            <a:endParaRPr lang="en-US"/>
          </a:p>
        </c:txPr>
        <c:crossAx val="46807296"/>
        <c:crosses val="autoZero"/>
        <c:crossBetween val="midCat"/>
      </c:valAx>
      <c:spPr>
        <a:noFill/>
        <a:ln w="25400">
          <a:noFill/>
        </a:ln>
      </c:spPr>
    </c:plotArea>
    <c:plotVisOnly val="1"/>
    <c:dispBlanksAs val="gap"/>
    <c:showDLblsOverMax val="0"/>
  </c:chart>
  <c:txPr>
    <a:bodyPr/>
    <a:lstStyle/>
    <a:p>
      <a:pPr>
        <a:defRPr sz="24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SF</a:t>
            </a:r>
            <a:r>
              <a:rPr lang="en-US" sz="1800" b="1" i="0" u="none" strike="noStrike" baseline="-25000">
                <a:solidFill>
                  <a:srgbClr val="000000"/>
                </a:solidFill>
                <a:latin typeface="Calibri"/>
              </a:rPr>
              <a:t>6</a:t>
            </a:r>
            <a:r>
              <a:rPr lang="en-US" sz="1800" b="1" i="0" u="none" strike="noStrike" baseline="0">
                <a:solidFill>
                  <a:srgbClr val="000000"/>
                </a:solidFill>
                <a:latin typeface="Calibri"/>
              </a:rPr>
              <a:t> from Electric Power T&amp;D as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overlay val="0"/>
    </c:title>
    <c:autoTitleDeleted val="0"/>
    <c:plotArea>
      <c:layout/>
      <c:lineChart>
        <c:grouping val="standard"/>
        <c:varyColors val="0"/>
        <c:ser>
          <c:idx val="0"/>
          <c:order val="0"/>
          <c:tx>
            <c:strRef>
              <c:f>'Summary by Gas'!$C$65</c:f>
              <c:strCache>
                <c:ptCount val="1"/>
                <c:pt idx="0">
                  <c:v>Electric Power Transmission and Distribution Systems</c:v>
                </c:pt>
              </c:strCache>
            </c:strRef>
          </c:tx>
          <c:spPr>
            <a:ln>
              <a:solidFill>
                <a:srgbClr val="00B0F0"/>
              </a:solidFill>
            </a:ln>
          </c:spPr>
          <c:marker>
            <c:symbol val="diamond"/>
            <c:size val="7"/>
            <c:spPr>
              <a:solidFill>
                <a:schemeClr val="tx2">
                  <a:lumMod val="60000"/>
                  <a:lumOff val="40000"/>
                </a:schemeClr>
              </a:solidFill>
              <a:ln>
                <a:solidFill>
                  <a:schemeClr val="tx2">
                    <a:lumMod val="60000"/>
                    <a:lumOff val="40000"/>
                  </a:schemeClr>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Gas'!$D$65:$AI$65</c:f>
              <c:numCache>
                <c:formatCode>0.0</c:formatCode>
                <c:ptCount val="32"/>
                <c:pt idx="0">
                  <c:v>0.38789975619760453</c:v>
                </c:pt>
                <c:pt idx="1">
                  <c:v>0.3718260641647354</c:v>
                </c:pt>
                <c:pt idx="2">
                  <c:v>0.37215208156089641</c:v>
                </c:pt>
                <c:pt idx="3">
                  <c:v>0.35059306348162167</c:v>
                </c:pt>
                <c:pt idx="4">
                  <c:v>0.32777458754937455</c:v>
                </c:pt>
                <c:pt idx="5">
                  <c:v>0.29696578337512486</c:v>
                </c:pt>
                <c:pt idx="6">
                  <c:v>0.26831279500899841</c:v>
                </c:pt>
                <c:pt idx="7">
                  <c:v>0.24549879852171885</c:v>
                </c:pt>
                <c:pt idx="8">
                  <c:v>0.20426712546738821</c:v>
                </c:pt>
                <c:pt idx="9">
                  <c:v>0.20938205540256527</c:v>
                </c:pt>
                <c:pt idx="10">
                  <c:v>0.20538617220111405</c:v>
                </c:pt>
                <c:pt idx="11">
                  <c:v>0.20572862214132048</c:v>
                </c:pt>
                <c:pt idx="12">
                  <c:v>0.19499097337850929</c:v>
                </c:pt>
                <c:pt idx="13">
                  <c:v>0.19259226561409309</c:v>
                </c:pt>
                <c:pt idx="14">
                  <c:v>0.18664815304992144</c:v>
                </c:pt>
                <c:pt idx="15">
                  <c:v>0.17963885239526922</c:v>
                </c:pt>
                <c:pt idx="16">
                  <c:v>0.16198195834948043</c:v>
                </c:pt>
                <c:pt idx="17">
                  <c:v>0.15036008802009723</c:v>
                </c:pt>
                <c:pt idx="18">
                  <c:v>0.14753401409735378</c:v>
                </c:pt>
                <c:pt idx="19">
                  <c:v>0.13190623467939996</c:v>
                </c:pt>
                <c:pt idx="20">
                  <c:v>0.11458593451620261</c:v>
                </c:pt>
                <c:pt idx="21">
                  <c:v>0.10261998235595651</c:v>
                </c:pt>
                <c:pt idx="22">
                  <c:v>8.8556426713883349E-2</c:v>
                </c:pt>
                <c:pt idx="23">
                  <c:v>8.4644758816187687E-2</c:v>
                </c:pt>
                <c:pt idx="24">
                  <c:v>8.56357110837309E-2</c:v>
                </c:pt>
                <c:pt idx="25">
                  <c:v>7.5052550926182612E-2</c:v>
                </c:pt>
                <c:pt idx="26">
                  <c:v>7.6700192109095663E-2</c:v>
                </c:pt>
                <c:pt idx="27">
                  <c:v>7.4945534066795869E-2</c:v>
                </c:pt>
                <c:pt idx="28">
                  <c:v>7.0238405761697736E-2</c:v>
                </c:pt>
                <c:pt idx="29">
                  <c:v>7.9562782950133915E-2</c:v>
                </c:pt>
                <c:pt idx="30">
                  <c:v>7.6434475695087434E-2</c:v>
                </c:pt>
                <c:pt idx="31">
                  <c:v>7.7486947937451728E-2</c:v>
                </c:pt>
              </c:numCache>
            </c:numRef>
          </c:val>
          <c:smooth val="0"/>
          <c:extLst>
            <c:ext xmlns:c16="http://schemas.microsoft.com/office/drawing/2014/chart" uri="{C3380CC4-5D6E-409C-BE32-E72D297353CC}">
              <c16:uniqueId val="{00000000-1AB3-4D8B-9F4D-4806CB81EAD7}"/>
            </c:ext>
          </c:extLst>
        </c:ser>
        <c:dLbls>
          <c:showLegendKey val="0"/>
          <c:showVal val="0"/>
          <c:showCatName val="0"/>
          <c:showSerName val="0"/>
          <c:showPercent val="0"/>
          <c:showBubbleSize val="0"/>
        </c:dLbls>
        <c:marker val="1"/>
        <c:smooth val="0"/>
        <c:axId val="49032576"/>
        <c:axId val="49051136"/>
      </c:lineChart>
      <c:catAx>
        <c:axId val="4903257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49051136"/>
        <c:crosses val="autoZero"/>
        <c:auto val="1"/>
        <c:lblAlgn val="ctr"/>
        <c:lblOffset val="100"/>
        <c:noMultiLvlLbl val="0"/>
      </c:catAx>
      <c:valAx>
        <c:axId val="49051136"/>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325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SF</a:t>
            </a:r>
            <a:r>
              <a:rPr lang="en-US" sz="1800" b="1" i="0" u="none" strike="noStrike" baseline="-25000">
                <a:solidFill>
                  <a:srgbClr val="000000"/>
                </a:solidFill>
                <a:latin typeface="Calibri"/>
              </a:rPr>
              <a:t>6</a:t>
            </a:r>
            <a:r>
              <a:rPr lang="en-US" sz="1800" b="1" i="0" u="none" strike="noStrike" baseline="0">
                <a:solidFill>
                  <a:srgbClr val="000000"/>
                </a:solidFill>
                <a:latin typeface="Calibri"/>
              </a:rPr>
              <a:t> &amp; Other GHG Gases as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overlay val="0"/>
    </c:title>
    <c:autoTitleDeleted val="0"/>
    <c:plotArea>
      <c:layout/>
      <c:lineChart>
        <c:grouping val="standard"/>
        <c:varyColors val="0"/>
        <c:ser>
          <c:idx val="0"/>
          <c:order val="0"/>
          <c:tx>
            <c:strRef>
              <c:f>'Summary by Gas'!$C$68</c:f>
              <c:strCache>
                <c:ptCount val="1"/>
                <c:pt idx="0">
                  <c:v>SF6 &amp; Other GHG Gases</c:v>
                </c:pt>
              </c:strCache>
            </c:strRef>
          </c:tx>
          <c:spPr>
            <a:ln>
              <a:solidFill>
                <a:schemeClr val="accent4">
                  <a:lumMod val="75000"/>
                </a:schemeClr>
              </a:solidFill>
            </a:ln>
          </c:spPr>
          <c:marker>
            <c:symbol val="diamond"/>
            <c:size val="7"/>
            <c:spPr>
              <a:solidFill>
                <a:schemeClr val="accent4">
                  <a:lumMod val="75000"/>
                </a:schemeClr>
              </a:solidFill>
              <a:ln>
                <a:solidFill>
                  <a:schemeClr val="accent4">
                    <a:lumMod val="50000"/>
                  </a:schemeClr>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Gas'!$D$68:$AI$68</c:f>
              <c:numCache>
                <c:formatCode>0.0</c:formatCode>
                <c:ptCount val="32"/>
                <c:pt idx="0">
                  <c:v>0.48138328615922965</c:v>
                </c:pt>
                <c:pt idx="1">
                  <c:v>0.46529148834258227</c:v>
                </c:pt>
                <c:pt idx="2">
                  <c:v>0.48652128246690873</c:v>
                </c:pt>
                <c:pt idx="3">
                  <c:v>0.55976312398357897</c:v>
                </c:pt>
                <c:pt idx="4">
                  <c:v>0.69991080705756736</c:v>
                </c:pt>
                <c:pt idx="5">
                  <c:v>1.0096285768811575</c:v>
                </c:pt>
                <c:pt idx="6">
                  <c:v>1.2270874909229028</c:v>
                </c:pt>
                <c:pt idx="7">
                  <c:v>1.430746486275341</c:v>
                </c:pt>
                <c:pt idx="8">
                  <c:v>1.6444085872431364</c:v>
                </c:pt>
                <c:pt idx="9">
                  <c:v>1.8818905739800844</c:v>
                </c:pt>
                <c:pt idx="10">
                  <c:v>2.0225838871160193</c:v>
                </c:pt>
                <c:pt idx="11">
                  <c:v>2.101178751343558</c:v>
                </c:pt>
                <c:pt idx="12">
                  <c:v>2.2472329580084796</c:v>
                </c:pt>
                <c:pt idx="13">
                  <c:v>2.2728014810555566</c:v>
                </c:pt>
                <c:pt idx="14">
                  <c:v>2.2814287160123681</c:v>
                </c:pt>
                <c:pt idx="15">
                  <c:v>2.3114360742542002</c:v>
                </c:pt>
                <c:pt idx="16">
                  <c:v>2.4025151103988636</c:v>
                </c:pt>
                <c:pt idx="17">
                  <c:v>2.4884749500308887</c:v>
                </c:pt>
                <c:pt idx="18">
                  <c:v>2.6600021936905893</c:v>
                </c:pt>
                <c:pt idx="19">
                  <c:v>2.7127203035823739</c:v>
                </c:pt>
                <c:pt idx="20">
                  <c:v>2.5801942468803643</c:v>
                </c:pt>
                <c:pt idx="21">
                  <c:v>2.8121403761619899</c:v>
                </c:pt>
                <c:pt idx="22">
                  <c:v>3.0455043545793794</c:v>
                </c:pt>
                <c:pt idx="23">
                  <c:v>3.4622474424496583</c:v>
                </c:pt>
                <c:pt idx="24">
                  <c:v>3.8679355522063457</c:v>
                </c:pt>
                <c:pt idx="25">
                  <c:v>3.7271996809326224</c:v>
                </c:pt>
                <c:pt idx="26">
                  <c:v>3.7544585266230239</c:v>
                </c:pt>
                <c:pt idx="27">
                  <c:v>3.263749667026314</c:v>
                </c:pt>
                <c:pt idx="28">
                  <c:v>3.6254868312521999</c:v>
                </c:pt>
                <c:pt idx="29">
                  <c:v>3.4776280502116483</c:v>
                </c:pt>
                <c:pt idx="30">
                  <c:v>3.7840702413895992</c:v>
                </c:pt>
                <c:pt idx="31">
                  <c:v>3.949011002114271</c:v>
                </c:pt>
              </c:numCache>
            </c:numRef>
          </c:val>
          <c:smooth val="0"/>
          <c:extLst>
            <c:ext xmlns:c16="http://schemas.microsoft.com/office/drawing/2014/chart" uri="{C3380CC4-5D6E-409C-BE32-E72D297353CC}">
              <c16:uniqueId val="{00000000-2A5F-481A-B2F4-3F579486ED7A}"/>
            </c:ext>
          </c:extLst>
        </c:ser>
        <c:dLbls>
          <c:showLegendKey val="0"/>
          <c:showVal val="0"/>
          <c:showCatName val="0"/>
          <c:showSerName val="0"/>
          <c:showPercent val="0"/>
          <c:showBubbleSize val="0"/>
        </c:dLbls>
        <c:marker val="1"/>
        <c:smooth val="0"/>
        <c:axId val="49075328"/>
        <c:axId val="49077248"/>
      </c:lineChart>
      <c:catAx>
        <c:axId val="4907532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9077248"/>
        <c:crosses val="autoZero"/>
        <c:auto val="1"/>
        <c:lblAlgn val="ctr"/>
        <c:lblOffset val="100"/>
        <c:noMultiLvlLbl val="0"/>
      </c:catAx>
      <c:valAx>
        <c:axId val="49077248"/>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7532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Imported Electric Power (CO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 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 &amp; N</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O combined)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layout>
        <c:manualLayout>
          <c:xMode val="edge"/>
          <c:yMode val="edge"/>
          <c:x val="0.12786123473696223"/>
          <c:y val="3.2407290552095624E-2"/>
        </c:manualLayout>
      </c:layout>
      <c:overlay val="0"/>
    </c:title>
    <c:autoTitleDeleted val="0"/>
    <c:plotArea>
      <c:layout/>
      <c:lineChart>
        <c:grouping val="standard"/>
        <c:varyColors val="0"/>
        <c:ser>
          <c:idx val="0"/>
          <c:order val="0"/>
          <c:tx>
            <c:strRef>
              <c:f>'Summary by Gas'!$C$69</c:f>
              <c:strCache>
                <c:ptCount val="1"/>
                <c:pt idx="0">
                  <c:v>Imported Electric Power (CO2, CH4 &amp; N2O combined)</c:v>
                </c:pt>
              </c:strCache>
            </c:strRef>
          </c:tx>
          <c:spPr>
            <a:ln>
              <a:solidFill>
                <a:srgbClr val="FF33CC"/>
              </a:solidFill>
            </a:ln>
          </c:spPr>
          <c:marker>
            <c:symbol val="diamond"/>
            <c:size val="7"/>
            <c:spPr>
              <a:solidFill>
                <a:srgbClr val="FF00FF"/>
              </a:solidFill>
              <a:ln>
                <a:solidFill>
                  <a:srgbClr val="FF00FF"/>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Gas'!$D$69:$AI$69</c:f>
              <c:numCache>
                <c:formatCode>0.0</c:formatCode>
                <c:ptCount val="32"/>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numCache>
            </c:numRef>
          </c:val>
          <c:smooth val="0"/>
          <c:extLst>
            <c:ext xmlns:c16="http://schemas.microsoft.com/office/drawing/2014/chart" uri="{C3380CC4-5D6E-409C-BE32-E72D297353CC}">
              <c16:uniqueId val="{00000000-6A3C-4A50-B7F5-77BFAB5C0932}"/>
            </c:ext>
          </c:extLst>
        </c:ser>
        <c:dLbls>
          <c:showLegendKey val="0"/>
          <c:showVal val="0"/>
          <c:showCatName val="0"/>
          <c:showSerName val="0"/>
          <c:showPercent val="0"/>
          <c:showBubbleSize val="0"/>
        </c:dLbls>
        <c:marker val="1"/>
        <c:smooth val="0"/>
        <c:axId val="49154688"/>
        <c:axId val="49185536"/>
      </c:lineChart>
      <c:catAx>
        <c:axId val="49154688"/>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49185536"/>
        <c:crosses val="autoZero"/>
        <c:auto val="1"/>
        <c:lblAlgn val="ctr"/>
        <c:lblOffset val="100"/>
        <c:noMultiLvlLbl val="0"/>
      </c:catAx>
      <c:valAx>
        <c:axId val="49185536"/>
        <c:scaling>
          <c:orientation val="minMax"/>
          <c:max val="6"/>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1546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 as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 </a:t>
            </a:r>
          </a:p>
        </c:rich>
      </c:tx>
      <c:overlay val="0"/>
    </c:title>
    <c:autoTitleDeleted val="0"/>
    <c:plotArea>
      <c:layout/>
      <c:lineChart>
        <c:grouping val="standard"/>
        <c:varyColors val="0"/>
        <c:ser>
          <c:idx val="0"/>
          <c:order val="0"/>
          <c:tx>
            <c:strRef>
              <c:f>'Summary by Gas'!$C$43</c:f>
              <c:strCache>
                <c:ptCount val="1"/>
                <c:pt idx="0">
                  <c:v>CO2 </c:v>
                </c:pt>
              </c:strCache>
            </c:strRef>
          </c:tx>
          <c:spPr>
            <a:ln>
              <a:solidFill>
                <a:schemeClr val="tx2">
                  <a:lumMod val="75000"/>
                </a:schemeClr>
              </a:solidFill>
            </a:ln>
          </c:spPr>
          <c:marker>
            <c:symbol val="diamond"/>
            <c:size val="7"/>
            <c:spPr>
              <a:solidFill>
                <a:schemeClr val="tx2">
                  <a:lumMod val="75000"/>
                </a:schemeClr>
              </a:solidFill>
              <a:ln>
                <a:solidFill>
                  <a:schemeClr val="tx2">
                    <a:lumMod val="50000"/>
                  </a:schemeClr>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Gas'!$D$43:$AI$43</c:f>
              <c:numCache>
                <c:formatCode>0.0</c:formatCode>
                <c:ptCount val="32"/>
                <c:pt idx="0">
                  <c:v>83.895847239273991</c:v>
                </c:pt>
                <c:pt idx="1">
                  <c:v>82.232474302760636</c:v>
                </c:pt>
                <c:pt idx="2">
                  <c:v>83.863532688370654</c:v>
                </c:pt>
                <c:pt idx="3">
                  <c:v>81.132198684691915</c:v>
                </c:pt>
                <c:pt idx="4">
                  <c:v>81.558014061956371</c:v>
                </c:pt>
                <c:pt idx="5">
                  <c:v>79.1386144958107</c:v>
                </c:pt>
                <c:pt idx="6">
                  <c:v>79.415168917866922</c:v>
                </c:pt>
                <c:pt idx="7">
                  <c:v>85.3747346945717</c:v>
                </c:pt>
                <c:pt idx="8">
                  <c:v>83.431043289475852</c:v>
                </c:pt>
                <c:pt idx="9">
                  <c:v>81.053843054956275</c:v>
                </c:pt>
                <c:pt idx="10">
                  <c:v>82.669759411832828</c:v>
                </c:pt>
                <c:pt idx="11">
                  <c:v>82.559100552364328</c:v>
                </c:pt>
                <c:pt idx="12">
                  <c:v>83.728504499354244</c:v>
                </c:pt>
                <c:pt idx="13">
                  <c:v>85.897544828487256</c:v>
                </c:pt>
                <c:pt idx="14">
                  <c:v>83.897375457031515</c:v>
                </c:pt>
                <c:pt idx="15">
                  <c:v>85.123775670628334</c:v>
                </c:pt>
                <c:pt idx="16">
                  <c:v>77.531823404685895</c:v>
                </c:pt>
                <c:pt idx="17">
                  <c:v>80.777660106793547</c:v>
                </c:pt>
                <c:pt idx="18">
                  <c:v>77.317256331301522</c:v>
                </c:pt>
                <c:pt idx="19">
                  <c:v>71.746397345180185</c:v>
                </c:pt>
                <c:pt idx="20">
                  <c:v>74.058218643622567</c:v>
                </c:pt>
                <c:pt idx="21">
                  <c:v>68.52975079615689</c:v>
                </c:pt>
                <c:pt idx="22">
                  <c:v>62.286280582803393</c:v>
                </c:pt>
                <c:pt idx="23">
                  <c:v>66.353334243710052</c:v>
                </c:pt>
                <c:pt idx="24">
                  <c:v>64.306225172329647</c:v>
                </c:pt>
                <c:pt idx="25">
                  <c:v>65.663343349149727</c:v>
                </c:pt>
                <c:pt idx="26">
                  <c:v>62.39661259389564</c:v>
                </c:pt>
                <c:pt idx="27">
                  <c:v>62.766065026942329</c:v>
                </c:pt>
                <c:pt idx="28">
                  <c:v>62.41508481416772</c:v>
                </c:pt>
                <c:pt idx="29">
                  <c:v>61.206244600069454</c:v>
                </c:pt>
                <c:pt idx="30">
                  <c:v>52.168713108994488</c:v>
                </c:pt>
                <c:pt idx="31">
                  <c:v>55.952979029143179</c:v>
                </c:pt>
              </c:numCache>
            </c:numRef>
          </c:val>
          <c:smooth val="0"/>
          <c:extLst>
            <c:ext xmlns:c16="http://schemas.microsoft.com/office/drawing/2014/chart" uri="{C3380CC4-5D6E-409C-BE32-E72D297353CC}">
              <c16:uniqueId val="{00000000-DDCB-43B3-AC72-8EA23494A2E8}"/>
            </c:ext>
          </c:extLst>
        </c:ser>
        <c:dLbls>
          <c:showLegendKey val="0"/>
          <c:showVal val="0"/>
          <c:showCatName val="0"/>
          <c:showSerName val="0"/>
          <c:showPercent val="0"/>
          <c:showBubbleSize val="0"/>
        </c:dLbls>
        <c:marker val="1"/>
        <c:smooth val="0"/>
        <c:axId val="49213824"/>
        <c:axId val="49215744"/>
      </c:lineChart>
      <c:catAx>
        <c:axId val="492138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9215744"/>
        <c:crosses val="autoZero"/>
        <c:auto val="1"/>
        <c:lblAlgn val="ctr"/>
        <c:lblOffset val="100"/>
        <c:noMultiLvlLbl val="0"/>
      </c:catAx>
      <c:valAx>
        <c:axId val="49215744"/>
        <c:scaling>
          <c:orientation val="minMax"/>
          <c:max val="9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213824"/>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layout>
        <c:manualLayout>
          <c:xMode val="edge"/>
          <c:yMode val="edge"/>
          <c:x val="0.63262182852143489"/>
          <c:y val="3.0690730490371871E-2"/>
        </c:manualLayout>
      </c:layout>
      <c:overlay val="0"/>
    </c:title>
    <c:autoTitleDeleted val="0"/>
    <c:plotArea>
      <c:layout>
        <c:manualLayout>
          <c:layoutTarget val="inner"/>
          <c:xMode val="edge"/>
          <c:yMode val="edge"/>
          <c:x val="0.10161329833770778"/>
          <c:y val="4.8005316470990989E-2"/>
          <c:w val="0.53727559055118113"/>
          <c:h val="0.8390309523330044"/>
        </c:manualLayout>
      </c:layout>
      <c:barChart>
        <c:barDir val="col"/>
        <c:grouping val="stacked"/>
        <c:varyColors val="0"/>
        <c:ser>
          <c:idx val="1"/>
          <c:order val="0"/>
          <c:tx>
            <c:strRef>
              <c:f>'Summary by Gas'!$C$34</c:f>
              <c:strCache>
                <c:ptCount val="1"/>
                <c:pt idx="0">
                  <c:v>Residential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Gas'!$D$34:$AI$34</c:f>
              <c:numCache>
                <c:formatCode>#,##0.0</c:formatCode>
                <c:ptCount val="32"/>
                <c:pt idx="0" formatCode="0.0">
                  <c:v>15.09218729035536</c:v>
                </c:pt>
                <c:pt idx="1">
                  <c:v>14.295364882071034</c:v>
                </c:pt>
                <c:pt idx="2">
                  <c:v>16.396053585147097</c:v>
                </c:pt>
                <c:pt idx="3">
                  <c:v>16.518072434056432</c:v>
                </c:pt>
                <c:pt idx="4">
                  <c:v>16.3428113958593</c:v>
                </c:pt>
                <c:pt idx="5">
                  <c:v>14.751248409471906</c:v>
                </c:pt>
                <c:pt idx="6">
                  <c:v>14.548991126703285</c:v>
                </c:pt>
                <c:pt idx="7">
                  <c:v>14.378872297176233</c:v>
                </c:pt>
                <c:pt idx="8">
                  <c:v>13.187544748996457</c:v>
                </c:pt>
                <c:pt idx="9">
                  <c:v>14.010791823643141</c:v>
                </c:pt>
                <c:pt idx="10">
                  <c:v>15.683527402244092</c:v>
                </c:pt>
                <c:pt idx="11">
                  <c:v>16.029000961089942</c:v>
                </c:pt>
                <c:pt idx="12">
                  <c:v>15.947597736625315</c:v>
                </c:pt>
                <c:pt idx="13">
                  <c:v>16.424354633887898</c:v>
                </c:pt>
                <c:pt idx="14">
                  <c:v>15.02439042499277</c:v>
                </c:pt>
                <c:pt idx="15">
                  <c:v>14.929934686615209</c:v>
                </c:pt>
                <c:pt idx="16">
                  <c:v>12.846312302684595</c:v>
                </c:pt>
                <c:pt idx="17">
                  <c:v>13.524855771139288</c:v>
                </c:pt>
                <c:pt idx="18">
                  <c:v>14.39714565392285</c:v>
                </c:pt>
                <c:pt idx="19">
                  <c:v>13.852964375083578</c:v>
                </c:pt>
                <c:pt idx="20">
                  <c:v>13.589313015564603</c:v>
                </c:pt>
                <c:pt idx="21">
                  <c:v>13.624708631879612</c:v>
                </c:pt>
                <c:pt idx="22">
                  <c:v>11.798985827009325</c:v>
                </c:pt>
                <c:pt idx="23">
                  <c:v>12.279880650460056</c:v>
                </c:pt>
                <c:pt idx="24">
                  <c:v>13.581589984107024</c:v>
                </c:pt>
                <c:pt idx="25">
                  <c:v>13.492417678538322</c:v>
                </c:pt>
                <c:pt idx="26">
                  <c:v>11.274433436984273</c:v>
                </c:pt>
                <c:pt idx="27">
                  <c:v>12.235011797173529</c:v>
                </c:pt>
                <c:pt idx="28">
                  <c:v>13.276887897527338</c:v>
                </c:pt>
                <c:pt idx="29">
                  <c:v>13.60200809288772</c:v>
                </c:pt>
                <c:pt idx="30">
                  <c:v>12.102936422079161</c:v>
                </c:pt>
                <c:pt idx="31">
                  <c:v>12.480073656420144</c:v>
                </c:pt>
              </c:numCache>
            </c:numRef>
          </c:val>
          <c:extLst>
            <c:ext xmlns:c16="http://schemas.microsoft.com/office/drawing/2014/chart" uri="{C3380CC4-5D6E-409C-BE32-E72D297353CC}">
              <c16:uniqueId val="{00000000-1C79-4FAF-9F13-FE986C7D490B}"/>
            </c:ext>
          </c:extLst>
        </c:ser>
        <c:ser>
          <c:idx val="2"/>
          <c:order val="1"/>
          <c:tx>
            <c:strRef>
              <c:f>'Summary by Gas'!$C$35</c:f>
              <c:strCache>
                <c:ptCount val="1"/>
                <c:pt idx="0">
                  <c:v>Commercial**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Gas'!$D$35:$AI$35</c:f>
              <c:numCache>
                <c:formatCode>0.0</c:formatCode>
                <c:ptCount val="32"/>
                <c:pt idx="0">
                  <c:v>8.393199905810599</c:v>
                </c:pt>
                <c:pt idx="1">
                  <c:v>9.1714074410264725</c:v>
                </c:pt>
                <c:pt idx="2">
                  <c:v>8.9309955359805997</c:v>
                </c:pt>
                <c:pt idx="3">
                  <c:v>7.9899165283760158</c:v>
                </c:pt>
                <c:pt idx="4">
                  <c:v>8.8622762327746258</c:v>
                </c:pt>
                <c:pt idx="5">
                  <c:v>8.9583234115736357</c:v>
                </c:pt>
                <c:pt idx="6">
                  <c:v>9.0613426494264484</c:v>
                </c:pt>
                <c:pt idx="7">
                  <c:v>9.452356588049005</c:v>
                </c:pt>
                <c:pt idx="8">
                  <c:v>8.0754548915353475</c:v>
                </c:pt>
                <c:pt idx="9">
                  <c:v>6.1959925594355161</c:v>
                </c:pt>
                <c:pt idx="10">
                  <c:v>6.7932535616058303</c:v>
                </c:pt>
                <c:pt idx="11">
                  <c:v>5.7670060508675824</c:v>
                </c:pt>
                <c:pt idx="12">
                  <c:v>5.8880337932122524</c:v>
                </c:pt>
                <c:pt idx="13">
                  <c:v>7.1132084080597151</c:v>
                </c:pt>
                <c:pt idx="14">
                  <c:v>6.5373600288097871</c:v>
                </c:pt>
                <c:pt idx="15">
                  <c:v>6.6865712143985894</c:v>
                </c:pt>
                <c:pt idx="16">
                  <c:v>5.0160944446169093</c:v>
                </c:pt>
                <c:pt idx="17">
                  <c:v>5.3484329327599989</c:v>
                </c:pt>
                <c:pt idx="18">
                  <c:v>5.5954704389832877</c:v>
                </c:pt>
                <c:pt idx="19">
                  <c:v>5.7930992378099821</c:v>
                </c:pt>
                <c:pt idx="20">
                  <c:v>6.7205520029870893</c:v>
                </c:pt>
                <c:pt idx="21">
                  <c:v>6.3331977627934153</c:v>
                </c:pt>
                <c:pt idx="22">
                  <c:v>5.2380301223549299</c:v>
                </c:pt>
                <c:pt idx="23">
                  <c:v>6.7611893496847895</c:v>
                </c:pt>
                <c:pt idx="24">
                  <c:v>7.1448860839636392</c:v>
                </c:pt>
                <c:pt idx="25">
                  <c:v>7.545627367910976</c:v>
                </c:pt>
                <c:pt idx="26">
                  <c:v>6.9641016411483267</c:v>
                </c:pt>
                <c:pt idx="27">
                  <c:v>7.3076283203949952</c:v>
                </c:pt>
                <c:pt idx="28">
                  <c:v>7.8526499108781254</c:v>
                </c:pt>
                <c:pt idx="29">
                  <c:v>8.0342460855084337</c:v>
                </c:pt>
                <c:pt idx="30">
                  <c:v>7.2358740975832836</c:v>
                </c:pt>
                <c:pt idx="31">
                  <c:v>7.3761263380248492</c:v>
                </c:pt>
              </c:numCache>
            </c:numRef>
          </c:val>
          <c:extLst>
            <c:ext xmlns:c16="http://schemas.microsoft.com/office/drawing/2014/chart" uri="{C3380CC4-5D6E-409C-BE32-E72D297353CC}">
              <c16:uniqueId val="{00000001-1C79-4FAF-9F13-FE986C7D490B}"/>
            </c:ext>
          </c:extLst>
        </c:ser>
        <c:ser>
          <c:idx val="3"/>
          <c:order val="2"/>
          <c:tx>
            <c:strRef>
              <c:f>'Summary by Gas'!$C$36</c:f>
              <c:strCache>
                <c:ptCount val="1"/>
                <c:pt idx="0">
                  <c:v>Industrial*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Gas'!$D$36:$AI$36</c:f>
              <c:numCache>
                <c:formatCode>#,##0.0</c:formatCode>
                <c:ptCount val="32"/>
                <c:pt idx="0" formatCode="0.0">
                  <c:v>5.470849078973556</c:v>
                </c:pt>
                <c:pt idx="1">
                  <c:v>4.6061722180743727</c:v>
                </c:pt>
                <c:pt idx="2">
                  <c:v>6.2955421424410654</c:v>
                </c:pt>
                <c:pt idx="3">
                  <c:v>6.4851221216699191</c:v>
                </c:pt>
                <c:pt idx="4">
                  <c:v>5.5889812556546019</c:v>
                </c:pt>
                <c:pt idx="5">
                  <c:v>4.910195998872199</c:v>
                </c:pt>
                <c:pt idx="6">
                  <c:v>4.8773651098809037</c:v>
                </c:pt>
                <c:pt idx="7">
                  <c:v>4.9759352170795959</c:v>
                </c:pt>
                <c:pt idx="8">
                  <c:v>4.7511815275607256</c:v>
                </c:pt>
                <c:pt idx="9">
                  <c:v>5.4817467461803497</c:v>
                </c:pt>
                <c:pt idx="10">
                  <c:v>5.3458202219906843</c:v>
                </c:pt>
                <c:pt idx="11">
                  <c:v>6.4830382934837569</c:v>
                </c:pt>
                <c:pt idx="12">
                  <c:v>6.4012195615022538</c:v>
                </c:pt>
                <c:pt idx="13">
                  <c:v>4.3474837138150981</c:v>
                </c:pt>
                <c:pt idx="14">
                  <c:v>4.2405002309235948</c:v>
                </c:pt>
                <c:pt idx="15">
                  <c:v>4.4948942944493133</c:v>
                </c:pt>
                <c:pt idx="16">
                  <c:v>4.3283389570401001</c:v>
                </c:pt>
                <c:pt idx="17">
                  <c:v>4.2366455964676168</c:v>
                </c:pt>
                <c:pt idx="18">
                  <c:v>3.907951206262946</c:v>
                </c:pt>
                <c:pt idx="19">
                  <c:v>3.1987446940302426</c:v>
                </c:pt>
                <c:pt idx="20">
                  <c:v>3.6721862449144922</c:v>
                </c:pt>
                <c:pt idx="21">
                  <c:v>3.8253793707726436</c:v>
                </c:pt>
                <c:pt idx="22">
                  <c:v>3.2748259132388609</c:v>
                </c:pt>
                <c:pt idx="23">
                  <c:v>3.4632253532753441</c:v>
                </c:pt>
                <c:pt idx="24">
                  <c:v>3.3870766388419962</c:v>
                </c:pt>
                <c:pt idx="25">
                  <c:v>3.4010050519916546</c:v>
                </c:pt>
                <c:pt idx="26">
                  <c:v>3.1850546834898963</c:v>
                </c:pt>
                <c:pt idx="27">
                  <c:v>3.2765361116806164</c:v>
                </c:pt>
                <c:pt idx="28">
                  <c:v>3.2928340913163887</c:v>
                </c:pt>
                <c:pt idx="29">
                  <c:v>3.3993123470512745</c:v>
                </c:pt>
                <c:pt idx="30">
                  <c:v>3.1509190143642392</c:v>
                </c:pt>
                <c:pt idx="31">
                  <c:v>3.2961141897396322</c:v>
                </c:pt>
              </c:numCache>
            </c:numRef>
          </c:val>
          <c:extLst>
            <c:ext xmlns:c16="http://schemas.microsoft.com/office/drawing/2014/chart" uri="{C3380CC4-5D6E-409C-BE32-E72D297353CC}">
              <c16:uniqueId val="{00000002-1C79-4FAF-9F13-FE986C7D490B}"/>
            </c:ext>
          </c:extLst>
        </c:ser>
        <c:ser>
          <c:idx val="4"/>
          <c:order val="3"/>
          <c:tx>
            <c:strRef>
              <c:f>'Summary by Gas'!$C$37</c:f>
              <c:strCache>
                <c:ptCount val="1"/>
                <c:pt idx="0">
                  <c:v>Transportation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Gas'!$D$37:$AI$37</c:f>
              <c:numCache>
                <c:formatCode>#,##0.0</c:formatCode>
                <c:ptCount val="32"/>
                <c:pt idx="0" formatCode="0.0">
                  <c:v>28.506437825265561</c:v>
                </c:pt>
                <c:pt idx="1">
                  <c:v>26.924606252648253</c:v>
                </c:pt>
                <c:pt idx="2">
                  <c:v>26.448466366325668</c:v>
                </c:pt>
                <c:pt idx="3">
                  <c:v>26.684940195948617</c:v>
                </c:pt>
                <c:pt idx="4">
                  <c:v>26.904845065360281</c:v>
                </c:pt>
                <c:pt idx="5">
                  <c:v>27.543957964998537</c:v>
                </c:pt>
                <c:pt idx="6">
                  <c:v>28.348712325078182</c:v>
                </c:pt>
                <c:pt idx="7">
                  <c:v>28.691676822505464</c:v>
                </c:pt>
                <c:pt idx="8">
                  <c:v>28.98102039463458</c:v>
                </c:pt>
                <c:pt idx="9">
                  <c:v>29.667708078894691</c:v>
                </c:pt>
                <c:pt idx="10">
                  <c:v>30.840346353806449</c:v>
                </c:pt>
                <c:pt idx="11">
                  <c:v>30.391075770329753</c:v>
                </c:pt>
                <c:pt idx="12">
                  <c:v>30.599206279874757</c:v>
                </c:pt>
                <c:pt idx="13">
                  <c:v>31.044336567887118</c:v>
                </c:pt>
                <c:pt idx="14">
                  <c:v>32.341144579996183</c:v>
                </c:pt>
                <c:pt idx="15">
                  <c:v>32.347883053926061</c:v>
                </c:pt>
                <c:pt idx="16">
                  <c:v>31.473855031392308</c:v>
                </c:pt>
                <c:pt idx="17">
                  <c:v>31.828916188486346</c:v>
                </c:pt>
                <c:pt idx="18">
                  <c:v>30.871216525399529</c:v>
                </c:pt>
                <c:pt idx="19">
                  <c:v>28.987244396457257</c:v>
                </c:pt>
                <c:pt idx="20">
                  <c:v>29.194372528968803</c:v>
                </c:pt>
                <c:pt idx="21">
                  <c:v>29.139892806651648</c:v>
                </c:pt>
                <c:pt idx="22">
                  <c:v>28.60906538035595</c:v>
                </c:pt>
                <c:pt idx="23">
                  <c:v>29.873225105712574</c:v>
                </c:pt>
                <c:pt idx="24">
                  <c:v>28.061539553056065</c:v>
                </c:pt>
                <c:pt idx="25">
                  <c:v>28.545017287030312</c:v>
                </c:pt>
                <c:pt idx="26">
                  <c:v>28.891424634303558</c:v>
                </c:pt>
                <c:pt idx="27">
                  <c:v>28.332334902786233</c:v>
                </c:pt>
                <c:pt idx="28">
                  <c:v>29.002637465691354</c:v>
                </c:pt>
                <c:pt idx="29">
                  <c:v>28.718318898688366</c:v>
                </c:pt>
                <c:pt idx="30">
                  <c:v>22.642037334535477</c:v>
                </c:pt>
                <c:pt idx="31">
                  <c:v>25.3046622669575</c:v>
                </c:pt>
              </c:numCache>
            </c:numRef>
          </c:val>
          <c:extLst>
            <c:ext xmlns:c16="http://schemas.microsoft.com/office/drawing/2014/chart" uri="{C3380CC4-5D6E-409C-BE32-E72D297353CC}">
              <c16:uniqueId val="{00000003-1C79-4FAF-9F13-FE986C7D490B}"/>
            </c:ext>
          </c:extLst>
        </c:ser>
        <c:ser>
          <c:idx val="5"/>
          <c:order val="4"/>
          <c:tx>
            <c:strRef>
              <c:f>'Summary by Gas'!$C$38</c:f>
              <c:strCache>
                <c:ptCount val="1"/>
                <c:pt idx="0">
                  <c:v>Electric Power</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Gas'!$D$38:$AI$38</c:f>
              <c:numCache>
                <c:formatCode>#,##0.0</c:formatCode>
                <c:ptCount val="32"/>
                <c:pt idx="0" formatCode="0.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26.747611926121518</c:v>
                </c:pt>
                <c:pt idx="9">
                  <c:v>24.004093488628136</c:v>
                </c:pt>
                <c:pt idx="10">
                  <c:v>22.176187156381239</c:v>
                </c:pt>
                <c:pt idx="11">
                  <c:v>21.964418106491603</c:v>
                </c:pt>
                <c:pt idx="12">
                  <c:v>22.920165736663851</c:v>
                </c:pt>
                <c:pt idx="13">
                  <c:v>25.008602205089463</c:v>
                </c:pt>
                <c:pt idx="14">
                  <c:v>23.742061768767059</c:v>
                </c:pt>
                <c:pt idx="15">
                  <c:v>24.50850883956242</c:v>
                </c:pt>
                <c:pt idx="16">
                  <c:v>21.605252315219431</c:v>
                </c:pt>
                <c:pt idx="17">
                  <c:v>23.666295740032623</c:v>
                </c:pt>
                <c:pt idx="18">
                  <c:v>20.168912335399149</c:v>
                </c:pt>
                <c:pt idx="19">
                  <c:v>17.585116309401922</c:v>
                </c:pt>
                <c:pt idx="20">
                  <c:v>18.286569094037727</c:v>
                </c:pt>
                <c:pt idx="21">
                  <c:v>14.3548374581957</c:v>
                </c:pt>
                <c:pt idx="22">
                  <c:v>12.131402331331719</c:v>
                </c:pt>
                <c:pt idx="23">
                  <c:v>12.659822445437142</c:v>
                </c:pt>
                <c:pt idx="24">
                  <c:v>10.782306921880682</c:v>
                </c:pt>
                <c:pt idx="25">
                  <c:v>11.311329440348851</c:v>
                </c:pt>
                <c:pt idx="26">
                  <c:v>10.704619766914323</c:v>
                </c:pt>
                <c:pt idx="27">
                  <c:v>10.277665924817709</c:v>
                </c:pt>
                <c:pt idx="28">
                  <c:v>7.6499388544811335</c:v>
                </c:pt>
                <c:pt idx="29">
                  <c:v>6.2240808974230486</c:v>
                </c:pt>
                <c:pt idx="30">
                  <c:v>5.7447834902179782</c:v>
                </c:pt>
                <c:pt idx="31">
                  <c:v>6.140913821697418</c:v>
                </c:pt>
              </c:numCache>
            </c:numRef>
          </c:val>
          <c:extLst>
            <c:ext xmlns:c16="http://schemas.microsoft.com/office/drawing/2014/chart" uri="{C3380CC4-5D6E-409C-BE32-E72D297353CC}">
              <c16:uniqueId val="{00000004-1C79-4FAF-9F13-FE986C7D490B}"/>
            </c:ext>
          </c:extLst>
        </c:ser>
        <c:ser>
          <c:idx val="7"/>
          <c:order val="5"/>
          <c:tx>
            <c:strRef>
              <c:f>'Summary by Gas'!$C$40</c:f>
              <c:strCache>
                <c:ptCount val="1"/>
                <c:pt idx="0">
                  <c:v>Industrial Processes</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Gas'!$D$40:$AI$40</c:f>
              <c:numCache>
                <c:formatCode>0.0</c:formatCode>
                <c:ptCount val="32"/>
                <c:pt idx="0">
                  <c:v>0.17486870435586824</c:v>
                </c:pt>
                <c:pt idx="1">
                  <c:v>0.16802495618437474</c:v>
                </c:pt>
                <c:pt idx="2">
                  <c:v>0.16647146143521593</c:v>
                </c:pt>
                <c:pt idx="3">
                  <c:v>0.16776886728671644</c:v>
                </c:pt>
                <c:pt idx="4">
                  <c:v>0.17123380147318815</c:v>
                </c:pt>
                <c:pt idx="5">
                  <c:v>0.17784788850002828</c:v>
                </c:pt>
                <c:pt idx="6">
                  <c:v>0.15474222736004781</c:v>
                </c:pt>
                <c:pt idx="7">
                  <c:v>0.1606841887589765</c:v>
                </c:pt>
                <c:pt idx="8">
                  <c:v>0.16287532043738079</c:v>
                </c:pt>
                <c:pt idx="9">
                  <c:v>0.15008461634922687</c:v>
                </c:pt>
                <c:pt idx="10">
                  <c:v>0.15566560192136597</c:v>
                </c:pt>
                <c:pt idx="11">
                  <c:v>0.15342201959521024</c:v>
                </c:pt>
                <c:pt idx="12">
                  <c:v>0.16106900239265376</c:v>
                </c:pt>
                <c:pt idx="13">
                  <c:v>0.16288201663743104</c:v>
                </c:pt>
                <c:pt idx="14">
                  <c:v>0.17856645821263281</c:v>
                </c:pt>
                <c:pt idx="15">
                  <c:v>0.1843543047002687</c:v>
                </c:pt>
                <c:pt idx="16">
                  <c:v>0.16912192522942632</c:v>
                </c:pt>
                <c:pt idx="17">
                  <c:v>0.16947294606177643</c:v>
                </c:pt>
                <c:pt idx="18">
                  <c:v>0.16999467681789315</c:v>
                </c:pt>
                <c:pt idx="19">
                  <c:v>0.17703708287497213</c:v>
                </c:pt>
                <c:pt idx="20">
                  <c:v>0.1650245185207484</c:v>
                </c:pt>
                <c:pt idx="21">
                  <c:v>0.15730983808887186</c:v>
                </c:pt>
                <c:pt idx="22">
                  <c:v>0.14135005046817997</c:v>
                </c:pt>
                <c:pt idx="23">
                  <c:v>0.17274811479382912</c:v>
                </c:pt>
                <c:pt idx="24">
                  <c:v>0.15443164337067591</c:v>
                </c:pt>
                <c:pt idx="25">
                  <c:v>0.17849446201584365</c:v>
                </c:pt>
                <c:pt idx="26">
                  <c:v>0.16737999180826008</c:v>
                </c:pt>
                <c:pt idx="27">
                  <c:v>0.16163986486130955</c:v>
                </c:pt>
                <c:pt idx="28">
                  <c:v>0.17066999348626716</c:v>
                </c:pt>
                <c:pt idx="29">
                  <c:v>0.15656405049563235</c:v>
                </c:pt>
                <c:pt idx="30">
                  <c:v>0.15043766880673398</c:v>
                </c:pt>
                <c:pt idx="31">
                  <c:v>0.15324532225179405</c:v>
                </c:pt>
              </c:numCache>
            </c:numRef>
          </c:val>
          <c:extLst>
            <c:ext xmlns:c16="http://schemas.microsoft.com/office/drawing/2014/chart" uri="{C3380CC4-5D6E-409C-BE32-E72D297353CC}">
              <c16:uniqueId val="{00000005-1C79-4FAF-9F13-FE986C7D490B}"/>
            </c:ext>
          </c:extLst>
        </c:ser>
        <c:ser>
          <c:idx val="8"/>
          <c:order val="6"/>
          <c:tx>
            <c:strRef>
              <c:f>'Summary by Gas'!$C$42</c:f>
              <c:strCache>
                <c:ptCount val="1"/>
                <c:pt idx="0">
                  <c:v>Solid Waste (Electric &amp; Industrial Municipal Waste Combustion)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Gas'!$D$42:$AI$42</c:f>
              <c:numCache>
                <c:formatCode>#,##0.0</c:formatCode>
                <c:ptCount val="32"/>
                <c:pt idx="0" formatCode="0.0">
                  <c:v>0.99946876474132851</c:v>
                </c:pt>
                <c:pt idx="1">
                  <c:v>1.1474422812500469</c:v>
                </c:pt>
                <c:pt idx="2">
                  <c:v>1.1944750427232942</c:v>
                </c:pt>
                <c:pt idx="3">
                  <c:v>1.3146714205918852</c:v>
                </c:pt>
                <c:pt idx="4">
                  <c:v>1.3752637164381702</c:v>
                </c:pt>
                <c:pt idx="5">
                  <c:v>1.3534499022994995</c:v>
                </c:pt>
                <c:pt idx="6">
                  <c:v>1.5364100114097889</c:v>
                </c:pt>
                <c:pt idx="7">
                  <c:v>1.5474419470367446</c:v>
                </c:pt>
                <c:pt idx="8">
                  <c:v>1.5210300775163097</c:v>
                </c:pt>
                <c:pt idx="9">
                  <c:v>1.5378639012024646</c:v>
                </c:pt>
                <c:pt idx="10">
                  <c:v>1.670050623047131</c:v>
                </c:pt>
                <c:pt idx="11">
                  <c:v>1.7663264921363289</c:v>
                </c:pt>
                <c:pt idx="12">
                  <c:v>1.7510915564481899</c:v>
                </c:pt>
                <c:pt idx="13">
                  <c:v>1.7806052558545533</c:v>
                </c:pt>
                <c:pt idx="14">
                  <c:v>1.8184253357615712</c:v>
                </c:pt>
                <c:pt idx="15">
                  <c:v>1.9416067867894873</c:v>
                </c:pt>
                <c:pt idx="16">
                  <c:v>1.9715804455998018</c:v>
                </c:pt>
                <c:pt idx="17">
                  <c:v>1.8946649893674625</c:v>
                </c:pt>
                <c:pt idx="18">
                  <c:v>2.1962697739351671</c:v>
                </c:pt>
                <c:pt idx="19">
                  <c:v>2.1420992425744099</c:v>
                </c:pt>
                <c:pt idx="20">
                  <c:v>2.3897903999999999</c:v>
                </c:pt>
                <c:pt idx="21">
                  <c:v>1.0922455</c:v>
                </c:pt>
                <c:pt idx="22">
                  <c:v>1.090794</c:v>
                </c:pt>
                <c:pt idx="23">
                  <c:v>1.1414306999999999</c:v>
                </c:pt>
                <c:pt idx="24">
                  <c:v>1.1765118999999999</c:v>
                </c:pt>
                <c:pt idx="25">
                  <c:v>1.1808476999999999</c:v>
                </c:pt>
                <c:pt idx="26">
                  <c:v>1.2011053999999999</c:v>
                </c:pt>
                <c:pt idx="27">
                  <c:v>1.1327828</c:v>
                </c:pt>
                <c:pt idx="28">
                  <c:v>1.1407152</c:v>
                </c:pt>
                <c:pt idx="29">
                  <c:v>1.0424337000000001</c:v>
                </c:pt>
                <c:pt idx="30">
                  <c:v>1.1220368999999999</c:v>
                </c:pt>
                <c:pt idx="31">
                  <c:v>1.1877340999999999</c:v>
                </c:pt>
              </c:numCache>
            </c:numRef>
          </c:val>
          <c:extLst>
            <c:ext xmlns:c16="http://schemas.microsoft.com/office/drawing/2014/chart" uri="{C3380CC4-5D6E-409C-BE32-E72D297353CC}">
              <c16:uniqueId val="{00000006-1C79-4FAF-9F13-FE986C7D490B}"/>
            </c:ext>
          </c:extLst>
        </c:ser>
        <c:ser>
          <c:idx val="0"/>
          <c:order val="7"/>
          <c:tx>
            <c:strRef>
              <c:f>'Summary by Gas'!$C$41</c:f>
              <c:strCache>
                <c:ptCount val="1"/>
                <c:pt idx="0">
                  <c:v>Agriculture &amp; Land Use</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Gas'!$D$41:$AI$41</c:f>
              <c:numCache>
                <c:formatCode>0.0</c:formatCode>
                <c:ptCount val="32"/>
                <c:pt idx="0">
                  <c:v>0</c:v>
                </c:pt>
                <c:pt idx="1">
                  <c:v>2.5486603163083254E-3</c:v>
                </c:pt>
                <c:pt idx="2">
                  <c:v>2.6618489824306755E-3</c:v>
                </c:pt>
                <c:pt idx="3">
                  <c:v>2.0780988841513203E-3</c:v>
                </c:pt>
                <c:pt idx="4">
                  <c:v>2.1793950830082554E-3</c:v>
                </c:pt>
                <c:pt idx="5">
                  <c:v>2.787119054099005E-3</c:v>
                </c:pt>
                <c:pt idx="6">
                  <c:v>1.8001400707611361E-3</c:v>
                </c:pt>
                <c:pt idx="7">
                  <c:v>1.9693941758142067E-3</c:v>
                </c:pt>
                <c:pt idx="8">
                  <c:v>2.5539878435997467E-3</c:v>
                </c:pt>
                <c:pt idx="9">
                  <c:v>3.8575289243702568E-3</c:v>
                </c:pt>
                <c:pt idx="10">
                  <c:v>3.2551857026217913E-3</c:v>
                </c:pt>
                <c:pt idx="11">
                  <c:v>3.2328204662977408E-3</c:v>
                </c:pt>
                <c:pt idx="12">
                  <c:v>5.8559740974738199E-2</c:v>
                </c:pt>
                <c:pt idx="13">
                  <c:v>1.4572054221500833E-2</c:v>
                </c:pt>
                <c:pt idx="14">
                  <c:v>1.3453488012789925E-2</c:v>
                </c:pt>
                <c:pt idx="15">
                  <c:v>2.8659537963245562E-2</c:v>
                </c:pt>
                <c:pt idx="16">
                  <c:v>0.11994581533434354</c:v>
                </c:pt>
                <c:pt idx="17">
                  <c:v>0.10709383983262559</c:v>
                </c:pt>
                <c:pt idx="18">
                  <c:v>2.1178158396080921E-3</c:v>
                </c:pt>
                <c:pt idx="19">
                  <c:v>1.9815088451419758E-3</c:v>
                </c:pt>
                <c:pt idx="20">
                  <c:v>2.5331737185009553E-2</c:v>
                </c:pt>
                <c:pt idx="21">
                  <c:v>1.1739001481750281E-3</c:v>
                </c:pt>
                <c:pt idx="22">
                  <c:v>8.3594278629532193E-4</c:v>
                </c:pt>
                <c:pt idx="23">
                  <c:v>8.5555112038465024E-4</c:v>
                </c:pt>
                <c:pt idx="24">
                  <c:v>1.6978221143381426E-2</c:v>
                </c:pt>
                <c:pt idx="25">
                  <c:v>7.1876379690949236E-4</c:v>
                </c:pt>
                <c:pt idx="26">
                  <c:v>6.2669364056971782E-4</c:v>
                </c:pt>
                <c:pt idx="27">
                  <c:v>4.1592883165378458E-2</c:v>
                </c:pt>
                <c:pt idx="28">
                  <c:v>2.791927665848442E-2</c:v>
                </c:pt>
                <c:pt idx="29">
                  <c:v>2.5992200678403306E-2</c:v>
                </c:pt>
                <c:pt idx="30">
                  <c:v>1.8869095710801177E-2</c:v>
                </c:pt>
                <c:pt idx="31">
                  <c:v>1.3320239491917771E-2</c:v>
                </c:pt>
              </c:numCache>
            </c:numRef>
          </c:val>
          <c:extLst>
            <c:ext xmlns:c16="http://schemas.microsoft.com/office/drawing/2014/chart" uri="{C3380CC4-5D6E-409C-BE32-E72D297353CC}">
              <c16:uniqueId val="{00000007-1C79-4FAF-9F13-FE986C7D490B}"/>
            </c:ext>
          </c:extLst>
        </c:ser>
        <c:dLbls>
          <c:showLegendKey val="0"/>
          <c:showVal val="0"/>
          <c:showCatName val="0"/>
          <c:showSerName val="0"/>
          <c:showPercent val="0"/>
          <c:showBubbleSize val="0"/>
        </c:dLbls>
        <c:gapWidth val="150"/>
        <c:overlap val="100"/>
        <c:axId val="49285760"/>
        <c:axId val="49291648"/>
      </c:barChart>
      <c:catAx>
        <c:axId val="49285760"/>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9291648"/>
        <c:crosses val="autoZero"/>
        <c:auto val="1"/>
        <c:lblAlgn val="ctr"/>
        <c:lblOffset val="100"/>
        <c:noMultiLvlLbl val="0"/>
      </c:catAx>
      <c:valAx>
        <c:axId val="49291648"/>
        <c:scaling>
          <c:orientation val="minMax"/>
          <c:max val="9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285760"/>
        <c:crosses val="autoZero"/>
        <c:crossBetween val="between"/>
      </c:valAx>
    </c:plotArea>
    <c:legend>
      <c:legendPos val="r"/>
      <c:layout>
        <c:manualLayout>
          <c:xMode val="edge"/>
          <c:yMode val="edge"/>
          <c:x val="0.66639508862868113"/>
          <c:y val="0.11177541110521325"/>
          <c:w val="0.31975951897981625"/>
          <c:h val="0.81074136292916532"/>
        </c:manualLayout>
      </c:layout>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layout>
        <c:manualLayout>
          <c:xMode val="edge"/>
          <c:yMode val="edge"/>
          <c:x val="0.63454679391687263"/>
          <c:y val="3.0690501525147192E-2"/>
        </c:manualLayout>
      </c:layout>
      <c:overlay val="0"/>
    </c:title>
    <c:autoTitleDeleted val="0"/>
    <c:plotArea>
      <c:layout>
        <c:manualLayout>
          <c:layoutTarget val="inner"/>
          <c:xMode val="edge"/>
          <c:yMode val="edge"/>
          <c:x val="0.10161329833770776"/>
          <c:y val="4.8005316470990968E-2"/>
          <c:w val="0.5039422572178478"/>
          <c:h val="0.83903095233300473"/>
        </c:manualLayout>
      </c:layout>
      <c:barChart>
        <c:barDir val="col"/>
        <c:grouping val="stacked"/>
        <c:varyColors val="0"/>
        <c:ser>
          <c:idx val="1"/>
          <c:order val="0"/>
          <c:tx>
            <c:strRef>
              <c:f>'Summary by Gas'!$C$44</c:f>
              <c:strCache>
                <c:ptCount val="1"/>
                <c:pt idx="0">
                  <c:v>Residential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Gas'!$D$44:$AI$44</c:f>
              <c:numCache>
                <c:formatCode>0.0</c:formatCode>
                <c:ptCount val="32"/>
                <c:pt idx="0">
                  <c:v>0.17554522475000001</c:v>
                </c:pt>
                <c:pt idx="1">
                  <c:v>0.17788976950000002</c:v>
                </c:pt>
                <c:pt idx="2">
                  <c:v>0.19158834499999997</c:v>
                </c:pt>
                <c:pt idx="3">
                  <c:v>0.19633268724999997</c:v>
                </c:pt>
                <c:pt idx="4">
                  <c:v>0.18773556150000001</c:v>
                </c:pt>
                <c:pt idx="5">
                  <c:v>0.18322357924999999</c:v>
                </c:pt>
                <c:pt idx="6">
                  <c:v>0.18746267324999999</c:v>
                </c:pt>
                <c:pt idx="7">
                  <c:v>0.14596146899999998</c:v>
                </c:pt>
                <c:pt idx="8">
                  <c:v>0.1310636215</c:v>
                </c:pt>
                <c:pt idx="9">
                  <c:v>0.1360629065</c:v>
                </c:pt>
                <c:pt idx="10">
                  <c:v>0.14773084999999997</c:v>
                </c:pt>
                <c:pt idx="11">
                  <c:v>0.12960295873578229</c:v>
                </c:pt>
                <c:pt idx="12">
                  <c:v>0.13195822922630385</c:v>
                </c:pt>
                <c:pt idx="13">
                  <c:v>0.13636883398104305</c:v>
                </c:pt>
                <c:pt idx="14">
                  <c:v>0.13400424321208612</c:v>
                </c:pt>
                <c:pt idx="15">
                  <c:v>6.932556587204082E-2</c:v>
                </c:pt>
                <c:pt idx="16">
                  <c:v>6.0057326885079351E-2</c:v>
                </c:pt>
                <c:pt idx="17">
                  <c:v>6.4248651004750565E-2</c:v>
                </c:pt>
                <c:pt idx="18">
                  <c:v>6.8704562825838991E-2</c:v>
                </c:pt>
                <c:pt idx="19">
                  <c:v>0.11143966654977322</c:v>
                </c:pt>
                <c:pt idx="20">
                  <c:v>0.11621295463744896</c:v>
                </c:pt>
                <c:pt idx="21">
                  <c:v>0.11386472551069159</c:v>
                </c:pt>
                <c:pt idx="22">
                  <c:v>9.604512057821997E-2</c:v>
                </c:pt>
                <c:pt idx="23">
                  <c:v>0.11692060540058957</c:v>
                </c:pt>
                <c:pt idx="24">
                  <c:v>0.12180838975958047</c:v>
                </c:pt>
                <c:pt idx="25">
                  <c:v>0.11300455667073696</c:v>
                </c:pt>
                <c:pt idx="26">
                  <c:v>9.1285105500181388E-2</c:v>
                </c:pt>
                <c:pt idx="27">
                  <c:v>9.338541809616778E-2</c:v>
                </c:pt>
                <c:pt idx="28">
                  <c:v>9.6219820461009048E-2</c:v>
                </c:pt>
                <c:pt idx="29">
                  <c:v>0.11037375374890021</c:v>
                </c:pt>
                <c:pt idx="30">
                  <c:v>7.6799483892267567E-2</c:v>
                </c:pt>
                <c:pt idx="31">
                  <c:v>8.2052200741780032E-2</c:v>
                </c:pt>
              </c:numCache>
            </c:numRef>
          </c:val>
          <c:extLst>
            <c:ext xmlns:c16="http://schemas.microsoft.com/office/drawing/2014/chart" uri="{C3380CC4-5D6E-409C-BE32-E72D297353CC}">
              <c16:uniqueId val="{00000000-6FDC-4FC8-8293-7ADBB9358410}"/>
            </c:ext>
          </c:extLst>
        </c:ser>
        <c:ser>
          <c:idx val="2"/>
          <c:order val="1"/>
          <c:tx>
            <c:strRef>
              <c:f>'Summary by Gas'!$C$45</c:f>
              <c:strCache>
                <c:ptCount val="1"/>
                <c:pt idx="0">
                  <c:v>Commercial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Gas'!$D$45:$AI$45</c:f>
              <c:numCache>
                <c:formatCode>0.0</c:formatCode>
                <c:ptCount val="32"/>
                <c:pt idx="0">
                  <c:v>3.9177636249999995E-2</c:v>
                </c:pt>
                <c:pt idx="1">
                  <c:v>4.2314598250000002E-2</c:v>
                </c:pt>
                <c:pt idx="2">
                  <c:v>4.1561888499999998E-2</c:v>
                </c:pt>
                <c:pt idx="3">
                  <c:v>4.257758675E-2</c:v>
                </c:pt>
                <c:pt idx="4">
                  <c:v>4.3600681750000002E-2</c:v>
                </c:pt>
                <c:pt idx="5">
                  <c:v>4.4222040999999997E-2</c:v>
                </c:pt>
                <c:pt idx="6">
                  <c:v>4.4452232499999994E-2</c:v>
                </c:pt>
                <c:pt idx="7">
                  <c:v>4.2709136999999987E-2</c:v>
                </c:pt>
                <c:pt idx="8">
                  <c:v>3.6890897749999998E-2</c:v>
                </c:pt>
                <c:pt idx="9">
                  <c:v>3.2649490499999996E-2</c:v>
                </c:pt>
                <c:pt idx="10">
                  <c:v>3.5957986421814067E-2</c:v>
                </c:pt>
                <c:pt idx="11">
                  <c:v>3.0062037455827664E-2</c:v>
                </c:pt>
                <c:pt idx="12">
                  <c:v>3.0546931546802721E-2</c:v>
                </c:pt>
                <c:pt idx="13">
                  <c:v>3.5501643340929694E-2</c:v>
                </c:pt>
                <c:pt idx="14">
                  <c:v>3.3618388338866219E-2</c:v>
                </c:pt>
                <c:pt idx="15">
                  <c:v>2.322071019898202E-2</c:v>
                </c:pt>
                <c:pt idx="16">
                  <c:v>1.7667039313082E-2</c:v>
                </c:pt>
                <c:pt idx="17">
                  <c:v>1.8439010795907661E-2</c:v>
                </c:pt>
                <c:pt idx="18">
                  <c:v>1.8896449999171009E-2</c:v>
                </c:pt>
                <c:pt idx="19">
                  <c:v>2.5534004437790161E-2</c:v>
                </c:pt>
                <c:pt idx="20">
                  <c:v>2.8470549204857833E-2</c:v>
                </c:pt>
                <c:pt idx="21">
                  <c:v>2.6271990395592044E-2</c:v>
                </c:pt>
                <c:pt idx="22">
                  <c:v>2.1831374681256059E-2</c:v>
                </c:pt>
                <c:pt idx="23">
                  <c:v>2.6706603879983856E-2</c:v>
                </c:pt>
                <c:pt idx="24">
                  <c:v>2.8131615744235668E-2</c:v>
                </c:pt>
                <c:pt idx="25">
                  <c:v>3.024139193951926E-2</c:v>
                </c:pt>
                <c:pt idx="26">
                  <c:v>2.7890469982888917E-2</c:v>
                </c:pt>
                <c:pt idx="27">
                  <c:v>2.9022143428238008E-2</c:v>
                </c:pt>
                <c:pt idx="28">
                  <c:v>2.8340713720347448E-2</c:v>
                </c:pt>
                <c:pt idx="29">
                  <c:v>3.0347699149189764E-2</c:v>
                </c:pt>
                <c:pt idx="30">
                  <c:v>2.776255272153107E-2</c:v>
                </c:pt>
                <c:pt idx="31">
                  <c:v>2.958852297353164E-2</c:v>
                </c:pt>
              </c:numCache>
            </c:numRef>
          </c:val>
          <c:extLst>
            <c:ext xmlns:c16="http://schemas.microsoft.com/office/drawing/2014/chart" uri="{C3380CC4-5D6E-409C-BE32-E72D297353CC}">
              <c16:uniqueId val="{00000001-6FDC-4FC8-8293-7ADBB9358410}"/>
            </c:ext>
          </c:extLst>
        </c:ser>
        <c:ser>
          <c:idx val="3"/>
          <c:order val="2"/>
          <c:tx>
            <c:strRef>
              <c:f>'Summary by Gas'!$C$46</c:f>
              <c:strCache>
                <c:ptCount val="1"/>
                <c:pt idx="0">
                  <c:v>Industrial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Gas'!$D$46:$AI$46</c:f>
              <c:numCache>
                <c:formatCode>0.0</c:formatCode>
                <c:ptCount val="32"/>
                <c:pt idx="0">
                  <c:v>7.8727429561641672E-3</c:v>
                </c:pt>
                <c:pt idx="1">
                  <c:v>7.0782193773518739E-3</c:v>
                </c:pt>
                <c:pt idx="2">
                  <c:v>8.1593151298454489E-3</c:v>
                </c:pt>
                <c:pt idx="3">
                  <c:v>8.3366569882326273E-3</c:v>
                </c:pt>
                <c:pt idx="4">
                  <c:v>7.801958298775496E-3</c:v>
                </c:pt>
                <c:pt idx="5">
                  <c:v>7.8547952674580743E-3</c:v>
                </c:pt>
                <c:pt idx="6">
                  <c:v>7.7941939395264051E-3</c:v>
                </c:pt>
                <c:pt idx="7">
                  <c:v>8.2942118062928998E-3</c:v>
                </c:pt>
                <c:pt idx="8">
                  <c:v>7.3085935606026185E-3</c:v>
                </c:pt>
                <c:pt idx="9">
                  <c:v>7.6167672680038248E-3</c:v>
                </c:pt>
                <c:pt idx="10">
                  <c:v>7.5505958617934753E-3</c:v>
                </c:pt>
                <c:pt idx="11">
                  <c:v>7.2771082470643525E-3</c:v>
                </c:pt>
                <c:pt idx="12">
                  <c:v>5.8863103742824874E-3</c:v>
                </c:pt>
                <c:pt idx="13">
                  <c:v>5.1640961096567134E-3</c:v>
                </c:pt>
                <c:pt idx="14">
                  <c:v>5.2497216337678721E-3</c:v>
                </c:pt>
                <c:pt idx="15">
                  <c:v>5.4664058440398447E-3</c:v>
                </c:pt>
                <c:pt idx="16">
                  <c:v>5.4661245209988683E-3</c:v>
                </c:pt>
                <c:pt idx="17">
                  <c:v>5.4181315965143332E-3</c:v>
                </c:pt>
                <c:pt idx="18">
                  <c:v>5.107469514824564E-3</c:v>
                </c:pt>
                <c:pt idx="19">
                  <c:v>4.123226612232812E-3</c:v>
                </c:pt>
                <c:pt idx="20">
                  <c:v>6.0178183685998046E-3</c:v>
                </c:pt>
                <c:pt idx="21">
                  <c:v>7.4350034871236304E-3</c:v>
                </c:pt>
                <c:pt idx="22">
                  <c:v>7.0302087316157381E-3</c:v>
                </c:pt>
                <c:pt idx="23">
                  <c:v>7.0835682940628749E-3</c:v>
                </c:pt>
                <c:pt idx="24">
                  <c:v>6.8599605393773345E-3</c:v>
                </c:pt>
                <c:pt idx="25">
                  <c:v>6.8558380526670603E-3</c:v>
                </c:pt>
                <c:pt idx="26">
                  <c:v>6.5295194249171224E-3</c:v>
                </c:pt>
                <c:pt idx="27">
                  <c:v>3.753308041943351E-3</c:v>
                </c:pt>
                <c:pt idx="28">
                  <c:v>3.7099228049169721E-3</c:v>
                </c:pt>
                <c:pt idx="29">
                  <c:v>3.7558978136993026E-3</c:v>
                </c:pt>
                <c:pt idx="30">
                  <c:v>3.6267233799246058E-3</c:v>
                </c:pt>
                <c:pt idx="31">
                  <c:v>3.7225084714611377E-3</c:v>
                </c:pt>
              </c:numCache>
            </c:numRef>
          </c:val>
          <c:extLst>
            <c:ext xmlns:c16="http://schemas.microsoft.com/office/drawing/2014/chart" uri="{C3380CC4-5D6E-409C-BE32-E72D297353CC}">
              <c16:uniqueId val="{00000002-6FDC-4FC8-8293-7ADBB9358410}"/>
            </c:ext>
          </c:extLst>
        </c:ser>
        <c:ser>
          <c:idx val="4"/>
          <c:order val="3"/>
          <c:tx>
            <c:strRef>
              <c:f>'Summary by Gas'!$C$47</c:f>
              <c:strCache>
                <c:ptCount val="1"/>
                <c:pt idx="0">
                  <c:v>Electric Power</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Gas'!$D$47:$AI$47</c:f>
              <c:numCache>
                <c:formatCode>0.0</c:formatCode>
                <c:ptCount val="32"/>
                <c:pt idx="0">
                  <c:v>1.56693015E-2</c:v>
                </c:pt>
                <c:pt idx="1">
                  <c:v>1.6014031249999994E-2</c:v>
                </c:pt>
                <c:pt idx="2">
                  <c:v>1.5561707250000001E-2</c:v>
                </c:pt>
                <c:pt idx="3">
                  <c:v>1.3937454743560092E-2</c:v>
                </c:pt>
                <c:pt idx="4">
                  <c:v>1.3488588135555556E-2</c:v>
                </c:pt>
                <c:pt idx="5">
                  <c:v>1.1606505475623584E-2</c:v>
                </c:pt>
                <c:pt idx="6">
                  <c:v>1.1268622231478459E-2</c:v>
                </c:pt>
                <c:pt idx="7">
                  <c:v>1.5539329271992742E-2</c:v>
                </c:pt>
                <c:pt idx="8">
                  <c:v>1.7946039285256597E-2</c:v>
                </c:pt>
                <c:pt idx="9">
                  <c:v>1.4511051386797098E-2</c:v>
                </c:pt>
                <c:pt idx="10">
                  <c:v>1.2923753886797099E-2</c:v>
                </c:pt>
                <c:pt idx="11">
                  <c:v>1.2874284238337596E-2</c:v>
                </c:pt>
                <c:pt idx="12">
                  <c:v>1.2206359457109477E-2</c:v>
                </c:pt>
                <c:pt idx="13">
                  <c:v>1.3897365306187391E-2</c:v>
                </c:pt>
                <c:pt idx="14">
                  <c:v>1.3134273912450612E-2</c:v>
                </c:pt>
                <c:pt idx="15">
                  <c:v>1.3176849670569613E-2</c:v>
                </c:pt>
                <c:pt idx="16">
                  <c:v>1.0260606035011338E-2</c:v>
                </c:pt>
                <c:pt idx="17">
                  <c:v>1.1255809826478912E-2</c:v>
                </c:pt>
                <c:pt idx="18">
                  <c:v>9.5667527799355983E-3</c:v>
                </c:pt>
                <c:pt idx="19">
                  <c:v>7.9512640790599543E-3</c:v>
                </c:pt>
                <c:pt idx="20">
                  <c:v>8.0604622062156895E-3</c:v>
                </c:pt>
                <c:pt idx="21">
                  <c:v>7.0176616214265766E-3</c:v>
                </c:pt>
                <c:pt idx="22">
                  <c:v>6.3283145103524719E-3</c:v>
                </c:pt>
                <c:pt idx="23">
                  <c:v>6.2410557752353747E-3</c:v>
                </c:pt>
                <c:pt idx="24">
                  <c:v>6.5282622835820406E-3</c:v>
                </c:pt>
                <c:pt idx="25">
                  <c:v>6.5844998691470301E-3</c:v>
                </c:pt>
                <c:pt idx="26">
                  <c:v>6.3738661771686172E-3</c:v>
                </c:pt>
                <c:pt idx="27">
                  <c:v>6.2776413654069847E-3</c:v>
                </c:pt>
                <c:pt idx="28">
                  <c:v>5.200146061990929E-3</c:v>
                </c:pt>
                <c:pt idx="29">
                  <c:v>4.2864087624897964E-3</c:v>
                </c:pt>
                <c:pt idx="30">
                  <c:v>4.2248338455096596E-3</c:v>
                </c:pt>
                <c:pt idx="31">
                  <c:v>3.9260536615849427E-3</c:v>
                </c:pt>
              </c:numCache>
            </c:numRef>
          </c:val>
          <c:extLst>
            <c:ext xmlns:c16="http://schemas.microsoft.com/office/drawing/2014/chart" uri="{C3380CC4-5D6E-409C-BE32-E72D297353CC}">
              <c16:uniqueId val="{00000003-6FDC-4FC8-8293-7ADBB9358410}"/>
            </c:ext>
          </c:extLst>
        </c:ser>
        <c:ser>
          <c:idx val="5"/>
          <c:order val="4"/>
          <c:tx>
            <c:strRef>
              <c:f>'Summary by Gas'!$C$48</c:f>
              <c:strCache>
                <c:ptCount val="1"/>
                <c:pt idx="0">
                  <c:v>Solid Waste (Electric &amp; Industrial Municipal Waste Combustion)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Gas'!$D$48:$AI$48</c:f>
              <c:numCache>
                <c:formatCode>0.0</c:formatCode>
                <c:ptCount val="32"/>
                <c:pt idx="0">
                  <c:v>4.5866461777960155E-3</c:v>
                </c:pt>
                <c:pt idx="1">
                  <c:v>4.3506325783396914E-3</c:v>
                </c:pt>
                <c:pt idx="2">
                  <c:v>5.4358107558971089E-3</c:v>
                </c:pt>
                <c:pt idx="3">
                  <c:v>4.6108155696369365E-3</c:v>
                </c:pt>
                <c:pt idx="4">
                  <c:v>4.9426222341261601E-3</c:v>
                </c:pt>
                <c:pt idx="5">
                  <c:v>4.6894850383775452E-3</c:v>
                </c:pt>
                <c:pt idx="6">
                  <c:v>5.0394746724743145E-3</c:v>
                </c:pt>
                <c:pt idx="7">
                  <c:v>4.9709013473867138E-3</c:v>
                </c:pt>
                <c:pt idx="8">
                  <c:v>2.634664765141926E-3</c:v>
                </c:pt>
                <c:pt idx="9">
                  <c:v>1.9223254079785822E-3</c:v>
                </c:pt>
                <c:pt idx="10">
                  <c:v>1.8563628781979207E-3</c:v>
                </c:pt>
                <c:pt idx="11">
                  <c:v>2.1808447302362711E-3</c:v>
                </c:pt>
                <c:pt idx="12">
                  <c:v>1.8377395459756745E-3</c:v>
                </c:pt>
                <c:pt idx="13">
                  <c:v>1.8479353981636821E-3</c:v>
                </c:pt>
                <c:pt idx="14">
                  <c:v>1.8277023688821632E-3</c:v>
                </c:pt>
                <c:pt idx="15">
                  <c:v>1.8570286462482202E-3</c:v>
                </c:pt>
                <c:pt idx="16">
                  <c:v>2.8268481430172897E-3</c:v>
                </c:pt>
                <c:pt idx="17">
                  <c:v>2.9535366021918373E-3</c:v>
                </c:pt>
                <c:pt idx="18">
                  <c:v>3.0483976057578458E-3</c:v>
                </c:pt>
                <c:pt idx="19">
                  <c:v>3.193265271371766E-3</c:v>
                </c:pt>
                <c:pt idx="20">
                  <c:v>2.3174750000000001E-2</c:v>
                </c:pt>
                <c:pt idx="21">
                  <c:v>2.3272500000000002E-2</c:v>
                </c:pt>
                <c:pt idx="22">
                  <c:v>2.3570000000000001E-2</c:v>
                </c:pt>
                <c:pt idx="23">
                  <c:v>2.5412500000000001E-2</c:v>
                </c:pt>
                <c:pt idx="24">
                  <c:v>2.5446999999999997E-2</c:v>
                </c:pt>
                <c:pt idx="25">
                  <c:v>2.5170999999999999E-2</c:v>
                </c:pt>
                <c:pt idx="26">
                  <c:v>2.4948000000000001E-2</c:v>
                </c:pt>
                <c:pt idx="27">
                  <c:v>2.4866249999999999E-2</c:v>
                </c:pt>
                <c:pt idx="28">
                  <c:v>2.5035749999999999E-2</c:v>
                </c:pt>
                <c:pt idx="29">
                  <c:v>2.4478249999999997E-2</c:v>
                </c:pt>
                <c:pt idx="30">
                  <c:v>2.3047249999999998E-2</c:v>
                </c:pt>
                <c:pt idx="31">
                  <c:v>2.4607249999999997E-2</c:v>
                </c:pt>
              </c:numCache>
            </c:numRef>
          </c:val>
          <c:extLst>
            <c:ext xmlns:c16="http://schemas.microsoft.com/office/drawing/2014/chart" uri="{C3380CC4-5D6E-409C-BE32-E72D297353CC}">
              <c16:uniqueId val="{00000004-6FDC-4FC8-8293-7ADBB9358410}"/>
            </c:ext>
          </c:extLst>
        </c:ser>
        <c:ser>
          <c:idx val="8"/>
          <c:order val="5"/>
          <c:tx>
            <c:strRef>
              <c:f>'Summary by Gas'!$C$49</c:f>
              <c:strCache>
                <c:ptCount val="1"/>
                <c:pt idx="0">
                  <c:v>Transportation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Gas'!$D$49:$AI$49</c:f>
              <c:numCache>
                <c:formatCode>0.0</c:formatCode>
                <c:ptCount val="32"/>
                <c:pt idx="0">
                  <c:v>0.13487797667306803</c:v>
                </c:pt>
                <c:pt idx="1">
                  <c:v>0.12619068031502742</c:v>
                </c:pt>
                <c:pt idx="2">
                  <c:v>0.12130864637936491</c:v>
                </c:pt>
                <c:pt idx="3">
                  <c:v>0.11215701563818174</c:v>
                </c:pt>
                <c:pt idx="4">
                  <c:v>0.11159282718984352</c:v>
                </c:pt>
                <c:pt idx="5">
                  <c:v>0.10853960302532484</c:v>
                </c:pt>
                <c:pt idx="6">
                  <c:v>0.11434670405637454</c:v>
                </c:pt>
                <c:pt idx="7">
                  <c:v>0.1076188916022295</c:v>
                </c:pt>
                <c:pt idx="8">
                  <c:v>9.7536886297966072E-2</c:v>
                </c:pt>
                <c:pt idx="9">
                  <c:v>8.5385152012931759E-2</c:v>
                </c:pt>
                <c:pt idx="10">
                  <c:v>8.209339451799981E-2</c:v>
                </c:pt>
                <c:pt idx="11">
                  <c:v>7.6264959325955187E-2</c:v>
                </c:pt>
                <c:pt idx="12">
                  <c:v>7.0235906892682803E-2</c:v>
                </c:pt>
                <c:pt idx="13">
                  <c:v>6.5284661891631693E-2</c:v>
                </c:pt>
                <c:pt idx="14">
                  <c:v>6.240596269662476E-2</c:v>
                </c:pt>
                <c:pt idx="15">
                  <c:v>6.2372937827755576E-2</c:v>
                </c:pt>
                <c:pt idx="16">
                  <c:v>5.8921208609067223E-2</c:v>
                </c:pt>
                <c:pt idx="17">
                  <c:v>5.3512985262808593E-2</c:v>
                </c:pt>
                <c:pt idx="18">
                  <c:v>5.0019099423592818E-2</c:v>
                </c:pt>
                <c:pt idx="19">
                  <c:v>4.6997171070174967E-2</c:v>
                </c:pt>
                <c:pt idx="20">
                  <c:v>4.5647880801822908E-2</c:v>
                </c:pt>
                <c:pt idx="21">
                  <c:v>4.5551867621930586E-2</c:v>
                </c:pt>
                <c:pt idx="22">
                  <c:v>4.0999071431330636E-2</c:v>
                </c:pt>
                <c:pt idx="23">
                  <c:v>4.0541001678683221E-2</c:v>
                </c:pt>
                <c:pt idx="24">
                  <c:v>3.8589425546998977E-2</c:v>
                </c:pt>
                <c:pt idx="25">
                  <c:v>3.3026538385921123E-2</c:v>
                </c:pt>
                <c:pt idx="26">
                  <c:v>3.4003106239057265E-2</c:v>
                </c:pt>
                <c:pt idx="27">
                  <c:v>3.2914397958595895E-2</c:v>
                </c:pt>
                <c:pt idx="28">
                  <c:v>3.0431547914781237E-2</c:v>
                </c:pt>
                <c:pt idx="29">
                  <c:v>3.3498703124388775E-2</c:v>
                </c:pt>
                <c:pt idx="30">
                  <c:v>2.8049352151545963E-2</c:v>
                </c:pt>
                <c:pt idx="31">
                  <c:v>3.101043891923266E-2</c:v>
                </c:pt>
              </c:numCache>
            </c:numRef>
          </c:val>
          <c:extLst>
            <c:ext xmlns:c16="http://schemas.microsoft.com/office/drawing/2014/chart" uri="{C3380CC4-5D6E-409C-BE32-E72D297353CC}">
              <c16:uniqueId val="{00000005-6FDC-4FC8-8293-7ADBB9358410}"/>
            </c:ext>
          </c:extLst>
        </c:ser>
        <c:ser>
          <c:idx val="0"/>
          <c:order val="6"/>
          <c:tx>
            <c:strRef>
              <c:f>'Summary by Gas'!$C$50</c:f>
              <c:strCache>
                <c:ptCount val="1"/>
                <c:pt idx="0">
                  <c:v>Natural Gas Systems (Leaks)</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Gas'!$D$50:$AI$50</c:f>
              <c:numCache>
                <c:formatCode>0.0</c:formatCode>
                <c:ptCount val="32"/>
                <c:pt idx="0">
                  <c:v>1.8655661887706063</c:v>
                </c:pt>
                <c:pt idx="1">
                  <c:v>1.8437354539698514</c:v>
                </c:pt>
                <c:pt idx="2">
                  <c:v>1.8306160464035965</c:v>
                </c:pt>
                <c:pt idx="3">
                  <c:v>1.7522781861175662</c:v>
                </c:pt>
                <c:pt idx="4">
                  <c:v>1.695903722833058</c:v>
                </c:pt>
                <c:pt idx="5">
                  <c:v>1.6619813745426884</c:v>
                </c:pt>
                <c:pt idx="6">
                  <c:v>1.5835773664816639</c:v>
                </c:pt>
                <c:pt idx="7">
                  <c:v>1.5323397433334609</c:v>
                </c:pt>
                <c:pt idx="8">
                  <c:v>1.473151321726756</c:v>
                </c:pt>
                <c:pt idx="9">
                  <c:v>1.4142197677335866</c:v>
                </c:pt>
                <c:pt idx="10">
                  <c:v>1.3762775809014685</c:v>
                </c:pt>
                <c:pt idx="11">
                  <c:v>1.3063095734839643</c:v>
                </c:pt>
                <c:pt idx="12">
                  <c:v>1.2690293597912961</c:v>
                </c:pt>
                <c:pt idx="13">
                  <c:v>1.2164102440743112</c:v>
                </c:pt>
                <c:pt idx="14">
                  <c:v>1.2011990165975006</c:v>
                </c:pt>
                <c:pt idx="15">
                  <c:v>1.108432765040126</c:v>
                </c:pt>
                <c:pt idx="16">
                  <c:v>1.0690899974500616</c:v>
                </c:pt>
                <c:pt idx="17">
                  <c:v>1.0258467056244462</c:v>
                </c:pt>
                <c:pt idx="18">
                  <c:v>1.0024124309381088</c:v>
                </c:pt>
                <c:pt idx="19">
                  <c:v>0.95208635629248184</c:v>
                </c:pt>
                <c:pt idx="20">
                  <c:v>0.94814462863652471</c:v>
                </c:pt>
                <c:pt idx="21">
                  <c:v>0.79866986441881593</c:v>
                </c:pt>
                <c:pt idx="22">
                  <c:v>0.79837730350883684</c:v>
                </c:pt>
                <c:pt idx="23">
                  <c:v>0.78348044075329037</c:v>
                </c:pt>
                <c:pt idx="24">
                  <c:v>0.75875049037023801</c:v>
                </c:pt>
                <c:pt idx="25">
                  <c:v>0.78099112339008814</c:v>
                </c:pt>
                <c:pt idx="26">
                  <c:v>0.76061061359195214</c:v>
                </c:pt>
                <c:pt idx="27">
                  <c:v>0.73426182187978806</c:v>
                </c:pt>
                <c:pt idx="28">
                  <c:v>0.71912178157463102</c:v>
                </c:pt>
                <c:pt idx="29">
                  <c:v>0.71308440087511449</c:v>
                </c:pt>
                <c:pt idx="30">
                  <c:v>0.73976840446367209</c:v>
                </c:pt>
                <c:pt idx="31">
                  <c:v>0.71462166300589247</c:v>
                </c:pt>
              </c:numCache>
            </c:numRef>
          </c:val>
          <c:extLst>
            <c:ext xmlns:c16="http://schemas.microsoft.com/office/drawing/2014/chart" uri="{C3380CC4-5D6E-409C-BE32-E72D297353CC}">
              <c16:uniqueId val="{00000006-6FDC-4FC8-8293-7ADBB9358410}"/>
            </c:ext>
          </c:extLst>
        </c:ser>
        <c:ser>
          <c:idx val="9"/>
          <c:order val="7"/>
          <c:tx>
            <c:strRef>
              <c:f>'Summary by Gas'!$C$51</c:f>
              <c:strCache>
                <c:ptCount val="1"/>
                <c:pt idx="0">
                  <c:v>Agriculture &amp; Land Use</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Gas'!$D$51:$AI$51</c:f>
              <c:numCache>
                <c:formatCode>0.0</c:formatCode>
                <c:ptCount val="32"/>
                <c:pt idx="0">
                  <c:v>0.19364782314664009</c:v>
                </c:pt>
                <c:pt idx="1">
                  <c:v>0.18396166524748131</c:v>
                </c:pt>
                <c:pt idx="2">
                  <c:v>0.18254791411984891</c:v>
                </c:pt>
                <c:pt idx="3">
                  <c:v>0.18240641329038396</c:v>
                </c:pt>
                <c:pt idx="4">
                  <c:v>0.17481916427961744</c:v>
                </c:pt>
                <c:pt idx="5">
                  <c:v>0.16958384826626241</c:v>
                </c:pt>
                <c:pt idx="6">
                  <c:v>0.16651774046894174</c:v>
                </c:pt>
                <c:pt idx="7">
                  <c:v>0.16517978591672722</c:v>
                </c:pt>
                <c:pt idx="8">
                  <c:v>0.16627547500811862</c:v>
                </c:pt>
                <c:pt idx="9">
                  <c:v>0.16209019036885877</c:v>
                </c:pt>
                <c:pt idx="10">
                  <c:v>0.15559378356942632</c:v>
                </c:pt>
                <c:pt idx="11">
                  <c:v>0.1371626357316057</c:v>
                </c:pt>
                <c:pt idx="12">
                  <c:v>0.1423056765143649</c:v>
                </c:pt>
                <c:pt idx="13">
                  <c:v>0.13805377846362576</c:v>
                </c:pt>
                <c:pt idx="14">
                  <c:v>0.12883613153863088</c:v>
                </c:pt>
                <c:pt idx="15">
                  <c:v>0.12816650738642341</c:v>
                </c:pt>
                <c:pt idx="16">
                  <c:v>0.12742342384739061</c:v>
                </c:pt>
                <c:pt idx="17">
                  <c:v>0.12403811360786508</c:v>
                </c:pt>
                <c:pt idx="18">
                  <c:v>0.12720538602745507</c:v>
                </c:pt>
                <c:pt idx="19">
                  <c:v>0.12347690565537564</c:v>
                </c:pt>
                <c:pt idx="20">
                  <c:v>0.12209113468383975</c:v>
                </c:pt>
                <c:pt idx="21">
                  <c:v>0.1127749327381606</c:v>
                </c:pt>
                <c:pt idx="22">
                  <c:v>0.11165169784352416</c:v>
                </c:pt>
                <c:pt idx="23">
                  <c:v>0.10916270849553637</c:v>
                </c:pt>
                <c:pt idx="24">
                  <c:v>0.10666583255099411</c:v>
                </c:pt>
                <c:pt idx="25">
                  <c:v>0.10964663162183852</c:v>
                </c:pt>
                <c:pt idx="26">
                  <c:v>0.10651291641802826</c:v>
                </c:pt>
                <c:pt idx="27">
                  <c:v>0.10068957230553316</c:v>
                </c:pt>
                <c:pt idx="28">
                  <c:v>0.10034379313375043</c:v>
                </c:pt>
                <c:pt idx="29">
                  <c:v>9.952551713383942E-2</c:v>
                </c:pt>
                <c:pt idx="30">
                  <c:v>8.8665348633339247E-2</c:v>
                </c:pt>
                <c:pt idx="31">
                  <c:v>9.5505879163480578E-2</c:v>
                </c:pt>
              </c:numCache>
            </c:numRef>
          </c:val>
          <c:extLst>
            <c:ext xmlns:c16="http://schemas.microsoft.com/office/drawing/2014/chart" uri="{C3380CC4-5D6E-409C-BE32-E72D297353CC}">
              <c16:uniqueId val="{00000007-6FDC-4FC8-8293-7ADBB9358410}"/>
            </c:ext>
          </c:extLst>
        </c:ser>
        <c:ser>
          <c:idx val="10"/>
          <c:order val="8"/>
          <c:tx>
            <c:strRef>
              <c:f>'Summary by Gas'!$C$52</c:f>
              <c:strCache>
                <c:ptCount val="1"/>
                <c:pt idx="0">
                  <c:v>Solid Waste (Landfill)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Gas'!$D$52:$AI$52</c:f>
              <c:numCache>
                <c:formatCode>0.0</c:formatCode>
                <c:ptCount val="32"/>
                <c:pt idx="0">
                  <c:v>2.2601835020631844</c:v>
                </c:pt>
                <c:pt idx="1">
                  <c:v>2.3269894666793713</c:v>
                </c:pt>
                <c:pt idx="2">
                  <c:v>2.2262192096728053</c:v>
                </c:pt>
                <c:pt idx="3">
                  <c:v>2.1085588571841871</c:v>
                </c:pt>
                <c:pt idx="4">
                  <c:v>2.0924738403488514</c:v>
                </c:pt>
                <c:pt idx="5">
                  <c:v>2.103652464643941</c:v>
                </c:pt>
                <c:pt idx="6">
                  <c:v>1.7209673343795986</c:v>
                </c:pt>
                <c:pt idx="7">
                  <c:v>1.2539532356920571</c:v>
                </c:pt>
                <c:pt idx="8">
                  <c:v>1.1706352062367344</c:v>
                </c:pt>
                <c:pt idx="9">
                  <c:v>1.1778919344362087</c:v>
                </c:pt>
                <c:pt idx="10">
                  <c:v>0.80462307594293714</c:v>
                </c:pt>
                <c:pt idx="11">
                  <c:v>0.45974826949539027</c:v>
                </c:pt>
                <c:pt idx="12">
                  <c:v>0.83890015757074898</c:v>
                </c:pt>
                <c:pt idx="13">
                  <c:v>1.3235380540079065</c:v>
                </c:pt>
                <c:pt idx="14">
                  <c:v>1.0831422990584416</c:v>
                </c:pt>
                <c:pt idx="15">
                  <c:v>1.0853203981811241</c:v>
                </c:pt>
                <c:pt idx="16">
                  <c:v>0.96545902691332919</c:v>
                </c:pt>
                <c:pt idx="17">
                  <c:v>0.87350457030170892</c:v>
                </c:pt>
                <c:pt idx="18">
                  <c:v>0.88437843911608727</c:v>
                </c:pt>
                <c:pt idx="19">
                  <c:v>0.91520769912085664</c:v>
                </c:pt>
                <c:pt idx="20">
                  <c:v>0.44999630000000002</c:v>
                </c:pt>
                <c:pt idx="21">
                  <c:v>0.46108462380952381</c:v>
                </c:pt>
                <c:pt idx="22">
                  <c:v>0.50753907857142855</c:v>
                </c:pt>
                <c:pt idx="23">
                  <c:v>0.40803812317999999</c:v>
                </c:pt>
                <c:pt idx="24">
                  <c:v>0.3528539</c:v>
                </c:pt>
                <c:pt idx="25">
                  <c:v>0.3609733</c:v>
                </c:pt>
                <c:pt idx="26">
                  <c:v>0.32664349999999998</c:v>
                </c:pt>
                <c:pt idx="27">
                  <c:v>0.31026300000000001</c:v>
                </c:pt>
                <c:pt idx="28">
                  <c:v>0.304452</c:v>
                </c:pt>
                <c:pt idx="29">
                  <c:v>0.304172</c:v>
                </c:pt>
                <c:pt idx="30">
                  <c:v>0.27229040000000004</c:v>
                </c:pt>
                <c:pt idx="31">
                  <c:v>0.17716119999999999</c:v>
                </c:pt>
              </c:numCache>
            </c:numRef>
          </c:val>
          <c:extLst>
            <c:ext xmlns:c16="http://schemas.microsoft.com/office/drawing/2014/chart" uri="{C3380CC4-5D6E-409C-BE32-E72D297353CC}">
              <c16:uniqueId val="{00000008-6FDC-4FC8-8293-7ADBB9358410}"/>
            </c:ext>
          </c:extLst>
        </c:ser>
        <c:ser>
          <c:idx val="11"/>
          <c:order val="9"/>
          <c:tx>
            <c:strRef>
              <c:f>'Summary by Gas'!$C$53</c:f>
              <c:strCache>
                <c:ptCount val="1"/>
                <c:pt idx="0">
                  <c:v>Wastewater</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Gas'!$D$53:$AI$53</c:f>
              <c:numCache>
                <c:formatCode>0.0</c:formatCode>
                <c:ptCount val="32"/>
                <c:pt idx="0">
                  <c:v>0.48032331311249982</c:v>
                </c:pt>
                <c:pt idx="1">
                  <c:v>0.50544791718299997</c:v>
                </c:pt>
                <c:pt idx="2">
                  <c:v>0.5050116176085</c:v>
                </c:pt>
                <c:pt idx="3">
                  <c:v>0.50647858856099992</c:v>
                </c:pt>
                <c:pt idx="4">
                  <c:v>0.50820322735799994</c:v>
                </c:pt>
                <c:pt idx="5">
                  <c:v>0.51081386268375006</c:v>
                </c:pt>
                <c:pt idx="6">
                  <c:v>0.51275673552824996</c:v>
                </c:pt>
                <c:pt idx="7">
                  <c:v>0.51529153662899985</c:v>
                </c:pt>
                <c:pt idx="8">
                  <c:v>0.51772926992174984</c:v>
                </c:pt>
                <c:pt idx="9">
                  <c:v>0.52032128373224995</c:v>
                </c:pt>
                <c:pt idx="10">
                  <c:v>0.2952990252043875</c:v>
                </c:pt>
                <c:pt idx="11">
                  <c:v>0.29737298357008318</c:v>
                </c:pt>
                <c:pt idx="12">
                  <c:v>0.29856920169024265</c:v>
                </c:pt>
                <c:pt idx="13">
                  <c:v>0.29895892170091132</c:v>
                </c:pt>
                <c:pt idx="14">
                  <c:v>0.29877206773366688</c:v>
                </c:pt>
                <c:pt idx="15">
                  <c:v>0.2986434414950217</c:v>
                </c:pt>
                <c:pt idx="16">
                  <c:v>0.30012458634405736</c:v>
                </c:pt>
                <c:pt idx="17">
                  <c:v>0.30164731327908872</c:v>
                </c:pt>
                <c:pt idx="18">
                  <c:v>0.30370323145029421</c:v>
                </c:pt>
                <c:pt idx="19">
                  <c:v>0.30602321242601249</c:v>
                </c:pt>
                <c:pt idx="20">
                  <c:v>0.30375811758046717</c:v>
                </c:pt>
                <c:pt idx="21">
                  <c:v>0.30538130129254798</c:v>
                </c:pt>
                <c:pt idx="22">
                  <c:v>0.30700779414028828</c:v>
                </c:pt>
                <c:pt idx="23">
                  <c:v>0.30863307048500765</c:v>
                </c:pt>
                <c:pt idx="24">
                  <c:v>0.3055991658683761</c:v>
                </c:pt>
                <c:pt idx="25">
                  <c:v>0.30719297653336514</c:v>
                </c:pt>
                <c:pt idx="26">
                  <c:v>0.30879113227813265</c:v>
                </c:pt>
                <c:pt idx="27">
                  <c:v>0.31038554848225192</c:v>
                </c:pt>
                <c:pt idx="28">
                  <c:v>0.31198018060093308</c:v>
                </c:pt>
                <c:pt idx="29">
                  <c:v>0.31358009546199667</c:v>
                </c:pt>
                <c:pt idx="30">
                  <c:v>0.32052932655822919</c:v>
                </c:pt>
                <c:pt idx="31">
                  <c:v>0.31880372258386863</c:v>
                </c:pt>
              </c:numCache>
            </c:numRef>
          </c:val>
          <c:extLst>
            <c:ext xmlns:c16="http://schemas.microsoft.com/office/drawing/2014/chart" uri="{C3380CC4-5D6E-409C-BE32-E72D297353CC}">
              <c16:uniqueId val="{00000009-6FDC-4FC8-8293-7ADBB9358410}"/>
            </c:ext>
          </c:extLst>
        </c:ser>
        <c:dLbls>
          <c:showLegendKey val="0"/>
          <c:showVal val="0"/>
          <c:showCatName val="0"/>
          <c:showSerName val="0"/>
          <c:showPercent val="0"/>
          <c:showBubbleSize val="0"/>
        </c:dLbls>
        <c:gapWidth val="150"/>
        <c:overlap val="100"/>
        <c:axId val="50740608"/>
        <c:axId val="50754688"/>
      </c:barChart>
      <c:catAx>
        <c:axId val="5074060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0754688"/>
        <c:crosses val="autoZero"/>
        <c:auto val="1"/>
        <c:lblAlgn val="ctr"/>
        <c:lblOffset val="100"/>
        <c:noMultiLvlLbl val="0"/>
      </c:catAx>
      <c:valAx>
        <c:axId val="50754688"/>
        <c:scaling>
          <c:orientation val="minMax"/>
          <c:max val="5.5"/>
        </c:scaling>
        <c:delete val="0"/>
        <c:axPos val="l"/>
        <c:majorGridlines/>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0740608"/>
        <c:crosses val="autoZero"/>
        <c:crossBetween val="between"/>
        <c:majorUnit val="0.5"/>
      </c:valAx>
    </c:plotArea>
    <c:legend>
      <c:legendPos val="r"/>
      <c:layout>
        <c:manualLayout>
          <c:xMode val="edge"/>
          <c:yMode val="edge"/>
          <c:x val="0.66599261811023625"/>
          <c:y val="0.13393663112685078"/>
          <c:w val="0.33202678147560039"/>
          <c:h val="0.85786110519968783"/>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N</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O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layout>
        <c:manualLayout>
          <c:xMode val="edge"/>
          <c:yMode val="edge"/>
          <c:x val="0.62731938257195929"/>
          <c:y val="3.0690730490371871E-2"/>
        </c:manualLayout>
      </c:layout>
      <c:overlay val="0"/>
    </c:title>
    <c:autoTitleDeleted val="0"/>
    <c:plotArea>
      <c:layout>
        <c:manualLayout>
          <c:layoutTarget val="inner"/>
          <c:xMode val="edge"/>
          <c:yMode val="edge"/>
          <c:x val="0.10161329833770773"/>
          <c:y val="4.8005316470990954E-2"/>
          <c:w val="0.52342730645099422"/>
          <c:h val="0.8357306203061251"/>
        </c:manualLayout>
      </c:layout>
      <c:barChart>
        <c:barDir val="col"/>
        <c:grouping val="stacked"/>
        <c:varyColors val="0"/>
        <c:ser>
          <c:idx val="1"/>
          <c:order val="0"/>
          <c:tx>
            <c:strRef>
              <c:f>'Summary by Gas'!$C$55</c:f>
              <c:strCache>
                <c:ptCount val="1"/>
                <c:pt idx="0">
                  <c:v>Residential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Gas'!$D$55:$AI$55</c:f>
              <c:numCache>
                <c:formatCode>0.0</c:formatCode>
                <c:ptCount val="32"/>
                <c:pt idx="0">
                  <c:v>4.5917890239999988E-2</c:v>
                </c:pt>
                <c:pt idx="1">
                  <c:v>4.5307249499999987E-2</c:v>
                </c:pt>
                <c:pt idx="2">
                  <c:v>4.9714815520000004E-2</c:v>
                </c:pt>
                <c:pt idx="3">
                  <c:v>5.0596505139999998E-2</c:v>
                </c:pt>
                <c:pt idx="4">
                  <c:v>4.933890937999999E-2</c:v>
                </c:pt>
                <c:pt idx="5">
                  <c:v>4.6910510359999998E-2</c:v>
                </c:pt>
                <c:pt idx="6">
                  <c:v>4.6404565959999998E-2</c:v>
                </c:pt>
                <c:pt idx="7">
                  <c:v>3.9758575919999997E-2</c:v>
                </c:pt>
                <c:pt idx="8">
                  <c:v>3.615214714E-2</c:v>
                </c:pt>
                <c:pt idx="9">
                  <c:v>3.7670826659999997E-2</c:v>
                </c:pt>
                <c:pt idx="10">
                  <c:v>4.1927270919999989E-2</c:v>
                </c:pt>
                <c:pt idx="11">
                  <c:v>4.0407217603052513E-2</c:v>
                </c:pt>
                <c:pt idx="12">
                  <c:v>4.0249143491754187E-2</c:v>
                </c:pt>
                <c:pt idx="13">
                  <c:v>4.0488258697403356E-2</c:v>
                </c:pt>
                <c:pt idx="14">
                  <c:v>3.8759810994806708E-2</c:v>
                </c:pt>
                <c:pt idx="15">
                  <c:v>2.795019762747265E-2</c:v>
                </c:pt>
                <c:pt idx="16">
                  <c:v>2.4077365505014596E-2</c:v>
                </c:pt>
                <c:pt idx="17">
                  <c:v>2.4940312259662666E-2</c:v>
                </c:pt>
                <c:pt idx="18">
                  <c:v>2.5742096244400086E-2</c:v>
                </c:pt>
                <c:pt idx="19">
                  <c:v>3.1293673803329716E-2</c:v>
                </c:pt>
                <c:pt idx="20">
                  <c:v>3.2190494477839185E-2</c:v>
                </c:pt>
                <c:pt idx="21">
                  <c:v>3.1635900532744392E-2</c:v>
                </c:pt>
                <c:pt idx="22">
                  <c:v>2.6604692411238178E-2</c:v>
                </c:pt>
                <c:pt idx="23">
                  <c:v>3.0744537701502764E-2</c:v>
                </c:pt>
                <c:pt idx="24">
                  <c:v>3.3146372237419945E-2</c:v>
                </c:pt>
                <c:pt idx="25">
                  <c:v>3.1552938417518453E-2</c:v>
                </c:pt>
                <c:pt idx="26">
                  <c:v>2.5320779284216229E-2</c:v>
                </c:pt>
                <c:pt idx="27">
                  <c:v>2.6620758804632015E-2</c:v>
                </c:pt>
                <c:pt idx="28">
                  <c:v>2.813919112152281E-2</c:v>
                </c:pt>
                <c:pt idx="29">
                  <c:v>3.0573250398689068E-2</c:v>
                </c:pt>
                <c:pt idx="30">
                  <c:v>2.3796785401582948E-2</c:v>
                </c:pt>
                <c:pt idx="31">
                  <c:v>2.5086564386201812E-2</c:v>
                </c:pt>
              </c:numCache>
            </c:numRef>
          </c:val>
          <c:extLst>
            <c:ext xmlns:c16="http://schemas.microsoft.com/office/drawing/2014/chart" uri="{C3380CC4-5D6E-409C-BE32-E72D297353CC}">
              <c16:uniqueId val="{00000000-5ACD-432C-9621-D2F384CD7865}"/>
            </c:ext>
          </c:extLst>
        </c:ser>
        <c:ser>
          <c:idx val="2"/>
          <c:order val="1"/>
          <c:tx>
            <c:strRef>
              <c:f>'Summary by Gas'!$C$56</c:f>
              <c:strCache>
                <c:ptCount val="1"/>
                <c:pt idx="0">
                  <c:v>Commercial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Gas'!$D$56:$AI$56</c:f>
              <c:numCache>
                <c:formatCode>0.0</c:formatCode>
                <c:ptCount val="32"/>
                <c:pt idx="0">
                  <c:v>1.7459787219999998E-2</c:v>
                </c:pt>
                <c:pt idx="1">
                  <c:v>1.8995366320000002E-2</c:v>
                </c:pt>
                <c:pt idx="2">
                  <c:v>1.7514631139999997E-2</c:v>
                </c:pt>
                <c:pt idx="3">
                  <c:v>1.5742106279999998E-2</c:v>
                </c:pt>
                <c:pt idx="4">
                  <c:v>1.5752128019999995E-2</c:v>
                </c:pt>
                <c:pt idx="5">
                  <c:v>1.6254365299999997E-2</c:v>
                </c:pt>
                <c:pt idx="6">
                  <c:v>1.5220326159999999E-2</c:v>
                </c:pt>
                <c:pt idx="7">
                  <c:v>1.48171113E-2</c:v>
                </c:pt>
                <c:pt idx="8">
                  <c:v>1.2826024299999997E-2</c:v>
                </c:pt>
                <c:pt idx="9">
                  <c:v>1.0733101759999997E-2</c:v>
                </c:pt>
                <c:pt idx="10">
                  <c:v>1.3812427050171428E-2</c:v>
                </c:pt>
                <c:pt idx="11">
                  <c:v>1.1020051255885713E-2</c:v>
                </c:pt>
                <c:pt idx="12">
                  <c:v>1.1823292648342854E-2</c:v>
                </c:pt>
                <c:pt idx="13">
                  <c:v>1.4761036725142855E-2</c:v>
                </c:pt>
                <c:pt idx="14">
                  <c:v>1.563689063103655E-2</c:v>
                </c:pt>
                <c:pt idx="15">
                  <c:v>1.2921108446204095E-2</c:v>
                </c:pt>
                <c:pt idx="16">
                  <c:v>9.3375636906133271E-3</c:v>
                </c:pt>
                <c:pt idx="17">
                  <c:v>9.1652367603618241E-3</c:v>
                </c:pt>
                <c:pt idx="18">
                  <c:v>8.6228339062382961E-3</c:v>
                </c:pt>
                <c:pt idx="19">
                  <c:v>1.0064289141239299E-2</c:v>
                </c:pt>
                <c:pt idx="20">
                  <c:v>1.2078436265862733E-2</c:v>
                </c:pt>
                <c:pt idx="21">
                  <c:v>1.0330509127503657E-2</c:v>
                </c:pt>
                <c:pt idx="22">
                  <c:v>8.2297996652820997E-3</c:v>
                </c:pt>
                <c:pt idx="23">
                  <c:v>9.4446796719390574E-3</c:v>
                </c:pt>
                <c:pt idx="24">
                  <c:v>9.9404241643935125E-3</c:v>
                </c:pt>
                <c:pt idx="25">
                  <c:v>1.1065447083028786E-2</c:v>
                </c:pt>
                <c:pt idx="26">
                  <c:v>9.6428694957498475E-3</c:v>
                </c:pt>
                <c:pt idx="27">
                  <c:v>1.0073177624598055E-2</c:v>
                </c:pt>
                <c:pt idx="28">
                  <c:v>1.0147222673359794E-2</c:v>
                </c:pt>
                <c:pt idx="29">
                  <c:v>1.0545505058611494E-2</c:v>
                </c:pt>
                <c:pt idx="30">
                  <c:v>9.5786719662446836E-3</c:v>
                </c:pt>
                <c:pt idx="31">
                  <c:v>1.0724458575293229E-2</c:v>
                </c:pt>
              </c:numCache>
            </c:numRef>
          </c:val>
          <c:extLst>
            <c:ext xmlns:c16="http://schemas.microsoft.com/office/drawing/2014/chart" uri="{C3380CC4-5D6E-409C-BE32-E72D297353CC}">
              <c16:uniqueId val="{00000001-5ACD-432C-9621-D2F384CD7865}"/>
            </c:ext>
          </c:extLst>
        </c:ser>
        <c:ser>
          <c:idx val="3"/>
          <c:order val="2"/>
          <c:tx>
            <c:strRef>
              <c:f>'Summary by Gas'!$C$57</c:f>
              <c:strCache>
                <c:ptCount val="1"/>
                <c:pt idx="0">
                  <c:v>Industrial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Gas'!$D$57:$AI$57</c:f>
              <c:numCache>
                <c:formatCode>0.0</c:formatCode>
                <c:ptCount val="32"/>
                <c:pt idx="0">
                  <c:v>1.4131042393452437E-2</c:v>
                </c:pt>
                <c:pt idx="1">
                  <c:v>1.1782990069514479E-2</c:v>
                </c:pt>
                <c:pt idx="2">
                  <c:v>1.3961380085453973E-2</c:v>
                </c:pt>
                <c:pt idx="3">
                  <c:v>1.4357153657557312E-2</c:v>
                </c:pt>
                <c:pt idx="4">
                  <c:v>1.3223561125995542E-2</c:v>
                </c:pt>
                <c:pt idx="5">
                  <c:v>1.2885414916947054E-2</c:v>
                </c:pt>
                <c:pt idx="6">
                  <c:v>1.2837080342213009E-2</c:v>
                </c:pt>
                <c:pt idx="7">
                  <c:v>1.3575039593510351E-2</c:v>
                </c:pt>
                <c:pt idx="8">
                  <c:v>1.1956271452967418E-2</c:v>
                </c:pt>
                <c:pt idx="9">
                  <c:v>1.2068082811969742E-2</c:v>
                </c:pt>
                <c:pt idx="10">
                  <c:v>1.2035711826937268E-2</c:v>
                </c:pt>
                <c:pt idx="11">
                  <c:v>1.2122184667257204E-2</c:v>
                </c:pt>
                <c:pt idx="12">
                  <c:v>9.607577379649998E-3</c:v>
                </c:pt>
                <c:pt idx="13">
                  <c:v>9.0180264605544611E-3</c:v>
                </c:pt>
                <c:pt idx="14">
                  <c:v>9.0928332119828634E-3</c:v>
                </c:pt>
                <c:pt idx="15">
                  <c:v>9.4240577679347379E-3</c:v>
                </c:pt>
                <c:pt idx="16">
                  <c:v>9.4361716657873004E-3</c:v>
                </c:pt>
                <c:pt idx="17">
                  <c:v>9.1265804938307615E-3</c:v>
                </c:pt>
                <c:pt idx="18">
                  <c:v>8.5416890589751718E-3</c:v>
                </c:pt>
                <c:pt idx="19">
                  <c:v>6.6902827077073759E-3</c:v>
                </c:pt>
                <c:pt idx="20">
                  <c:v>9.8216965807547234E-3</c:v>
                </c:pt>
                <c:pt idx="21">
                  <c:v>1.2088329563189374E-2</c:v>
                </c:pt>
                <c:pt idx="22">
                  <c:v>1.1256742639266742E-2</c:v>
                </c:pt>
                <c:pt idx="23">
                  <c:v>1.1300283747145768E-2</c:v>
                </c:pt>
                <c:pt idx="24">
                  <c:v>1.0929303316942992E-2</c:v>
                </c:pt>
                <c:pt idx="25">
                  <c:v>1.0993951578919876E-2</c:v>
                </c:pt>
                <c:pt idx="26">
                  <c:v>1.0394165303973796E-2</c:v>
                </c:pt>
                <c:pt idx="27">
                  <c:v>6.0216302549108433E-3</c:v>
                </c:pt>
                <c:pt idx="28">
                  <c:v>5.9057361384029661E-3</c:v>
                </c:pt>
                <c:pt idx="29">
                  <c:v>5.9405821566008354E-3</c:v>
                </c:pt>
                <c:pt idx="30">
                  <c:v>5.7501135280712285E-3</c:v>
                </c:pt>
                <c:pt idx="31">
                  <c:v>5.9386031324607505E-3</c:v>
                </c:pt>
              </c:numCache>
            </c:numRef>
          </c:val>
          <c:extLst>
            <c:ext xmlns:c16="http://schemas.microsoft.com/office/drawing/2014/chart" uri="{C3380CC4-5D6E-409C-BE32-E72D297353CC}">
              <c16:uniqueId val="{00000002-5ACD-432C-9621-D2F384CD7865}"/>
            </c:ext>
          </c:extLst>
        </c:ser>
        <c:ser>
          <c:idx val="4"/>
          <c:order val="3"/>
          <c:tx>
            <c:strRef>
              <c:f>'Summary by Gas'!$C$58</c:f>
              <c:strCache>
                <c:ptCount val="1"/>
                <c:pt idx="0">
                  <c:v>Electric Power</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Gas'!$D$58:$AI$58</c:f>
              <c:numCache>
                <c:formatCode>0.0</c:formatCode>
                <c:ptCount val="32"/>
                <c:pt idx="0">
                  <c:v>7.8214987199999988E-2</c:v>
                </c:pt>
                <c:pt idx="1">
                  <c:v>8.0808928200000005E-2</c:v>
                </c:pt>
                <c:pt idx="2">
                  <c:v>7.5352592899999987E-2</c:v>
                </c:pt>
                <c:pt idx="3">
                  <c:v>6.7173685121371424E-2</c:v>
                </c:pt>
                <c:pt idx="4">
                  <c:v>6.6988997552399995E-2</c:v>
                </c:pt>
                <c:pt idx="5">
                  <c:v>6.3268654798571425E-2</c:v>
                </c:pt>
                <c:pt idx="6">
                  <c:v>6.6510448960345719E-2</c:v>
                </c:pt>
                <c:pt idx="7">
                  <c:v>8.0656599962989711E-2</c:v>
                </c:pt>
                <c:pt idx="8">
                  <c:v>8.1765040422384208E-2</c:v>
                </c:pt>
                <c:pt idx="9">
                  <c:v>7.6593528455285886E-2</c:v>
                </c:pt>
                <c:pt idx="10">
                  <c:v>7.3114670495285874E-2</c:v>
                </c:pt>
                <c:pt idx="11">
                  <c:v>7.1260217388187511E-2</c:v>
                </c:pt>
                <c:pt idx="12">
                  <c:v>7.1432458699716692E-2</c:v>
                </c:pt>
                <c:pt idx="13">
                  <c:v>7.1238174616702621E-2</c:v>
                </c:pt>
                <c:pt idx="14">
                  <c:v>6.8082906920434755E-2</c:v>
                </c:pt>
                <c:pt idx="15">
                  <c:v>7.3875947768467426E-2</c:v>
                </c:pt>
                <c:pt idx="16">
                  <c:v>6.3624757531628565E-2</c:v>
                </c:pt>
                <c:pt idx="17">
                  <c:v>6.8698120036018842E-2</c:v>
                </c:pt>
                <c:pt idx="18">
                  <c:v>6.0879595195013715E-2</c:v>
                </c:pt>
                <c:pt idx="19">
                  <c:v>5.1476766029089481E-2</c:v>
                </c:pt>
                <c:pt idx="20">
                  <c:v>4.7442822169366745E-2</c:v>
                </c:pt>
                <c:pt idx="21">
                  <c:v>2.9137659109578173E-2</c:v>
                </c:pt>
                <c:pt idx="22">
                  <c:v>2.034264095294663E-2</c:v>
                </c:pt>
                <c:pt idx="23">
                  <c:v>2.8207189288461137E-2</c:v>
                </c:pt>
                <c:pt idx="24">
                  <c:v>2.4583025886211543E-2</c:v>
                </c:pt>
                <c:pt idx="25">
                  <c:v>2.1758799664832913E-2</c:v>
                </c:pt>
                <c:pt idx="26">
                  <c:v>2.0411427923954516E-2</c:v>
                </c:pt>
                <c:pt idx="27">
                  <c:v>1.6454455358938396E-2</c:v>
                </c:pt>
                <c:pt idx="28">
                  <c:v>1.0483698540397143E-2</c:v>
                </c:pt>
                <c:pt idx="29">
                  <c:v>8.7155990293542856E-3</c:v>
                </c:pt>
                <c:pt idx="30">
                  <c:v>8.6595008944979415E-3</c:v>
                </c:pt>
                <c:pt idx="31">
                  <c:v>7.8460887226196561E-3</c:v>
                </c:pt>
              </c:numCache>
            </c:numRef>
          </c:val>
          <c:extLst>
            <c:ext xmlns:c16="http://schemas.microsoft.com/office/drawing/2014/chart" uri="{C3380CC4-5D6E-409C-BE32-E72D297353CC}">
              <c16:uniqueId val="{00000003-5ACD-432C-9621-D2F384CD7865}"/>
            </c:ext>
          </c:extLst>
        </c:ser>
        <c:ser>
          <c:idx val="5"/>
          <c:order val="4"/>
          <c:tx>
            <c:strRef>
              <c:f>'Summary by Gas'!$C$59</c:f>
              <c:strCache>
                <c:ptCount val="1"/>
                <c:pt idx="0">
                  <c:v>Solid Waste (Electric &amp; Industrial Municipal Waste Combustion)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Gas'!$D$59:$AI$59</c:f>
              <c:numCache>
                <c:formatCode>0.0</c:formatCode>
                <c:ptCount val="32"/>
                <c:pt idx="0">
                  <c:v>3.465244985383395E-2</c:v>
                </c:pt>
                <c:pt idx="1">
                  <c:v>3.6144808868822285E-2</c:v>
                </c:pt>
                <c:pt idx="2">
                  <c:v>3.7771278767894483E-2</c:v>
                </c:pt>
                <c:pt idx="3">
                  <c:v>3.9419408956427454E-2</c:v>
                </c:pt>
                <c:pt idx="4">
                  <c:v>4.1312569576892742E-2</c:v>
                </c:pt>
                <c:pt idx="5">
                  <c:v>4.024399123526072E-2</c:v>
                </c:pt>
                <c:pt idx="6">
                  <c:v>4.2620989020182104E-2</c:v>
                </c:pt>
                <c:pt idx="7">
                  <c:v>4.1919449143899203E-2</c:v>
                </c:pt>
                <c:pt idx="8">
                  <c:v>4.1329036183925846E-2</c:v>
                </c:pt>
                <c:pt idx="9">
                  <c:v>4.0311398591554568E-2</c:v>
                </c:pt>
                <c:pt idx="10">
                  <c:v>4.1941939836784313E-2</c:v>
                </c:pt>
                <c:pt idx="11">
                  <c:v>4.2811402907994504E-2</c:v>
                </c:pt>
                <c:pt idx="12">
                  <c:v>4.1720288702001507E-2</c:v>
                </c:pt>
                <c:pt idx="13">
                  <c:v>4.2271927442762099E-2</c:v>
                </c:pt>
                <c:pt idx="14">
                  <c:v>4.1792026895389342E-2</c:v>
                </c:pt>
                <c:pt idx="15">
                  <c:v>4.2174322873752307E-2</c:v>
                </c:pt>
                <c:pt idx="16">
                  <c:v>4.2691297854721387E-2</c:v>
                </c:pt>
                <c:pt idx="17">
                  <c:v>4.0850236392377316E-2</c:v>
                </c:pt>
                <c:pt idx="18">
                  <c:v>4.4341591778851767E-2</c:v>
                </c:pt>
                <c:pt idx="19">
                  <c:v>4.3766977796234979E-2</c:v>
                </c:pt>
                <c:pt idx="20">
                  <c:v>3.617124E-2</c:v>
                </c:pt>
                <c:pt idx="21">
                  <c:v>3.6385799999999996E-2</c:v>
                </c:pt>
                <c:pt idx="22">
                  <c:v>3.6385800000000003E-2</c:v>
                </c:pt>
                <c:pt idx="23">
                  <c:v>3.9748134000000004E-2</c:v>
                </c:pt>
                <c:pt idx="24">
                  <c:v>3.9865546000000009E-2</c:v>
                </c:pt>
                <c:pt idx="25">
                  <c:v>3.9379508000000001E-2</c:v>
                </c:pt>
                <c:pt idx="26">
                  <c:v>3.9031742000000008E-2</c:v>
                </c:pt>
                <c:pt idx="27">
                  <c:v>3.8903298000000003E-2</c:v>
                </c:pt>
                <c:pt idx="28">
                  <c:v>3.9179847999999996E-2</c:v>
                </c:pt>
                <c:pt idx="29">
                  <c:v>3.8296575999999992E-2</c:v>
                </c:pt>
                <c:pt idx="30">
                  <c:v>3.6058E-2</c:v>
                </c:pt>
                <c:pt idx="31">
                  <c:v>3.8499795999999996E-2</c:v>
                </c:pt>
              </c:numCache>
            </c:numRef>
          </c:val>
          <c:extLst>
            <c:ext xmlns:c16="http://schemas.microsoft.com/office/drawing/2014/chart" uri="{C3380CC4-5D6E-409C-BE32-E72D297353CC}">
              <c16:uniqueId val="{00000004-5ACD-432C-9621-D2F384CD7865}"/>
            </c:ext>
          </c:extLst>
        </c:ser>
        <c:ser>
          <c:idx val="6"/>
          <c:order val="5"/>
          <c:tx>
            <c:strRef>
              <c:f>'Summary by Gas'!$C$60</c:f>
              <c:strCache>
                <c:ptCount val="1"/>
                <c:pt idx="0">
                  <c:v>Solid Waste (Landfill)</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Gas'!$E$60:$AI$60</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1.8445E-3</c:v>
                </c:pt>
                <c:pt idx="20">
                  <c:v>2.878E-4</c:v>
                </c:pt>
                <c:pt idx="21">
                  <c:v>3.658E-4</c:v>
                </c:pt>
                <c:pt idx="22">
                  <c:v>3.6720938000000001E-4</c:v>
                </c:pt>
                <c:pt idx="23">
                  <c:v>3.2930000000000004E-4</c:v>
                </c:pt>
                <c:pt idx="24">
                  <c:v>8.7599999999999988E-5</c:v>
                </c:pt>
                <c:pt idx="25">
                  <c:v>1.1129999999999999E-4</c:v>
                </c:pt>
                <c:pt idx="26">
                  <c:v>1.0640000000000001E-4</c:v>
                </c:pt>
                <c:pt idx="27">
                  <c:v>1.03E-4</c:v>
                </c:pt>
                <c:pt idx="28">
                  <c:v>9.3999999999999994E-5</c:v>
                </c:pt>
                <c:pt idx="29">
                  <c:v>1.0180000000000001E-4</c:v>
                </c:pt>
                <c:pt idx="30">
                  <c:v>1.015E-4</c:v>
                </c:pt>
              </c:numCache>
            </c:numRef>
          </c:val>
          <c:extLst>
            <c:ext xmlns:c16="http://schemas.microsoft.com/office/drawing/2014/chart" uri="{C3380CC4-5D6E-409C-BE32-E72D297353CC}">
              <c16:uniqueId val="{00000005-5ACD-432C-9621-D2F384CD7865}"/>
            </c:ext>
          </c:extLst>
        </c:ser>
        <c:ser>
          <c:idx val="8"/>
          <c:order val="6"/>
          <c:tx>
            <c:strRef>
              <c:f>'Summary by Gas'!$C$61</c:f>
              <c:strCache>
                <c:ptCount val="1"/>
                <c:pt idx="0">
                  <c:v>Transportation</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Gas'!$D$61:$AI$61</c:f>
              <c:numCache>
                <c:formatCode>0.0</c:formatCode>
                <c:ptCount val="32"/>
                <c:pt idx="0">
                  <c:v>0.94042969926652131</c:v>
                </c:pt>
                <c:pt idx="1">
                  <c:v>0.95736096173789598</c:v>
                </c:pt>
                <c:pt idx="2">
                  <c:v>0.99363897276965485</c:v>
                </c:pt>
                <c:pt idx="3">
                  <c:v>0.97538108820855784</c:v>
                </c:pt>
                <c:pt idx="4">
                  <c:v>1.0263455302450082</c:v>
                </c:pt>
                <c:pt idx="5">
                  <c:v>1.0524882609894892</c:v>
                </c:pt>
                <c:pt idx="6">
                  <c:v>1.1002168056640356</c:v>
                </c:pt>
                <c:pt idx="7">
                  <c:v>1.0984072697258713</c:v>
                </c:pt>
                <c:pt idx="8">
                  <c:v>1.1025519245165563</c:v>
                </c:pt>
                <c:pt idx="9">
                  <c:v>1.0369599900904591</c:v>
                </c:pt>
                <c:pt idx="10">
                  <c:v>1.011078115591094</c:v>
                </c:pt>
                <c:pt idx="11">
                  <c:v>0.96324427338171104</c:v>
                </c:pt>
                <c:pt idx="12">
                  <c:v>0.90529838222484449</c:v>
                </c:pt>
                <c:pt idx="13">
                  <c:v>0.8658800342735834</c:v>
                </c:pt>
                <c:pt idx="14">
                  <c:v>0.81159607966657188</c:v>
                </c:pt>
                <c:pt idx="15">
                  <c:v>0.76543543124606028</c:v>
                </c:pt>
                <c:pt idx="16">
                  <c:v>0.75533087161694723</c:v>
                </c:pt>
                <c:pt idx="17">
                  <c:v>0.6593958458940592</c:v>
                </c:pt>
                <c:pt idx="18">
                  <c:v>0.61899184457691991</c:v>
                </c:pt>
                <c:pt idx="19">
                  <c:v>0.55334021721375937</c:v>
                </c:pt>
                <c:pt idx="20">
                  <c:v>0.53731282176029616</c:v>
                </c:pt>
                <c:pt idx="21">
                  <c:v>0.52861372831978692</c:v>
                </c:pt>
                <c:pt idx="22">
                  <c:v>0.47869714260625568</c:v>
                </c:pt>
                <c:pt idx="23">
                  <c:v>0.45538960929023514</c:v>
                </c:pt>
                <c:pt idx="24">
                  <c:v>0.42647044623304298</c:v>
                </c:pt>
                <c:pt idx="25">
                  <c:v>0.35799095419738802</c:v>
                </c:pt>
                <c:pt idx="26">
                  <c:v>0.34550070739391203</c:v>
                </c:pt>
                <c:pt idx="27">
                  <c:v>0.32048978928991789</c:v>
                </c:pt>
                <c:pt idx="28">
                  <c:v>0.2915445414215363</c:v>
                </c:pt>
                <c:pt idx="29">
                  <c:v>0.32578099090980267</c:v>
                </c:pt>
                <c:pt idx="30">
                  <c:v>0.2731405310425884</c:v>
                </c:pt>
                <c:pt idx="31">
                  <c:v>0.27110114556010101</c:v>
                </c:pt>
              </c:numCache>
            </c:numRef>
          </c:val>
          <c:extLst>
            <c:ext xmlns:c16="http://schemas.microsoft.com/office/drawing/2014/chart" uri="{C3380CC4-5D6E-409C-BE32-E72D297353CC}">
              <c16:uniqueId val="{00000006-5ACD-432C-9621-D2F384CD7865}"/>
            </c:ext>
          </c:extLst>
        </c:ser>
        <c:ser>
          <c:idx val="0"/>
          <c:order val="7"/>
          <c:tx>
            <c:strRef>
              <c:f>'Summary by Gas'!$C$62</c:f>
              <c:strCache>
                <c:ptCount val="1"/>
                <c:pt idx="0">
                  <c:v>Agriculture &amp; Land Use</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Gas'!$D$62:$AI$62</c:f>
              <c:numCache>
                <c:formatCode>0.0</c:formatCode>
                <c:ptCount val="32"/>
                <c:pt idx="0">
                  <c:v>0.25245294585933248</c:v>
                </c:pt>
                <c:pt idx="1">
                  <c:v>0.21170833293523908</c:v>
                </c:pt>
                <c:pt idx="2">
                  <c:v>0.21724925067153203</c:v>
                </c:pt>
                <c:pt idx="3">
                  <c:v>0.23275500861528747</c:v>
                </c:pt>
                <c:pt idx="4">
                  <c:v>0.20837524693117596</c:v>
                </c:pt>
                <c:pt idx="5">
                  <c:v>0.21721992001510748</c:v>
                </c:pt>
                <c:pt idx="6">
                  <c:v>0.21703156618315336</c:v>
                </c:pt>
                <c:pt idx="7">
                  <c:v>0.21239327856103579</c:v>
                </c:pt>
                <c:pt idx="8">
                  <c:v>0.19206658424091141</c:v>
                </c:pt>
                <c:pt idx="9">
                  <c:v>0.18939651403426483</c:v>
                </c:pt>
                <c:pt idx="10">
                  <c:v>0.19924031013116708</c:v>
                </c:pt>
                <c:pt idx="11">
                  <c:v>0.20795796588336704</c:v>
                </c:pt>
                <c:pt idx="12">
                  <c:v>0.20034980351646065</c:v>
                </c:pt>
                <c:pt idx="13">
                  <c:v>0.20108451551217993</c:v>
                </c:pt>
                <c:pt idx="14">
                  <c:v>0.20273977490837089</c:v>
                </c:pt>
                <c:pt idx="15">
                  <c:v>0.21145662730432729</c:v>
                </c:pt>
                <c:pt idx="16">
                  <c:v>0.21890269790133215</c:v>
                </c:pt>
                <c:pt idx="17">
                  <c:v>0.22373928677899066</c:v>
                </c:pt>
                <c:pt idx="18">
                  <c:v>0.20890774288894248</c:v>
                </c:pt>
                <c:pt idx="19">
                  <c:v>0.18496449266468162</c:v>
                </c:pt>
                <c:pt idx="20">
                  <c:v>0.17762520438977325</c:v>
                </c:pt>
                <c:pt idx="21">
                  <c:v>0.18685034828796596</c:v>
                </c:pt>
                <c:pt idx="22">
                  <c:v>0.17837574251180208</c:v>
                </c:pt>
                <c:pt idx="23">
                  <c:v>0.19214762870345575</c:v>
                </c:pt>
                <c:pt idx="24">
                  <c:v>0.18154676197955474</c:v>
                </c:pt>
                <c:pt idx="25">
                  <c:v>0.17334504930308142</c:v>
                </c:pt>
                <c:pt idx="26">
                  <c:v>0.12274953645849682</c:v>
                </c:pt>
                <c:pt idx="27">
                  <c:v>0.12402671973676736</c:v>
                </c:pt>
                <c:pt idx="28">
                  <c:v>0.12927969651613816</c:v>
                </c:pt>
                <c:pt idx="29">
                  <c:v>0.12321284367918436</c:v>
                </c:pt>
                <c:pt idx="30">
                  <c:v>0.10458890909743059</c:v>
                </c:pt>
                <c:pt idx="31">
                  <c:v>8.4757304168901496E-2</c:v>
                </c:pt>
              </c:numCache>
            </c:numRef>
          </c:val>
          <c:extLst>
            <c:ext xmlns:c16="http://schemas.microsoft.com/office/drawing/2014/chart" uri="{C3380CC4-5D6E-409C-BE32-E72D297353CC}">
              <c16:uniqueId val="{00000007-5ACD-432C-9621-D2F384CD7865}"/>
            </c:ext>
          </c:extLst>
        </c:ser>
        <c:ser>
          <c:idx val="10"/>
          <c:order val="8"/>
          <c:tx>
            <c:strRef>
              <c:f>'Summary by Gas'!$C$63</c:f>
              <c:strCache>
                <c:ptCount val="1"/>
                <c:pt idx="0">
                  <c:v>Wastewater</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Gas'!$D$63:$AI$63</c:f>
              <c:numCache>
                <c:formatCode>0.0</c:formatCode>
                <c:ptCount val="32"/>
                <c:pt idx="0">
                  <c:v>0.1812274103010576</c:v>
                </c:pt>
                <c:pt idx="1">
                  <c:v>0.13348640011618557</c:v>
                </c:pt>
                <c:pt idx="2">
                  <c:v>0.1311707553952832</c:v>
                </c:pt>
                <c:pt idx="3">
                  <c:v>0.12934497172734719</c:v>
                </c:pt>
                <c:pt idx="4">
                  <c:v>0.1275710851351296</c:v>
                </c:pt>
                <c:pt idx="5">
                  <c:v>0.12600071520884798</c:v>
                </c:pt>
                <c:pt idx="6">
                  <c:v>0.1274374571103904</c:v>
                </c:pt>
                <c:pt idx="7">
                  <c:v>0.12902967469735677</c:v>
                </c:pt>
                <c:pt idx="8">
                  <c:v>0.1306068718770656</c:v>
                </c:pt>
                <c:pt idx="9">
                  <c:v>0.13223238153245118</c:v>
                </c:pt>
                <c:pt idx="10">
                  <c:v>0.13724669762543037</c:v>
                </c:pt>
                <c:pt idx="11">
                  <c:v>0.14031091803426723</c:v>
                </c:pt>
                <c:pt idx="12">
                  <c:v>0.13750133296223838</c:v>
                </c:pt>
                <c:pt idx="13">
                  <c:v>0.13768081236147198</c:v>
                </c:pt>
                <c:pt idx="14">
                  <c:v>0.13886087030184319</c:v>
                </c:pt>
                <c:pt idx="15">
                  <c:v>0.15195439787415702</c:v>
                </c:pt>
                <c:pt idx="16">
                  <c:v>0.14207306783129792</c:v>
                </c:pt>
                <c:pt idx="17">
                  <c:v>0.14320273454505517</c:v>
                </c:pt>
                <c:pt idx="18">
                  <c:v>0.13988283699310791</c:v>
                </c:pt>
                <c:pt idx="19">
                  <c:v>0.14181450722329941</c:v>
                </c:pt>
                <c:pt idx="20">
                  <c:v>0.10689924714859605</c:v>
                </c:pt>
                <c:pt idx="21">
                  <c:v>0.110520929455186</c:v>
                </c:pt>
                <c:pt idx="22">
                  <c:v>0.10720630674650576</c:v>
                </c:pt>
                <c:pt idx="23">
                  <c:v>0.1078131730968232</c:v>
                </c:pt>
                <c:pt idx="24">
                  <c:v>0.11058135636808555</c:v>
                </c:pt>
                <c:pt idx="25">
                  <c:v>0.11149752676566771</c:v>
                </c:pt>
                <c:pt idx="26">
                  <c:v>0.11244304770736217</c:v>
                </c:pt>
                <c:pt idx="27">
                  <c:v>0.10136036493785829</c:v>
                </c:pt>
                <c:pt idx="28">
                  <c:v>0.10358141893225031</c:v>
                </c:pt>
                <c:pt idx="29">
                  <c:v>0.10389295048268139</c:v>
                </c:pt>
                <c:pt idx="30">
                  <c:v>0.10432700018437595</c:v>
                </c:pt>
                <c:pt idx="31">
                  <c:v>0.10051229494784662</c:v>
                </c:pt>
              </c:numCache>
            </c:numRef>
          </c:val>
          <c:extLst>
            <c:ext xmlns:c16="http://schemas.microsoft.com/office/drawing/2014/chart" uri="{C3380CC4-5D6E-409C-BE32-E72D297353CC}">
              <c16:uniqueId val="{00000008-5ACD-432C-9621-D2F384CD7865}"/>
            </c:ext>
          </c:extLst>
        </c:ser>
        <c:dLbls>
          <c:showLegendKey val="0"/>
          <c:showVal val="0"/>
          <c:showCatName val="0"/>
          <c:showSerName val="0"/>
          <c:showPercent val="0"/>
          <c:showBubbleSize val="0"/>
        </c:dLbls>
        <c:gapWidth val="150"/>
        <c:overlap val="100"/>
        <c:axId val="50809856"/>
        <c:axId val="50823936"/>
      </c:barChart>
      <c:catAx>
        <c:axId val="50809856"/>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0823936"/>
        <c:crosses val="autoZero"/>
        <c:auto val="1"/>
        <c:lblAlgn val="ctr"/>
        <c:lblOffset val="100"/>
        <c:noMultiLvlLbl val="0"/>
      </c:catAx>
      <c:valAx>
        <c:axId val="50823936"/>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0809856"/>
        <c:crosses val="autoZero"/>
        <c:crossBetween val="between"/>
      </c:valAx>
    </c:plotArea>
    <c:legend>
      <c:legendPos val="r"/>
      <c:layout>
        <c:manualLayout>
          <c:xMode val="edge"/>
          <c:yMode val="edge"/>
          <c:x val="0.6648514372965737"/>
          <c:y val="0.14213877292184116"/>
          <c:w val="0.3320263672677658"/>
          <c:h val="0.85786128219121127"/>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SF</a:t>
            </a:r>
            <a:r>
              <a:rPr lang="en-US" sz="1800" b="1" i="0" u="none" strike="noStrike" baseline="-25000">
                <a:solidFill>
                  <a:srgbClr val="000000"/>
                </a:solidFill>
                <a:latin typeface="Calibri"/>
              </a:rPr>
              <a:t>6</a:t>
            </a:r>
            <a:r>
              <a:rPr lang="en-US" sz="1800" b="1" i="0" u="none" strike="noStrike" baseline="0">
                <a:solidFill>
                  <a:srgbClr val="000000"/>
                </a:solidFill>
                <a:latin typeface="Calibri"/>
              </a:rPr>
              <a:t> &amp; </a:t>
            </a:r>
          </a:p>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Other GHGs</a:t>
            </a:r>
          </a:p>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a:t>
            </a:r>
          </a:p>
        </c:rich>
      </c:tx>
      <c:layout>
        <c:manualLayout>
          <c:xMode val="edge"/>
          <c:yMode val="edge"/>
          <c:x val="0.69745822397200352"/>
          <c:y val="3.7820539812202625E-2"/>
        </c:manualLayout>
      </c:layout>
      <c:overlay val="0"/>
    </c:title>
    <c:autoTitleDeleted val="0"/>
    <c:plotArea>
      <c:layout>
        <c:manualLayout>
          <c:layoutTarget val="inner"/>
          <c:xMode val="edge"/>
          <c:yMode val="edge"/>
          <c:x val="0.1016132983377077"/>
          <c:y val="4.8005316470990933E-2"/>
          <c:w val="0.5039422572178478"/>
          <c:h val="0.83903095233300529"/>
        </c:manualLayout>
      </c:layout>
      <c:barChart>
        <c:barDir val="col"/>
        <c:grouping val="stacked"/>
        <c:varyColors val="0"/>
        <c:ser>
          <c:idx val="1"/>
          <c:order val="0"/>
          <c:tx>
            <c:strRef>
              <c:f>'Summary by Gas'!$C$66</c:f>
              <c:strCache>
                <c:ptCount val="1"/>
                <c:pt idx="0">
                  <c:v>ODS Substitutes</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Gas'!$D$66:$AI$66</c:f>
              <c:numCache>
                <c:formatCode>0.0</c:formatCode>
                <c:ptCount val="32"/>
                <c:pt idx="0">
                  <c:v>5.4099844792000005E-3</c:v>
                </c:pt>
                <c:pt idx="1">
                  <c:v>1.2460479461513315E-2</c:v>
                </c:pt>
                <c:pt idx="2">
                  <c:v>3.3364256189678726E-2</c:v>
                </c:pt>
                <c:pt idx="3">
                  <c:v>0.10791387960654042</c:v>
                </c:pt>
                <c:pt idx="4">
                  <c:v>0.26075442052323411</c:v>
                </c:pt>
                <c:pt idx="5">
                  <c:v>0.5726936510337084</c:v>
                </c:pt>
                <c:pt idx="6">
                  <c:v>0.80334416190255409</c:v>
                </c:pt>
                <c:pt idx="7">
                  <c:v>1.0209886908184624</c:v>
                </c:pt>
                <c:pt idx="8">
                  <c:v>1.1776020716654192</c:v>
                </c:pt>
                <c:pt idx="9">
                  <c:v>1.3381574499433033</c:v>
                </c:pt>
                <c:pt idx="10">
                  <c:v>1.4723589128157732</c:v>
                </c:pt>
                <c:pt idx="11">
                  <c:v>1.6016525441583729</c:v>
                </c:pt>
                <c:pt idx="12">
                  <c:v>1.6939374776078653</c:v>
                </c:pt>
                <c:pt idx="13">
                  <c:v>1.7760353004828737</c:v>
                </c:pt>
                <c:pt idx="14">
                  <c:v>1.8417104934056658</c:v>
                </c:pt>
                <c:pt idx="15">
                  <c:v>1.9230356945102909</c:v>
                </c:pt>
                <c:pt idx="16">
                  <c:v>2.0434734271879846</c:v>
                </c:pt>
                <c:pt idx="17">
                  <c:v>2.185336049036072</c:v>
                </c:pt>
                <c:pt idx="18">
                  <c:v>2.3446180055725572</c:v>
                </c:pt>
                <c:pt idx="19">
                  <c:v>2.4375478218789497</c:v>
                </c:pt>
                <c:pt idx="20">
                  <c:v>2.2487247459142132</c:v>
                </c:pt>
                <c:pt idx="21">
                  <c:v>2.3750213406845253</c:v>
                </c:pt>
                <c:pt idx="22">
                  <c:v>2.590013383312308</c:v>
                </c:pt>
                <c:pt idx="23">
                  <c:v>3.0580482864494538</c:v>
                </c:pt>
                <c:pt idx="24">
                  <c:v>3.467413417722141</c:v>
                </c:pt>
                <c:pt idx="25">
                  <c:v>3.352298239825052</c:v>
                </c:pt>
                <c:pt idx="26">
                  <c:v>3.3968978292518734</c:v>
                </c:pt>
                <c:pt idx="27">
                  <c:v>2.9302622333298363</c:v>
                </c:pt>
                <c:pt idx="28">
                  <c:v>3.2874970695521233</c:v>
                </c:pt>
                <c:pt idx="29">
                  <c:v>3.1500186257919345</c:v>
                </c:pt>
                <c:pt idx="30">
                  <c:v>3.4605713795215456</c:v>
                </c:pt>
                <c:pt idx="31">
                  <c:v>3.5993820553111133</c:v>
                </c:pt>
              </c:numCache>
            </c:numRef>
          </c:val>
          <c:extLst>
            <c:ext xmlns:c16="http://schemas.microsoft.com/office/drawing/2014/chart" uri="{C3380CC4-5D6E-409C-BE32-E72D297353CC}">
              <c16:uniqueId val="{00000000-6EE1-4E3C-94F9-33BE94C02696}"/>
            </c:ext>
          </c:extLst>
        </c:ser>
        <c:ser>
          <c:idx val="2"/>
          <c:order val="1"/>
          <c:tx>
            <c:strRef>
              <c:f>'Summary by Gas'!$C$67</c:f>
              <c:strCache>
                <c:ptCount val="1"/>
                <c:pt idx="0">
                  <c:v>Semiconductor Manufacturing</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Gas'!$D$67:$AI$67</c:f>
              <c:numCache>
                <c:formatCode>0.0</c:formatCode>
                <c:ptCount val="32"/>
                <c:pt idx="0">
                  <c:v>8.8073545482425117E-2</c:v>
                </c:pt>
                <c:pt idx="1">
                  <c:v>8.1004944716333571E-2</c:v>
                </c:pt>
                <c:pt idx="2">
                  <c:v>8.1004944716333571E-2</c:v>
                </c:pt>
                <c:pt idx="3">
                  <c:v>0.10125618089541694</c:v>
                </c:pt>
                <c:pt idx="4">
                  <c:v>0.11138179898495866</c:v>
                </c:pt>
                <c:pt idx="5">
                  <c:v>0.13996914247232409</c:v>
                </c:pt>
                <c:pt idx="6">
                  <c:v>0.15543053401135012</c:v>
                </c:pt>
                <c:pt idx="7">
                  <c:v>0.16425899693515966</c:v>
                </c:pt>
                <c:pt idx="8">
                  <c:v>0.26253939011032906</c:v>
                </c:pt>
                <c:pt idx="9">
                  <c:v>0.33435106863421576</c:v>
                </c:pt>
                <c:pt idx="10">
                  <c:v>0.34483880209913181</c:v>
                </c:pt>
                <c:pt idx="11">
                  <c:v>0.29379758504386466</c:v>
                </c:pt>
                <c:pt idx="12">
                  <c:v>0.35830450702210509</c:v>
                </c:pt>
                <c:pt idx="13">
                  <c:v>0.30417391495858959</c:v>
                </c:pt>
                <c:pt idx="14">
                  <c:v>0.25307006955678107</c:v>
                </c:pt>
                <c:pt idx="15">
                  <c:v>0.20876152734863998</c:v>
                </c:pt>
                <c:pt idx="16">
                  <c:v>0.19705972486139819</c:v>
                </c:pt>
                <c:pt idx="17">
                  <c:v>0.15277881297471974</c:v>
                </c:pt>
                <c:pt idx="18">
                  <c:v>0.16785017402067828</c:v>
                </c:pt>
                <c:pt idx="19">
                  <c:v>0.14326624702402438</c:v>
                </c:pt>
                <c:pt idx="20">
                  <c:v>0.21688356644994836</c:v>
                </c:pt>
                <c:pt idx="21">
                  <c:v>0.33449905312150802</c:v>
                </c:pt>
                <c:pt idx="22">
                  <c:v>0.3669345445531878</c:v>
                </c:pt>
                <c:pt idx="23">
                  <c:v>0.3195543971840169</c:v>
                </c:pt>
                <c:pt idx="24">
                  <c:v>0.31488642340047368</c:v>
                </c:pt>
                <c:pt idx="25">
                  <c:v>0.29984889018138766</c:v>
                </c:pt>
                <c:pt idx="26">
                  <c:v>0.28086050526205503</c:v>
                </c:pt>
                <c:pt idx="27">
                  <c:v>0.25854189962968216</c:v>
                </c:pt>
                <c:pt idx="28">
                  <c:v>0.26775135593837884</c:v>
                </c:pt>
                <c:pt idx="29">
                  <c:v>0.24804664146958025</c:v>
                </c:pt>
                <c:pt idx="30">
                  <c:v>0.24706438617296594</c:v>
                </c:pt>
                <c:pt idx="31">
                  <c:v>0.27214199886570617</c:v>
                </c:pt>
              </c:numCache>
            </c:numRef>
          </c:val>
          <c:extLst>
            <c:ext xmlns:c16="http://schemas.microsoft.com/office/drawing/2014/chart" uri="{C3380CC4-5D6E-409C-BE32-E72D297353CC}">
              <c16:uniqueId val="{00000001-6EE1-4E3C-94F9-33BE94C02696}"/>
            </c:ext>
          </c:extLst>
        </c:ser>
        <c:ser>
          <c:idx val="0"/>
          <c:order val="2"/>
          <c:tx>
            <c:strRef>
              <c:f>'Summary by Gas'!$C$65</c:f>
              <c:strCache>
                <c:ptCount val="1"/>
                <c:pt idx="0">
                  <c:v>Electric Power Transmission and Distribution Systems</c:v>
                </c:pt>
              </c:strCache>
            </c:strRef>
          </c:tx>
          <c:invertIfNegative val="0"/>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Gas'!$D$65:$AI$65</c:f>
              <c:numCache>
                <c:formatCode>0.0</c:formatCode>
                <c:ptCount val="32"/>
                <c:pt idx="0">
                  <c:v>0.38789975619760453</c:v>
                </c:pt>
                <c:pt idx="1">
                  <c:v>0.3718260641647354</c:v>
                </c:pt>
                <c:pt idx="2">
                  <c:v>0.37215208156089641</c:v>
                </c:pt>
                <c:pt idx="3">
                  <c:v>0.35059306348162167</c:v>
                </c:pt>
                <c:pt idx="4">
                  <c:v>0.32777458754937455</c:v>
                </c:pt>
                <c:pt idx="5">
                  <c:v>0.29696578337512486</c:v>
                </c:pt>
                <c:pt idx="6">
                  <c:v>0.26831279500899841</c:v>
                </c:pt>
                <c:pt idx="7">
                  <c:v>0.24549879852171885</c:v>
                </c:pt>
                <c:pt idx="8">
                  <c:v>0.20426712546738821</c:v>
                </c:pt>
                <c:pt idx="9">
                  <c:v>0.20938205540256527</c:v>
                </c:pt>
                <c:pt idx="10">
                  <c:v>0.20538617220111405</c:v>
                </c:pt>
                <c:pt idx="11">
                  <c:v>0.20572862214132048</c:v>
                </c:pt>
                <c:pt idx="12">
                  <c:v>0.19499097337850929</c:v>
                </c:pt>
                <c:pt idx="13">
                  <c:v>0.19259226561409309</c:v>
                </c:pt>
                <c:pt idx="14">
                  <c:v>0.18664815304992144</c:v>
                </c:pt>
                <c:pt idx="15">
                  <c:v>0.17963885239526922</c:v>
                </c:pt>
                <c:pt idx="16">
                  <c:v>0.16198195834948043</c:v>
                </c:pt>
                <c:pt idx="17">
                  <c:v>0.15036008802009723</c:v>
                </c:pt>
                <c:pt idx="18">
                  <c:v>0.14753401409735378</c:v>
                </c:pt>
                <c:pt idx="19">
                  <c:v>0.13190623467939996</c:v>
                </c:pt>
                <c:pt idx="20">
                  <c:v>0.11458593451620261</c:v>
                </c:pt>
                <c:pt idx="21">
                  <c:v>0.10261998235595651</c:v>
                </c:pt>
                <c:pt idx="22">
                  <c:v>8.8556426713883349E-2</c:v>
                </c:pt>
                <c:pt idx="23">
                  <c:v>8.4644758816187687E-2</c:v>
                </c:pt>
                <c:pt idx="24">
                  <c:v>8.56357110837309E-2</c:v>
                </c:pt>
                <c:pt idx="25">
                  <c:v>7.5052550926182612E-2</c:v>
                </c:pt>
                <c:pt idx="26">
                  <c:v>7.6700192109095663E-2</c:v>
                </c:pt>
                <c:pt idx="27">
                  <c:v>7.4945534066795869E-2</c:v>
                </c:pt>
                <c:pt idx="28">
                  <c:v>7.0238405761697736E-2</c:v>
                </c:pt>
                <c:pt idx="29">
                  <c:v>7.9562782950133915E-2</c:v>
                </c:pt>
                <c:pt idx="30">
                  <c:v>7.6434475695087434E-2</c:v>
                </c:pt>
                <c:pt idx="31">
                  <c:v>7.7486947937451728E-2</c:v>
                </c:pt>
              </c:numCache>
            </c:numRef>
          </c:val>
          <c:extLst>
            <c:ext xmlns:c16="http://schemas.microsoft.com/office/drawing/2014/chart" uri="{C3380CC4-5D6E-409C-BE32-E72D297353CC}">
              <c16:uniqueId val="{00000002-6EE1-4E3C-94F9-33BE94C02696}"/>
            </c:ext>
          </c:extLst>
        </c:ser>
        <c:dLbls>
          <c:showLegendKey val="0"/>
          <c:showVal val="0"/>
          <c:showCatName val="0"/>
          <c:showSerName val="0"/>
          <c:showPercent val="0"/>
          <c:showBubbleSize val="0"/>
        </c:dLbls>
        <c:gapWidth val="150"/>
        <c:overlap val="100"/>
        <c:axId val="50465792"/>
        <c:axId val="50467584"/>
      </c:barChart>
      <c:catAx>
        <c:axId val="50465792"/>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0467584"/>
        <c:crosses val="autoZero"/>
        <c:auto val="1"/>
        <c:lblAlgn val="ctr"/>
        <c:lblOffset val="100"/>
        <c:noMultiLvlLbl val="0"/>
      </c:catAx>
      <c:valAx>
        <c:axId val="50467584"/>
        <c:scaling>
          <c:orientation val="minMax"/>
          <c:max val="4"/>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0465792"/>
        <c:crosses val="autoZero"/>
        <c:crossBetween val="between"/>
      </c:valAx>
    </c:plotArea>
    <c:legend>
      <c:legendPos val="r"/>
      <c:layout>
        <c:manualLayout>
          <c:xMode val="edge"/>
          <c:yMode val="edge"/>
          <c:x val="0.66388888888888886"/>
          <c:y val="0.28536134854800904"/>
          <c:w val="0.31579177602799646"/>
          <c:h val="0.60872092860050242"/>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 (Metric Tons 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a:t>
            </a:r>
          </a:p>
        </c:rich>
      </c:tx>
      <c:overlay val="0"/>
    </c:title>
    <c:autoTitleDeleted val="0"/>
    <c:plotArea>
      <c:layout>
        <c:manualLayout>
          <c:layoutTarget val="inner"/>
          <c:xMode val="edge"/>
          <c:yMode val="edge"/>
          <c:x val="0.17960875580207647"/>
          <c:y val="0.15265743506199655"/>
          <c:w val="0.71815135177068379"/>
          <c:h val="0.62899052978879211"/>
        </c:manualLayout>
      </c:layout>
      <c:lineChart>
        <c:grouping val="standard"/>
        <c:varyColors val="0"/>
        <c:ser>
          <c:idx val="1"/>
          <c:order val="0"/>
          <c:tx>
            <c:strRef>
              <c:f>'Summary by Gas'!$C$73</c:f>
              <c:strCache>
                <c:ptCount val="1"/>
                <c:pt idx="0">
                  <c:v>CH4 (Metric Tons CH4)</c:v>
                </c:pt>
              </c:strCache>
            </c:strRef>
          </c:tx>
          <c:spPr>
            <a:ln>
              <a:solidFill>
                <a:schemeClr val="bg2">
                  <a:lumMod val="25000"/>
                </a:schemeClr>
              </a:solidFill>
            </a:ln>
          </c:spPr>
          <c:marker>
            <c:symbol val="square"/>
            <c:size val="5"/>
            <c:spPr>
              <a:solidFill>
                <a:schemeClr val="bg2">
                  <a:lumMod val="25000"/>
                </a:schemeClr>
              </a:solidFill>
              <a:ln>
                <a:solidFill>
                  <a:srgbClr val="EEECE1">
                    <a:lumMod val="25000"/>
                  </a:srgbClr>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Gas'!$D$73:$AI$73</c:f>
              <c:numCache>
                <c:formatCode>#,##0</c:formatCode>
                <c:ptCount val="32"/>
                <c:pt idx="0">
                  <c:v>207098.01421599835</c:v>
                </c:pt>
                <c:pt idx="1">
                  <c:v>209358.89737401693</c:v>
                </c:pt>
                <c:pt idx="2">
                  <c:v>205120.4200327943</c:v>
                </c:pt>
                <c:pt idx="3">
                  <c:v>197106.97048370994</c:v>
                </c:pt>
                <c:pt idx="4">
                  <c:v>193622.48775711309</c:v>
                </c:pt>
                <c:pt idx="5">
                  <c:v>192246.70236773699</c:v>
                </c:pt>
                <c:pt idx="6">
                  <c:v>174167.32310033235</c:v>
                </c:pt>
                <c:pt idx="7">
                  <c:v>151674.32966396588</c:v>
                </c:pt>
                <c:pt idx="8">
                  <c:v>144846.87904209306</c:v>
                </c:pt>
                <c:pt idx="9">
                  <c:v>142106.8347738646</c:v>
                </c:pt>
                <c:pt idx="10">
                  <c:v>116796.25636739287</c:v>
                </c:pt>
                <c:pt idx="11">
                  <c:v>98354.226200569887</c:v>
                </c:pt>
                <c:pt idx="12">
                  <c:v>112059.03490439238</c:v>
                </c:pt>
                <c:pt idx="13">
                  <c:v>129401.02137097467</c:v>
                </c:pt>
                <c:pt idx="14">
                  <c:v>118487.5922836367</c:v>
                </c:pt>
                <c:pt idx="15">
                  <c:v>111839.30440649326</c:v>
                </c:pt>
                <c:pt idx="16">
                  <c:v>104691.84752244377</c:v>
                </c:pt>
                <c:pt idx="17">
                  <c:v>99234.593116070435</c:v>
                </c:pt>
                <c:pt idx="18">
                  <c:v>98921.68878724266</c:v>
                </c:pt>
                <c:pt idx="19">
                  <c:v>99841.310860605183</c:v>
                </c:pt>
                <c:pt idx="20">
                  <c:v>82062.983844791088</c:v>
                </c:pt>
                <c:pt idx="21">
                  <c:v>76052.978835832502</c:v>
                </c:pt>
                <c:pt idx="22">
                  <c:v>76815.198559874101</c:v>
                </c:pt>
                <c:pt idx="23">
                  <c:v>73288.787117695567</c:v>
                </c:pt>
                <c:pt idx="24">
                  <c:v>70049.361706535303</c:v>
                </c:pt>
                <c:pt idx="25">
                  <c:v>70947.51425853133</c:v>
                </c:pt>
                <c:pt idx="26">
                  <c:v>67743.529184493062</c:v>
                </c:pt>
                <c:pt idx="27">
                  <c:v>65832.764062317001</c:v>
                </c:pt>
                <c:pt idx="28">
                  <c:v>64993.426250894394</c:v>
                </c:pt>
                <c:pt idx="29">
                  <c:v>65484.10904278473</c:v>
                </c:pt>
                <c:pt idx="30">
                  <c:v>63390.54702584078</c:v>
                </c:pt>
                <c:pt idx="31">
                  <c:v>59239.977580833285</c:v>
                </c:pt>
              </c:numCache>
            </c:numRef>
          </c:val>
          <c:smooth val="0"/>
          <c:extLst>
            <c:ext xmlns:c16="http://schemas.microsoft.com/office/drawing/2014/chart" uri="{C3380CC4-5D6E-409C-BE32-E72D297353CC}">
              <c16:uniqueId val="{00000000-9FE7-4314-97B8-7C361CB19285}"/>
            </c:ext>
          </c:extLst>
        </c:ser>
        <c:dLbls>
          <c:showLegendKey val="0"/>
          <c:showVal val="0"/>
          <c:showCatName val="0"/>
          <c:showSerName val="0"/>
          <c:showPercent val="0"/>
          <c:showBubbleSize val="0"/>
        </c:dLbls>
        <c:marker val="1"/>
        <c:smooth val="0"/>
        <c:axId val="50504448"/>
        <c:axId val="50506368"/>
      </c:lineChart>
      <c:catAx>
        <c:axId val="50504448"/>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50506368"/>
        <c:crosses val="autoZero"/>
        <c:auto val="1"/>
        <c:lblAlgn val="ctr"/>
        <c:lblOffset val="100"/>
        <c:noMultiLvlLbl val="0"/>
      </c:catAx>
      <c:valAx>
        <c:axId val="50506368"/>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050444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N</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O (Metric Tons N</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O)</a:t>
            </a:r>
          </a:p>
        </c:rich>
      </c:tx>
      <c:overlay val="0"/>
    </c:title>
    <c:autoTitleDeleted val="0"/>
    <c:plotArea>
      <c:layout>
        <c:manualLayout>
          <c:layoutTarget val="inner"/>
          <c:xMode val="edge"/>
          <c:yMode val="edge"/>
          <c:x val="0.16091663668944936"/>
          <c:y val="0.20395045931758529"/>
          <c:w val="0.73132152897131508"/>
          <c:h val="0.60140452755905505"/>
        </c:manualLayout>
      </c:layout>
      <c:lineChart>
        <c:grouping val="standard"/>
        <c:varyColors val="0"/>
        <c:ser>
          <c:idx val="2"/>
          <c:order val="0"/>
          <c:tx>
            <c:strRef>
              <c:f>'Summary by Gas'!$C$74</c:f>
              <c:strCache>
                <c:ptCount val="1"/>
                <c:pt idx="0">
                  <c:v>N2O (Metric Tons N2O)</c:v>
                </c:pt>
              </c:strCache>
            </c:strRef>
          </c:tx>
          <c:spPr>
            <a:ln>
              <a:solidFill>
                <a:srgbClr val="C00000"/>
              </a:solidFill>
            </a:ln>
          </c:spPr>
          <c:marker>
            <c:symbol val="triangle"/>
            <c:size val="5"/>
            <c:spPr>
              <a:solidFill>
                <a:srgbClr val="C00000"/>
              </a:solidFill>
              <a:ln>
                <a:solidFill>
                  <a:srgbClr val="C00000"/>
                </a:solidFill>
              </a:ln>
            </c:spPr>
          </c:marker>
          <c:cat>
            <c:numRef>
              <c:f>'Summary by Gas'!$D$33:$AI$33</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Gas'!$D$74:$AI$74</c:f>
              <c:numCache>
                <c:formatCode>#,##0</c:formatCode>
                <c:ptCount val="32"/>
                <c:pt idx="0">
                  <c:v>5249.9537326650934</c:v>
                </c:pt>
                <c:pt idx="1">
                  <c:v>5018.7752944552267</c:v>
                </c:pt>
                <c:pt idx="2">
                  <c:v>5155.6163666101284</c:v>
                </c:pt>
                <c:pt idx="3">
                  <c:v>5116.6776097535185</c:v>
                </c:pt>
                <c:pt idx="4">
                  <c:v>5197.6779461966507</c:v>
                </c:pt>
                <c:pt idx="5">
                  <c:v>5286.147090014174</c:v>
                </c:pt>
                <c:pt idx="6">
                  <c:v>5464.0242932896654</c:v>
                </c:pt>
                <c:pt idx="7">
                  <c:v>5471.667781559273</c:v>
                </c:pt>
                <c:pt idx="8">
                  <c:v>5400.1808729322511</c:v>
                </c:pt>
                <c:pt idx="9">
                  <c:v>5154.24773132881</c:v>
                </c:pt>
                <c:pt idx="10">
                  <c:v>5135.5608841505709</c:v>
                </c:pt>
                <c:pt idx="11">
                  <c:v>4997.0947353077945</c:v>
                </c:pt>
                <c:pt idx="12">
                  <c:v>4758.3297973993576</c:v>
                </c:pt>
                <c:pt idx="13">
                  <c:v>4639.0026378852372</c:v>
                </c:pt>
                <c:pt idx="14">
                  <c:v>4451.547629296766</c:v>
                </c:pt>
                <c:pt idx="15">
                  <c:v>4346.2821842562953</c:v>
                </c:pt>
                <c:pt idx="16">
                  <c:v>4246.5563543534981</c:v>
                </c:pt>
                <c:pt idx="17">
                  <c:v>3956.7729971824042</c:v>
                </c:pt>
                <c:pt idx="18">
                  <c:v>3744.6652034981526</c:v>
                </c:pt>
                <c:pt idx="19">
                  <c:v>3434.2657938904072</c:v>
                </c:pt>
                <c:pt idx="20">
                  <c:v>3226.1290697734526</c:v>
                </c:pt>
                <c:pt idx="21">
                  <c:v>3173.9966590468271</c:v>
                </c:pt>
                <c:pt idx="22">
                  <c:v>2910.9552601788496</c:v>
                </c:pt>
                <c:pt idx="23">
                  <c:v>2936.7867277837686</c:v>
                </c:pt>
                <c:pt idx="24">
                  <c:v>2810.0420677370848</c:v>
                </c:pt>
                <c:pt idx="25">
                  <c:v>2542.5227349343527</c:v>
                </c:pt>
                <c:pt idx="26">
                  <c:v>2300.6898508982058</c:v>
                </c:pt>
                <c:pt idx="27">
                  <c:v>2161.2637382806133</c:v>
                </c:pt>
                <c:pt idx="28">
                  <c:v>2075.0481655825752</c:v>
                </c:pt>
                <c:pt idx="29">
                  <c:v>2171.3164352849803</c:v>
                </c:pt>
                <c:pt idx="30">
                  <c:v>1899.3332621301734</c:v>
                </c:pt>
                <c:pt idx="31">
                  <c:v>1827.4085754812902</c:v>
                </c:pt>
              </c:numCache>
            </c:numRef>
          </c:val>
          <c:smooth val="0"/>
          <c:extLst>
            <c:ext xmlns:c16="http://schemas.microsoft.com/office/drawing/2014/chart" uri="{C3380CC4-5D6E-409C-BE32-E72D297353CC}">
              <c16:uniqueId val="{00000000-9AAF-4916-97AB-25204DDA2F46}"/>
            </c:ext>
          </c:extLst>
        </c:ser>
        <c:dLbls>
          <c:showLegendKey val="0"/>
          <c:showVal val="0"/>
          <c:showCatName val="0"/>
          <c:showSerName val="0"/>
          <c:showPercent val="0"/>
          <c:showBubbleSize val="0"/>
        </c:dLbls>
        <c:marker val="1"/>
        <c:smooth val="0"/>
        <c:axId val="50522368"/>
        <c:axId val="50598272"/>
      </c:lineChart>
      <c:catAx>
        <c:axId val="50522368"/>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50598272"/>
        <c:crosses val="autoZero"/>
        <c:auto val="1"/>
        <c:lblAlgn val="ctr"/>
        <c:lblOffset val="100"/>
        <c:noMultiLvlLbl val="0"/>
      </c:catAx>
      <c:valAx>
        <c:axId val="50598272"/>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052236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Massachusetts GHG Emissions from Fuel Combustion</a:t>
            </a:r>
            <a:endParaRPr lang="en-US" sz="1400">
              <a:effectLst/>
            </a:endParaRPr>
          </a:p>
          <a:p>
            <a:pPr>
              <a:defRPr sz="1400"/>
            </a:pPr>
            <a:r>
              <a:rPr lang="en-US" sz="1400" b="1" i="0" baseline="0">
                <a:effectLst/>
              </a:rPr>
              <a:t> (by Sector)</a:t>
            </a:r>
            <a:endParaRPr lang="en-US" sz="1400">
              <a:effectLst/>
            </a:endParaRPr>
          </a:p>
        </c:rich>
      </c:tx>
      <c:overlay val="0"/>
    </c:title>
    <c:autoTitleDeleted val="0"/>
    <c:plotArea>
      <c:layout>
        <c:manualLayout>
          <c:layoutTarget val="inner"/>
          <c:xMode val="edge"/>
          <c:yMode val="edge"/>
          <c:x val="9.2726194460591757E-2"/>
          <c:y val="0.1490374310532315"/>
          <c:w val="0.88742207812258767"/>
          <c:h val="0.71357632292635631"/>
        </c:manualLayout>
      </c:layout>
      <c:lineChart>
        <c:grouping val="standard"/>
        <c:varyColors val="0"/>
        <c:ser>
          <c:idx val="5"/>
          <c:order val="0"/>
          <c:tx>
            <c:strRef>
              <c:f>Process!$C$12</c:f>
              <c:strCache>
                <c:ptCount val="1"/>
                <c:pt idx="0">
                  <c:v>Residential CO2e from Fuel Combustion</c:v>
                </c:pt>
              </c:strCache>
            </c:strRef>
          </c:tx>
          <c:spPr>
            <a:ln w="31750">
              <a:solidFill>
                <a:schemeClr val="accent5">
                  <a:lumMod val="75000"/>
                </a:schemeClr>
              </a:solidFill>
              <a:prstDash val="solid"/>
            </a:ln>
          </c:spPr>
          <c:marker>
            <c:symbol val="square"/>
            <c:size val="5"/>
            <c:spPr>
              <a:solidFill>
                <a:schemeClr val="accent5">
                  <a:lumMod val="40000"/>
                  <a:lumOff val="60000"/>
                </a:schemeClr>
              </a:solidFill>
              <a:ln>
                <a:solidFill>
                  <a:schemeClr val="accent5">
                    <a:lumMod val="7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Process!$D$12:$AI$12</c:f>
              <c:numCache>
                <c:formatCode>#,##0.0</c:formatCode>
                <c:ptCount val="32"/>
                <c:pt idx="0">
                  <c:v>15.31365040534536</c:v>
                </c:pt>
                <c:pt idx="1">
                  <c:v>14.518561901071035</c:v>
                </c:pt>
                <c:pt idx="2">
                  <c:v>16.637356745667098</c:v>
                </c:pt>
                <c:pt idx="3">
                  <c:v>16.765001626446431</c:v>
                </c:pt>
                <c:pt idx="4">
                  <c:v>16.5798858667393</c:v>
                </c:pt>
                <c:pt idx="5">
                  <c:v>14.981382499081906</c:v>
                </c:pt>
                <c:pt idx="6">
                  <c:v>14.782858365913285</c:v>
                </c:pt>
                <c:pt idx="7">
                  <c:v>14.564592342096233</c:v>
                </c:pt>
                <c:pt idx="8">
                  <c:v>13.354760517636457</c:v>
                </c:pt>
                <c:pt idx="9">
                  <c:v>14.184525556803141</c:v>
                </c:pt>
                <c:pt idx="10">
                  <c:v>15.873185523164093</c:v>
                </c:pt>
                <c:pt idx="11">
                  <c:v>16.199011137428776</c:v>
                </c:pt>
                <c:pt idx="12">
                  <c:v>16.119805109343375</c:v>
                </c:pt>
                <c:pt idx="13">
                  <c:v>16.601211726566344</c:v>
                </c:pt>
                <c:pt idx="14">
                  <c:v>15.197154479199662</c:v>
                </c:pt>
                <c:pt idx="15">
                  <c:v>15.027210450114723</c:v>
                </c:pt>
                <c:pt idx="16">
                  <c:v>12.930446995074689</c:v>
                </c:pt>
                <c:pt idx="17">
                  <c:v>13.614044734403702</c:v>
                </c:pt>
                <c:pt idx="18">
                  <c:v>14.49159231299309</c:v>
                </c:pt>
                <c:pt idx="19">
                  <c:v>13.995697715436682</c:v>
                </c:pt>
                <c:pt idx="20">
                  <c:v>13.737716464679892</c:v>
                </c:pt>
                <c:pt idx="21">
                  <c:v>13.770209257923048</c:v>
                </c:pt>
                <c:pt idx="22">
                  <c:v>11.921635639998783</c:v>
                </c:pt>
                <c:pt idx="23">
                  <c:v>12.427545793562148</c:v>
                </c:pt>
                <c:pt idx="24">
                  <c:v>13.736544746104025</c:v>
                </c:pt>
                <c:pt idx="25">
                  <c:v>13.636975173626578</c:v>
                </c:pt>
                <c:pt idx="26">
                  <c:v>11.39103932176867</c:v>
                </c:pt>
                <c:pt idx="27">
                  <c:v>12.355017974074329</c:v>
                </c:pt>
                <c:pt idx="28">
                  <c:v>13.40124690910987</c:v>
                </c:pt>
                <c:pt idx="29">
                  <c:v>13.74295509703531</c:v>
                </c:pt>
                <c:pt idx="30">
                  <c:v>12.203532691373011</c:v>
                </c:pt>
                <c:pt idx="31">
                  <c:v>12.587212421548125</c:v>
                </c:pt>
              </c:numCache>
            </c:numRef>
          </c:val>
          <c:smooth val="0"/>
          <c:extLst>
            <c:ext xmlns:c16="http://schemas.microsoft.com/office/drawing/2014/chart" uri="{C3380CC4-5D6E-409C-BE32-E72D297353CC}">
              <c16:uniqueId val="{00000000-1F17-4473-8468-B4552C53B1B5}"/>
            </c:ext>
          </c:extLst>
        </c:ser>
        <c:ser>
          <c:idx val="6"/>
          <c:order val="1"/>
          <c:tx>
            <c:strRef>
              <c:f>Process!$C$15</c:f>
              <c:strCache>
                <c:ptCount val="1"/>
                <c:pt idx="0">
                  <c:v>Commercial CO2e from Fuel Combustion</c:v>
                </c:pt>
              </c:strCache>
            </c:strRef>
          </c:tx>
          <c:spPr>
            <a:ln w="31750">
              <a:solidFill>
                <a:schemeClr val="tx2">
                  <a:lumMod val="75000"/>
                </a:schemeClr>
              </a:solidFill>
              <a:prstDash val="solid"/>
            </a:ln>
          </c:spPr>
          <c:marker>
            <c:symbol val="square"/>
            <c:size val="5"/>
            <c:spPr>
              <a:solidFill>
                <a:schemeClr val="accent1">
                  <a:lumMod val="20000"/>
                  <a:lumOff val="80000"/>
                </a:schemeClr>
              </a:solidFill>
              <a:ln>
                <a:solidFill>
                  <a:schemeClr val="tx2">
                    <a:lumMod val="7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Process!$D$15:$AI$15</c:f>
              <c:numCache>
                <c:formatCode>#,##0.0</c:formatCode>
                <c:ptCount val="32"/>
                <c:pt idx="0">
                  <c:v>8.4498373292805997</c:v>
                </c:pt>
                <c:pt idx="1">
                  <c:v>9.2327174055964729</c:v>
                </c:pt>
                <c:pt idx="2">
                  <c:v>8.9900720556205993</c:v>
                </c:pt>
                <c:pt idx="3">
                  <c:v>8.0482362214060164</c:v>
                </c:pt>
                <c:pt idx="4">
                  <c:v>8.921629042544625</c:v>
                </c:pt>
                <c:pt idx="5">
                  <c:v>9.018799817873635</c:v>
                </c:pt>
                <c:pt idx="6">
                  <c:v>9.1210152080864475</c:v>
                </c:pt>
                <c:pt idx="7">
                  <c:v>9.5098828363490053</c:v>
                </c:pt>
                <c:pt idx="8">
                  <c:v>8.1251718135853466</c:v>
                </c:pt>
                <c:pt idx="9">
                  <c:v>6.2393751516955165</c:v>
                </c:pt>
                <c:pt idx="10">
                  <c:v>6.8430239750778155</c:v>
                </c:pt>
                <c:pt idx="11">
                  <c:v>5.8080881395792963</c:v>
                </c:pt>
                <c:pt idx="12">
                  <c:v>5.9304040174073975</c:v>
                </c:pt>
                <c:pt idx="13">
                  <c:v>7.1634710881257879</c:v>
                </c:pt>
                <c:pt idx="14">
                  <c:v>6.5866153077796898</c:v>
                </c:pt>
                <c:pt idx="15">
                  <c:v>6.7227130330437754</c:v>
                </c:pt>
                <c:pt idx="16">
                  <c:v>5.043099047620605</c:v>
                </c:pt>
                <c:pt idx="17">
                  <c:v>5.3760371803162688</c:v>
                </c:pt>
                <c:pt idx="18">
                  <c:v>5.6229897228886969</c:v>
                </c:pt>
                <c:pt idx="19">
                  <c:v>5.8286975313890119</c:v>
                </c:pt>
                <c:pt idx="20">
                  <c:v>6.7611009884578097</c:v>
                </c:pt>
                <c:pt idx="21">
                  <c:v>6.3698002623165113</c:v>
                </c:pt>
                <c:pt idx="22">
                  <c:v>5.2680912967014679</c:v>
                </c:pt>
                <c:pt idx="23">
                  <c:v>6.7973406332367121</c:v>
                </c:pt>
                <c:pt idx="24">
                  <c:v>7.1829581238722682</c:v>
                </c:pt>
                <c:pt idx="25">
                  <c:v>7.5869342069335239</c:v>
                </c:pt>
                <c:pt idx="26">
                  <c:v>7.0016349806269655</c:v>
                </c:pt>
                <c:pt idx="27">
                  <c:v>7.3467236414478316</c:v>
                </c:pt>
                <c:pt idx="28">
                  <c:v>7.8866810790388975</c:v>
                </c:pt>
                <c:pt idx="29">
                  <c:v>8.0663493581388526</c:v>
                </c:pt>
                <c:pt idx="30">
                  <c:v>7.2578524526362864</c:v>
                </c:pt>
                <c:pt idx="31">
                  <c:v>7.3896075854042547</c:v>
                </c:pt>
              </c:numCache>
            </c:numRef>
          </c:val>
          <c:smooth val="0"/>
          <c:extLst>
            <c:ext xmlns:c16="http://schemas.microsoft.com/office/drawing/2014/chart" uri="{C3380CC4-5D6E-409C-BE32-E72D297353CC}">
              <c16:uniqueId val="{00000001-1F17-4473-8468-B4552C53B1B5}"/>
            </c:ext>
          </c:extLst>
        </c:ser>
        <c:ser>
          <c:idx val="2"/>
          <c:order val="2"/>
          <c:tx>
            <c:strRef>
              <c:f>Process!$C$19</c:f>
              <c:strCache>
                <c:ptCount val="1"/>
                <c:pt idx="0">
                  <c:v>Industrial CO2e from Fuel Combustion</c:v>
                </c:pt>
              </c:strCache>
            </c:strRef>
          </c:tx>
          <c:spPr>
            <a:ln w="31750">
              <a:solidFill>
                <a:schemeClr val="accent2">
                  <a:lumMod val="50000"/>
                </a:schemeClr>
              </a:solidFill>
              <a:prstDash val="solid"/>
            </a:ln>
          </c:spPr>
          <c:marker>
            <c:symbol val="square"/>
            <c:size val="5"/>
            <c:spPr>
              <a:solidFill>
                <a:schemeClr val="accent2">
                  <a:lumMod val="20000"/>
                  <a:lumOff val="80000"/>
                </a:schemeClr>
              </a:solidFill>
              <a:ln>
                <a:solidFill>
                  <a:schemeClr val="accent2">
                    <a:lumMod val="7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Process!$D$19:$AI$19</c:f>
              <c:numCache>
                <c:formatCode>#,##0.0</c:formatCode>
                <c:ptCount val="32"/>
                <c:pt idx="0">
                  <c:v>5.6055444375748946</c:v>
                </c:pt>
                <c:pt idx="1">
                  <c:v>4.7328409933051026</c:v>
                </c:pt>
                <c:pt idx="2">
                  <c:v>6.4646976690637183</c:v>
                </c:pt>
                <c:pt idx="3">
                  <c:v>6.6237986733791532</c:v>
                </c:pt>
                <c:pt idx="4">
                  <c:v>5.7387061744089225</c:v>
                </c:pt>
                <c:pt idx="5">
                  <c:v>5.0548236972883327</c:v>
                </c:pt>
                <c:pt idx="6">
                  <c:v>5.0352045973600434</c:v>
                </c:pt>
                <c:pt idx="7">
                  <c:v>5.1365507036797382</c:v>
                </c:pt>
                <c:pt idx="8">
                  <c:v>4.8190196972819219</c:v>
                </c:pt>
                <c:pt idx="9">
                  <c:v>5.5236045450469069</c:v>
                </c:pt>
                <c:pt idx="10">
                  <c:v>5.383699074112787</c:v>
                </c:pt>
                <c:pt idx="11">
                  <c:v>6.5334397169982976</c:v>
                </c:pt>
                <c:pt idx="12">
                  <c:v>6.435345446843038</c:v>
                </c:pt>
                <c:pt idx="13">
                  <c:v>4.3803333150168502</c:v>
                </c:pt>
                <c:pt idx="14">
                  <c:v>4.273330769414045</c:v>
                </c:pt>
                <c:pt idx="15">
                  <c:v>4.5285892741443128</c:v>
                </c:pt>
                <c:pt idx="16">
                  <c:v>4.4025879463596489</c:v>
                </c:pt>
                <c:pt idx="17">
                  <c:v>4.3185592976348302</c:v>
                </c:pt>
                <c:pt idx="18">
                  <c:v>3.9880198797073669</c:v>
                </c:pt>
                <c:pt idx="19">
                  <c:v>3.2829648383483834</c:v>
                </c:pt>
                <c:pt idx="20">
                  <c:v>3.7103454298638465</c:v>
                </c:pt>
                <c:pt idx="21">
                  <c:v>3.8684672038229566</c:v>
                </c:pt>
                <c:pt idx="22">
                  <c:v>3.319348364609743</c:v>
                </c:pt>
                <c:pt idx="23">
                  <c:v>3.5087182553165523</c:v>
                </c:pt>
                <c:pt idx="24">
                  <c:v>3.4326962506983167</c:v>
                </c:pt>
                <c:pt idx="25">
                  <c:v>3.4457475416232417</c:v>
                </c:pt>
                <c:pt idx="26">
                  <c:v>3.2329737262187876</c:v>
                </c:pt>
                <c:pt idx="27">
                  <c:v>3.3143303499774706</c:v>
                </c:pt>
                <c:pt idx="28">
                  <c:v>3.3434035542597087</c:v>
                </c:pt>
                <c:pt idx="29">
                  <c:v>3.4285298090215748</c:v>
                </c:pt>
                <c:pt idx="30">
                  <c:v>3.1773973892722349</c:v>
                </c:pt>
                <c:pt idx="31">
                  <c:v>3.3339873013435537</c:v>
                </c:pt>
              </c:numCache>
            </c:numRef>
          </c:val>
          <c:smooth val="0"/>
          <c:extLst>
            <c:ext xmlns:c16="http://schemas.microsoft.com/office/drawing/2014/chart" uri="{C3380CC4-5D6E-409C-BE32-E72D297353CC}">
              <c16:uniqueId val="{00000002-1F17-4473-8468-B4552C53B1B5}"/>
            </c:ext>
          </c:extLst>
        </c:ser>
        <c:ser>
          <c:idx val="12"/>
          <c:order val="3"/>
          <c:tx>
            <c:strRef>
              <c:f>Process!$C$24</c:f>
              <c:strCache>
                <c:ptCount val="1"/>
                <c:pt idx="0">
                  <c:v>Transportation CO2e from Fuel Combustion</c:v>
                </c:pt>
              </c:strCache>
            </c:strRef>
          </c:tx>
          <c:spPr>
            <a:ln w="31750">
              <a:solidFill>
                <a:schemeClr val="accent4">
                  <a:lumMod val="75000"/>
                </a:schemeClr>
              </a:solidFill>
              <a:prstDash val="solid"/>
            </a:ln>
          </c:spPr>
          <c:marker>
            <c:symbol val="square"/>
            <c:size val="5"/>
            <c:spPr>
              <a:solidFill>
                <a:schemeClr val="accent4">
                  <a:lumMod val="40000"/>
                  <a:lumOff val="60000"/>
                </a:schemeClr>
              </a:solidFill>
              <a:ln>
                <a:solidFill>
                  <a:schemeClr val="accent4">
                    <a:lumMod val="75000"/>
                  </a:schemeClr>
                </a:solidFill>
              </a:ln>
            </c:spPr>
          </c:marker>
          <c:dPt>
            <c:idx val="23"/>
            <c:marker>
              <c:spPr>
                <a:solidFill>
                  <a:schemeClr val="accent4">
                    <a:lumMod val="60000"/>
                    <a:lumOff val="40000"/>
                  </a:schemeClr>
                </a:solidFill>
                <a:ln>
                  <a:solidFill>
                    <a:schemeClr val="accent4">
                      <a:lumMod val="75000"/>
                    </a:schemeClr>
                  </a:solidFill>
                </a:ln>
              </c:spPr>
            </c:marker>
            <c:bubble3D val="0"/>
            <c:extLst>
              <c:ext xmlns:c16="http://schemas.microsoft.com/office/drawing/2014/chart" uri="{C3380CC4-5D6E-409C-BE32-E72D297353CC}">
                <c16:uniqueId val="{00000003-1F17-4473-8468-B4552C53B1B5}"/>
              </c:ext>
            </c:extLst>
          </c:dPt>
          <c:dPt>
            <c:idx val="28"/>
            <c:bubble3D val="0"/>
            <c:extLst>
              <c:ext xmlns:c16="http://schemas.microsoft.com/office/drawing/2014/chart" uri="{C3380CC4-5D6E-409C-BE32-E72D297353CC}">
                <c16:uniqueId val="{00000002-5303-984A-9723-6219E668CEB5}"/>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Process!$D$24:$AI$24</c:f>
              <c:numCache>
                <c:formatCode>#,##0.0</c:formatCode>
                <c:ptCount val="32"/>
                <c:pt idx="0">
                  <c:v>29.581745501205152</c:v>
                </c:pt>
                <c:pt idx="1">
                  <c:v>28.008157894701178</c:v>
                </c:pt>
                <c:pt idx="2">
                  <c:v>27.563413985474689</c:v>
                </c:pt>
                <c:pt idx="3">
                  <c:v>27.772478299795356</c:v>
                </c:pt>
                <c:pt idx="4">
                  <c:v>28.042783422795132</c:v>
                </c:pt>
                <c:pt idx="5">
                  <c:v>28.704985829013353</c:v>
                </c:pt>
                <c:pt idx="6">
                  <c:v>29.563275834798592</c:v>
                </c:pt>
                <c:pt idx="7">
                  <c:v>29.897702983833565</c:v>
                </c:pt>
                <c:pt idx="8">
                  <c:v>30.181109205449104</c:v>
                </c:pt>
                <c:pt idx="9">
                  <c:v>30.790053220998082</c:v>
                </c:pt>
                <c:pt idx="10">
                  <c:v>31.933517863915544</c:v>
                </c:pt>
                <c:pt idx="11">
                  <c:v>31.430585003037418</c:v>
                </c:pt>
                <c:pt idx="12">
                  <c:v>31.574740568992283</c:v>
                </c:pt>
                <c:pt idx="13">
                  <c:v>31.975501264052333</c:v>
                </c:pt>
                <c:pt idx="14">
                  <c:v>33.215146622359377</c:v>
                </c:pt>
                <c:pt idx="15">
                  <c:v>33.175691422999876</c:v>
                </c:pt>
                <c:pt idx="16">
                  <c:v>32.288107111618324</c:v>
                </c:pt>
                <c:pt idx="17">
                  <c:v>32.541825019643213</c:v>
                </c:pt>
                <c:pt idx="18">
                  <c:v>31.54022746940004</c:v>
                </c:pt>
                <c:pt idx="19">
                  <c:v>29.587581784741189</c:v>
                </c:pt>
                <c:pt idx="20">
                  <c:v>29.777333231530921</c:v>
                </c:pt>
                <c:pt idx="21">
                  <c:v>29.714058402593366</c:v>
                </c:pt>
                <c:pt idx="22">
                  <c:v>29.128761594393538</c:v>
                </c:pt>
                <c:pt idx="23">
                  <c:v>30.369155716681494</c:v>
                </c:pt>
                <c:pt idx="24">
                  <c:v>28.526599424836107</c:v>
                </c:pt>
                <c:pt idx="25">
                  <c:v>28.936034779613621</c:v>
                </c:pt>
                <c:pt idx="26">
                  <c:v>29.270928447936527</c:v>
                </c:pt>
                <c:pt idx="27">
                  <c:v>28.685739090034748</c:v>
                </c:pt>
                <c:pt idx="28">
                  <c:v>29.324613555027671</c:v>
                </c:pt>
                <c:pt idx="29">
                  <c:v>29.077598592722559</c:v>
                </c:pt>
                <c:pt idx="30">
                  <c:v>22.943227217729611</c:v>
                </c:pt>
                <c:pt idx="31">
                  <c:v>25.606773851436834</c:v>
                </c:pt>
              </c:numCache>
            </c:numRef>
          </c:val>
          <c:smooth val="0"/>
          <c:extLst>
            <c:ext xmlns:c16="http://schemas.microsoft.com/office/drawing/2014/chart" uri="{C3380CC4-5D6E-409C-BE32-E72D297353CC}">
              <c16:uniqueId val="{00000004-1F17-4473-8468-B4552C53B1B5}"/>
            </c:ext>
          </c:extLst>
        </c:ser>
        <c:ser>
          <c:idx val="3"/>
          <c:order val="4"/>
          <c:tx>
            <c:strRef>
              <c:f>Process!$C$27</c:f>
              <c:strCache>
                <c:ptCount val="1"/>
                <c:pt idx="0">
                  <c:v>Electricity Total CO2e from Fuel Combustion</c:v>
                </c:pt>
              </c:strCache>
            </c:strRef>
          </c:tx>
          <c:spPr>
            <a:ln w="31750" cmpd="sng">
              <a:solidFill>
                <a:srgbClr val="FF33CC"/>
              </a:solidFill>
              <a:prstDash val="solid"/>
            </a:ln>
          </c:spPr>
          <c:marker>
            <c:symbol val="square"/>
            <c:size val="5"/>
            <c:spPr>
              <a:solidFill>
                <a:srgbClr val="FFCCFF"/>
              </a:solidFill>
              <a:ln>
                <a:solidFill>
                  <a:srgbClr val="FF33CC"/>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Process!$D$27:$AI$27</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5-1F17-4473-8468-B4552C53B1B5}"/>
            </c:ext>
          </c:extLst>
        </c:ser>
        <c:dLbls>
          <c:showLegendKey val="0"/>
          <c:showVal val="0"/>
          <c:showCatName val="0"/>
          <c:showSerName val="0"/>
          <c:showPercent val="0"/>
          <c:showBubbleSize val="0"/>
        </c:dLbls>
        <c:marker val="1"/>
        <c:smooth val="0"/>
        <c:axId val="46921600"/>
        <c:axId val="46923136"/>
      </c:lineChart>
      <c:catAx>
        <c:axId val="46921600"/>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6923136"/>
        <c:crossesAt val="0"/>
        <c:auto val="1"/>
        <c:lblAlgn val="ctr"/>
        <c:lblOffset val="100"/>
        <c:tickLblSkip val="5"/>
        <c:noMultiLvlLbl val="0"/>
      </c:catAx>
      <c:valAx>
        <c:axId val="46923136"/>
        <c:scaling>
          <c:orientation val="minMax"/>
          <c:max val="35"/>
          <c:min val="0"/>
        </c:scaling>
        <c:delete val="0"/>
        <c:axPos val="l"/>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alibri"/>
                  </a:rPr>
                  <a:t>Million Metric Tons of CO</a:t>
                </a:r>
                <a:r>
                  <a:rPr lang="en-US" sz="1000" b="1" i="0" u="none" strike="noStrike" baseline="-25000">
                    <a:solidFill>
                      <a:srgbClr val="000000"/>
                    </a:solidFill>
                    <a:latin typeface="Calibri"/>
                  </a:rPr>
                  <a:t>2</a:t>
                </a:r>
                <a:r>
                  <a:rPr lang="en-US" sz="1000" b="1" i="0" u="none" strike="noStrike" baseline="0">
                    <a:solidFill>
                      <a:srgbClr val="000000"/>
                    </a:solidFill>
                    <a:latin typeface="Calibri"/>
                  </a:rPr>
                  <a:t> equivalent</a:t>
                </a:r>
              </a:p>
            </c:rich>
          </c:tx>
          <c:overlay val="0"/>
        </c:title>
        <c:numFmt formatCode="0" sourceLinked="0"/>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46921600"/>
        <c:crosses val="autoZero"/>
        <c:crossBetween val="midCat"/>
        <c:majorUnit val="5"/>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33" l="0.70000000000000029" r="0.70000000000000029" t="0.75000000000000033" header="0.30000000000000016" footer="0.30000000000000016"/>
    <c:pageSetup orientation="portrait"/>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9"/>
    </mc:Choice>
    <mc:Fallback>
      <c:style val="9"/>
    </mc:Fallback>
  </mc:AlternateContent>
  <c:chart>
    <c:title>
      <c:tx>
        <c:rich>
          <a:bodyPr/>
          <a:lstStyle/>
          <a:p>
            <a:pPr>
              <a:defRPr sz="1800" b="1" i="0" u="none" strike="noStrike" baseline="0">
                <a:solidFill>
                  <a:srgbClr val="000000"/>
                </a:solidFill>
                <a:latin typeface="Calibri"/>
                <a:ea typeface="Calibri"/>
                <a:cs typeface="Calibri"/>
              </a:defRPr>
            </a:pPr>
            <a:r>
              <a:rPr lang="en-US"/>
              <a:t>2021 Methane Emissions in MA</a:t>
            </a:r>
          </a:p>
        </c:rich>
      </c:tx>
      <c:layout>
        <c:manualLayout>
          <c:xMode val="edge"/>
          <c:yMode val="edge"/>
          <c:x val="5.8501544249465312E-2"/>
          <c:y val="4.775540575058583E-2"/>
        </c:manualLayout>
      </c:layout>
      <c:overlay val="0"/>
    </c:title>
    <c:autoTitleDeleted val="0"/>
    <c:plotArea>
      <c:layout/>
      <c:doughnutChart>
        <c:varyColors val="1"/>
        <c:ser>
          <c:idx val="0"/>
          <c:order val="0"/>
          <c:tx>
            <c:strRef>
              <c:f>'Summary by Gas'!$AC$110</c:f>
              <c:strCache>
                <c:ptCount val="1"/>
                <c:pt idx="0">
                  <c:v>2021</c:v>
                </c:pt>
              </c:strCache>
            </c:strRef>
          </c:tx>
          <c:dPt>
            <c:idx val="0"/>
            <c:bubble3D val="0"/>
            <c:extLst>
              <c:ext xmlns:c16="http://schemas.microsoft.com/office/drawing/2014/chart" uri="{C3380CC4-5D6E-409C-BE32-E72D297353CC}">
                <c16:uniqueId val="{00000000-34CE-4497-A598-A39B60D02BE0}"/>
              </c:ext>
            </c:extLst>
          </c:dPt>
          <c:dPt>
            <c:idx val="1"/>
            <c:bubble3D val="0"/>
            <c:extLst>
              <c:ext xmlns:c16="http://schemas.microsoft.com/office/drawing/2014/chart" uri="{C3380CC4-5D6E-409C-BE32-E72D297353CC}">
                <c16:uniqueId val="{00000001-34CE-4497-A598-A39B60D02BE0}"/>
              </c:ext>
            </c:extLst>
          </c:dPt>
          <c:dPt>
            <c:idx val="2"/>
            <c:bubble3D val="0"/>
            <c:extLst>
              <c:ext xmlns:c16="http://schemas.microsoft.com/office/drawing/2014/chart" uri="{C3380CC4-5D6E-409C-BE32-E72D297353CC}">
                <c16:uniqueId val="{00000002-34CE-4497-A598-A39B60D02BE0}"/>
              </c:ext>
            </c:extLst>
          </c:dPt>
          <c:dPt>
            <c:idx val="3"/>
            <c:bubble3D val="0"/>
            <c:extLst>
              <c:ext xmlns:c16="http://schemas.microsoft.com/office/drawing/2014/chart" uri="{C3380CC4-5D6E-409C-BE32-E72D297353CC}">
                <c16:uniqueId val="{00000003-34CE-4497-A598-A39B60D02BE0}"/>
              </c:ext>
            </c:extLst>
          </c:dPt>
          <c:dLbls>
            <c:dLbl>
              <c:idx val="0"/>
              <c:spPr>
                <a:solidFill>
                  <a:srgbClr val="FFFFFF"/>
                </a:solidFill>
                <a:ln w="25400">
                  <a:solidFill>
                    <a:srgbClr val="000000"/>
                  </a:solidFill>
                  <a:prstDash val="solid"/>
                </a:ln>
              </c:spPr>
              <c:txPr>
                <a:bodyPr/>
                <a:lstStyle/>
                <a:p>
                  <a:pPr>
                    <a:defRPr sz="1200" b="1"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extLst>
                <c:ext xmlns:c16="http://schemas.microsoft.com/office/drawing/2014/chart" uri="{C3380CC4-5D6E-409C-BE32-E72D297353CC}">
                  <c16:uniqueId val="{00000000-34CE-4497-A598-A39B60D02BE0}"/>
                </c:ext>
              </c:extLst>
            </c:dLbl>
            <c:dLbl>
              <c:idx val="1"/>
              <c:layout>
                <c:manualLayout>
                  <c:x val="-0.16181818181818181"/>
                  <c:y val="0.12566457225712904"/>
                </c:manualLayout>
              </c:layout>
              <c:tx>
                <c:rich>
                  <a:bodyPr/>
                  <a:lstStyle/>
                  <a:p>
                    <a:pPr>
                      <a:defRPr sz="1200" b="1" i="0" u="none" strike="noStrike" baseline="0">
                        <a:solidFill>
                          <a:srgbClr val="000000"/>
                        </a:solidFill>
                        <a:latin typeface="Calibri"/>
                        <a:ea typeface="Calibri"/>
                        <a:cs typeface="Calibri"/>
                      </a:defRPr>
                    </a:pPr>
                    <a:r>
                      <a:rPr lang="en-US"/>
                      <a:t>Natural Gas Systems 48%</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1-34CE-4497-A598-A39B60D02BE0}"/>
                </c:ext>
              </c:extLst>
            </c:dLbl>
            <c:dLbl>
              <c:idx val="2"/>
              <c:layout>
                <c:manualLayout>
                  <c:x val="-0.10727272727272728"/>
                  <c:y val="5.2199130014499759E-2"/>
                </c:manualLayout>
              </c:layout>
              <c:tx>
                <c:rich>
                  <a:bodyPr/>
                  <a:lstStyle/>
                  <a:p>
                    <a:pPr>
                      <a:defRPr sz="1200" b="1" i="0" u="none" strike="noStrike" baseline="0">
                        <a:solidFill>
                          <a:srgbClr val="000000"/>
                        </a:solidFill>
                        <a:latin typeface="Calibri"/>
                        <a:ea typeface="Calibri"/>
                        <a:cs typeface="Calibri"/>
                      </a:defRPr>
                    </a:pPr>
                    <a:r>
                      <a:rPr lang="en-US"/>
                      <a:t>Agriculture 6%</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2-34CE-4497-A598-A39B60D02BE0}"/>
                </c:ext>
              </c:extLst>
            </c:dLbl>
            <c:dLbl>
              <c:idx val="3"/>
              <c:layout>
                <c:manualLayout>
                  <c:x val="-8.5454545454545477E-2"/>
                  <c:y val="3.8666022232962782E-2"/>
                </c:manualLayout>
              </c:layout>
              <c:tx>
                <c:rich>
                  <a:bodyPr/>
                  <a:lstStyle/>
                  <a:p>
                    <a:pPr>
                      <a:defRPr sz="1200" b="1" i="0" u="none" strike="noStrike" baseline="0">
                        <a:solidFill>
                          <a:srgbClr val="000000"/>
                        </a:solidFill>
                        <a:latin typeface="Calibri"/>
                        <a:ea typeface="Calibri"/>
                        <a:cs typeface="Calibri"/>
                      </a:defRPr>
                    </a:pPr>
                    <a:r>
                      <a:rPr lang="en-US"/>
                      <a:t>Waste 33%</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34CE-4497-A598-A39B60D02BE0}"/>
                </c:ext>
              </c:extLst>
            </c:dLbl>
            <c:spPr>
              <a:solidFill>
                <a:sysClr val="window" lastClr="FFFFFF"/>
              </a:solidFill>
              <a:ln>
                <a:solidFill>
                  <a:sysClr val="windowText" lastClr="000000">
                    <a:lumMod val="65000"/>
                    <a:lumOff val="35000"/>
                  </a:sysClr>
                </a:solidFill>
              </a:ln>
              <a:effectLst/>
            </c:sp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'Summary by Gas'!$AD$112:$AD$115</c:f>
              <c:strCache>
                <c:ptCount val="4"/>
                <c:pt idx="0">
                  <c:v>Combustion of Fuels</c:v>
                </c:pt>
                <c:pt idx="1">
                  <c:v>Natural Gas Systems</c:v>
                </c:pt>
                <c:pt idx="2">
                  <c:v>Agriculture</c:v>
                </c:pt>
                <c:pt idx="3">
                  <c:v>Waste</c:v>
                </c:pt>
              </c:strCache>
            </c:strRef>
          </c:cat>
          <c:val>
            <c:numRef>
              <c:f>'Summary by Gas'!$AC$112:$AC$115</c:f>
              <c:numCache>
                <c:formatCode>0.0</c:formatCode>
                <c:ptCount val="4"/>
                <c:pt idx="0">
                  <c:v>0.1749069747675904</c:v>
                </c:pt>
                <c:pt idx="1">
                  <c:v>0.71462166300589247</c:v>
                </c:pt>
                <c:pt idx="2">
                  <c:v>9.5505879163480578E-2</c:v>
                </c:pt>
                <c:pt idx="3">
                  <c:v>0.49596492258386859</c:v>
                </c:pt>
              </c:numCache>
            </c:numRef>
          </c:val>
          <c:extLst>
            <c:ext xmlns:c16="http://schemas.microsoft.com/office/drawing/2014/chart" uri="{C3380CC4-5D6E-409C-BE32-E72D297353CC}">
              <c16:uniqueId val="{00000004-34CE-4497-A598-A39B60D02BE0}"/>
            </c:ext>
          </c:extLst>
        </c:ser>
        <c:dLbls>
          <c:showLegendKey val="0"/>
          <c:showVal val="0"/>
          <c:showCatName val="0"/>
          <c:showSerName val="0"/>
          <c:showPercent val="0"/>
          <c:showBubbleSize val="0"/>
          <c:showLeaderLines val="0"/>
        </c:dLbls>
        <c:firstSliceAng val="0"/>
        <c:holeSize val="50"/>
      </c:doughnut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CH</a:t>
            </a:r>
            <a:r>
              <a:rPr lang="en-US" sz="1800" b="1" i="0" u="none" strike="noStrike" baseline="-25000">
                <a:solidFill>
                  <a:srgbClr val="000000"/>
                </a:solidFill>
                <a:latin typeface="Calibri"/>
              </a:rPr>
              <a:t>4</a:t>
            </a:r>
            <a:r>
              <a:rPr lang="en-US" sz="1800" b="1" i="0" u="none" strike="noStrike" baseline="0">
                <a:solidFill>
                  <a:srgbClr val="000000"/>
                </a:solidFill>
                <a:latin typeface="Calibri"/>
              </a:rPr>
              <a:t> - 2021</a:t>
            </a:r>
          </a:p>
        </c:rich>
      </c:tx>
      <c:layout>
        <c:manualLayout>
          <c:xMode val="edge"/>
          <c:yMode val="edge"/>
          <c:x val="0.12245825654771877"/>
          <c:y val="5.1085623730995892E-2"/>
        </c:manualLayout>
      </c:layout>
      <c:overlay val="0"/>
    </c:title>
    <c:autoTitleDeleted val="0"/>
    <c:plotArea>
      <c:layout>
        <c:manualLayout>
          <c:layoutTarget val="inner"/>
          <c:xMode val="edge"/>
          <c:yMode val="edge"/>
          <c:x val="0.1016132983377077"/>
          <c:y val="4.8005316470990933E-2"/>
          <c:w val="0.5039422572178478"/>
          <c:h val="0.83903095233300529"/>
        </c:manualLayout>
      </c:layout>
      <c:pieChart>
        <c:varyColors val="1"/>
        <c:ser>
          <c:idx val="0"/>
          <c:order val="0"/>
          <c:tx>
            <c:strRef>
              <c:f>'Summary by Gas'!$AH$33</c:f>
              <c:strCache>
                <c:ptCount val="1"/>
                <c:pt idx="0">
                  <c:v>2020</c:v>
                </c:pt>
              </c:strCache>
            </c:strRef>
          </c:tx>
          <c:dPt>
            <c:idx val="0"/>
            <c:bubble3D val="0"/>
            <c:extLst>
              <c:ext xmlns:c16="http://schemas.microsoft.com/office/drawing/2014/chart" uri="{C3380CC4-5D6E-409C-BE32-E72D297353CC}">
                <c16:uniqueId val="{00000000-2281-4D4F-84D3-4D3A111755F9}"/>
              </c:ext>
            </c:extLst>
          </c:dPt>
          <c:dPt>
            <c:idx val="1"/>
            <c:bubble3D val="0"/>
            <c:extLst>
              <c:ext xmlns:c16="http://schemas.microsoft.com/office/drawing/2014/chart" uri="{C3380CC4-5D6E-409C-BE32-E72D297353CC}">
                <c16:uniqueId val="{00000001-2281-4D4F-84D3-4D3A111755F9}"/>
              </c:ext>
            </c:extLst>
          </c:dPt>
          <c:dPt>
            <c:idx val="2"/>
            <c:bubble3D val="0"/>
            <c:extLst>
              <c:ext xmlns:c16="http://schemas.microsoft.com/office/drawing/2014/chart" uri="{C3380CC4-5D6E-409C-BE32-E72D297353CC}">
                <c16:uniqueId val="{00000002-2281-4D4F-84D3-4D3A111755F9}"/>
              </c:ext>
            </c:extLst>
          </c:dPt>
          <c:dPt>
            <c:idx val="3"/>
            <c:bubble3D val="0"/>
            <c:extLst>
              <c:ext xmlns:c16="http://schemas.microsoft.com/office/drawing/2014/chart" uri="{C3380CC4-5D6E-409C-BE32-E72D297353CC}">
                <c16:uniqueId val="{00000003-2281-4D4F-84D3-4D3A111755F9}"/>
              </c:ext>
            </c:extLst>
          </c:dPt>
          <c:dPt>
            <c:idx val="4"/>
            <c:bubble3D val="0"/>
            <c:extLst>
              <c:ext xmlns:c16="http://schemas.microsoft.com/office/drawing/2014/chart" uri="{C3380CC4-5D6E-409C-BE32-E72D297353CC}">
                <c16:uniqueId val="{00000004-2281-4D4F-84D3-4D3A111755F9}"/>
              </c:ext>
            </c:extLst>
          </c:dPt>
          <c:dPt>
            <c:idx val="5"/>
            <c:bubble3D val="0"/>
            <c:extLst>
              <c:ext xmlns:c16="http://schemas.microsoft.com/office/drawing/2014/chart" uri="{C3380CC4-5D6E-409C-BE32-E72D297353CC}">
                <c16:uniqueId val="{00000005-2281-4D4F-84D3-4D3A111755F9}"/>
              </c:ext>
            </c:extLst>
          </c:dPt>
          <c:dPt>
            <c:idx val="6"/>
            <c:bubble3D val="0"/>
            <c:extLst>
              <c:ext xmlns:c16="http://schemas.microsoft.com/office/drawing/2014/chart" uri="{C3380CC4-5D6E-409C-BE32-E72D297353CC}">
                <c16:uniqueId val="{00000006-2281-4D4F-84D3-4D3A111755F9}"/>
              </c:ext>
            </c:extLst>
          </c:dPt>
          <c:dPt>
            <c:idx val="7"/>
            <c:bubble3D val="0"/>
            <c:extLst>
              <c:ext xmlns:c16="http://schemas.microsoft.com/office/drawing/2014/chart" uri="{C3380CC4-5D6E-409C-BE32-E72D297353CC}">
                <c16:uniqueId val="{00000007-2281-4D4F-84D3-4D3A111755F9}"/>
              </c:ext>
            </c:extLst>
          </c:dPt>
          <c:dPt>
            <c:idx val="8"/>
            <c:bubble3D val="0"/>
            <c:extLst>
              <c:ext xmlns:c16="http://schemas.microsoft.com/office/drawing/2014/chart" uri="{C3380CC4-5D6E-409C-BE32-E72D297353CC}">
                <c16:uniqueId val="{00000008-2281-4D4F-84D3-4D3A111755F9}"/>
              </c:ext>
            </c:extLst>
          </c:dPt>
          <c:dPt>
            <c:idx val="9"/>
            <c:bubble3D val="0"/>
            <c:extLst>
              <c:ext xmlns:c16="http://schemas.microsoft.com/office/drawing/2014/chart" uri="{C3380CC4-5D6E-409C-BE32-E72D297353CC}">
                <c16:uniqueId val="{00000009-2281-4D4F-84D3-4D3A111755F9}"/>
              </c:ext>
            </c:extLst>
          </c:dPt>
          <c:cat>
            <c:strRef>
              <c:f>'Summary by Gas'!$C$44:$C$53</c:f>
              <c:strCache>
                <c:ptCount val="10"/>
                <c:pt idx="0">
                  <c:v>Residential</c:v>
                </c:pt>
                <c:pt idx="1">
                  <c:v>Commercial</c:v>
                </c:pt>
                <c:pt idx="2">
                  <c:v>Industrial</c:v>
                </c:pt>
                <c:pt idx="3">
                  <c:v>Electric Power</c:v>
                </c:pt>
                <c:pt idx="4">
                  <c:v>Solid Waste (Electric &amp; Industrial Municipal Waste Combustion)</c:v>
                </c:pt>
                <c:pt idx="5">
                  <c:v>Transportation</c:v>
                </c:pt>
                <c:pt idx="6">
                  <c:v>Natural Gas Systems (Leaks)</c:v>
                </c:pt>
                <c:pt idx="7">
                  <c:v>Agriculture &amp; Land Use</c:v>
                </c:pt>
                <c:pt idx="8">
                  <c:v>Solid Waste (Landfill)</c:v>
                </c:pt>
                <c:pt idx="9">
                  <c:v>Wastewater</c:v>
                </c:pt>
              </c:strCache>
            </c:strRef>
          </c:cat>
          <c:val>
            <c:numRef>
              <c:f>'Summary by Gas'!$AH$44:$AH$53</c:f>
              <c:numCache>
                <c:formatCode>0.0</c:formatCode>
                <c:ptCount val="10"/>
                <c:pt idx="0">
                  <c:v>7.6799483892267567E-2</c:v>
                </c:pt>
                <c:pt idx="1">
                  <c:v>2.776255272153107E-2</c:v>
                </c:pt>
                <c:pt idx="2">
                  <c:v>3.6267233799246058E-3</c:v>
                </c:pt>
                <c:pt idx="3">
                  <c:v>4.2248338455096596E-3</c:v>
                </c:pt>
                <c:pt idx="4">
                  <c:v>2.3047249999999998E-2</c:v>
                </c:pt>
                <c:pt idx="5">
                  <c:v>2.8049352151545963E-2</c:v>
                </c:pt>
                <c:pt idx="6">
                  <c:v>0.73976840446367209</c:v>
                </c:pt>
                <c:pt idx="7">
                  <c:v>8.8665348633339247E-2</c:v>
                </c:pt>
                <c:pt idx="8">
                  <c:v>0.27229040000000004</c:v>
                </c:pt>
                <c:pt idx="9">
                  <c:v>0.32052932655822919</c:v>
                </c:pt>
              </c:numCache>
            </c:numRef>
          </c:val>
          <c:extLst>
            <c:ext xmlns:c16="http://schemas.microsoft.com/office/drawing/2014/chart" uri="{C3380CC4-5D6E-409C-BE32-E72D297353CC}">
              <c16:uniqueId val="{0000000A-2281-4D4F-84D3-4D3A111755F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8907207453028774"/>
          <c:y val="3.4613798275215601E-2"/>
          <c:w val="0.31092803907532951"/>
          <c:h val="0.82563158771820189"/>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2021</a:t>
            </a:r>
            <a:r>
              <a:rPr lang="en-US" baseline="0"/>
              <a:t> </a:t>
            </a:r>
            <a:r>
              <a:rPr lang="en-US"/>
              <a:t>MA GHG Emissions</a:t>
            </a:r>
          </a:p>
        </c:rich>
      </c:tx>
      <c:layout>
        <c:manualLayout>
          <c:xMode val="edge"/>
          <c:yMode val="edge"/>
          <c:x val="1.4524688320209972E-2"/>
          <c:y val="5.765957446808511E-2"/>
        </c:manualLayout>
      </c:layout>
      <c:overlay val="1"/>
    </c:title>
    <c:autoTitleDeleted val="0"/>
    <c:plotArea>
      <c:layout>
        <c:manualLayout>
          <c:layoutTarget val="inner"/>
          <c:xMode val="edge"/>
          <c:yMode val="edge"/>
          <c:x val="6.3645013123359587E-2"/>
          <c:y val="0.25907788141893084"/>
          <c:w val="0.52991972878390203"/>
          <c:h val="0.6623998420821966"/>
        </c:manualLayout>
      </c:layout>
      <c:pieChart>
        <c:varyColors val="1"/>
        <c:ser>
          <c:idx val="0"/>
          <c:order val="0"/>
          <c:tx>
            <c:strRef>
              <c:f>'Summary by Gas'!$AO$33</c:f>
              <c:strCache>
                <c:ptCount val="1"/>
                <c:pt idx="0">
                  <c:v>2021 GHG Emissions in MA</c:v>
                </c:pt>
              </c:strCache>
            </c:strRef>
          </c:tx>
          <c:dPt>
            <c:idx val="0"/>
            <c:bubble3D val="0"/>
            <c:extLst>
              <c:ext xmlns:c16="http://schemas.microsoft.com/office/drawing/2014/chart" uri="{C3380CC4-5D6E-409C-BE32-E72D297353CC}">
                <c16:uniqueId val="{00000000-18B2-43AE-9C32-ADB2D5F73C50}"/>
              </c:ext>
            </c:extLst>
          </c:dPt>
          <c:dPt>
            <c:idx val="1"/>
            <c:bubble3D val="0"/>
            <c:extLst>
              <c:ext xmlns:c16="http://schemas.microsoft.com/office/drawing/2014/chart" uri="{C3380CC4-5D6E-409C-BE32-E72D297353CC}">
                <c16:uniqueId val="{00000001-18B2-43AE-9C32-ADB2D5F73C50}"/>
              </c:ext>
            </c:extLst>
          </c:dPt>
          <c:dPt>
            <c:idx val="2"/>
            <c:bubble3D val="0"/>
            <c:extLst>
              <c:ext xmlns:c16="http://schemas.microsoft.com/office/drawing/2014/chart" uri="{C3380CC4-5D6E-409C-BE32-E72D297353CC}">
                <c16:uniqueId val="{00000002-18B2-43AE-9C32-ADB2D5F73C50}"/>
              </c:ext>
            </c:extLst>
          </c:dPt>
          <c:dPt>
            <c:idx val="3"/>
            <c:bubble3D val="0"/>
            <c:extLst>
              <c:ext xmlns:c16="http://schemas.microsoft.com/office/drawing/2014/chart" uri="{C3380CC4-5D6E-409C-BE32-E72D297353CC}">
                <c16:uniqueId val="{00000003-18B2-43AE-9C32-ADB2D5F73C50}"/>
              </c:ext>
            </c:extLst>
          </c:dPt>
          <c:dPt>
            <c:idx val="4"/>
            <c:bubble3D val="0"/>
            <c:extLst>
              <c:ext xmlns:c16="http://schemas.microsoft.com/office/drawing/2014/chart" uri="{C3380CC4-5D6E-409C-BE32-E72D297353CC}">
                <c16:uniqueId val="{00000004-18B2-43AE-9C32-ADB2D5F73C50}"/>
              </c:ext>
            </c:extLst>
          </c:dPt>
          <c:dLbls>
            <c:dLbl>
              <c:idx val="0"/>
              <c:spPr/>
              <c:txPr>
                <a:bodyPr/>
                <a:lstStyle/>
                <a:p>
                  <a:pPr>
                    <a:defRPr sz="1400" b="1" i="0" u="none" strike="noStrike"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B2-43AE-9C32-ADB2D5F73C50}"/>
                </c:ext>
              </c:extLst>
            </c:dLbl>
            <c:dLbl>
              <c:idx val="1"/>
              <c:layout>
                <c:manualLayout>
                  <c:x val="-2.7427411417322835E-2"/>
                  <c:y val="4.3363489138325793E-2"/>
                </c:manualLayout>
              </c:layout>
              <c:spPr/>
              <c:txPr>
                <a:bodyPr/>
                <a:lstStyle/>
                <a:p>
                  <a:pPr>
                    <a:defRPr sz="1400" b="1" i="0" u="none" strike="noStrike"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B2-43AE-9C32-ADB2D5F73C50}"/>
                </c:ext>
              </c:extLst>
            </c:dLbl>
            <c:dLbl>
              <c:idx val="2"/>
              <c:layout>
                <c:manualLayout>
                  <c:x val="-1.4831576059970576E-2"/>
                  <c:y val="-3.2401748750478354E-2"/>
                </c:manualLayout>
              </c:layout>
              <c:spPr/>
              <c:txPr>
                <a:bodyPr/>
                <a:lstStyle/>
                <a:p>
                  <a:pPr>
                    <a:defRPr sz="1400" b="1" i="0" u="none" strike="noStrike"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B2-43AE-9C32-ADB2D5F73C50}"/>
                </c:ext>
              </c:extLst>
            </c:dLbl>
            <c:dLbl>
              <c:idx val="3"/>
              <c:layout>
                <c:manualLayout>
                  <c:x val="5.4967814954708719E-2"/>
                  <c:y val="-5.9164357032690504E-2"/>
                </c:manualLayout>
              </c:layout>
              <c:spPr/>
              <c:txPr>
                <a:bodyPr/>
                <a:lstStyle/>
                <a:p>
                  <a:pPr>
                    <a:defRPr sz="1400" b="1" i="0" u="none" strike="noStrike"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B2-43AE-9C32-ADB2D5F73C50}"/>
                </c:ext>
              </c:extLst>
            </c:dLbl>
            <c:dLbl>
              <c:idx val="4"/>
              <c:layout>
                <c:manualLayout>
                  <c:x val="5.3052308891076115E-2"/>
                  <c:y val="5.1873568995364945E-3"/>
                </c:manualLayout>
              </c:layout>
              <c:spPr/>
              <c:txPr>
                <a:bodyPr/>
                <a:lstStyle/>
                <a:p>
                  <a:pPr>
                    <a:defRPr sz="1400" b="1" i="0" u="none" strike="noStrike"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B2-43AE-9C32-ADB2D5F73C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extLst>
          </c:dLbls>
          <c:cat>
            <c:strRef>
              <c:f>'Summary by Gas'!$AO$34:$AO$38</c:f>
              <c:strCache>
                <c:ptCount val="5"/>
                <c:pt idx="0">
                  <c:v>CO2 </c:v>
                </c:pt>
                <c:pt idx="1">
                  <c:v>CH4</c:v>
                </c:pt>
                <c:pt idx="2">
                  <c:v>N2O</c:v>
                </c:pt>
                <c:pt idx="3">
                  <c:v>SF6 &amp; Other GHG Gases</c:v>
                </c:pt>
                <c:pt idx="4">
                  <c:v>Imported Electric Power (CO2, CH4 &amp; N2O combined)</c:v>
                </c:pt>
              </c:strCache>
            </c:strRef>
          </c:cat>
          <c:val>
            <c:numRef>
              <c:f>'Summary by Gas'!$AM$34:$AM$38</c:f>
              <c:numCache>
                <c:formatCode>0.0%</c:formatCode>
                <c:ptCount val="5"/>
                <c:pt idx="0">
                  <c:v>0.83462795647100563</c:v>
                </c:pt>
                <c:pt idx="1">
                  <c:v>2.2091469608761335E-2</c:v>
                </c:pt>
                <c:pt idx="2">
                  <c:v>8.1230969434307743E-3</c:v>
                </c:pt>
                <c:pt idx="3">
                  <c:v>5.8905799833453905E-2</c:v>
                </c:pt>
                <c:pt idx="4">
                  <c:v>7.6251677143348365E-2</c:v>
                </c:pt>
              </c:numCache>
            </c:numRef>
          </c:val>
          <c:extLst>
            <c:ext xmlns:c16="http://schemas.microsoft.com/office/drawing/2014/chart" uri="{C3380CC4-5D6E-409C-BE32-E72D297353CC}">
              <c16:uniqueId val="{00000005-18B2-43AE-9C32-ADB2D5F73C5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276533792650916"/>
          <c:y val="5.0098844027475289E-2"/>
          <c:w val="0.31223466207349082"/>
          <c:h val="0.93492265594460278"/>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4 Gases</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(MMTCO</a:t>
            </a:r>
            <a:r>
              <a:rPr lang="en-US" sz="1400" b="1" i="0" u="none" strike="noStrike" baseline="-25000">
                <a:solidFill>
                  <a:srgbClr val="000000"/>
                </a:solidFill>
                <a:latin typeface="Calibri"/>
              </a:rPr>
              <a:t>2</a:t>
            </a:r>
            <a:r>
              <a:rPr lang="en-US" sz="1400" b="1" i="0" u="none" strike="noStrike" baseline="0">
                <a:solidFill>
                  <a:srgbClr val="000000"/>
                </a:solidFill>
                <a:latin typeface="Calibri"/>
              </a:rPr>
              <a:t>e</a:t>
            </a:r>
            <a:r>
              <a:rPr lang="en-US" sz="1200" b="0" i="0" u="none" strike="noStrike" baseline="0">
                <a:solidFill>
                  <a:srgbClr val="000000"/>
                </a:solidFill>
                <a:latin typeface="Calibri"/>
              </a:rPr>
              <a:t>)</a:t>
            </a:r>
          </a:p>
        </c:rich>
      </c:tx>
      <c:layout>
        <c:manualLayout>
          <c:xMode val="edge"/>
          <c:yMode val="edge"/>
          <c:x val="0.81918521169814407"/>
          <c:y val="3.482424071991002E-2"/>
        </c:manualLayout>
      </c:layout>
      <c:overlay val="0"/>
    </c:title>
    <c:autoTitleDeleted val="0"/>
    <c:plotArea>
      <c:layout>
        <c:manualLayout>
          <c:layoutTarget val="inner"/>
          <c:xMode val="edge"/>
          <c:yMode val="edge"/>
          <c:x val="7.7823229736222452E-2"/>
          <c:y val="3.3117135525844506E-2"/>
          <c:w val="0.71623163246326482"/>
          <c:h val="0.86807118908794123"/>
        </c:manualLayout>
      </c:layout>
      <c:lineChart>
        <c:grouping val="standard"/>
        <c:varyColors val="0"/>
        <c:ser>
          <c:idx val="0"/>
          <c:order val="0"/>
          <c:tx>
            <c:strRef>
              <c:f>'Summary by Gas'!$C$22</c:f>
              <c:strCache>
                <c:ptCount val="1"/>
                <c:pt idx="0">
                  <c:v>CO2 </c:v>
                </c:pt>
              </c:strCache>
            </c:strRef>
          </c:tx>
          <c:spPr>
            <a:ln>
              <a:solidFill>
                <a:schemeClr val="tx2">
                  <a:lumMod val="75000"/>
                </a:schemeClr>
              </a:solidFill>
            </a:ln>
          </c:spPr>
          <c:marker>
            <c:spPr>
              <a:solidFill>
                <a:schemeClr val="tx2">
                  <a:lumMod val="75000"/>
                </a:schemeClr>
              </a:solidFill>
              <a:ln>
                <a:solidFill>
                  <a:srgbClr val="1F497D">
                    <a:lumMod val="75000"/>
                  </a:srgbClr>
                </a:solidFill>
              </a:ln>
            </c:spPr>
          </c:marker>
          <c:cat>
            <c:numRef>
              <c:f>'Summary by Gas'!$D$21:$AI$21</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Gas'!$D$22:$AI$22</c:f>
              <c:numCache>
                <c:formatCode>#,##0.00</c:formatCode>
                <c:ptCount val="32"/>
                <c:pt idx="0">
                  <c:v>83.895847239273991</c:v>
                </c:pt>
                <c:pt idx="1">
                  <c:v>82.232474302760636</c:v>
                </c:pt>
                <c:pt idx="2">
                  <c:v>83.863532688370654</c:v>
                </c:pt>
                <c:pt idx="3">
                  <c:v>81.132198684691915</c:v>
                </c:pt>
                <c:pt idx="4">
                  <c:v>81.558014061956371</c:v>
                </c:pt>
                <c:pt idx="5">
                  <c:v>79.1386144958107</c:v>
                </c:pt>
                <c:pt idx="6">
                  <c:v>79.415168917866922</c:v>
                </c:pt>
                <c:pt idx="7">
                  <c:v>85.3747346945717</c:v>
                </c:pt>
                <c:pt idx="8">
                  <c:v>83.431043289475852</c:v>
                </c:pt>
                <c:pt idx="9">
                  <c:v>81.053843054956275</c:v>
                </c:pt>
                <c:pt idx="10">
                  <c:v>82.669759411832828</c:v>
                </c:pt>
                <c:pt idx="11">
                  <c:v>82.559100552364328</c:v>
                </c:pt>
                <c:pt idx="12">
                  <c:v>83.728504499354244</c:v>
                </c:pt>
                <c:pt idx="13">
                  <c:v>85.897544828487256</c:v>
                </c:pt>
                <c:pt idx="14">
                  <c:v>83.897375457031515</c:v>
                </c:pt>
                <c:pt idx="15">
                  <c:v>85.123775670628334</c:v>
                </c:pt>
                <c:pt idx="16">
                  <c:v>77.531823404685895</c:v>
                </c:pt>
                <c:pt idx="17">
                  <c:v>80.777660106793547</c:v>
                </c:pt>
                <c:pt idx="18">
                  <c:v>77.317256331301522</c:v>
                </c:pt>
                <c:pt idx="19">
                  <c:v>71.746397345180185</c:v>
                </c:pt>
                <c:pt idx="20">
                  <c:v>74.058218643622567</c:v>
                </c:pt>
                <c:pt idx="21">
                  <c:v>68.52975079615689</c:v>
                </c:pt>
                <c:pt idx="22">
                  <c:v>62.286280582803393</c:v>
                </c:pt>
                <c:pt idx="23">
                  <c:v>66.353334243710052</c:v>
                </c:pt>
                <c:pt idx="24">
                  <c:v>64.306225172329647</c:v>
                </c:pt>
                <c:pt idx="25">
                  <c:v>65.663343349149727</c:v>
                </c:pt>
                <c:pt idx="26">
                  <c:v>62.39661259389564</c:v>
                </c:pt>
                <c:pt idx="27">
                  <c:v>62.766065026942329</c:v>
                </c:pt>
                <c:pt idx="28">
                  <c:v>62.41508481416772</c:v>
                </c:pt>
                <c:pt idx="29">
                  <c:v>61.206244600069454</c:v>
                </c:pt>
                <c:pt idx="30">
                  <c:v>52.168713108994488</c:v>
                </c:pt>
                <c:pt idx="31">
                  <c:v>55.952979029143179</c:v>
                </c:pt>
              </c:numCache>
            </c:numRef>
          </c:val>
          <c:smooth val="0"/>
          <c:extLst>
            <c:ext xmlns:c16="http://schemas.microsoft.com/office/drawing/2014/chart" uri="{C3380CC4-5D6E-409C-BE32-E72D297353CC}">
              <c16:uniqueId val="{00000000-EFEE-3649-A286-B16E7B84F29D}"/>
            </c:ext>
          </c:extLst>
        </c:ser>
        <c:ser>
          <c:idx val="1"/>
          <c:order val="1"/>
          <c:tx>
            <c:strRef>
              <c:f>'Summary by Gas'!$C$23</c:f>
              <c:strCache>
                <c:ptCount val="1"/>
                <c:pt idx="0">
                  <c:v>CH4 </c:v>
                </c:pt>
              </c:strCache>
            </c:strRef>
          </c:tx>
          <c:spPr>
            <a:ln>
              <a:solidFill>
                <a:schemeClr val="bg2">
                  <a:lumMod val="25000"/>
                </a:schemeClr>
              </a:solidFill>
            </a:ln>
          </c:spPr>
          <c:marker>
            <c:spPr>
              <a:solidFill>
                <a:schemeClr val="bg2">
                  <a:lumMod val="25000"/>
                </a:schemeClr>
              </a:solidFill>
              <a:ln>
                <a:solidFill>
                  <a:schemeClr val="bg2">
                    <a:lumMod val="25000"/>
                  </a:schemeClr>
                </a:solidFill>
              </a:ln>
            </c:spPr>
          </c:marker>
          <c:cat>
            <c:numRef>
              <c:f>'Summary by Gas'!$D$21:$AI$21</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Gas'!$D$23:$AI$23</c:f>
              <c:numCache>
                <c:formatCode>#,##0.00</c:formatCode>
                <c:ptCount val="32"/>
                <c:pt idx="0">
                  <c:v>5.1774503553999587</c:v>
                </c:pt>
                <c:pt idx="1">
                  <c:v>5.2339724343504237</c:v>
                </c:pt>
                <c:pt idx="2">
                  <c:v>5.1280105008198573</c:v>
                </c:pt>
                <c:pt idx="3">
                  <c:v>4.9276742620927489</c:v>
                </c:pt>
                <c:pt idx="4">
                  <c:v>4.8405621939278269</c:v>
                </c:pt>
                <c:pt idx="5">
                  <c:v>4.8061675591934252</c:v>
                </c:pt>
                <c:pt idx="6">
                  <c:v>4.354183077508309</c:v>
                </c:pt>
                <c:pt idx="7">
                  <c:v>3.7918582415991473</c:v>
                </c:pt>
                <c:pt idx="8">
                  <c:v>3.6211719760523264</c:v>
                </c:pt>
                <c:pt idx="9">
                  <c:v>3.5526708693466151</c:v>
                </c:pt>
                <c:pt idx="10">
                  <c:v>2.9199064091848217</c:v>
                </c:pt>
                <c:pt idx="11">
                  <c:v>2.4588556550142471</c:v>
                </c:pt>
                <c:pt idx="12">
                  <c:v>2.8014758726098097</c:v>
                </c:pt>
                <c:pt idx="13">
                  <c:v>3.2350255342743668</c:v>
                </c:pt>
                <c:pt idx="14">
                  <c:v>2.9621898070909176</c:v>
                </c:pt>
                <c:pt idx="15">
                  <c:v>2.7959826101623317</c:v>
                </c:pt>
                <c:pt idx="16">
                  <c:v>2.6172961880610943</c:v>
                </c:pt>
                <c:pt idx="17">
                  <c:v>2.4808648279017609</c:v>
                </c:pt>
                <c:pt idx="18">
                  <c:v>2.4730422196810666</c:v>
                </c:pt>
                <c:pt idx="19">
                  <c:v>2.4960327715151296</c:v>
                </c:pt>
                <c:pt idx="20">
                  <c:v>2.0515745961197771</c:v>
                </c:pt>
                <c:pt idx="21">
                  <c:v>1.9013244708958126</c:v>
                </c:pt>
                <c:pt idx="22">
                  <c:v>1.9203799639968526</c:v>
                </c:pt>
                <c:pt idx="23">
                  <c:v>1.8322196779423892</c:v>
                </c:pt>
                <c:pt idx="24">
                  <c:v>1.7512340426633826</c:v>
                </c:pt>
                <c:pt idx="25">
                  <c:v>1.7736878564632832</c:v>
                </c:pt>
                <c:pt idx="26">
                  <c:v>1.6935882296123266</c:v>
                </c:pt>
                <c:pt idx="27">
                  <c:v>1.6458191015579251</c:v>
                </c:pt>
                <c:pt idx="28">
                  <c:v>1.6248356562723598</c:v>
                </c:pt>
                <c:pt idx="29">
                  <c:v>1.6371027260696183</c:v>
                </c:pt>
                <c:pt idx="30">
                  <c:v>1.5847636756460195</c:v>
                </c:pt>
                <c:pt idx="31">
                  <c:v>1.4809994395208321</c:v>
                </c:pt>
              </c:numCache>
            </c:numRef>
          </c:val>
          <c:smooth val="0"/>
          <c:extLst>
            <c:ext xmlns:c16="http://schemas.microsoft.com/office/drawing/2014/chart" uri="{C3380CC4-5D6E-409C-BE32-E72D297353CC}">
              <c16:uniqueId val="{00000001-EFEE-3649-A286-B16E7B84F29D}"/>
            </c:ext>
          </c:extLst>
        </c:ser>
        <c:ser>
          <c:idx val="2"/>
          <c:order val="2"/>
          <c:tx>
            <c:strRef>
              <c:f>'Summary by Gas'!$C$24</c:f>
              <c:strCache>
                <c:ptCount val="1"/>
                <c:pt idx="0">
                  <c:v>N2O </c:v>
                </c:pt>
              </c:strCache>
            </c:strRef>
          </c:tx>
          <c:spPr>
            <a:ln>
              <a:solidFill>
                <a:srgbClr val="C00000"/>
              </a:solidFill>
            </a:ln>
          </c:spPr>
          <c:marker>
            <c:spPr>
              <a:solidFill>
                <a:srgbClr val="C00000"/>
              </a:solidFill>
              <a:ln>
                <a:solidFill>
                  <a:srgbClr val="C00000"/>
                </a:solidFill>
              </a:ln>
            </c:spPr>
          </c:marker>
          <c:cat>
            <c:numRef>
              <c:f>'Summary by Gas'!$D$21:$AI$21</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Gas'!$D$24:$AI$24</c:f>
              <c:numCache>
                <c:formatCode>#,##0.00</c:formatCode>
                <c:ptCount val="32"/>
                <c:pt idx="0">
                  <c:v>1.564486212334198</c:v>
                </c:pt>
                <c:pt idx="1">
                  <c:v>1.4955950377476577</c:v>
                </c:pt>
                <c:pt idx="2">
                  <c:v>1.5363736772498184</c:v>
                </c:pt>
                <c:pt idx="3">
                  <c:v>1.5247699277065485</c:v>
                </c:pt>
                <c:pt idx="4">
                  <c:v>1.5489080279666021</c:v>
                </c:pt>
                <c:pt idx="5">
                  <c:v>1.5752718328242239</c:v>
                </c:pt>
                <c:pt idx="6">
                  <c:v>1.6282792394003203</c:v>
                </c:pt>
                <c:pt idx="7">
                  <c:v>1.6305569989046633</c:v>
                </c:pt>
                <c:pt idx="8">
                  <c:v>1.6092539001338109</c:v>
                </c:pt>
                <c:pt idx="9">
                  <c:v>1.5359658239359852</c:v>
                </c:pt>
                <c:pt idx="10">
                  <c:v>1.5303971434768702</c:v>
                </c:pt>
                <c:pt idx="11">
                  <c:v>1.4891342311217228</c:v>
                </c:pt>
                <c:pt idx="12">
                  <c:v>1.4179822796250086</c:v>
                </c:pt>
                <c:pt idx="13">
                  <c:v>1.3824227860898008</c:v>
                </c:pt>
                <c:pt idx="14">
                  <c:v>1.3265611935304364</c:v>
                </c:pt>
                <c:pt idx="15">
                  <c:v>1.2951920909083761</c:v>
                </c:pt>
                <c:pt idx="16">
                  <c:v>1.2654737935973424</c:v>
                </c:pt>
                <c:pt idx="17">
                  <c:v>1.1791183531603564</c:v>
                </c:pt>
                <c:pt idx="18">
                  <c:v>1.1159102306424495</c:v>
                </c:pt>
                <c:pt idx="19">
                  <c:v>1.0234112065793413</c:v>
                </c:pt>
                <c:pt idx="20">
                  <c:v>0.96138646279248885</c:v>
                </c:pt>
                <c:pt idx="21">
                  <c:v>0.94585100439595438</c:v>
                </c:pt>
                <c:pt idx="22">
                  <c:v>0.86746466753329721</c:v>
                </c:pt>
                <c:pt idx="23">
                  <c:v>0.87516244487956307</c:v>
                </c:pt>
                <c:pt idx="24">
                  <c:v>0.83739253618565135</c:v>
                </c:pt>
                <c:pt idx="25">
                  <c:v>0.75767177501043714</c:v>
                </c:pt>
                <c:pt idx="26">
                  <c:v>0.68560557556766533</c:v>
                </c:pt>
                <c:pt idx="27">
                  <c:v>0.64405659400762283</c:v>
                </c:pt>
                <c:pt idx="28">
                  <c:v>0.6183643533436074</c:v>
                </c:pt>
                <c:pt idx="29">
                  <c:v>0.64705229771492412</c:v>
                </c:pt>
                <c:pt idx="30">
                  <c:v>0.56600131211479177</c:v>
                </c:pt>
                <c:pt idx="31">
                  <c:v>0.54456775549342451</c:v>
                </c:pt>
              </c:numCache>
            </c:numRef>
          </c:val>
          <c:smooth val="0"/>
          <c:extLst>
            <c:ext xmlns:c16="http://schemas.microsoft.com/office/drawing/2014/chart" uri="{C3380CC4-5D6E-409C-BE32-E72D297353CC}">
              <c16:uniqueId val="{00000002-EFEE-3649-A286-B16E7B84F29D}"/>
            </c:ext>
          </c:extLst>
        </c:ser>
        <c:ser>
          <c:idx val="4"/>
          <c:order val="3"/>
          <c:tx>
            <c:strRef>
              <c:f>'Summary by Gas'!$C$25</c:f>
              <c:strCache>
                <c:ptCount val="1"/>
                <c:pt idx="0">
                  <c:v>SF6 (from Electric Power Trans. &amp; Dist. Services)</c:v>
                </c:pt>
              </c:strCache>
            </c:strRef>
          </c:tx>
          <c:spPr>
            <a:ln>
              <a:solidFill>
                <a:schemeClr val="accent4">
                  <a:lumMod val="75000"/>
                </a:schemeClr>
              </a:solidFill>
            </a:ln>
          </c:spPr>
          <c:marker>
            <c:spPr>
              <a:solidFill>
                <a:schemeClr val="accent4">
                  <a:lumMod val="75000"/>
                </a:schemeClr>
              </a:solidFill>
              <a:ln>
                <a:solidFill>
                  <a:srgbClr val="8064A2">
                    <a:lumMod val="75000"/>
                  </a:srgbClr>
                </a:solidFill>
              </a:ln>
            </c:spPr>
          </c:marker>
          <c:cat>
            <c:numRef>
              <c:f>'Summary by Gas'!$D$21:$AI$21</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 by Gas'!$D$25:$AI$25</c:f>
              <c:numCache>
                <c:formatCode>#,##0.00</c:formatCode>
                <c:ptCount val="32"/>
                <c:pt idx="0">
                  <c:v>0.38789975619760453</c:v>
                </c:pt>
                <c:pt idx="1">
                  <c:v>0.3718260641647354</c:v>
                </c:pt>
                <c:pt idx="2">
                  <c:v>0.37215208156089641</c:v>
                </c:pt>
                <c:pt idx="3">
                  <c:v>0.35059306348162167</c:v>
                </c:pt>
                <c:pt idx="4">
                  <c:v>0.32777458754937455</c:v>
                </c:pt>
                <c:pt idx="5">
                  <c:v>0.29696578337512486</c:v>
                </c:pt>
                <c:pt idx="6">
                  <c:v>0.26831279500899841</c:v>
                </c:pt>
                <c:pt idx="7">
                  <c:v>0.24549879852171885</c:v>
                </c:pt>
                <c:pt idx="8">
                  <c:v>0.20426712546738821</c:v>
                </c:pt>
                <c:pt idx="9">
                  <c:v>0.20938205540256527</c:v>
                </c:pt>
                <c:pt idx="10">
                  <c:v>0.20538617220111405</c:v>
                </c:pt>
                <c:pt idx="11">
                  <c:v>0.20572862214132048</c:v>
                </c:pt>
                <c:pt idx="12">
                  <c:v>0.19499097337850929</c:v>
                </c:pt>
                <c:pt idx="13">
                  <c:v>0.19259226561409309</c:v>
                </c:pt>
                <c:pt idx="14">
                  <c:v>0.18664815304992144</c:v>
                </c:pt>
                <c:pt idx="15">
                  <c:v>0.17963885239526922</c:v>
                </c:pt>
                <c:pt idx="16">
                  <c:v>0.16198195834948043</c:v>
                </c:pt>
                <c:pt idx="17">
                  <c:v>0.15036008802009723</c:v>
                </c:pt>
                <c:pt idx="18">
                  <c:v>0.14753401409735378</c:v>
                </c:pt>
                <c:pt idx="19">
                  <c:v>0.13190623467939996</c:v>
                </c:pt>
                <c:pt idx="20">
                  <c:v>0.11458593451620261</c:v>
                </c:pt>
                <c:pt idx="21">
                  <c:v>0.10261998235595651</c:v>
                </c:pt>
                <c:pt idx="22">
                  <c:v>8.8556426713883349E-2</c:v>
                </c:pt>
                <c:pt idx="23">
                  <c:v>8.4644758816187687E-2</c:v>
                </c:pt>
                <c:pt idx="24">
                  <c:v>8.56357110837309E-2</c:v>
                </c:pt>
                <c:pt idx="25">
                  <c:v>7.5052550926182612E-2</c:v>
                </c:pt>
                <c:pt idx="26">
                  <c:v>7.6700192109095663E-2</c:v>
                </c:pt>
                <c:pt idx="27">
                  <c:v>7.4945534066795869E-2</c:v>
                </c:pt>
                <c:pt idx="28">
                  <c:v>7.0238405761697736E-2</c:v>
                </c:pt>
                <c:pt idx="29">
                  <c:v>7.9562782950133915E-2</c:v>
                </c:pt>
                <c:pt idx="30">
                  <c:v>7.6434475695087434E-2</c:v>
                </c:pt>
                <c:pt idx="31">
                  <c:v>7.7486947937451728E-2</c:v>
                </c:pt>
              </c:numCache>
            </c:numRef>
          </c:val>
          <c:smooth val="0"/>
          <c:extLst>
            <c:ext xmlns:c16="http://schemas.microsoft.com/office/drawing/2014/chart" uri="{C3380CC4-5D6E-409C-BE32-E72D297353CC}">
              <c16:uniqueId val="{00000003-EFEE-3649-A286-B16E7B84F29D}"/>
            </c:ext>
          </c:extLst>
        </c:ser>
        <c:dLbls>
          <c:showLegendKey val="0"/>
          <c:showVal val="0"/>
          <c:showCatName val="0"/>
          <c:showSerName val="0"/>
          <c:showPercent val="0"/>
          <c:showBubbleSize val="0"/>
        </c:dLbls>
        <c:marker val="1"/>
        <c:smooth val="0"/>
        <c:axId val="47875968"/>
        <c:axId val="47890432"/>
      </c:lineChart>
      <c:catAx>
        <c:axId val="4787596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47890432"/>
        <c:crosses val="autoZero"/>
        <c:auto val="1"/>
        <c:lblAlgn val="ctr"/>
        <c:lblOffset val="100"/>
        <c:noMultiLvlLbl val="0"/>
      </c:catAx>
      <c:valAx>
        <c:axId val="47890432"/>
        <c:scaling>
          <c:orientation val="minMax"/>
          <c:max val="9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875968"/>
        <c:crosses val="autoZero"/>
        <c:crossBetween val="between"/>
      </c:valAx>
    </c:plotArea>
    <c:legend>
      <c:legendPos val="r"/>
      <c:layout>
        <c:manualLayout>
          <c:xMode val="edge"/>
          <c:yMode val="edge"/>
          <c:x val="0.80173373013412685"/>
          <c:y val="0.18494088879915652"/>
          <c:w val="0.19548680430694199"/>
          <c:h val="0.78788478363281511"/>
        </c:manualLayout>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r>
              <a:rPr lang="en-US"/>
              <a:t>2021 MA GHG MMTCO</a:t>
            </a:r>
            <a:r>
              <a:rPr lang="en-US" sz="1800" b="1" i="0" u="none" strike="noStrike" baseline="-25000">
                <a:effectLst/>
              </a:rPr>
              <a:t>2</a:t>
            </a:r>
            <a:r>
              <a:rPr lang="en-US" sz="1800" b="1" i="0" u="none" strike="noStrike" baseline="0">
                <a:effectLst/>
              </a:rPr>
              <a:t>e</a:t>
            </a:r>
            <a:r>
              <a:rPr lang="en-US" sz="1800" b="1" i="0" u="none" strike="noStrike" baseline="0"/>
              <a:t> </a:t>
            </a:r>
            <a:r>
              <a:rPr lang="en-US"/>
              <a:t> Emissions as % of</a:t>
            </a:r>
            <a:r>
              <a:rPr lang="en-US" baseline="0"/>
              <a:t> </a:t>
            </a:r>
            <a:r>
              <a:rPr lang="en-US"/>
              <a:t>Total</a:t>
            </a:r>
          </a:p>
        </c:rich>
      </c:tx>
      <c:layout>
        <c:manualLayout>
          <c:xMode val="edge"/>
          <c:yMode val="edge"/>
          <c:x val="0.12683241858638158"/>
          <c:y val="1.9864353239030963E-2"/>
        </c:manualLayout>
      </c:layout>
      <c:overlay val="1"/>
      <c:spPr>
        <a:noFill/>
        <a:ln>
          <a:noFill/>
        </a:ln>
        <a:effectLst/>
      </c:spPr>
      <c:txPr>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6.3645013123359587E-2"/>
          <c:y val="0.25907788141893084"/>
          <c:w val="0.52991972878390203"/>
          <c:h val="0.6623998420821966"/>
        </c:manualLayout>
      </c:layout>
      <c:pieChart>
        <c:varyColors val="1"/>
        <c:ser>
          <c:idx val="0"/>
          <c:order val="0"/>
          <c:tx>
            <c:strRef>
              <c:f>'Summary by Gas'!$AS$3</c:f>
              <c:strCache>
                <c:ptCount val="1"/>
                <c:pt idx="0">
                  <c:v>CO2 </c:v>
                </c:pt>
              </c:strCache>
            </c:strRef>
          </c:tx>
          <c:dPt>
            <c:idx val="0"/>
            <c:bubble3D val="0"/>
            <c:spPr>
              <a:solidFill>
                <a:schemeClr val="accent1">
                  <a:lumMod val="75000"/>
                </a:schemeClr>
              </a:solidFill>
              <a:ln>
                <a:noFill/>
              </a:ln>
              <a:effectLst/>
            </c:spPr>
            <c:extLst>
              <c:ext xmlns:c16="http://schemas.microsoft.com/office/drawing/2014/chart" uri="{C3380CC4-5D6E-409C-BE32-E72D297353CC}">
                <c16:uniqueId val="{00000000-5731-004B-A8D1-C67C7C58AD18}"/>
              </c:ext>
            </c:extLst>
          </c:dPt>
          <c:dPt>
            <c:idx val="1"/>
            <c:bubble3D val="0"/>
            <c:spPr>
              <a:solidFill>
                <a:schemeClr val="accent3">
                  <a:lumMod val="75000"/>
                </a:schemeClr>
              </a:solidFill>
              <a:ln>
                <a:noFill/>
              </a:ln>
              <a:effectLst/>
            </c:spPr>
            <c:extLst>
              <c:ext xmlns:c16="http://schemas.microsoft.com/office/drawing/2014/chart" uri="{C3380CC4-5D6E-409C-BE32-E72D297353CC}">
                <c16:uniqueId val="{00000001-5731-004B-A8D1-C67C7C58AD18}"/>
              </c:ext>
            </c:extLst>
          </c:dPt>
          <c:dPt>
            <c:idx val="2"/>
            <c:bubble3D val="0"/>
            <c:spPr>
              <a:solidFill>
                <a:schemeClr val="accent2">
                  <a:lumMod val="75000"/>
                </a:schemeClr>
              </a:solidFill>
              <a:ln>
                <a:noFill/>
              </a:ln>
              <a:effectLst/>
            </c:spPr>
            <c:extLst>
              <c:ext xmlns:c16="http://schemas.microsoft.com/office/drawing/2014/chart" uri="{C3380CC4-5D6E-409C-BE32-E72D297353CC}">
                <c16:uniqueId val="{00000002-5731-004B-A8D1-C67C7C58AD18}"/>
              </c:ext>
            </c:extLst>
          </c:dPt>
          <c:dPt>
            <c:idx val="3"/>
            <c:bubble3D val="0"/>
            <c:spPr>
              <a:solidFill>
                <a:schemeClr val="accent4"/>
              </a:solidFill>
              <a:ln>
                <a:noFill/>
              </a:ln>
              <a:effectLst/>
            </c:spPr>
            <c:extLst>
              <c:ext xmlns:c16="http://schemas.microsoft.com/office/drawing/2014/chart" uri="{C3380CC4-5D6E-409C-BE32-E72D297353CC}">
                <c16:uniqueId val="{00000003-5731-004B-A8D1-C67C7C58AD18}"/>
              </c:ext>
            </c:extLst>
          </c:dPt>
          <c:dPt>
            <c:idx val="4"/>
            <c:bubble3D val="0"/>
            <c:spPr>
              <a:solidFill>
                <a:schemeClr val="accent6">
                  <a:lumMod val="75000"/>
                </a:schemeClr>
              </a:solidFill>
              <a:ln>
                <a:noFill/>
              </a:ln>
              <a:effectLst/>
            </c:spPr>
            <c:extLst>
              <c:ext xmlns:c16="http://schemas.microsoft.com/office/drawing/2014/chart" uri="{C3380CC4-5D6E-409C-BE32-E72D297353CC}">
                <c16:uniqueId val="{00000004-5731-004B-A8D1-C67C7C58AD18}"/>
              </c:ext>
            </c:extLst>
          </c:dPt>
          <c:dLbls>
            <c:dLbl>
              <c:idx val="2"/>
              <c:layout>
                <c:manualLayout>
                  <c:x val="-3.412393003972515E-2"/>
                  <c:y val="-4.513167812786288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31-004B-A8D1-C67C7C58AD18}"/>
                </c:ext>
              </c:extLst>
            </c:dLbl>
            <c:dLbl>
              <c:idx val="3"/>
              <c:layout>
                <c:manualLayout>
                  <c:x val="3.6481995820515825E-2"/>
                  <c:y val="-6.393979103127572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31-004B-A8D1-C67C7C58AD18}"/>
                </c:ext>
              </c:extLst>
            </c:dLbl>
            <c:dLbl>
              <c:idx val="4"/>
              <c:layout>
                <c:manualLayout>
                  <c:x val="7.0720448657084531E-2"/>
                  <c:y val="-6.767014947873783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31-004B-A8D1-C67C7C58AD18}"/>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rgbClr val="000000"/>
                    </a:solidFill>
                    <a:latin typeface="Calibri"/>
                    <a:ea typeface="Calibri"/>
                    <a:cs typeface="Calibri"/>
                  </a:defRPr>
                </a:pPr>
                <a:endParaRPr lang="en-US"/>
              </a:p>
            </c:txPr>
            <c:dLblPos val="bestFit"/>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'Summary by Gas'!$AS$3:$AS$7</c:f>
              <c:strCache>
                <c:ptCount val="5"/>
                <c:pt idx="0">
                  <c:v>CO2 </c:v>
                </c:pt>
                <c:pt idx="1">
                  <c:v>CH4</c:v>
                </c:pt>
                <c:pt idx="2">
                  <c:v>N2O</c:v>
                </c:pt>
                <c:pt idx="3">
                  <c:v>SF6 &amp; Other GHG Gases</c:v>
                </c:pt>
                <c:pt idx="4">
                  <c:v>Imported Electric Power (CO2, CH4 &amp; N2O combined)</c:v>
                </c:pt>
              </c:strCache>
            </c:strRef>
          </c:cat>
          <c:val>
            <c:numRef>
              <c:f>'Summary by Gas'!$AQ$3:$AQ$7</c:f>
              <c:numCache>
                <c:formatCode>0.0%</c:formatCode>
                <c:ptCount val="5"/>
                <c:pt idx="0">
                  <c:v>0.83462795647100563</c:v>
                </c:pt>
                <c:pt idx="1">
                  <c:v>2.2091469608761335E-2</c:v>
                </c:pt>
                <c:pt idx="2">
                  <c:v>8.1230969434307743E-3</c:v>
                </c:pt>
                <c:pt idx="3">
                  <c:v>5.8905799833453905E-2</c:v>
                </c:pt>
                <c:pt idx="4">
                  <c:v>7.6251677143348365E-2</c:v>
                </c:pt>
              </c:numCache>
            </c:numRef>
          </c:val>
          <c:extLst>
            <c:ext xmlns:c16="http://schemas.microsoft.com/office/drawing/2014/chart" uri="{C3380CC4-5D6E-409C-BE32-E72D297353CC}">
              <c16:uniqueId val="{00000005-5731-004B-A8D1-C67C7C58AD18}"/>
            </c:ext>
          </c:extLst>
        </c:ser>
        <c:dLbls>
          <c:dLblPos val="bestFit"/>
          <c:showLegendKey val="0"/>
          <c:showVal val="1"/>
          <c:showCatName val="0"/>
          <c:showSerName val="0"/>
          <c:showPercent val="0"/>
          <c:showBubbleSize val="0"/>
          <c:showLeaderLines val="1"/>
        </c:dLbls>
        <c:firstSliceAng val="0"/>
      </c:pieChart>
      <c:spPr>
        <a:noFill/>
        <a:ln w="25400">
          <a:noFill/>
        </a:ln>
        <a:effectLst/>
      </c:spPr>
    </c:plotArea>
    <c:legend>
      <c:legendPos val="r"/>
      <c:layout>
        <c:manualLayout>
          <c:xMode val="edge"/>
          <c:yMode val="edge"/>
          <c:x val="0.73285888087035123"/>
          <c:y val="0.1191097019952152"/>
          <c:w val="0.23045886939047563"/>
          <c:h val="0.86306180753954431"/>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 of </a:t>
            </a:r>
            <a:r>
              <a:rPr lang="en-US" sz="1800" b="1" i="0" u="none" strike="noStrike" baseline="0">
                <a:solidFill>
                  <a:schemeClr val="tx1"/>
                </a:solidFill>
                <a:latin typeface="Calibri"/>
              </a:rPr>
              <a:t>2021 </a:t>
            </a:r>
            <a:r>
              <a:rPr lang="en-US" sz="1800" b="1" i="0" u="none" strike="noStrike" baseline="0">
                <a:solidFill>
                  <a:srgbClr val="000000"/>
                </a:solidFill>
                <a:latin typeface="Calibri"/>
              </a:rPr>
              <a:t>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e GHG Emissions by Sector</a:t>
            </a:r>
          </a:p>
        </c:rich>
      </c:tx>
      <c:layout>
        <c:manualLayout>
          <c:xMode val="edge"/>
          <c:yMode val="edge"/>
          <c:x val="4.011894789747026E-2"/>
          <c:y val="1.5138478352666487E-2"/>
        </c:manualLayout>
      </c:layout>
      <c:overlay val="0"/>
      <c:spPr>
        <a:noFill/>
      </c:spPr>
    </c:title>
    <c:autoTitleDeleted val="0"/>
    <c:plotArea>
      <c:layout/>
      <c:pieChart>
        <c:varyColors val="1"/>
        <c:ser>
          <c:idx val="0"/>
          <c:order val="0"/>
          <c:tx>
            <c:strRef>
              <c:f>'Summary by Gas'!$AR$11</c:f>
              <c:strCache>
                <c:ptCount val="1"/>
                <c:pt idx="0">
                  <c:v>Building Consumption</c:v>
                </c:pt>
              </c:strCache>
            </c:strRef>
          </c:tx>
          <c:dPt>
            <c:idx val="0"/>
            <c:bubble3D val="0"/>
            <c:extLst>
              <c:ext xmlns:c16="http://schemas.microsoft.com/office/drawing/2014/chart" uri="{C3380CC4-5D6E-409C-BE32-E72D297353CC}">
                <c16:uniqueId val="{00000000-06F7-0643-9F8F-78296C7ECE8B}"/>
              </c:ext>
            </c:extLst>
          </c:dPt>
          <c:dPt>
            <c:idx val="1"/>
            <c:bubble3D val="0"/>
            <c:extLst>
              <c:ext xmlns:c16="http://schemas.microsoft.com/office/drawing/2014/chart" uri="{C3380CC4-5D6E-409C-BE32-E72D297353CC}">
                <c16:uniqueId val="{00000001-06F7-0643-9F8F-78296C7ECE8B}"/>
              </c:ext>
            </c:extLst>
          </c:dPt>
          <c:dPt>
            <c:idx val="2"/>
            <c:bubble3D val="0"/>
            <c:extLst>
              <c:ext xmlns:c16="http://schemas.microsoft.com/office/drawing/2014/chart" uri="{C3380CC4-5D6E-409C-BE32-E72D297353CC}">
                <c16:uniqueId val="{00000002-06F7-0643-9F8F-78296C7ECE8B}"/>
              </c:ext>
            </c:extLst>
          </c:dPt>
          <c:dPt>
            <c:idx val="3"/>
            <c:bubble3D val="0"/>
            <c:extLst>
              <c:ext xmlns:c16="http://schemas.microsoft.com/office/drawing/2014/chart" uri="{C3380CC4-5D6E-409C-BE32-E72D297353CC}">
                <c16:uniqueId val="{00000003-06F7-0643-9F8F-78296C7ECE8B}"/>
              </c:ext>
            </c:extLst>
          </c:dPt>
          <c:dPt>
            <c:idx val="4"/>
            <c:bubble3D val="0"/>
            <c:extLst>
              <c:ext xmlns:c16="http://schemas.microsoft.com/office/drawing/2014/chart" uri="{C3380CC4-5D6E-409C-BE32-E72D297353CC}">
                <c16:uniqueId val="{00000004-06F7-0643-9F8F-78296C7ECE8B}"/>
              </c:ext>
            </c:extLst>
          </c:dPt>
          <c:dPt>
            <c:idx val="5"/>
            <c:bubble3D val="0"/>
            <c:extLst>
              <c:ext xmlns:c16="http://schemas.microsoft.com/office/drawing/2014/chart" uri="{C3380CC4-5D6E-409C-BE32-E72D297353CC}">
                <c16:uniqueId val="{00000005-06F7-0643-9F8F-78296C7ECE8B}"/>
              </c:ext>
            </c:extLst>
          </c:dPt>
          <c:dPt>
            <c:idx val="6"/>
            <c:bubble3D val="0"/>
            <c:extLst>
              <c:ext xmlns:c16="http://schemas.microsoft.com/office/drawing/2014/chart" uri="{C3380CC4-5D6E-409C-BE32-E72D297353CC}">
                <c16:uniqueId val="{00000006-06F7-0643-9F8F-78296C7ECE8B}"/>
              </c:ext>
            </c:extLst>
          </c:dPt>
          <c:dPt>
            <c:idx val="7"/>
            <c:bubble3D val="0"/>
            <c:extLst>
              <c:ext xmlns:c16="http://schemas.microsoft.com/office/drawing/2014/chart" uri="{C3380CC4-5D6E-409C-BE32-E72D297353CC}">
                <c16:uniqueId val="{00000007-06F7-0643-9F8F-78296C7ECE8B}"/>
              </c:ext>
            </c:extLst>
          </c:dPt>
          <c:dPt>
            <c:idx val="8"/>
            <c:bubble3D val="0"/>
            <c:extLst>
              <c:ext xmlns:c16="http://schemas.microsoft.com/office/drawing/2014/chart" uri="{C3380CC4-5D6E-409C-BE32-E72D297353CC}">
                <c16:uniqueId val="{00000008-06F7-0643-9F8F-78296C7ECE8B}"/>
              </c:ext>
            </c:extLst>
          </c:dPt>
          <c:dLbls>
            <c:dLbl>
              <c:idx val="3"/>
              <c:layout>
                <c:manualLayout>
                  <c:x val="-0.10437804545954935"/>
                  <c:y val="4.007576722812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F7-0643-9F8F-78296C7ECE8B}"/>
                </c:ext>
              </c:extLst>
            </c:dLbl>
            <c:dLbl>
              <c:idx val="4"/>
              <c:layout>
                <c:manualLayout>
                  <c:x val="-0.13348606258654755"/>
                  <c:y val="-1.576094250354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F7-0643-9F8F-78296C7ECE8B}"/>
                </c:ext>
              </c:extLst>
            </c:dLbl>
            <c:dLbl>
              <c:idx val="5"/>
              <c:layout>
                <c:manualLayout>
                  <c:x val="-7.288870348160123E-2"/>
                  <c:y val="-2.8273747334981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F7-0643-9F8F-78296C7ECE8B}"/>
                </c:ext>
              </c:extLst>
            </c:dLbl>
            <c:dLbl>
              <c:idx val="8"/>
              <c:layout>
                <c:manualLayout>
                  <c:x val="0.1202769521359499"/>
                  <c:y val="-2.835848957275755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F7-0643-9F8F-78296C7ECE8B}"/>
                </c:ext>
              </c:extLst>
            </c:dLbl>
            <c:spPr>
              <a:noFill/>
              <a:ln>
                <a:noFill/>
              </a:ln>
              <a:effectLst/>
            </c:spPr>
            <c:txPr>
              <a:bodyPr/>
              <a:lstStyle/>
              <a:p>
                <a:pPr>
                  <a:defRPr sz="14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'Summary by Gas'!$AR$11:$AR$17</c:f>
              <c:strCache>
                <c:ptCount val="7"/>
                <c:pt idx="0">
                  <c:v>Building Consumption</c:v>
                </c:pt>
                <c:pt idx="1">
                  <c:v>Electricity Consumption</c:v>
                </c:pt>
                <c:pt idx="2">
                  <c:v>Mobile Combustion</c:v>
                </c:pt>
                <c:pt idx="3">
                  <c:v>Natural Gas Systems</c:v>
                </c:pt>
                <c:pt idx="4">
                  <c:v>Industrial Processes</c:v>
                </c:pt>
                <c:pt idx="5">
                  <c:v>Agriculture </c:v>
                </c:pt>
                <c:pt idx="6">
                  <c:v>Waste</c:v>
                </c:pt>
              </c:strCache>
            </c:strRef>
          </c:cat>
          <c:val>
            <c:numRef>
              <c:f>'Summary by Gas'!$AT$11:$AT$17</c:f>
              <c:numCache>
                <c:formatCode>0.0%</c:formatCode>
                <c:ptCount val="7"/>
                <c:pt idx="0">
                  <c:v>0.34780564668912695</c:v>
                </c:pt>
                <c:pt idx="1">
                  <c:v>0.18643364677687946</c:v>
                </c:pt>
                <c:pt idx="2">
                  <c:v>0.38208491880970918</c:v>
                </c:pt>
                <c:pt idx="3">
                  <c:v>1.067481842132915E-2</c:v>
                </c:pt>
                <c:pt idx="4">
                  <c:v>6.1210767265165431E-2</c:v>
                </c:pt>
                <c:pt idx="5">
                  <c:v>2.8885054721010045E-3</c:v>
                </c:pt>
                <c:pt idx="6">
                  <c:v>8.9016965656888332E-3</c:v>
                </c:pt>
              </c:numCache>
            </c:numRef>
          </c:val>
          <c:extLst>
            <c:ext xmlns:c16="http://schemas.microsoft.com/office/drawing/2014/chart" uri="{C3380CC4-5D6E-409C-BE32-E72D297353CC}">
              <c16:uniqueId val="{00000009-06F7-0643-9F8F-78296C7ECE8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0.14184232097170815"/>
          <c:w val="0.31556807054747293"/>
          <c:h val="0.82348766735388346"/>
        </c:manualLayout>
      </c:layout>
      <c:overlay val="0"/>
      <c:txPr>
        <a:bodyPr/>
        <a:lstStyle/>
        <a:p>
          <a:pPr>
            <a:defRPr sz="1400"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677877852275421E-2"/>
          <c:y val="2.6205632278226858E-2"/>
          <c:w val="0.95665637502968737"/>
          <c:h val="0.91423258899732873"/>
        </c:manualLayout>
      </c:layout>
      <c:pieChart>
        <c:varyColors val="1"/>
        <c:ser>
          <c:idx val="0"/>
          <c:order val="0"/>
          <c:tx>
            <c:strRef>
              <c:f>'Summary by Gas'!$AI$33</c:f>
              <c:strCache>
                <c:ptCount val="1"/>
                <c:pt idx="0">
                  <c:v>2021</c:v>
                </c:pt>
              </c:strCache>
            </c:strRef>
          </c:tx>
          <c:dPt>
            <c:idx val="0"/>
            <c:bubble3D val="0"/>
            <c:extLst>
              <c:ext xmlns:c16="http://schemas.microsoft.com/office/drawing/2014/chart" uri="{C3380CC4-5D6E-409C-BE32-E72D297353CC}">
                <c16:uniqueId val="{00000000-B83F-4BD9-88D3-A879DF29EBA8}"/>
              </c:ext>
            </c:extLst>
          </c:dPt>
          <c:dPt>
            <c:idx val="1"/>
            <c:bubble3D val="0"/>
            <c:extLst>
              <c:ext xmlns:c16="http://schemas.microsoft.com/office/drawing/2014/chart" uri="{C3380CC4-5D6E-409C-BE32-E72D297353CC}">
                <c16:uniqueId val="{00000001-B83F-4BD9-88D3-A879DF29EBA8}"/>
              </c:ext>
            </c:extLst>
          </c:dPt>
          <c:dPt>
            <c:idx val="2"/>
            <c:bubble3D val="0"/>
            <c:extLst>
              <c:ext xmlns:c16="http://schemas.microsoft.com/office/drawing/2014/chart" uri="{C3380CC4-5D6E-409C-BE32-E72D297353CC}">
                <c16:uniqueId val="{00000002-B83F-4BD9-88D3-A879DF29EBA8}"/>
              </c:ext>
            </c:extLst>
          </c:dPt>
          <c:dPt>
            <c:idx val="3"/>
            <c:bubble3D val="0"/>
            <c:extLst>
              <c:ext xmlns:c16="http://schemas.microsoft.com/office/drawing/2014/chart" uri="{C3380CC4-5D6E-409C-BE32-E72D297353CC}">
                <c16:uniqueId val="{00000003-B83F-4BD9-88D3-A879DF29EBA8}"/>
              </c:ext>
            </c:extLst>
          </c:dPt>
          <c:dPt>
            <c:idx val="4"/>
            <c:bubble3D val="0"/>
            <c:extLst>
              <c:ext xmlns:c16="http://schemas.microsoft.com/office/drawing/2014/chart" uri="{C3380CC4-5D6E-409C-BE32-E72D297353CC}">
                <c16:uniqueId val="{00000004-B83F-4BD9-88D3-A879DF29EBA8}"/>
              </c:ext>
            </c:extLst>
          </c:dPt>
          <c:dPt>
            <c:idx val="5"/>
            <c:bubble3D val="0"/>
            <c:extLst>
              <c:ext xmlns:c16="http://schemas.microsoft.com/office/drawing/2014/chart" uri="{C3380CC4-5D6E-409C-BE32-E72D297353CC}">
                <c16:uniqueId val="{00000005-B83F-4BD9-88D3-A879DF29EBA8}"/>
              </c:ext>
            </c:extLst>
          </c:dPt>
          <c:dPt>
            <c:idx val="6"/>
            <c:bubble3D val="0"/>
            <c:extLst>
              <c:ext xmlns:c16="http://schemas.microsoft.com/office/drawing/2014/chart" uri="{C3380CC4-5D6E-409C-BE32-E72D297353CC}">
                <c16:uniqueId val="{00000006-B83F-4BD9-88D3-A879DF29EBA8}"/>
              </c:ext>
            </c:extLst>
          </c:dPt>
          <c:dPt>
            <c:idx val="7"/>
            <c:bubble3D val="0"/>
            <c:extLst>
              <c:ext xmlns:c16="http://schemas.microsoft.com/office/drawing/2014/chart" uri="{C3380CC4-5D6E-409C-BE32-E72D297353CC}">
                <c16:uniqueId val="{00000007-B83F-4BD9-88D3-A879DF29EBA8}"/>
              </c:ext>
            </c:extLst>
          </c:dPt>
          <c:dPt>
            <c:idx val="8"/>
            <c:bubble3D val="0"/>
            <c:extLst>
              <c:ext xmlns:c16="http://schemas.microsoft.com/office/drawing/2014/chart" uri="{C3380CC4-5D6E-409C-BE32-E72D297353CC}">
                <c16:uniqueId val="{00000008-B83F-4BD9-88D3-A879DF29EBA8}"/>
              </c:ext>
            </c:extLst>
          </c:dPt>
          <c:dPt>
            <c:idx val="9"/>
            <c:bubble3D val="0"/>
            <c:extLst>
              <c:ext xmlns:c16="http://schemas.microsoft.com/office/drawing/2014/chart" uri="{C3380CC4-5D6E-409C-BE32-E72D297353CC}">
                <c16:uniqueId val="{00000009-B83F-4BD9-88D3-A879DF29EBA8}"/>
              </c:ext>
            </c:extLst>
          </c:dPt>
          <c:cat>
            <c:strRef>
              <c:f>'Summary by Gas'!$C$44:$C$53</c:f>
              <c:strCache>
                <c:ptCount val="10"/>
                <c:pt idx="0">
                  <c:v>Residential</c:v>
                </c:pt>
                <c:pt idx="1">
                  <c:v>Commercial</c:v>
                </c:pt>
                <c:pt idx="2">
                  <c:v>Industrial</c:v>
                </c:pt>
                <c:pt idx="3">
                  <c:v>Electric Power</c:v>
                </c:pt>
                <c:pt idx="4">
                  <c:v>Solid Waste (Electric &amp; Industrial Municipal Waste Combustion)</c:v>
                </c:pt>
                <c:pt idx="5">
                  <c:v>Transportation</c:v>
                </c:pt>
                <c:pt idx="6">
                  <c:v>Natural Gas Systems (Leaks)</c:v>
                </c:pt>
                <c:pt idx="7">
                  <c:v>Agriculture &amp; Land Use</c:v>
                </c:pt>
                <c:pt idx="8">
                  <c:v>Solid Waste (Landfill)</c:v>
                </c:pt>
                <c:pt idx="9">
                  <c:v>Wastewater</c:v>
                </c:pt>
              </c:strCache>
            </c:strRef>
          </c:cat>
          <c:val>
            <c:numRef>
              <c:f>'Summary by Gas'!$AI$44:$AI$53</c:f>
              <c:numCache>
                <c:formatCode>0.0</c:formatCode>
                <c:ptCount val="10"/>
                <c:pt idx="0">
                  <c:v>8.2052200741780032E-2</c:v>
                </c:pt>
                <c:pt idx="1">
                  <c:v>2.958852297353164E-2</c:v>
                </c:pt>
                <c:pt idx="2">
                  <c:v>3.7225084714611377E-3</c:v>
                </c:pt>
                <c:pt idx="3">
                  <c:v>3.9260536615849427E-3</c:v>
                </c:pt>
                <c:pt idx="4">
                  <c:v>2.4607249999999997E-2</c:v>
                </c:pt>
                <c:pt idx="5">
                  <c:v>3.101043891923266E-2</c:v>
                </c:pt>
                <c:pt idx="6">
                  <c:v>0.71462166300589247</c:v>
                </c:pt>
                <c:pt idx="7">
                  <c:v>9.5505879163480578E-2</c:v>
                </c:pt>
                <c:pt idx="8">
                  <c:v>0.17716119999999999</c:v>
                </c:pt>
                <c:pt idx="9">
                  <c:v>0.31880372258386863</c:v>
                </c:pt>
              </c:numCache>
            </c:numRef>
          </c:val>
          <c:extLst>
            <c:ext xmlns:c16="http://schemas.microsoft.com/office/drawing/2014/chart" uri="{C3380CC4-5D6E-409C-BE32-E72D297353CC}">
              <c16:uniqueId val="{0000000A-B83F-4BD9-88D3-A879DF29EBA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electric sector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55848995260241407"/>
        </c:manualLayout>
      </c:layout>
      <c:lineChart>
        <c:grouping val="standard"/>
        <c:varyColors val="0"/>
        <c:ser>
          <c:idx val="0"/>
          <c:order val="0"/>
          <c:tx>
            <c:strRef>
              <c:f>Process!$C$27</c:f>
              <c:strCache>
                <c:ptCount val="1"/>
                <c:pt idx="0">
                  <c:v>Electricity Total CO2e from Fuel Combustion</c:v>
                </c:pt>
              </c:strCache>
            </c:strRef>
          </c:tx>
          <c:spPr>
            <a:ln>
              <a:solidFill>
                <a:srgbClr val="FF00FF"/>
              </a:solidFill>
            </a:ln>
          </c:spPr>
          <c:marker>
            <c:symbol val="none"/>
          </c:marker>
          <c:cat>
            <c:numRef>
              <c:extLst>
                <c:ext xmlns:c15="http://schemas.microsoft.com/office/drawing/2012/chart" uri="{02D57815-91ED-43cb-92C2-25804820EDAC}">
                  <c15:fullRef>
                    <c15:sqref>Process!$D$10:$AP$10</c15:sqref>
                  </c15:fullRef>
                </c:ext>
              </c:extLst>
              <c:f>(Process!$D$10:$AK$10,Process!$AO$10:$AP$10)</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Process!$D$27:$AI$27</c15:sqref>
                  </c15:fullRef>
                </c:ext>
              </c:extLst>
              <c:f>Process!$D$27:$AI$27</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0-6FF2-4394-91DC-CD3721F7204F}"/>
            </c:ext>
          </c:extLst>
        </c:ser>
        <c:ser>
          <c:idx val="1"/>
          <c:order val="1"/>
          <c:tx>
            <c:strRef>
              <c:f>Process!$C$28</c:f>
              <c:strCache>
                <c:ptCount val="1"/>
                <c:pt idx="0">
                  <c:v>Electric Generation CO2</c:v>
                </c:pt>
              </c:strCache>
            </c:strRef>
          </c:tx>
          <c:spPr>
            <a:ln>
              <a:solidFill>
                <a:srgbClr val="002060"/>
              </a:solidFill>
            </a:ln>
          </c:spPr>
          <c:marker>
            <c:symbol val="none"/>
          </c:marker>
          <c:cat>
            <c:numRef>
              <c:extLst>
                <c:ext xmlns:c15="http://schemas.microsoft.com/office/drawing/2012/chart" uri="{02D57815-91ED-43cb-92C2-25804820EDAC}">
                  <c15:fullRef>
                    <c15:sqref>Process!$D$10:$AP$10</c15:sqref>
                  </c15:fullRef>
                </c:ext>
              </c:extLst>
              <c:f>(Process!$D$10:$AK$10,Process!$AO$10:$AP$10)</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extLst>
                <c:ext xmlns:c15="http://schemas.microsoft.com/office/drawing/2012/chart" uri="{02D57815-91ED-43cb-92C2-25804820EDAC}">
                  <c15:fullRef>
                    <c15:sqref>Process!$D$28:$AN$28</c15:sqref>
                  </c15:fullRef>
                </c:ext>
              </c:extLst>
              <c:f>Process!$D$28:$AK$28</c:f>
              <c:numCache>
                <c:formatCode>#,##0.0</c:formatCode>
                <c:ptCount val="34"/>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26.747611926121518</c:v>
                </c:pt>
                <c:pt idx="9">
                  <c:v>24.004093488628136</c:v>
                </c:pt>
                <c:pt idx="10">
                  <c:v>22.176187156381239</c:v>
                </c:pt>
                <c:pt idx="11">
                  <c:v>21.964418106491603</c:v>
                </c:pt>
                <c:pt idx="12">
                  <c:v>22.920165736663851</c:v>
                </c:pt>
                <c:pt idx="13">
                  <c:v>25.008602205089463</c:v>
                </c:pt>
                <c:pt idx="14">
                  <c:v>23.742061768767059</c:v>
                </c:pt>
                <c:pt idx="15">
                  <c:v>24.50850883956242</c:v>
                </c:pt>
                <c:pt idx="16">
                  <c:v>21.605252315219431</c:v>
                </c:pt>
                <c:pt idx="17">
                  <c:v>23.666295740032623</c:v>
                </c:pt>
                <c:pt idx="18">
                  <c:v>20.168912335399149</c:v>
                </c:pt>
                <c:pt idx="19">
                  <c:v>17.585116309401922</c:v>
                </c:pt>
                <c:pt idx="20">
                  <c:v>18.286569094037727</c:v>
                </c:pt>
                <c:pt idx="21">
                  <c:v>14.3548374581957</c:v>
                </c:pt>
                <c:pt idx="22">
                  <c:v>12.131402331331719</c:v>
                </c:pt>
                <c:pt idx="23">
                  <c:v>12.659822445437142</c:v>
                </c:pt>
                <c:pt idx="24">
                  <c:v>10.782306921880682</c:v>
                </c:pt>
                <c:pt idx="25">
                  <c:v>11.311329440348851</c:v>
                </c:pt>
                <c:pt idx="26">
                  <c:v>10.704619766914323</c:v>
                </c:pt>
                <c:pt idx="27">
                  <c:v>10.277665924817709</c:v>
                </c:pt>
                <c:pt idx="28">
                  <c:v>7.6499388544811335</c:v>
                </c:pt>
                <c:pt idx="29">
                  <c:v>6.2240808974230486</c:v>
                </c:pt>
                <c:pt idx="30">
                  <c:v>5.7447834902179782</c:v>
                </c:pt>
                <c:pt idx="31">
                  <c:v>6.140913821697418</c:v>
                </c:pt>
                <c:pt idx="32">
                  <c:v>6.8040676928351207</c:v>
                </c:pt>
                <c:pt idx="33">
                  <c:v>5.86</c:v>
                </c:pt>
              </c:numCache>
            </c:numRef>
          </c:val>
          <c:smooth val="0"/>
          <c:extLst>
            <c:ext xmlns:c16="http://schemas.microsoft.com/office/drawing/2014/chart" uri="{C3380CC4-5D6E-409C-BE32-E72D297353CC}">
              <c16:uniqueId val="{00000001-6FF2-4394-91DC-CD3721F7204F}"/>
            </c:ext>
          </c:extLst>
        </c:ser>
        <c:ser>
          <c:idx val="4"/>
          <c:order val="2"/>
          <c:tx>
            <c:strRef>
              <c:f>Process!$C$31</c:f>
              <c:strCache>
                <c:ptCount val="1"/>
                <c:pt idx="0">
                  <c:v>Electricity Imports (CO2, CH4 &amp; N2O)</c:v>
                </c:pt>
              </c:strCache>
            </c:strRef>
          </c:tx>
          <c:spPr>
            <a:ln>
              <a:solidFill>
                <a:schemeClr val="accent2">
                  <a:lumMod val="75000"/>
                </a:schemeClr>
              </a:solidFill>
            </a:ln>
          </c:spPr>
          <c:marker>
            <c:symbol val="none"/>
          </c:marker>
          <c:cat>
            <c:numRef>
              <c:extLst>
                <c:ext xmlns:c15="http://schemas.microsoft.com/office/drawing/2012/chart" uri="{02D57815-91ED-43cb-92C2-25804820EDAC}">
                  <c15:fullRef>
                    <c15:sqref>Process!$D$10:$AP$10</c15:sqref>
                  </c15:fullRef>
                </c:ext>
              </c:extLst>
              <c:f>(Process!$D$10:$AK$10,Process!$AO$10:$AP$10)</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Process!$D$31:$AI$31</c15:sqref>
                  </c15:fullRef>
                </c:ext>
              </c:extLst>
              <c:f>Process!$D$31:$AI$31</c:f>
              <c:numCache>
                <c:formatCode>#,##0.0</c:formatCode>
                <c:ptCount val="32"/>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numCache>
            </c:numRef>
          </c:val>
          <c:smooth val="0"/>
          <c:extLst>
            <c:ext xmlns:c16="http://schemas.microsoft.com/office/drawing/2014/chart" uri="{C3380CC4-5D6E-409C-BE32-E72D297353CC}">
              <c16:uniqueId val="{00000002-6FF2-4394-91DC-CD3721F7204F}"/>
            </c:ext>
          </c:extLst>
        </c:ser>
        <c:ser>
          <c:idx val="3"/>
          <c:order val="3"/>
          <c:tx>
            <c:strRef>
              <c:f>Process!$C$30</c:f>
              <c:strCache>
                <c:ptCount val="1"/>
                <c:pt idx="0">
                  <c:v>Electric Generation from MSW (CO2, CH4 &amp; N2O)</c:v>
                </c:pt>
              </c:strCache>
            </c:strRef>
          </c:tx>
          <c:spPr>
            <a:ln>
              <a:solidFill>
                <a:srgbClr val="669900"/>
              </a:solidFill>
            </a:ln>
          </c:spPr>
          <c:marker>
            <c:symbol val="none"/>
          </c:marker>
          <c:cat>
            <c:numRef>
              <c:extLst>
                <c:ext xmlns:c15="http://schemas.microsoft.com/office/drawing/2012/chart" uri="{02D57815-91ED-43cb-92C2-25804820EDAC}">
                  <c15:fullRef>
                    <c15:sqref>Process!$D$10:$AP$10</c15:sqref>
                  </c15:fullRef>
                </c:ext>
              </c:extLst>
              <c:f>(Process!$D$10:$AK$10,Process!$AO$10:$AP$10)</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Process!$D$30:$AK$30</c15:sqref>
                  </c15:fullRef>
                </c:ext>
              </c:extLst>
              <c:f>Process!$D$30:$AK$30</c:f>
              <c:numCache>
                <c:formatCode>#,##0.0</c:formatCode>
                <c:ptCount val="34"/>
                <c:pt idx="0">
                  <c:v>0.92601628752123666</c:v>
                </c:pt>
                <c:pt idx="1">
                  <c:v>1.0801301569133457</c:v>
                </c:pt>
                <c:pt idx="2">
                  <c:v>1.090647300839731</c:v>
                </c:pt>
                <c:pt idx="3">
                  <c:v>1.2427189040545052</c:v>
                </c:pt>
                <c:pt idx="4">
                  <c:v>1.2928195089196401</c:v>
                </c:pt>
                <c:pt idx="5">
                  <c:v>1.274495890341409</c:v>
                </c:pt>
                <c:pt idx="6">
                  <c:v>1.4468622619050446</c:v>
                </c:pt>
                <c:pt idx="7">
                  <c:v>1.4555860623276908</c:v>
                </c:pt>
                <c:pt idx="8">
                  <c:v>1.5164204737577509</c:v>
                </c:pt>
                <c:pt idx="9">
                  <c:v>1.5579246764154147</c:v>
                </c:pt>
                <c:pt idx="10">
                  <c:v>1.6955563813287422</c:v>
                </c:pt>
                <c:pt idx="11">
                  <c:v>1.7803166091743412</c:v>
                </c:pt>
                <c:pt idx="12">
                  <c:v>1.7760175871093162</c:v>
                </c:pt>
                <c:pt idx="13">
                  <c:v>1.8060576400639383</c:v>
                </c:pt>
                <c:pt idx="14">
                  <c:v>1.8435570813811437</c:v>
                </c:pt>
                <c:pt idx="15">
                  <c:v>1.9668336222264622</c:v>
                </c:pt>
                <c:pt idx="16">
                  <c:v>1.9577518984647779</c:v>
                </c:pt>
                <c:pt idx="17">
                  <c:v>1.8710997732851633</c:v>
                </c:pt>
                <c:pt idx="18">
                  <c:v>2.1772402484491558</c:v>
                </c:pt>
                <c:pt idx="19">
                  <c:v>2.1156528506438166</c:v>
                </c:pt>
                <c:pt idx="20">
                  <c:v>2.4268167200000001</c:v>
                </c:pt>
                <c:pt idx="21">
                  <c:v>1.1283393000000002</c:v>
                </c:pt>
                <c:pt idx="22">
                  <c:v>1.1245143</c:v>
                </c:pt>
                <c:pt idx="23">
                  <c:v>1.1794822839999999</c:v>
                </c:pt>
                <c:pt idx="24">
                  <c:v>1.2139940979999999</c:v>
                </c:pt>
                <c:pt idx="25">
                  <c:v>1.218505508</c:v>
                </c:pt>
                <c:pt idx="26">
                  <c:v>1.234089784</c:v>
                </c:pt>
                <c:pt idx="27">
                  <c:v>1.1685330480000002</c:v>
                </c:pt>
                <c:pt idx="28">
                  <c:v>1.163976994</c:v>
                </c:pt>
                <c:pt idx="29">
                  <c:v>1.085687544</c:v>
                </c:pt>
                <c:pt idx="30">
                  <c:v>1.164040612</c:v>
                </c:pt>
                <c:pt idx="31">
                  <c:v>1.2226291460000001</c:v>
                </c:pt>
                <c:pt idx="32">
                  <c:v>1.2807188459999999</c:v>
                </c:pt>
              </c:numCache>
            </c:numRef>
          </c:val>
          <c:smooth val="0"/>
          <c:extLst>
            <c:ext xmlns:c16="http://schemas.microsoft.com/office/drawing/2014/chart" uri="{C3380CC4-5D6E-409C-BE32-E72D297353CC}">
              <c16:uniqueId val="{00000003-6FF2-4394-91DC-CD3721F7204F}"/>
            </c:ext>
          </c:extLst>
        </c:ser>
        <c:ser>
          <c:idx val="2"/>
          <c:order val="4"/>
          <c:tx>
            <c:strRef>
              <c:f>Process!$C$29</c:f>
              <c:strCache>
                <c:ptCount val="1"/>
                <c:pt idx="0">
                  <c:v>Electric Generation Other Gases (CH4 &amp; N2O)</c:v>
                </c:pt>
              </c:strCache>
            </c:strRef>
          </c:tx>
          <c:spPr>
            <a:ln>
              <a:solidFill>
                <a:schemeClr val="tx1">
                  <a:lumMod val="50000"/>
                  <a:lumOff val="50000"/>
                </a:schemeClr>
              </a:solidFill>
            </a:ln>
          </c:spPr>
          <c:marker>
            <c:symbol val="none"/>
          </c:marker>
          <c:cat>
            <c:numRef>
              <c:extLst>
                <c:ext xmlns:c15="http://schemas.microsoft.com/office/drawing/2012/chart" uri="{02D57815-91ED-43cb-92C2-25804820EDAC}">
                  <c15:fullRef>
                    <c15:sqref>Process!$D$10:$AP$10</c15:sqref>
                  </c15:fullRef>
                </c:ext>
              </c:extLst>
              <c:f>(Process!$D$10:$AK$10,Process!$AO$10:$AP$10)</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Process!$D$29:$AI$29</c15:sqref>
                  </c15:fullRef>
                </c:ext>
              </c:extLst>
              <c:f>Process!$D$29:$AI$29</c:f>
              <c:numCache>
                <c:formatCode>#,##0.0</c:formatCode>
                <c:ptCount val="32"/>
                <c:pt idx="0">
                  <c:v>9.3884288699999999E-2</c:v>
                </c:pt>
                <c:pt idx="1">
                  <c:v>9.6822959449999982E-2</c:v>
                </c:pt>
                <c:pt idx="2">
                  <c:v>9.0914300150000002E-2</c:v>
                </c:pt>
                <c:pt idx="3">
                  <c:v>8.1111139864931528E-2</c:v>
                </c:pt>
                <c:pt idx="4">
                  <c:v>8.0477585687955544E-2</c:v>
                </c:pt>
                <c:pt idx="5">
                  <c:v>7.4875160274194996E-2</c:v>
                </c:pt>
                <c:pt idx="6">
                  <c:v>7.7779071191824187E-2</c:v>
                </c:pt>
                <c:pt idx="7">
                  <c:v>9.6195929234982464E-2</c:v>
                </c:pt>
                <c:pt idx="8">
                  <c:v>9.9711079707640801E-2</c:v>
                </c:pt>
                <c:pt idx="9">
                  <c:v>9.1104579842082992E-2</c:v>
                </c:pt>
                <c:pt idx="10">
                  <c:v>8.6038424382082979E-2</c:v>
                </c:pt>
                <c:pt idx="11">
                  <c:v>8.413450162652511E-2</c:v>
                </c:pt>
                <c:pt idx="12">
                  <c:v>8.3638818156826181E-2</c:v>
                </c:pt>
                <c:pt idx="13">
                  <c:v>8.5135539922890011E-2</c:v>
                </c:pt>
                <c:pt idx="14">
                  <c:v>8.1217180832885372E-2</c:v>
                </c:pt>
                <c:pt idx="15">
                  <c:v>8.7052797439037044E-2</c:v>
                </c:pt>
                <c:pt idx="16">
                  <c:v>7.3885363566639897E-2</c:v>
                </c:pt>
                <c:pt idx="17">
                  <c:v>7.9953929862497761E-2</c:v>
                </c:pt>
                <c:pt idx="18">
                  <c:v>7.0446347974949308E-2</c:v>
                </c:pt>
                <c:pt idx="19">
                  <c:v>5.9428030108149441E-2</c:v>
                </c:pt>
                <c:pt idx="20">
                  <c:v>5.5503284375582433E-2</c:v>
                </c:pt>
                <c:pt idx="21">
                  <c:v>3.6155320731004754E-2</c:v>
                </c:pt>
                <c:pt idx="22">
                  <c:v>2.6670955463299097E-2</c:v>
                </c:pt>
                <c:pt idx="23">
                  <c:v>3.4448245063696509E-2</c:v>
                </c:pt>
                <c:pt idx="24">
                  <c:v>3.1111288169793579E-2</c:v>
                </c:pt>
                <c:pt idx="25">
                  <c:v>2.8343299533979942E-2</c:v>
                </c:pt>
                <c:pt idx="26">
                  <c:v>2.6785294101123132E-2</c:v>
                </c:pt>
                <c:pt idx="27">
                  <c:v>2.2732096724345383E-2</c:v>
                </c:pt>
                <c:pt idx="28">
                  <c:v>1.5683844602388072E-2</c:v>
                </c:pt>
                <c:pt idx="29">
                  <c:v>1.3002007791844079E-2</c:v>
                </c:pt>
                <c:pt idx="30">
                  <c:v>1.2884334740007601E-2</c:v>
                </c:pt>
                <c:pt idx="31">
                  <c:v>1.1772142384204598E-2</c:v>
                </c:pt>
              </c:numCache>
            </c:numRef>
          </c:val>
          <c:smooth val="0"/>
          <c:extLst>
            <c:ext xmlns:c16="http://schemas.microsoft.com/office/drawing/2014/chart" uri="{C3380CC4-5D6E-409C-BE32-E72D297353CC}">
              <c16:uniqueId val="{00000004-6FF2-4394-91DC-CD3721F7204F}"/>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81941384446"/>
          <c:y val="0.10880803692641867"/>
          <c:w val="0.31982735635167181"/>
          <c:h val="0.84256928228798988"/>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electric power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Process!$C$27</c:f>
              <c:strCache>
                <c:ptCount val="1"/>
                <c:pt idx="0">
                  <c:v>Electricity Total CO2e from Fuel Combustion</c:v>
                </c:pt>
              </c:strCache>
            </c:strRef>
          </c:tx>
          <c:spPr>
            <a:ln>
              <a:solidFill>
                <a:srgbClr val="FF00FF"/>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Process!$D$27:$AI$27</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0-21A2-4EA5-A5C4-82EB5D4B67AE}"/>
            </c:ext>
          </c:extLst>
        </c:ser>
        <c:ser>
          <c:idx val="1"/>
          <c:order val="1"/>
          <c:tx>
            <c:strRef>
              <c:f>Process!$C$28</c:f>
              <c:strCache>
                <c:ptCount val="1"/>
                <c:pt idx="0">
                  <c:v>Electric Generation CO2</c:v>
                </c:pt>
              </c:strCache>
            </c:strRef>
          </c:tx>
          <c:spPr>
            <a:ln>
              <a:solidFill>
                <a:srgbClr val="00206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Process!$D$28:$AJ$28</c:f>
              <c:numCache>
                <c:formatCode>#,##0.0</c:formatCode>
                <c:ptCount val="33"/>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26.747611926121518</c:v>
                </c:pt>
                <c:pt idx="9">
                  <c:v>24.004093488628136</c:v>
                </c:pt>
                <c:pt idx="10">
                  <c:v>22.176187156381239</c:v>
                </c:pt>
                <c:pt idx="11">
                  <c:v>21.964418106491603</c:v>
                </c:pt>
                <c:pt idx="12">
                  <c:v>22.920165736663851</c:v>
                </c:pt>
                <c:pt idx="13">
                  <c:v>25.008602205089463</c:v>
                </c:pt>
                <c:pt idx="14">
                  <c:v>23.742061768767059</c:v>
                </c:pt>
                <c:pt idx="15">
                  <c:v>24.50850883956242</c:v>
                </c:pt>
                <c:pt idx="16">
                  <c:v>21.605252315219431</c:v>
                </c:pt>
                <c:pt idx="17">
                  <c:v>23.666295740032623</c:v>
                </c:pt>
                <c:pt idx="18">
                  <c:v>20.168912335399149</c:v>
                </c:pt>
                <c:pt idx="19">
                  <c:v>17.585116309401922</c:v>
                </c:pt>
                <c:pt idx="20">
                  <c:v>18.286569094037727</c:v>
                </c:pt>
                <c:pt idx="21">
                  <c:v>14.3548374581957</c:v>
                </c:pt>
                <c:pt idx="22">
                  <c:v>12.131402331331719</c:v>
                </c:pt>
                <c:pt idx="23">
                  <c:v>12.659822445437142</c:v>
                </c:pt>
                <c:pt idx="24">
                  <c:v>10.782306921880682</c:v>
                </c:pt>
                <c:pt idx="25">
                  <c:v>11.311329440348851</c:v>
                </c:pt>
                <c:pt idx="26">
                  <c:v>10.704619766914323</c:v>
                </c:pt>
                <c:pt idx="27">
                  <c:v>10.277665924817709</c:v>
                </c:pt>
                <c:pt idx="28">
                  <c:v>7.6499388544811335</c:v>
                </c:pt>
                <c:pt idx="29">
                  <c:v>6.2240808974230486</c:v>
                </c:pt>
                <c:pt idx="30">
                  <c:v>5.7447834902179782</c:v>
                </c:pt>
                <c:pt idx="31">
                  <c:v>6.140913821697418</c:v>
                </c:pt>
                <c:pt idx="32">
                  <c:v>6.8040676928351207</c:v>
                </c:pt>
              </c:numCache>
            </c:numRef>
          </c:val>
          <c:smooth val="0"/>
          <c:extLst>
            <c:ext xmlns:c16="http://schemas.microsoft.com/office/drawing/2014/chart" uri="{C3380CC4-5D6E-409C-BE32-E72D297353CC}">
              <c16:uniqueId val="{00000001-21A2-4EA5-A5C4-82EB5D4B67AE}"/>
            </c:ext>
          </c:extLst>
        </c:ser>
        <c:ser>
          <c:idx val="4"/>
          <c:order val="2"/>
          <c:tx>
            <c:strRef>
              <c:f>Process!$C$31</c:f>
              <c:strCache>
                <c:ptCount val="1"/>
                <c:pt idx="0">
                  <c:v>Electricity Imports (CO2, CH4 &amp; N2O)</c:v>
                </c:pt>
              </c:strCache>
            </c:strRef>
          </c:tx>
          <c:spPr>
            <a:ln>
              <a:solidFill>
                <a:schemeClr val="accent5">
                  <a:lumMod val="75000"/>
                </a:schemeClr>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Process!$D$31:$AI$31</c:f>
              <c:numCache>
                <c:formatCode>#,##0.0</c:formatCode>
                <c:ptCount val="32"/>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numCache>
            </c:numRef>
          </c:val>
          <c:smooth val="0"/>
          <c:extLst>
            <c:ext xmlns:c16="http://schemas.microsoft.com/office/drawing/2014/chart" uri="{C3380CC4-5D6E-409C-BE32-E72D297353CC}">
              <c16:uniqueId val="{00000002-21A2-4EA5-A5C4-82EB5D4B67AE}"/>
            </c:ext>
          </c:extLst>
        </c:ser>
        <c:ser>
          <c:idx val="3"/>
          <c:order val="3"/>
          <c:tx>
            <c:strRef>
              <c:f>Process!$C$30</c:f>
              <c:strCache>
                <c:ptCount val="1"/>
                <c:pt idx="0">
                  <c:v>Electric Generation from MSW (CO2, CH4 &amp; N2O)</c:v>
                </c:pt>
              </c:strCache>
            </c:strRef>
          </c:tx>
          <c:spPr>
            <a:ln>
              <a:solidFill>
                <a:srgbClr val="66990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Process!$D$30:$AJ$30</c:f>
              <c:numCache>
                <c:formatCode>#,##0.0</c:formatCode>
                <c:ptCount val="33"/>
                <c:pt idx="0">
                  <c:v>0.92601628752123666</c:v>
                </c:pt>
                <c:pt idx="1">
                  <c:v>1.0801301569133457</c:v>
                </c:pt>
                <c:pt idx="2">
                  <c:v>1.090647300839731</c:v>
                </c:pt>
                <c:pt idx="3">
                  <c:v>1.2427189040545052</c:v>
                </c:pt>
                <c:pt idx="4">
                  <c:v>1.2928195089196401</c:v>
                </c:pt>
                <c:pt idx="5">
                  <c:v>1.274495890341409</c:v>
                </c:pt>
                <c:pt idx="6">
                  <c:v>1.4468622619050446</c:v>
                </c:pt>
                <c:pt idx="7">
                  <c:v>1.4555860623276908</c:v>
                </c:pt>
                <c:pt idx="8">
                  <c:v>1.5164204737577509</c:v>
                </c:pt>
                <c:pt idx="9">
                  <c:v>1.5579246764154147</c:v>
                </c:pt>
                <c:pt idx="10">
                  <c:v>1.6955563813287422</c:v>
                </c:pt>
                <c:pt idx="11">
                  <c:v>1.7803166091743412</c:v>
                </c:pt>
                <c:pt idx="12">
                  <c:v>1.7760175871093162</c:v>
                </c:pt>
                <c:pt idx="13">
                  <c:v>1.8060576400639383</c:v>
                </c:pt>
                <c:pt idx="14">
                  <c:v>1.8435570813811437</c:v>
                </c:pt>
                <c:pt idx="15">
                  <c:v>1.9668336222264622</c:v>
                </c:pt>
                <c:pt idx="16">
                  <c:v>1.9577518984647779</c:v>
                </c:pt>
                <c:pt idx="17">
                  <c:v>1.8710997732851633</c:v>
                </c:pt>
                <c:pt idx="18">
                  <c:v>2.1772402484491558</c:v>
                </c:pt>
                <c:pt idx="19">
                  <c:v>2.1156528506438166</c:v>
                </c:pt>
                <c:pt idx="20">
                  <c:v>2.4268167200000001</c:v>
                </c:pt>
                <c:pt idx="21">
                  <c:v>1.1283393000000002</c:v>
                </c:pt>
                <c:pt idx="22">
                  <c:v>1.1245143</c:v>
                </c:pt>
                <c:pt idx="23">
                  <c:v>1.1794822839999999</c:v>
                </c:pt>
                <c:pt idx="24">
                  <c:v>1.2139940979999999</c:v>
                </c:pt>
                <c:pt idx="25">
                  <c:v>1.218505508</c:v>
                </c:pt>
                <c:pt idx="26">
                  <c:v>1.234089784</c:v>
                </c:pt>
                <c:pt idx="27">
                  <c:v>1.1685330480000002</c:v>
                </c:pt>
                <c:pt idx="28">
                  <c:v>1.163976994</c:v>
                </c:pt>
                <c:pt idx="29">
                  <c:v>1.085687544</c:v>
                </c:pt>
                <c:pt idx="30">
                  <c:v>1.164040612</c:v>
                </c:pt>
                <c:pt idx="31">
                  <c:v>1.2226291460000001</c:v>
                </c:pt>
                <c:pt idx="32">
                  <c:v>1.2807188459999999</c:v>
                </c:pt>
              </c:numCache>
            </c:numRef>
          </c:val>
          <c:smooth val="0"/>
          <c:extLst>
            <c:ext xmlns:c16="http://schemas.microsoft.com/office/drawing/2014/chart" uri="{C3380CC4-5D6E-409C-BE32-E72D297353CC}">
              <c16:uniqueId val="{00000003-21A2-4EA5-A5C4-82EB5D4B67AE}"/>
            </c:ext>
          </c:extLst>
        </c:ser>
        <c:ser>
          <c:idx val="2"/>
          <c:order val="4"/>
          <c:tx>
            <c:strRef>
              <c:f>Process!$C$29</c:f>
              <c:strCache>
                <c:ptCount val="1"/>
                <c:pt idx="0">
                  <c:v>Electric Generation Other Gases (CH4 &amp; N2O)</c:v>
                </c:pt>
              </c:strCache>
            </c:strRef>
          </c:tx>
          <c:spPr>
            <a:ln>
              <a:solidFill>
                <a:schemeClr val="tx1">
                  <a:lumMod val="50000"/>
                  <a:lumOff val="50000"/>
                </a:schemeClr>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Process!$D$29:$AJ$29</c:f>
              <c:numCache>
                <c:formatCode>#,##0.0</c:formatCode>
                <c:ptCount val="33"/>
                <c:pt idx="0">
                  <c:v>9.3884288699999999E-2</c:v>
                </c:pt>
                <c:pt idx="1">
                  <c:v>9.6822959449999982E-2</c:v>
                </c:pt>
                <c:pt idx="2">
                  <c:v>9.0914300150000002E-2</c:v>
                </c:pt>
                <c:pt idx="3">
                  <c:v>8.1111139864931528E-2</c:v>
                </c:pt>
                <c:pt idx="4">
                  <c:v>8.0477585687955544E-2</c:v>
                </c:pt>
                <c:pt idx="5">
                  <c:v>7.4875160274194996E-2</c:v>
                </c:pt>
                <c:pt idx="6">
                  <c:v>7.7779071191824187E-2</c:v>
                </c:pt>
                <c:pt idx="7">
                  <c:v>9.6195929234982464E-2</c:v>
                </c:pt>
                <c:pt idx="8">
                  <c:v>9.9711079707640801E-2</c:v>
                </c:pt>
                <c:pt idx="9">
                  <c:v>9.1104579842082992E-2</c:v>
                </c:pt>
                <c:pt idx="10">
                  <c:v>8.6038424382082979E-2</c:v>
                </c:pt>
                <c:pt idx="11">
                  <c:v>8.413450162652511E-2</c:v>
                </c:pt>
                <c:pt idx="12">
                  <c:v>8.3638818156826181E-2</c:v>
                </c:pt>
                <c:pt idx="13">
                  <c:v>8.5135539922890011E-2</c:v>
                </c:pt>
                <c:pt idx="14">
                  <c:v>8.1217180832885372E-2</c:v>
                </c:pt>
                <c:pt idx="15">
                  <c:v>8.7052797439037044E-2</c:v>
                </c:pt>
                <c:pt idx="16">
                  <c:v>7.3885363566639897E-2</c:v>
                </c:pt>
                <c:pt idx="17">
                  <c:v>7.9953929862497761E-2</c:v>
                </c:pt>
                <c:pt idx="18">
                  <c:v>7.0446347974949308E-2</c:v>
                </c:pt>
                <c:pt idx="19">
                  <c:v>5.9428030108149441E-2</c:v>
                </c:pt>
                <c:pt idx="20">
                  <c:v>5.5503284375582433E-2</c:v>
                </c:pt>
                <c:pt idx="21">
                  <c:v>3.6155320731004754E-2</c:v>
                </c:pt>
                <c:pt idx="22">
                  <c:v>2.6670955463299097E-2</c:v>
                </c:pt>
                <c:pt idx="23">
                  <c:v>3.4448245063696509E-2</c:v>
                </c:pt>
                <c:pt idx="24">
                  <c:v>3.1111288169793579E-2</c:v>
                </c:pt>
                <c:pt idx="25">
                  <c:v>2.8343299533979942E-2</c:v>
                </c:pt>
                <c:pt idx="26">
                  <c:v>2.6785294101123132E-2</c:v>
                </c:pt>
                <c:pt idx="27">
                  <c:v>2.2732096724345383E-2</c:v>
                </c:pt>
                <c:pt idx="28">
                  <c:v>1.5683844602388072E-2</c:v>
                </c:pt>
                <c:pt idx="29">
                  <c:v>1.3002007791844079E-2</c:v>
                </c:pt>
                <c:pt idx="30">
                  <c:v>1.2884334740007601E-2</c:v>
                </c:pt>
                <c:pt idx="31">
                  <c:v>1.1772142384204598E-2</c:v>
                </c:pt>
                <c:pt idx="32">
                  <c:v>1.1836699083808506E-2</c:v>
                </c:pt>
              </c:numCache>
            </c:numRef>
          </c:val>
          <c:smooth val="0"/>
          <c:extLst>
            <c:ext xmlns:c16="http://schemas.microsoft.com/office/drawing/2014/chart" uri="{C3380CC4-5D6E-409C-BE32-E72D297353CC}">
              <c16:uniqueId val="{00000004-21A2-4EA5-A5C4-82EB5D4B67AE}"/>
            </c:ext>
          </c:extLst>
        </c:ser>
        <c:ser>
          <c:idx val="5"/>
          <c:order val="5"/>
          <c:tx>
            <c:strRef>
              <c:f>'Sector Sublimits'!$C$50</c:f>
              <c:strCache>
                <c:ptCount val="1"/>
                <c:pt idx="0">
                  <c:v>2025 CECP Limit (53%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0-0816-4F5B-9415-6EDB18E3A42E}"/>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Sublimits'!$D$50:$AM$50</c:f>
              <c:numCache>
                <c:formatCode>#,##0.0</c:formatCode>
                <c:ptCount val="36"/>
                <c:pt idx="35">
                  <c:v>13.2</c:v>
                </c:pt>
              </c:numCache>
            </c:numRef>
          </c:val>
          <c:smooth val="0"/>
          <c:extLst>
            <c:ext xmlns:c16="http://schemas.microsoft.com/office/drawing/2014/chart" uri="{C3380CC4-5D6E-409C-BE32-E72D297353CC}">
              <c16:uniqueId val="{00000005-21A2-4EA5-A5C4-82EB5D4B67AE}"/>
            </c:ext>
          </c:extLst>
        </c:ser>
        <c:ser>
          <c:idx val="6"/>
          <c:order val="6"/>
          <c:tx>
            <c:strRef>
              <c:f>'Sector Sublimits'!$C$51</c:f>
              <c:strCache>
                <c:ptCount val="1"/>
                <c:pt idx="0">
                  <c:v>2030 CECP Limit (70% below 1990)</c:v>
                </c:pt>
              </c:strCache>
            </c:strRef>
          </c:tx>
          <c:spPr>
            <a:ln>
              <a:noFill/>
              <a:prstDash val="dash"/>
            </a:ln>
          </c:spPr>
          <c:marker>
            <c:symbol val="diamond"/>
            <c:size val="10"/>
            <c:spPr>
              <a:solidFill>
                <a:srgbClr val="FF00FF"/>
              </a:solidFill>
              <a:ln>
                <a:solidFill>
                  <a:schemeClr val="tx1"/>
                </a:solidFill>
              </a:ln>
            </c:spPr>
          </c:marker>
          <c:dPt>
            <c:idx val="40"/>
            <c:marker>
              <c:spPr>
                <a:solidFill>
                  <a:srgbClr val="FF00FF"/>
                </a:solidFill>
                <a:ln>
                  <a:solidFill>
                    <a:schemeClr val="tx1">
                      <a:alpha val="84000"/>
                    </a:schemeClr>
                  </a:solidFill>
                </a:ln>
              </c:spPr>
            </c:marker>
            <c:bubble3D val="0"/>
            <c:extLst>
              <c:ext xmlns:c16="http://schemas.microsoft.com/office/drawing/2014/chart" uri="{C3380CC4-5D6E-409C-BE32-E72D297353CC}">
                <c16:uniqueId val="{00000000-A5D1-4FAA-A9A7-DC5418C74FB9}"/>
              </c:ext>
            </c:extLst>
          </c:dPt>
          <c:dLbls>
            <c:dLbl>
              <c:idx val="35"/>
              <c:layout>
                <c:manualLayout>
                  <c:x val="3.2754325561379319E-2"/>
                  <c:y val="-5.0009617118470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16-4F5B-9415-6EDB18E3A42E}"/>
                </c:ext>
              </c:extLst>
            </c:dLbl>
            <c:dLbl>
              <c:idx val="40"/>
              <c:spPr>
                <a:noFill/>
                <a:ln>
                  <a:noFill/>
                </a:ln>
                <a:effectLst/>
              </c:spPr>
              <c:txPr>
                <a:bodyPr wrap="square" lIns="38100" tIns="19050" rIns="38100" bIns="19050" anchor="ctr">
                  <a:noAutofit/>
                </a:bodyPr>
                <a:lstStyle/>
                <a:p>
                  <a:pPr>
                    <a:defRPr/>
                  </a:pPr>
                  <a:endParaRPr lang="en-US"/>
                </a:p>
              </c:txPr>
              <c:dLblPos val="t"/>
              <c:showLegendKey val="0"/>
              <c:showVal val="1"/>
              <c:showCatName val="0"/>
              <c:showSerName val="0"/>
              <c:showPercent val="0"/>
              <c:showBubbleSize val="0"/>
              <c:extLst>
                <c:ext xmlns:c15="http://schemas.microsoft.com/office/drawing/2012/chart" uri="{CE6537A1-D6FC-4f65-9D91-7224C49458BB}">
                  <c15:layout>
                    <c:manualLayout>
                      <c:w val="6.6019411324499164E-2"/>
                      <c:h val="8.0935264771292897E-2"/>
                    </c:manualLayout>
                  </c15:layout>
                </c:ext>
                <c:ext xmlns:c16="http://schemas.microsoft.com/office/drawing/2014/chart" uri="{C3380CC4-5D6E-409C-BE32-E72D297353CC}">
                  <c16:uniqueId val="{00000000-A5D1-4FAA-A9A7-DC5418C74F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Sublimits'!$D$51:$AR$51</c:f>
              <c:numCache>
                <c:formatCode>#,##0.0</c:formatCode>
                <c:ptCount val="41"/>
                <c:pt idx="40">
                  <c:v>8.4</c:v>
                </c:pt>
              </c:numCache>
            </c:numRef>
          </c:val>
          <c:smooth val="0"/>
          <c:extLst>
            <c:ext xmlns:c16="http://schemas.microsoft.com/office/drawing/2014/chart" uri="{C3380CC4-5D6E-409C-BE32-E72D297353CC}">
              <c16:uniqueId val="{00000007-21A2-4EA5-A5C4-82EB5D4B67AE}"/>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max val="3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71140318450213191"/>
          <c:y val="0.17919306365330287"/>
          <c:w val="0.27931248167806177"/>
          <c:h val="0.75983921380056496"/>
        </c:manualLayout>
      </c:layout>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transportation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Sublimits'!$C$33</c:f>
              <c:strCache>
                <c:ptCount val="1"/>
                <c:pt idx="0">
                  <c:v>Transportation CO2e from Fuel Combustion</c:v>
                </c:pt>
              </c:strCache>
            </c:strRef>
          </c:tx>
          <c:spPr>
            <a:ln>
              <a:solidFill>
                <a:srgbClr val="FF00FF"/>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Sublimits'!$D$36:$AI$36</c:f>
              <c:numCache>
                <c:formatCode>#,##0.0</c:formatCode>
                <c:ptCount val="32"/>
                <c:pt idx="0">
                  <c:v>29.581745501205152</c:v>
                </c:pt>
                <c:pt idx="1">
                  <c:v>28.008157894701178</c:v>
                </c:pt>
                <c:pt idx="2">
                  <c:v>27.563413985474689</c:v>
                </c:pt>
                <c:pt idx="3">
                  <c:v>27.772478299795356</c:v>
                </c:pt>
                <c:pt idx="4">
                  <c:v>28.042783422795132</c:v>
                </c:pt>
                <c:pt idx="5">
                  <c:v>28.704985829013353</c:v>
                </c:pt>
                <c:pt idx="6">
                  <c:v>29.563275834798592</c:v>
                </c:pt>
                <c:pt idx="7">
                  <c:v>29.897702983833565</c:v>
                </c:pt>
                <c:pt idx="8">
                  <c:v>30.181109205449104</c:v>
                </c:pt>
                <c:pt idx="9">
                  <c:v>30.790053220998082</c:v>
                </c:pt>
                <c:pt idx="10">
                  <c:v>31.933517863915544</c:v>
                </c:pt>
                <c:pt idx="11">
                  <c:v>31.430585003037418</c:v>
                </c:pt>
                <c:pt idx="12">
                  <c:v>31.574740568992283</c:v>
                </c:pt>
                <c:pt idx="13">
                  <c:v>31.975501264052333</c:v>
                </c:pt>
                <c:pt idx="14">
                  <c:v>33.215146622359377</c:v>
                </c:pt>
                <c:pt idx="15">
                  <c:v>33.175691422999876</c:v>
                </c:pt>
                <c:pt idx="16">
                  <c:v>32.288107111618324</c:v>
                </c:pt>
                <c:pt idx="17">
                  <c:v>32.541825019643213</c:v>
                </c:pt>
                <c:pt idx="18">
                  <c:v>31.54022746940004</c:v>
                </c:pt>
                <c:pt idx="19">
                  <c:v>29.587581784741189</c:v>
                </c:pt>
                <c:pt idx="20">
                  <c:v>29.777333231530921</c:v>
                </c:pt>
                <c:pt idx="21">
                  <c:v>29.714058402593366</c:v>
                </c:pt>
                <c:pt idx="22">
                  <c:v>29.128761594393538</c:v>
                </c:pt>
                <c:pt idx="23">
                  <c:v>30.369155716681494</c:v>
                </c:pt>
                <c:pt idx="24">
                  <c:v>28.526599424836107</c:v>
                </c:pt>
                <c:pt idx="25">
                  <c:v>28.936034779613621</c:v>
                </c:pt>
                <c:pt idx="26">
                  <c:v>29.270928447936527</c:v>
                </c:pt>
                <c:pt idx="27">
                  <c:v>28.685739090034748</c:v>
                </c:pt>
                <c:pt idx="28">
                  <c:v>29.324613555027671</c:v>
                </c:pt>
                <c:pt idx="29">
                  <c:v>29.077598592722559</c:v>
                </c:pt>
                <c:pt idx="30">
                  <c:v>22.943227217729611</c:v>
                </c:pt>
                <c:pt idx="31">
                  <c:v>25.606773851436834</c:v>
                </c:pt>
              </c:numCache>
            </c:numRef>
          </c:val>
          <c:smooth val="0"/>
          <c:extLst>
            <c:ext xmlns:c16="http://schemas.microsoft.com/office/drawing/2014/chart" uri="{C3380CC4-5D6E-409C-BE32-E72D297353CC}">
              <c16:uniqueId val="{00000000-7091-4518-8B4D-75A050D8A8E5}"/>
            </c:ext>
          </c:extLst>
        </c:ser>
        <c:ser>
          <c:idx val="1"/>
          <c:order val="1"/>
          <c:tx>
            <c:strRef>
              <c:f>Process!$C$25</c:f>
              <c:strCache>
                <c:ptCount val="1"/>
                <c:pt idx="0">
                  <c:v>Transportation CO2</c:v>
                </c:pt>
              </c:strCache>
            </c:strRef>
          </c:tx>
          <c:spPr>
            <a:ln>
              <a:solidFill>
                <a:srgbClr val="00206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Process!$D$25:$AJ$25</c:f>
              <c:numCache>
                <c:formatCode>#,##0.0</c:formatCode>
                <c:ptCount val="33"/>
                <c:pt idx="0">
                  <c:v>28.506437825265561</c:v>
                </c:pt>
                <c:pt idx="1">
                  <c:v>26.924606252648253</c:v>
                </c:pt>
                <c:pt idx="2">
                  <c:v>26.448466366325668</c:v>
                </c:pt>
                <c:pt idx="3">
                  <c:v>26.684940195948617</c:v>
                </c:pt>
                <c:pt idx="4">
                  <c:v>26.904845065360281</c:v>
                </c:pt>
                <c:pt idx="5">
                  <c:v>27.543957964998537</c:v>
                </c:pt>
                <c:pt idx="6">
                  <c:v>28.348712325078182</c:v>
                </c:pt>
                <c:pt idx="7">
                  <c:v>28.691676822505464</c:v>
                </c:pt>
                <c:pt idx="8">
                  <c:v>28.98102039463458</c:v>
                </c:pt>
                <c:pt idx="9">
                  <c:v>29.667708078894691</c:v>
                </c:pt>
                <c:pt idx="10">
                  <c:v>30.840346353806449</c:v>
                </c:pt>
                <c:pt idx="11">
                  <c:v>30.391075770329753</c:v>
                </c:pt>
                <c:pt idx="12">
                  <c:v>30.599206279874757</c:v>
                </c:pt>
                <c:pt idx="13">
                  <c:v>31.044336567887118</c:v>
                </c:pt>
                <c:pt idx="14">
                  <c:v>32.341144579996183</c:v>
                </c:pt>
                <c:pt idx="15">
                  <c:v>32.347883053926061</c:v>
                </c:pt>
                <c:pt idx="16">
                  <c:v>31.473855031392308</c:v>
                </c:pt>
                <c:pt idx="17">
                  <c:v>31.828916188486346</c:v>
                </c:pt>
                <c:pt idx="18">
                  <c:v>30.871216525399529</c:v>
                </c:pt>
                <c:pt idx="19">
                  <c:v>28.987244396457257</c:v>
                </c:pt>
                <c:pt idx="20">
                  <c:v>29.194372528968803</c:v>
                </c:pt>
                <c:pt idx="21">
                  <c:v>29.139892806651648</c:v>
                </c:pt>
                <c:pt idx="22">
                  <c:v>28.60906538035595</c:v>
                </c:pt>
                <c:pt idx="23">
                  <c:v>29.873225105712574</c:v>
                </c:pt>
                <c:pt idx="24">
                  <c:v>28.061539553056065</c:v>
                </c:pt>
                <c:pt idx="25">
                  <c:v>28.545017287030312</c:v>
                </c:pt>
                <c:pt idx="26">
                  <c:v>28.891424634303558</c:v>
                </c:pt>
                <c:pt idx="27">
                  <c:v>28.332334902786233</c:v>
                </c:pt>
                <c:pt idx="28">
                  <c:v>29.002637465691354</c:v>
                </c:pt>
                <c:pt idx="29">
                  <c:v>28.718318898688366</c:v>
                </c:pt>
                <c:pt idx="30">
                  <c:v>22.642037334535477</c:v>
                </c:pt>
                <c:pt idx="31">
                  <c:v>25.3046622669575</c:v>
                </c:pt>
                <c:pt idx="32">
                  <c:v>25.915363713573509</c:v>
                </c:pt>
              </c:numCache>
            </c:numRef>
          </c:val>
          <c:smooth val="0"/>
          <c:extLst>
            <c:ext xmlns:c16="http://schemas.microsoft.com/office/drawing/2014/chart" uri="{C3380CC4-5D6E-409C-BE32-E72D297353CC}">
              <c16:uniqueId val="{00000001-7091-4518-8B4D-75A050D8A8E5}"/>
            </c:ext>
          </c:extLst>
        </c:ser>
        <c:ser>
          <c:idx val="2"/>
          <c:order val="2"/>
          <c:tx>
            <c:strRef>
              <c:f>Process!$C$26</c:f>
              <c:strCache>
                <c:ptCount val="1"/>
                <c:pt idx="0">
                  <c:v>Transportation Other Gases</c:v>
                </c:pt>
              </c:strCache>
            </c:strRef>
          </c:tx>
          <c:spPr>
            <a:ln>
              <a:solidFill>
                <a:schemeClr val="tx1">
                  <a:lumMod val="50000"/>
                  <a:lumOff val="50000"/>
                </a:schemeClr>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Process!$D$26:$AI$26</c:f>
              <c:numCache>
                <c:formatCode>#,##0.0</c:formatCode>
                <c:ptCount val="32"/>
                <c:pt idx="0">
                  <c:v>1.0753076759395894</c:v>
                </c:pt>
                <c:pt idx="1">
                  <c:v>1.0835516420529232</c:v>
                </c:pt>
                <c:pt idx="2">
                  <c:v>1.11494761914902</c:v>
                </c:pt>
                <c:pt idx="3">
                  <c:v>1.0875381038467398</c:v>
                </c:pt>
                <c:pt idx="4">
                  <c:v>1.1379383574348521</c:v>
                </c:pt>
                <c:pt idx="5">
                  <c:v>1.1610278640148144</c:v>
                </c:pt>
                <c:pt idx="6">
                  <c:v>1.2145635097204102</c:v>
                </c:pt>
                <c:pt idx="7">
                  <c:v>1.2060261613281</c:v>
                </c:pt>
                <c:pt idx="8">
                  <c:v>1.2000888108145227</c:v>
                </c:pt>
                <c:pt idx="9">
                  <c:v>1.1223451421033908</c:v>
                </c:pt>
                <c:pt idx="10">
                  <c:v>1.0931715101090937</c:v>
                </c:pt>
                <c:pt idx="11">
                  <c:v>1.0395092327076663</c:v>
                </c:pt>
                <c:pt idx="12">
                  <c:v>0.97553428911752738</c:v>
                </c:pt>
                <c:pt idx="13">
                  <c:v>0.93116469616521502</c:v>
                </c:pt>
                <c:pt idx="14">
                  <c:v>0.8740020423631969</c:v>
                </c:pt>
                <c:pt idx="15">
                  <c:v>0.82780836907381583</c:v>
                </c:pt>
                <c:pt idx="16">
                  <c:v>0.81425208022601447</c:v>
                </c:pt>
                <c:pt idx="17">
                  <c:v>0.71290883115686765</c:v>
                </c:pt>
                <c:pt idx="18">
                  <c:v>0.66901094400051297</c:v>
                </c:pt>
                <c:pt idx="19">
                  <c:v>0.60033738828393424</c:v>
                </c:pt>
                <c:pt idx="20">
                  <c:v>0.58296070256211907</c:v>
                </c:pt>
                <c:pt idx="21">
                  <c:v>0.57416559594171757</c:v>
                </c:pt>
                <c:pt idx="22">
                  <c:v>0.51969621403758626</c:v>
                </c:pt>
                <c:pt idx="23">
                  <c:v>0.49593061096891844</c:v>
                </c:pt>
                <c:pt idx="24">
                  <c:v>0.46505987178004188</c:v>
                </c:pt>
                <c:pt idx="25">
                  <c:v>0.3910174925833092</c:v>
                </c:pt>
                <c:pt idx="26">
                  <c:v>0.37950381363296926</c:v>
                </c:pt>
                <c:pt idx="27">
                  <c:v>0.3534041872485138</c:v>
                </c:pt>
                <c:pt idx="28">
                  <c:v>0.32197608933631755</c:v>
                </c:pt>
                <c:pt idx="29">
                  <c:v>0.35927969403419141</c:v>
                </c:pt>
                <c:pt idx="30">
                  <c:v>0.30118988319413431</c:v>
                </c:pt>
                <c:pt idx="31">
                  <c:v>0.30211158447933367</c:v>
                </c:pt>
              </c:numCache>
            </c:numRef>
          </c:val>
          <c:smooth val="0"/>
          <c:extLst>
            <c:ext xmlns:c16="http://schemas.microsoft.com/office/drawing/2014/chart" uri="{C3380CC4-5D6E-409C-BE32-E72D297353CC}">
              <c16:uniqueId val="{00000004-7091-4518-8B4D-75A050D8A8E5}"/>
            </c:ext>
          </c:extLst>
        </c:ser>
        <c:ser>
          <c:idx val="5"/>
          <c:order val="3"/>
          <c:tx>
            <c:strRef>
              <c:f>'Sector Sublimits'!$C$39</c:f>
              <c:strCache>
                <c:ptCount val="1"/>
                <c:pt idx="0">
                  <c:v>2025 CECP Limit (18%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1-A201-496D-A3DB-D36AE6FB2C4D}"/>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01-496D-A3DB-D36AE6FB2C4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Sublimits'!$D$39:$AM$39</c:f>
              <c:numCache>
                <c:formatCode>#,##0.0</c:formatCode>
                <c:ptCount val="36"/>
                <c:pt idx="35">
                  <c:v>24.9</c:v>
                </c:pt>
              </c:numCache>
            </c:numRef>
          </c:val>
          <c:smooth val="0"/>
          <c:extLst>
            <c:ext xmlns:c16="http://schemas.microsoft.com/office/drawing/2014/chart" uri="{C3380CC4-5D6E-409C-BE32-E72D297353CC}">
              <c16:uniqueId val="{00000005-7091-4518-8B4D-75A050D8A8E5}"/>
            </c:ext>
          </c:extLst>
        </c:ser>
        <c:ser>
          <c:idx val="6"/>
          <c:order val="4"/>
          <c:tx>
            <c:strRef>
              <c:f>'Sector Sublimits'!$C$40</c:f>
              <c:strCache>
                <c:ptCount val="1"/>
                <c:pt idx="0">
                  <c:v>2030 CECP Limit (34%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7-7091-4518-8B4D-75A050D8A8E5}"/>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91-4518-8B4D-75A050D8A8E5}"/>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B6-4662-97E8-9C9BD7955B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Sublimits'!$D$40:$AR$40</c:f>
              <c:numCache>
                <c:formatCode>#,##0.0</c:formatCode>
                <c:ptCount val="41"/>
                <c:pt idx="40">
                  <c:v>19.8</c:v>
                </c:pt>
              </c:numCache>
            </c:numRef>
          </c:val>
          <c:smooth val="0"/>
          <c:extLst>
            <c:ext xmlns:c16="http://schemas.microsoft.com/office/drawing/2014/chart" uri="{C3380CC4-5D6E-409C-BE32-E72D297353CC}">
              <c16:uniqueId val="{00000008-7091-4518-8B4D-75A050D8A8E5}"/>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max val="35"/>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8326751041197831"/>
          <c:y val="0.18132716234898119"/>
          <c:w val="0.31673248958802169"/>
          <c:h val="0.69321572398869991"/>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Massachusetts GHG Emissions from Non-Fuel Combustion</a:t>
            </a:r>
            <a:endParaRPr lang="en-US" sz="1400">
              <a:effectLst/>
            </a:endParaRPr>
          </a:p>
          <a:p>
            <a:pPr>
              <a:defRPr/>
            </a:pPr>
            <a:r>
              <a:rPr lang="en-US" sz="1400" b="1" i="0" baseline="0">
                <a:effectLst/>
              </a:rPr>
              <a:t> (by Sector)</a:t>
            </a:r>
            <a:endParaRPr lang="en-US" sz="1400">
              <a:effectLst/>
            </a:endParaRPr>
          </a:p>
        </c:rich>
      </c:tx>
      <c:overlay val="0"/>
    </c:title>
    <c:autoTitleDeleted val="0"/>
    <c:plotArea>
      <c:layout>
        <c:manualLayout>
          <c:layoutTarget val="inner"/>
          <c:xMode val="edge"/>
          <c:yMode val="edge"/>
          <c:x val="9.7535896248263088E-2"/>
          <c:y val="0.16567613258868957"/>
          <c:w val="0.86431284324753521"/>
          <c:h val="0.7239218781862794"/>
        </c:manualLayout>
      </c:layout>
      <c:lineChart>
        <c:grouping val="standard"/>
        <c:varyColors val="0"/>
        <c:ser>
          <c:idx val="4"/>
          <c:order val="0"/>
          <c:tx>
            <c:strRef>
              <c:f>Process!$C$32</c:f>
              <c:strCache>
                <c:ptCount val="1"/>
                <c:pt idx="0">
                  <c:v>Natural Gas Systems (CO2e)</c:v>
                </c:pt>
              </c:strCache>
            </c:strRef>
          </c:tx>
          <c:spPr>
            <a:ln w="28575">
              <a:solidFill>
                <a:schemeClr val="tx1">
                  <a:lumMod val="65000"/>
                  <a:lumOff val="35000"/>
                </a:schemeClr>
              </a:solidFill>
              <a:prstDash val="solid"/>
            </a:ln>
          </c:spPr>
          <c:marker>
            <c:symbol val="square"/>
            <c:size val="5"/>
            <c:spPr>
              <a:solidFill>
                <a:schemeClr val="bg1">
                  <a:lumMod val="75000"/>
                </a:schemeClr>
              </a:solidFill>
              <a:ln>
                <a:solidFill>
                  <a:schemeClr val="tx1">
                    <a:lumMod val="65000"/>
                    <a:lumOff val="3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Process!$D$32:$AI$32</c:f>
              <c:numCache>
                <c:formatCode>#,##0.0</c:formatCode>
                <c:ptCount val="32"/>
                <c:pt idx="0">
                  <c:v>1.8677651258656023</c:v>
                </c:pt>
                <c:pt idx="1">
                  <c:v>1.8459141852462597</c:v>
                </c:pt>
                <c:pt idx="2">
                  <c:v>1.8328011148242493</c:v>
                </c:pt>
                <c:pt idx="3">
                  <c:v>1.754371218422466</c:v>
                </c:pt>
                <c:pt idx="4">
                  <c:v>1.6979421175482081</c:v>
                </c:pt>
                <c:pt idx="5">
                  <c:v>1.6639970217391518</c:v>
                </c:pt>
                <c:pt idx="6">
                  <c:v>1.5854815983319805</c:v>
                </c:pt>
                <c:pt idx="7">
                  <c:v>1.5341953490807867</c:v>
                </c:pt>
                <c:pt idx="8">
                  <c:v>1.4749217365566851</c:v>
                </c:pt>
                <c:pt idx="9">
                  <c:v>1.4159240794319685</c:v>
                </c:pt>
                <c:pt idx="10">
                  <c:v>1.3779308860348727</c:v>
                </c:pt>
                <c:pt idx="11">
                  <c:v>1.3078896113878109</c:v>
                </c:pt>
                <c:pt idx="12">
                  <c:v>1.2705904514515338</c:v>
                </c:pt>
                <c:pt idx="13">
                  <c:v>1.217910217108797</c:v>
                </c:pt>
                <c:pt idx="14">
                  <c:v>1.2026721581526407</c:v>
                </c:pt>
                <c:pt idx="15">
                  <c:v>1.109795717263852</c:v>
                </c:pt>
                <c:pt idx="16">
                  <c:v>1.0704121650190279</c:v>
                </c:pt>
                <c:pt idx="17">
                  <c:v>1.0271288082702621</c:v>
                </c:pt>
                <c:pt idx="18">
                  <c:v>1.010590335679201</c:v>
                </c:pt>
                <c:pt idx="19">
                  <c:v>0.96019685439515889</c:v>
                </c:pt>
                <c:pt idx="20">
                  <c:v>0.96322373008061823</c:v>
                </c:pt>
                <c:pt idx="21">
                  <c:v>0.79967539204563709</c:v>
                </c:pt>
                <c:pt idx="22">
                  <c:v>0.7993683187669699</c:v>
                </c:pt>
                <c:pt idx="23">
                  <c:v>0.78443741397921429</c:v>
                </c:pt>
                <c:pt idx="24">
                  <c:v>0.7596547163364249</c:v>
                </c:pt>
                <c:pt idx="25">
                  <c:v>0.7888767209069355</c:v>
                </c:pt>
                <c:pt idx="26">
                  <c:v>0.76847695919838299</c:v>
                </c:pt>
                <c:pt idx="27">
                  <c:v>0.73513424394234506</c:v>
                </c:pt>
                <c:pt idx="28">
                  <c:v>0.71995390570325668</c:v>
                </c:pt>
                <c:pt idx="29">
                  <c:v>0.71637272821169318</c:v>
                </c:pt>
                <c:pt idx="30">
                  <c:v>0.74058749016049774</c:v>
                </c:pt>
                <c:pt idx="31">
                  <c:v>0.71541075756581629</c:v>
                </c:pt>
              </c:numCache>
            </c:numRef>
          </c:val>
          <c:smooth val="0"/>
          <c:extLst>
            <c:ext xmlns:c16="http://schemas.microsoft.com/office/drawing/2014/chart" uri="{C3380CC4-5D6E-409C-BE32-E72D297353CC}">
              <c16:uniqueId val="{00000000-E034-4DC7-9C0A-4C56C004E933}"/>
            </c:ext>
          </c:extLst>
        </c:ser>
        <c:ser>
          <c:idx val="15"/>
          <c:order val="1"/>
          <c:tx>
            <c:strRef>
              <c:f>Process!$C$39</c:f>
              <c:strCache>
                <c:ptCount val="1"/>
                <c:pt idx="0">
                  <c:v>Waste (CO2e)</c:v>
                </c:pt>
              </c:strCache>
            </c:strRef>
          </c:tx>
          <c:spPr>
            <a:ln w="28575">
              <a:solidFill>
                <a:schemeClr val="bg2">
                  <a:lumMod val="25000"/>
                </a:schemeClr>
              </a:solidFill>
              <a:prstDash val="solid"/>
            </a:ln>
          </c:spPr>
          <c:marker>
            <c:symbol val="square"/>
            <c:size val="5"/>
            <c:spPr>
              <a:solidFill>
                <a:schemeClr val="bg2">
                  <a:lumMod val="50000"/>
                </a:schemeClr>
              </a:solidFill>
              <a:ln>
                <a:solidFill>
                  <a:schemeClr val="bg2">
                    <a:lumMod val="25000"/>
                  </a:schemeClr>
                </a:solidFill>
              </a:ln>
            </c:spPr>
          </c:marker>
          <c:dPt>
            <c:idx val="23"/>
            <c:bubble3D val="0"/>
            <c:extLst>
              <c:ext xmlns:c16="http://schemas.microsoft.com/office/drawing/2014/chart" uri="{C3380CC4-5D6E-409C-BE32-E72D297353CC}">
                <c16:uniqueId val="{00000001-E034-4DC7-9C0A-4C56C004E933}"/>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Process!$D$39:$AI$39</c:f>
              <c:numCache>
                <c:formatCode>#,##0.0</c:formatCode>
                <c:ptCount val="32"/>
                <c:pt idx="0">
                  <c:v>2.921734225476742</c:v>
                </c:pt>
                <c:pt idx="1">
                  <c:v>2.9659237839785577</c:v>
                </c:pt>
                <c:pt idx="2">
                  <c:v>2.862401582676589</c:v>
                </c:pt>
                <c:pt idx="3">
                  <c:v>2.7443824174725342</c:v>
                </c:pt>
                <c:pt idx="4">
                  <c:v>2.7282481528419806</c:v>
                </c:pt>
                <c:pt idx="5">
                  <c:v>2.7404670425365389</c:v>
                </c:pt>
                <c:pt idx="6">
                  <c:v>2.3611615270182389</c:v>
                </c:pt>
                <c:pt idx="7">
                  <c:v>1.8982744470184132</c:v>
                </c:pt>
                <c:pt idx="8">
                  <c:v>1.8189713480355501</c:v>
                </c:pt>
                <c:pt idx="9">
                  <c:v>1.8304455997009095</c:v>
                </c:pt>
                <c:pt idx="10">
                  <c:v>1.2371687987727549</c:v>
                </c:pt>
                <c:pt idx="11">
                  <c:v>0.89743217109974038</c:v>
                </c:pt>
                <c:pt idx="12">
                  <c:v>1.27497069222323</c:v>
                </c:pt>
                <c:pt idx="13">
                  <c:v>1.7601777880702902</c:v>
                </c:pt>
                <c:pt idx="14">
                  <c:v>1.5207752370939525</c:v>
                </c:pt>
                <c:pt idx="15">
                  <c:v>1.5359182375503033</c:v>
                </c:pt>
                <c:pt idx="16">
                  <c:v>1.4076566810886841</c:v>
                </c:pt>
                <c:pt idx="17">
                  <c:v>1.3183546181258532</c:v>
                </c:pt>
                <c:pt idx="18">
                  <c:v>1.3279645075594892</c:v>
                </c:pt>
                <c:pt idx="19">
                  <c:v>1.3630454187701677</c:v>
                </c:pt>
                <c:pt idx="20">
                  <c:v>0.86249816472906293</c:v>
                </c:pt>
                <c:pt idx="21">
                  <c:v>0.87727465455725784</c:v>
                </c:pt>
                <c:pt idx="22">
                  <c:v>0.92211897945822274</c:v>
                </c:pt>
                <c:pt idx="23">
                  <c:v>0.82485157614183069</c:v>
                </c:pt>
                <c:pt idx="24">
                  <c:v>0.76936372223646177</c:v>
                </c:pt>
                <c:pt idx="25">
                  <c:v>0.7797514032990327</c:v>
                </c:pt>
                <c:pt idx="26">
                  <c:v>0.74798897998549485</c:v>
                </c:pt>
                <c:pt idx="27">
                  <c:v>0.72211531342011004</c:v>
                </c:pt>
                <c:pt idx="28">
                  <c:v>0.72011659953318352</c:v>
                </c:pt>
                <c:pt idx="29">
                  <c:v>0.72173904594467819</c:v>
                </c:pt>
                <c:pt idx="30">
                  <c:v>0.69724852674260518</c:v>
                </c:pt>
                <c:pt idx="31">
                  <c:v>0.59657871753171521</c:v>
                </c:pt>
              </c:numCache>
            </c:numRef>
          </c:val>
          <c:smooth val="0"/>
          <c:extLst>
            <c:ext xmlns:c16="http://schemas.microsoft.com/office/drawing/2014/chart" uri="{C3380CC4-5D6E-409C-BE32-E72D297353CC}">
              <c16:uniqueId val="{00000002-E034-4DC7-9C0A-4C56C004E933}"/>
            </c:ext>
          </c:extLst>
        </c:ser>
        <c:ser>
          <c:idx val="0"/>
          <c:order val="2"/>
          <c:tx>
            <c:strRef>
              <c:f>Process!$C$38</c:f>
              <c:strCache>
                <c:ptCount val="1"/>
                <c:pt idx="0">
                  <c:v>Agriculture &amp; Land Use (CO2e)</c:v>
                </c:pt>
              </c:strCache>
            </c:strRef>
          </c:tx>
          <c:spPr>
            <a:ln w="28575">
              <a:solidFill>
                <a:schemeClr val="accent3">
                  <a:lumMod val="50000"/>
                </a:schemeClr>
              </a:solidFill>
              <a:prstDash val="solid"/>
            </a:ln>
          </c:spPr>
          <c:marker>
            <c:symbol val="square"/>
            <c:size val="5"/>
            <c:spPr>
              <a:solidFill>
                <a:schemeClr val="accent3">
                  <a:lumMod val="60000"/>
                  <a:lumOff val="40000"/>
                </a:schemeClr>
              </a:solidFill>
              <a:ln>
                <a:solidFill>
                  <a:schemeClr val="accent3">
                    <a:lumMod val="50000"/>
                  </a:schemeClr>
                </a:solidFill>
              </a:ln>
            </c:spPr>
          </c:marker>
          <c:dPt>
            <c:idx val="23"/>
            <c:marker>
              <c:spPr>
                <a:solidFill>
                  <a:schemeClr val="accent3">
                    <a:lumMod val="60000"/>
                    <a:lumOff val="40000"/>
                  </a:schemeClr>
                </a:solidFill>
                <a:ln>
                  <a:solidFill>
                    <a:schemeClr val="accent3">
                      <a:lumMod val="75000"/>
                    </a:schemeClr>
                  </a:solidFill>
                </a:ln>
              </c:spPr>
            </c:marker>
            <c:bubble3D val="0"/>
            <c:extLst>
              <c:ext xmlns:c16="http://schemas.microsoft.com/office/drawing/2014/chart" uri="{C3380CC4-5D6E-409C-BE32-E72D297353CC}">
                <c16:uniqueId val="{00000003-E034-4DC7-9C0A-4C56C004E933}"/>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Process!$D$38:$AI$38</c:f>
              <c:numCache>
                <c:formatCode>#,##0.0</c:formatCode>
                <c:ptCount val="32"/>
                <c:pt idx="0">
                  <c:v>0.44610076900597256</c:v>
                </c:pt>
                <c:pt idx="1">
                  <c:v>0.39821865849902877</c:v>
                </c:pt>
                <c:pt idx="2">
                  <c:v>0.4024590137738116</c:v>
                </c:pt>
                <c:pt idx="3">
                  <c:v>0.41723952078982274</c:v>
                </c:pt>
                <c:pt idx="4">
                  <c:v>0.38537380629380164</c:v>
                </c:pt>
                <c:pt idx="5">
                  <c:v>0.38959088733546887</c:v>
                </c:pt>
                <c:pt idx="6">
                  <c:v>0.3853494467228562</c:v>
                </c:pt>
                <c:pt idx="7">
                  <c:v>0.37954245865357722</c:v>
                </c:pt>
                <c:pt idx="8">
                  <c:v>0.36089604709262979</c:v>
                </c:pt>
                <c:pt idx="9">
                  <c:v>0.35534423332749382</c:v>
                </c:pt>
                <c:pt idx="10">
                  <c:v>0.35808927940321517</c:v>
                </c:pt>
                <c:pt idx="11">
                  <c:v>0.34835342208127046</c:v>
                </c:pt>
                <c:pt idx="12">
                  <c:v>0.40121522100556378</c:v>
                </c:pt>
                <c:pt idx="13">
                  <c:v>0.35371034819730651</c:v>
                </c:pt>
                <c:pt idx="14">
                  <c:v>0.34502939445979169</c:v>
                </c:pt>
                <c:pt idx="15">
                  <c:v>0.36828267265399622</c:v>
                </c:pt>
                <c:pt idx="16">
                  <c:v>0.46627193708306636</c:v>
                </c:pt>
                <c:pt idx="17">
                  <c:v>0.45487124021948133</c:v>
                </c:pt>
                <c:pt idx="18">
                  <c:v>0.33823094475600562</c:v>
                </c:pt>
                <c:pt idx="19">
                  <c:v>0.31042290716519921</c:v>
                </c:pt>
                <c:pt idx="20">
                  <c:v>0.32504807625862253</c:v>
                </c:pt>
                <c:pt idx="21">
                  <c:v>0.3007991811743016</c:v>
                </c:pt>
                <c:pt idx="22">
                  <c:v>0.29086338314162158</c:v>
                </c:pt>
                <c:pt idx="23">
                  <c:v>0.3021658883193768</c:v>
                </c:pt>
                <c:pt idx="24">
                  <c:v>0.3051908156739303</c:v>
                </c:pt>
                <c:pt idx="25">
                  <c:v>0.28371044472182944</c:v>
                </c:pt>
                <c:pt idx="26">
                  <c:v>0.2298891465170948</c:v>
                </c:pt>
                <c:pt idx="27">
                  <c:v>0.26630917520767899</c:v>
                </c:pt>
                <c:pt idx="28">
                  <c:v>0.25754276630837303</c:v>
                </c:pt>
                <c:pt idx="29">
                  <c:v>0.24873056149142708</c:v>
                </c:pt>
                <c:pt idx="30">
                  <c:v>0.21212335344157099</c:v>
                </c:pt>
                <c:pt idx="31">
                  <c:v>0.19358342282429983</c:v>
                </c:pt>
              </c:numCache>
            </c:numRef>
          </c:val>
          <c:smooth val="0"/>
          <c:extLst>
            <c:ext xmlns:c16="http://schemas.microsoft.com/office/drawing/2014/chart" uri="{C3380CC4-5D6E-409C-BE32-E72D297353CC}">
              <c16:uniqueId val="{00000004-E034-4DC7-9C0A-4C56C004E933}"/>
            </c:ext>
          </c:extLst>
        </c:ser>
        <c:ser>
          <c:idx val="1"/>
          <c:order val="3"/>
          <c:tx>
            <c:strRef>
              <c:f>Process!$C$35</c:f>
              <c:strCache>
                <c:ptCount val="1"/>
                <c:pt idx="0">
                  <c:v>Industrial Processes (CO2e)</c:v>
                </c:pt>
              </c:strCache>
            </c:strRef>
          </c:tx>
          <c:spPr>
            <a:ln w="31750">
              <a:solidFill>
                <a:srgbClr val="C0504D">
                  <a:lumMod val="50000"/>
                </a:srgbClr>
              </a:solidFill>
              <a:prstDash val="solid"/>
            </a:ln>
          </c:spPr>
          <c:marker>
            <c:symbol val="triangle"/>
            <c:size val="7"/>
            <c:spPr>
              <a:solidFill>
                <a:schemeClr val="accent2">
                  <a:lumMod val="40000"/>
                  <a:lumOff val="60000"/>
                </a:schemeClr>
              </a:solidFill>
              <a:ln w="9525" cmpd="sng">
                <a:solidFill>
                  <a:schemeClr val="accent2">
                    <a:lumMod val="50000"/>
                  </a:schemeClr>
                </a:solidFill>
                <a:prstDash val="solid"/>
              </a:ln>
            </c:spPr>
          </c:marker>
          <c:dPt>
            <c:idx val="23"/>
            <c:bubble3D val="0"/>
            <c:extLst>
              <c:ext xmlns:c16="http://schemas.microsoft.com/office/drawing/2014/chart" uri="{C3380CC4-5D6E-409C-BE32-E72D297353CC}">
                <c16:uniqueId val="{00000005-E034-4DC7-9C0A-4C56C004E933}"/>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Process!$D$35:$AH$35</c:f>
              <c:numCache>
                <c:formatCode>#,##0.0</c:formatCode>
                <c:ptCount val="31"/>
                <c:pt idx="0">
                  <c:v>0.65625199051509786</c:v>
                </c:pt>
                <c:pt idx="1">
                  <c:v>0.63331644452695712</c:v>
                </c:pt>
                <c:pt idx="2">
                  <c:v>0.65299274390212458</c:v>
                </c:pt>
                <c:pt idx="3">
                  <c:v>0.72753199127029544</c:v>
                </c:pt>
                <c:pt idx="4">
                  <c:v>0.87114460853075537</c:v>
                </c:pt>
                <c:pt idx="5">
                  <c:v>1.1874764653811856</c:v>
                </c:pt>
                <c:pt idx="6">
                  <c:v>1.3818297182829506</c:v>
                </c:pt>
                <c:pt idx="7">
                  <c:v>1.5914306750343177</c:v>
                </c:pt>
                <c:pt idx="8">
                  <c:v>1.8072839076805174</c:v>
                </c:pt>
                <c:pt idx="9">
                  <c:v>2.0319751903293111</c:v>
                </c:pt>
                <c:pt idx="10">
                  <c:v>2.1782494890373849</c:v>
                </c:pt>
                <c:pt idx="11">
                  <c:v>2.2546007709387683</c:v>
                </c:pt>
                <c:pt idx="12">
                  <c:v>2.4083019604011335</c:v>
                </c:pt>
                <c:pt idx="13">
                  <c:v>2.4356834976929873</c:v>
                </c:pt>
                <c:pt idx="14">
                  <c:v>2.4599951742250012</c:v>
                </c:pt>
                <c:pt idx="15">
                  <c:v>2.4957903789544686</c:v>
                </c:pt>
                <c:pt idx="16">
                  <c:v>2.57163703562829</c:v>
                </c:pt>
                <c:pt idx="17">
                  <c:v>2.6579478960926655</c:v>
                </c:pt>
                <c:pt idx="18">
                  <c:v>2.8299968705084821</c:v>
                </c:pt>
                <c:pt idx="19">
                  <c:v>2.8897573864573465</c:v>
                </c:pt>
                <c:pt idx="20">
                  <c:v>2.7452187654011122</c:v>
                </c:pt>
                <c:pt idx="21">
                  <c:v>2.9694502142508616</c:v>
                </c:pt>
                <c:pt idx="22">
                  <c:v>3.1868544050475593</c:v>
                </c:pt>
                <c:pt idx="23">
                  <c:v>3.6349955572434878</c:v>
                </c:pt>
                <c:pt idx="24">
                  <c:v>4.0223671955770204</c:v>
                </c:pt>
                <c:pt idx="25">
                  <c:v>3.9056941429484664</c:v>
                </c:pt>
                <c:pt idx="26">
                  <c:v>3.9218385184312834</c:v>
                </c:pt>
                <c:pt idx="27">
                  <c:v>3.4253895318876237</c:v>
                </c:pt>
                <c:pt idx="28">
                  <c:v>3.7961568247384667</c:v>
                </c:pt>
                <c:pt idx="29">
                  <c:v>3.6341921007072808</c:v>
                </c:pt>
                <c:pt idx="30">
                  <c:v>3.9345079101963329</c:v>
                </c:pt>
              </c:numCache>
            </c:numRef>
          </c:val>
          <c:smooth val="0"/>
          <c:extLst>
            <c:ext xmlns:c16="http://schemas.microsoft.com/office/drawing/2014/chart" uri="{C3380CC4-5D6E-409C-BE32-E72D297353CC}">
              <c16:uniqueId val="{00000006-E034-4DC7-9C0A-4C56C004E933}"/>
            </c:ext>
          </c:extLst>
        </c:ser>
        <c:dLbls>
          <c:showLegendKey val="0"/>
          <c:showVal val="0"/>
          <c:showCatName val="0"/>
          <c:showSerName val="0"/>
          <c:showPercent val="0"/>
          <c:showBubbleSize val="0"/>
        </c:dLbls>
        <c:marker val="1"/>
        <c:smooth val="0"/>
        <c:axId val="47274624"/>
        <c:axId val="47292800"/>
      </c:lineChart>
      <c:catAx>
        <c:axId val="47274624"/>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7292800"/>
        <c:crossesAt val="0"/>
        <c:auto val="1"/>
        <c:lblAlgn val="ctr"/>
        <c:lblOffset val="100"/>
        <c:tickLblSkip val="5"/>
        <c:noMultiLvlLbl val="0"/>
      </c:catAx>
      <c:valAx>
        <c:axId val="47292800"/>
        <c:scaling>
          <c:orientation val="minMax"/>
          <c:max val="4.5"/>
          <c:min val="0"/>
        </c:scaling>
        <c:delete val="0"/>
        <c:axPos val="l"/>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alibri"/>
                  </a:rPr>
                  <a:t>Million Metric Tons of CO</a:t>
                </a:r>
                <a:r>
                  <a:rPr lang="en-US" sz="1000" b="1" i="0" u="none" strike="noStrike" baseline="-25000">
                    <a:solidFill>
                      <a:srgbClr val="000000"/>
                    </a:solidFill>
                    <a:latin typeface="Calibri"/>
                  </a:rPr>
                  <a:t>2</a:t>
                </a:r>
                <a:r>
                  <a:rPr lang="en-US" sz="1000" b="1" i="0" u="none" strike="noStrike" baseline="0">
                    <a:solidFill>
                      <a:srgbClr val="000000"/>
                    </a:solidFill>
                    <a:latin typeface="Calibri"/>
                  </a:rPr>
                  <a:t> equivalent</a:t>
                </a:r>
              </a:p>
            </c:rich>
          </c:tx>
          <c:layout>
            <c:manualLayout>
              <c:xMode val="edge"/>
              <c:yMode val="edge"/>
              <c:x val="9.6019526221642684E-3"/>
              <c:y val="0.20465475713840856"/>
            </c:manualLayout>
          </c:layout>
          <c:overlay val="0"/>
        </c:title>
        <c:numFmt formatCode="0.0" sourceLinked="0"/>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47274624"/>
        <c:crosses val="autoZero"/>
        <c:crossBetween val="midCat"/>
        <c:majorUnit val="0.5"/>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residential</a:t>
            </a:r>
            <a:r>
              <a:rPr lang="en-US" baseline="0"/>
              <a:t> heating &amp; cooling</a:t>
            </a:r>
            <a:r>
              <a:rPr lang="en-US"/>
              <a:t>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Sublimits'!$C$12</c:f>
              <c:strCache>
                <c:ptCount val="1"/>
                <c:pt idx="0">
                  <c:v>Residential Heating and Cooling Total</c:v>
                </c:pt>
              </c:strCache>
            </c:strRef>
          </c:tx>
          <c:spPr>
            <a:ln>
              <a:solidFill>
                <a:srgbClr val="FF00FF"/>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Sublimits'!$D$12:$AJ$12</c:f>
              <c:numCache>
                <c:formatCode>#,##0.0</c:formatCode>
                <c:ptCount val="33"/>
                <c:pt idx="0">
                  <c:v>15.31365040534536</c:v>
                </c:pt>
                <c:pt idx="1">
                  <c:v>14.518561901071035</c:v>
                </c:pt>
                <c:pt idx="2">
                  <c:v>16.637356745667098</c:v>
                </c:pt>
                <c:pt idx="3">
                  <c:v>16.765001626446431</c:v>
                </c:pt>
                <c:pt idx="4">
                  <c:v>16.5798858667393</c:v>
                </c:pt>
                <c:pt idx="5">
                  <c:v>14.981382499081906</c:v>
                </c:pt>
                <c:pt idx="6">
                  <c:v>14.782858365913285</c:v>
                </c:pt>
                <c:pt idx="7">
                  <c:v>14.564592342096233</c:v>
                </c:pt>
                <c:pt idx="8">
                  <c:v>13.354760517636457</c:v>
                </c:pt>
                <c:pt idx="9">
                  <c:v>14.184525556803141</c:v>
                </c:pt>
                <c:pt idx="10">
                  <c:v>15.873185523164093</c:v>
                </c:pt>
                <c:pt idx="11">
                  <c:v>16.199011137428776</c:v>
                </c:pt>
                <c:pt idx="12">
                  <c:v>16.119805109343375</c:v>
                </c:pt>
                <c:pt idx="13">
                  <c:v>16.601211726566344</c:v>
                </c:pt>
                <c:pt idx="14">
                  <c:v>15.197154479199662</c:v>
                </c:pt>
                <c:pt idx="15">
                  <c:v>15.027210450114723</c:v>
                </c:pt>
                <c:pt idx="16">
                  <c:v>12.930446995074689</c:v>
                </c:pt>
                <c:pt idx="17">
                  <c:v>13.614044734403702</c:v>
                </c:pt>
                <c:pt idx="18">
                  <c:v>14.49159231299309</c:v>
                </c:pt>
                <c:pt idx="19">
                  <c:v>13.995697715436682</c:v>
                </c:pt>
                <c:pt idx="20">
                  <c:v>13.737716464679892</c:v>
                </c:pt>
                <c:pt idx="21">
                  <c:v>13.770209257923048</c:v>
                </c:pt>
                <c:pt idx="22">
                  <c:v>11.921635639998783</c:v>
                </c:pt>
                <c:pt idx="23">
                  <c:v>12.427545793562148</c:v>
                </c:pt>
                <c:pt idx="24">
                  <c:v>13.736544746104025</c:v>
                </c:pt>
                <c:pt idx="25">
                  <c:v>13.636975173626578</c:v>
                </c:pt>
                <c:pt idx="26">
                  <c:v>11.39103932176867</c:v>
                </c:pt>
                <c:pt idx="27">
                  <c:v>12.355017974074329</c:v>
                </c:pt>
                <c:pt idx="28">
                  <c:v>13.40124690910987</c:v>
                </c:pt>
                <c:pt idx="29">
                  <c:v>13.74295509703531</c:v>
                </c:pt>
                <c:pt idx="30">
                  <c:v>12.203532691373011</c:v>
                </c:pt>
                <c:pt idx="31">
                  <c:v>12.587212421548125</c:v>
                </c:pt>
                <c:pt idx="32">
                  <c:v>13.000609212674958</c:v>
                </c:pt>
              </c:numCache>
            </c:numRef>
          </c:val>
          <c:smooth val="0"/>
          <c:extLst>
            <c:ext xmlns:c16="http://schemas.microsoft.com/office/drawing/2014/chart" uri="{C3380CC4-5D6E-409C-BE32-E72D297353CC}">
              <c16:uniqueId val="{00000000-8F1A-41E5-85AB-E10FF8E7217B}"/>
            </c:ext>
          </c:extLst>
        </c:ser>
        <c:ser>
          <c:idx val="1"/>
          <c:order val="1"/>
          <c:tx>
            <c:strRef>
              <c:f>Process!$C$13</c:f>
              <c:strCache>
                <c:ptCount val="1"/>
                <c:pt idx="0">
                  <c:v>Residential CO2</c:v>
                </c:pt>
              </c:strCache>
            </c:strRef>
          </c:tx>
          <c:spPr>
            <a:ln>
              <a:solidFill>
                <a:srgbClr val="00206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Process!$D$13:$AJ$13</c:f>
              <c:numCache>
                <c:formatCode>#,##0.0</c:formatCode>
                <c:ptCount val="33"/>
                <c:pt idx="0">
                  <c:v>15.09218729035536</c:v>
                </c:pt>
                <c:pt idx="1">
                  <c:v>14.295364882071034</c:v>
                </c:pt>
                <c:pt idx="2">
                  <c:v>16.396053585147097</c:v>
                </c:pt>
                <c:pt idx="3">
                  <c:v>16.518072434056432</c:v>
                </c:pt>
                <c:pt idx="4">
                  <c:v>16.3428113958593</c:v>
                </c:pt>
                <c:pt idx="5">
                  <c:v>14.751248409471906</c:v>
                </c:pt>
                <c:pt idx="6">
                  <c:v>14.548991126703285</c:v>
                </c:pt>
                <c:pt idx="7">
                  <c:v>14.378872297176233</c:v>
                </c:pt>
                <c:pt idx="8">
                  <c:v>13.187544748996457</c:v>
                </c:pt>
                <c:pt idx="9">
                  <c:v>14.010791823643141</c:v>
                </c:pt>
                <c:pt idx="10">
                  <c:v>15.683527402244092</c:v>
                </c:pt>
                <c:pt idx="11">
                  <c:v>16.029000961089942</c:v>
                </c:pt>
                <c:pt idx="12">
                  <c:v>15.947597736625315</c:v>
                </c:pt>
                <c:pt idx="13">
                  <c:v>16.424354633887898</c:v>
                </c:pt>
                <c:pt idx="14">
                  <c:v>15.02439042499277</c:v>
                </c:pt>
                <c:pt idx="15">
                  <c:v>14.929934686615209</c:v>
                </c:pt>
                <c:pt idx="16">
                  <c:v>12.846312302684595</c:v>
                </c:pt>
                <c:pt idx="17">
                  <c:v>13.524855771139288</c:v>
                </c:pt>
                <c:pt idx="18">
                  <c:v>14.39714565392285</c:v>
                </c:pt>
                <c:pt idx="19">
                  <c:v>13.852964375083578</c:v>
                </c:pt>
                <c:pt idx="20">
                  <c:v>13.589313015564603</c:v>
                </c:pt>
                <c:pt idx="21">
                  <c:v>13.624708631879612</c:v>
                </c:pt>
                <c:pt idx="22">
                  <c:v>11.798985827009325</c:v>
                </c:pt>
                <c:pt idx="23">
                  <c:v>12.279880650460056</c:v>
                </c:pt>
                <c:pt idx="24">
                  <c:v>13.581589984107024</c:v>
                </c:pt>
                <c:pt idx="25">
                  <c:v>13.492417678538322</c:v>
                </c:pt>
                <c:pt idx="26">
                  <c:v>11.274433436984273</c:v>
                </c:pt>
                <c:pt idx="27">
                  <c:v>12.235011797173529</c:v>
                </c:pt>
                <c:pt idx="28">
                  <c:v>13.276887897527338</c:v>
                </c:pt>
                <c:pt idx="29">
                  <c:v>13.60200809288772</c:v>
                </c:pt>
                <c:pt idx="30">
                  <c:v>12.102936422079161</c:v>
                </c:pt>
                <c:pt idx="31">
                  <c:v>12.480073656420144</c:v>
                </c:pt>
                <c:pt idx="32">
                  <c:v>12.883270641350757</c:v>
                </c:pt>
              </c:numCache>
            </c:numRef>
          </c:val>
          <c:smooth val="0"/>
          <c:extLst>
            <c:ext xmlns:c16="http://schemas.microsoft.com/office/drawing/2014/chart" uri="{C3380CC4-5D6E-409C-BE32-E72D297353CC}">
              <c16:uniqueId val="{00000001-8F1A-41E5-85AB-E10FF8E7217B}"/>
            </c:ext>
          </c:extLst>
        </c:ser>
        <c:ser>
          <c:idx val="2"/>
          <c:order val="2"/>
          <c:tx>
            <c:strRef>
              <c:f>'Sector Sublimits'!$C$11</c:f>
              <c:strCache>
                <c:ptCount val="1"/>
                <c:pt idx="0">
                  <c:v>Residential Other Gases</c:v>
                </c:pt>
              </c:strCache>
            </c:strRef>
          </c:tx>
          <c:spPr>
            <a:ln>
              <a:solidFill>
                <a:schemeClr val="tx1">
                  <a:lumMod val="50000"/>
                  <a:lumOff val="50000"/>
                </a:schemeClr>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Process!$D$14:$AJ$14</c:f>
              <c:numCache>
                <c:formatCode>#,##0.0</c:formatCode>
                <c:ptCount val="33"/>
                <c:pt idx="0">
                  <c:v>0.22146311499000002</c:v>
                </c:pt>
                <c:pt idx="1">
                  <c:v>0.22319701900000002</c:v>
                </c:pt>
                <c:pt idx="2">
                  <c:v>0.24130316051999998</c:v>
                </c:pt>
                <c:pt idx="3">
                  <c:v>0.24692919239</c:v>
                </c:pt>
                <c:pt idx="4">
                  <c:v>0.23707447088</c:v>
                </c:pt>
                <c:pt idx="5">
                  <c:v>0.23013408961000001</c:v>
                </c:pt>
                <c:pt idx="6">
                  <c:v>0.23386723920999997</c:v>
                </c:pt>
                <c:pt idx="7">
                  <c:v>0.18572004491999997</c:v>
                </c:pt>
                <c:pt idx="8">
                  <c:v>0.16721576863999998</c:v>
                </c:pt>
                <c:pt idx="9">
                  <c:v>0.17373373315999999</c:v>
                </c:pt>
                <c:pt idx="10">
                  <c:v>0.18965812091999998</c:v>
                </c:pt>
                <c:pt idx="11">
                  <c:v>0.17001017633883481</c:v>
                </c:pt>
                <c:pt idx="12">
                  <c:v>0.17220737271805805</c:v>
                </c:pt>
                <c:pt idx="13">
                  <c:v>0.1768570926784464</c:v>
                </c:pt>
                <c:pt idx="14">
                  <c:v>0.17276405420689284</c:v>
                </c:pt>
                <c:pt idx="15">
                  <c:v>9.7275763499513487E-2</c:v>
                </c:pt>
                <c:pt idx="16">
                  <c:v>8.4134692390093954E-2</c:v>
                </c:pt>
                <c:pt idx="17">
                  <c:v>8.9188963264413237E-2</c:v>
                </c:pt>
                <c:pt idx="18">
                  <c:v>9.4446659070239081E-2</c:v>
                </c:pt>
                <c:pt idx="19">
                  <c:v>0.14273334035310292</c:v>
                </c:pt>
                <c:pt idx="20">
                  <c:v>0.14840344911528816</c:v>
                </c:pt>
                <c:pt idx="21">
                  <c:v>0.145500626043436</c:v>
                </c:pt>
                <c:pt idx="22">
                  <c:v>0.12264981298945812</c:v>
                </c:pt>
                <c:pt idx="23">
                  <c:v>0.14766514310209233</c:v>
                </c:pt>
                <c:pt idx="24">
                  <c:v>0.15495476199700042</c:v>
                </c:pt>
                <c:pt idx="25">
                  <c:v>0.14455749508825541</c:v>
                </c:pt>
                <c:pt idx="26">
                  <c:v>0.1166058847843976</c:v>
                </c:pt>
                <c:pt idx="27">
                  <c:v>0.12000617690079979</c:v>
                </c:pt>
                <c:pt idx="28">
                  <c:v>0.12435901158253188</c:v>
                </c:pt>
                <c:pt idx="29">
                  <c:v>0.14094700414758929</c:v>
                </c:pt>
                <c:pt idx="30">
                  <c:v>0.1005962692938505</c:v>
                </c:pt>
                <c:pt idx="31">
                  <c:v>0.10713876512798183</c:v>
                </c:pt>
                <c:pt idx="32">
                  <c:v>0.11733857132420025</c:v>
                </c:pt>
              </c:numCache>
            </c:numRef>
          </c:val>
          <c:smooth val="0"/>
          <c:extLst>
            <c:ext xmlns:c16="http://schemas.microsoft.com/office/drawing/2014/chart" uri="{C3380CC4-5D6E-409C-BE32-E72D297353CC}">
              <c16:uniqueId val="{00000002-8F1A-41E5-85AB-E10FF8E7217B}"/>
            </c:ext>
          </c:extLst>
        </c:ser>
        <c:ser>
          <c:idx val="3"/>
          <c:order val="3"/>
          <c:tx>
            <c:strRef>
              <c:f>'Sector Sublimits'!$C$15</c:f>
              <c:strCache>
                <c:ptCount val="1"/>
                <c:pt idx="0">
                  <c:v>2025 CECP Limit (29% below 1990)</c:v>
                </c:pt>
              </c:strCache>
            </c:strRef>
          </c:tx>
          <c:spPr>
            <a:ln>
              <a:noFill/>
            </a:ln>
          </c:spPr>
          <c:marker>
            <c:symbol val="diamond"/>
            <c:size val="10"/>
            <c:spPr>
              <a:solidFill>
                <a:srgbClr val="FF00FF"/>
              </a:solidFill>
              <a:ln>
                <a:solidFill>
                  <a:schemeClr val="tx1"/>
                </a:solidFill>
              </a:ln>
            </c:spPr>
          </c:marker>
          <c:dPt>
            <c:idx val="34"/>
            <c:marker>
              <c:symbol val="none"/>
            </c:marker>
            <c:bubble3D val="0"/>
            <c:extLst>
              <c:ext xmlns:c16="http://schemas.microsoft.com/office/drawing/2014/chart" uri="{C3380CC4-5D6E-409C-BE32-E72D297353CC}">
                <c16:uniqueId val="{00000004-7BBA-4378-B729-CB82F6EDDABE}"/>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'Sector Sublimits'!$D$15:$AR$15</c:f>
              <c:numCache>
                <c:formatCode>#,##0.0</c:formatCode>
                <c:ptCount val="41"/>
                <c:pt idx="35">
                  <c:v>10.8</c:v>
                </c:pt>
              </c:numCache>
            </c:numRef>
          </c:val>
          <c:smooth val="0"/>
          <c:extLst>
            <c:ext xmlns:c16="http://schemas.microsoft.com/office/drawing/2014/chart" uri="{C3380CC4-5D6E-409C-BE32-E72D297353CC}">
              <c16:uniqueId val="{00000001-7BBA-4378-B729-CB82F6EDDABE}"/>
            </c:ext>
          </c:extLst>
        </c:ser>
        <c:ser>
          <c:idx val="4"/>
          <c:order val="4"/>
          <c:tx>
            <c:strRef>
              <c:f>'Sector Sublimits'!$C$16</c:f>
              <c:strCache>
                <c:ptCount val="1"/>
                <c:pt idx="0">
                  <c:v>2030 CECP Limit (49% below 1990)</c:v>
                </c:pt>
              </c:strCache>
            </c:strRef>
          </c:tx>
          <c:spPr>
            <a:ln>
              <a:noFill/>
            </a:ln>
          </c:spPr>
          <c:marker>
            <c:symbol val="diamond"/>
            <c:size val="10"/>
            <c:spPr>
              <a:solidFill>
                <a:srgbClr val="FF00FF"/>
              </a:solidFill>
              <a:ln>
                <a:solidFill>
                  <a:schemeClr val="tx1"/>
                </a:solidFill>
              </a:ln>
            </c:spPr>
          </c:marker>
          <c:dLbls>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BA-4378-B729-CB82F6EDDA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'Sector Sublimits'!$D$16:$AR$16</c:f>
              <c:numCache>
                <c:formatCode>#,##0.0</c:formatCode>
                <c:ptCount val="41"/>
                <c:pt idx="40">
                  <c:v>7.8</c:v>
                </c:pt>
              </c:numCache>
            </c:numRef>
          </c:val>
          <c:smooth val="0"/>
          <c:extLst>
            <c:ext xmlns:c16="http://schemas.microsoft.com/office/drawing/2014/chart" uri="{C3380CC4-5D6E-409C-BE32-E72D297353CC}">
              <c16:uniqueId val="{00000002-7BBA-4378-B729-CB82F6EDDABE}"/>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81941384446"/>
          <c:y val="0.17751036845585144"/>
          <c:w val="0.33530115722763454"/>
          <c:h val="0.69703251788182985"/>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commercial &amp; industrial</a:t>
            </a:r>
            <a:r>
              <a:rPr lang="en-US" baseline="0"/>
              <a:t> heating &amp; cooling</a:t>
            </a:r>
            <a:r>
              <a:rPr lang="en-US"/>
              <a:t>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Sublimits'!$C$27</c:f>
              <c:strCache>
                <c:ptCount val="1"/>
                <c:pt idx="0">
                  <c:v>Commercial and Industrial Heating and Cooling</c:v>
                </c:pt>
              </c:strCache>
            </c:strRef>
          </c:tx>
          <c:spPr>
            <a:ln>
              <a:solidFill>
                <a:srgbClr val="FF00FF"/>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Sublimits'!$D$27:$AJ$27</c:f>
              <c:numCache>
                <c:formatCode>#,##0.0</c:formatCode>
                <c:ptCount val="33"/>
                <c:pt idx="0">
                  <c:v>14.055381766855493</c:v>
                </c:pt>
                <c:pt idx="1">
                  <c:v>13.965558398901575</c:v>
                </c:pt>
                <c:pt idx="2">
                  <c:v>15.454769724684319</c:v>
                </c:pt>
                <c:pt idx="3">
                  <c:v>14.67203489478517</c:v>
                </c:pt>
                <c:pt idx="4">
                  <c:v>14.660335216953548</c:v>
                </c:pt>
                <c:pt idx="5">
                  <c:v>14.073623515161968</c:v>
                </c:pt>
                <c:pt idx="6">
                  <c:v>14.15621980544649</c:v>
                </c:pt>
                <c:pt idx="7">
                  <c:v>14.646433540028744</c:v>
                </c:pt>
                <c:pt idx="8">
                  <c:v>12.944191510867268</c:v>
                </c:pt>
                <c:pt idx="9">
                  <c:v>11.762979696742423</c:v>
                </c:pt>
                <c:pt idx="10">
                  <c:v>12.226723049190603</c:v>
                </c:pt>
                <c:pt idx="11">
                  <c:v>12.341527856577594</c:v>
                </c:pt>
                <c:pt idx="12">
                  <c:v>12.365749464250435</c:v>
                </c:pt>
                <c:pt idx="13">
                  <c:v>11.543804403142637</c:v>
                </c:pt>
                <c:pt idx="14">
                  <c:v>10.859946077193735</c:v>
                </c:pt>
                <c:pt idx="15">
                  <c:v>11.251302307188087</c:v>
                </c:pt>
                <c:pt idx="16">
                  <c:v>9.445686993980253</c:v>
                </c:pt>
                <c:pt idx="17">
                  <c:v>9.694596477951098</c:v>
                </c:pt>
                <c:pt idx="18">
                  <c:v>9.611009602596063</c:v>
                </c:pt>
                <c:pt idx="19">
                  <c:v>9.1116623697373953</c:v>
                </c:pt>
                <c:pt idx="20">
                  <c:v>10.471446418321657</c:v>
                </c:pt>
                <c:pt idx="21">
                  <c:v>10.238267466139469</c:v>
                </c:pt>
                <c:pt idx="22">
                  <c:v>8.5874396613112118</c:v>
                </c:pt>
                <c:pt idx="23">
                  <c:v>10.306058888553265</c:v>
                </c:pt>
                <c:pt idx="24">
                  <c:v>10.615654374570585</c:v>
                </c:pt>
                <c:pt idx="25">
                  <c:v>11.032681748556765</c:v>
                </c:pt>
                <c:pt idx="26">
                  <c:v>10.234608706845753</c:v>
                </c:pt>
                <c:pt idx="27">
                  <c:v>10.661053991425302</c:v>
                </c:pt>
                <c:pt idx="28">
                  <c:v>11.234541401531541</c:v>
                </c:pt>
                <c:pt idx="29">
                  <c:v>11.503669098737809</c:v>
                </c:pt>
                <c:pt idx="30">
                  <c:v>10.450612711543293</c:v>
                </c:pt>
                <c:pt idx="31">
                  <c:v>10.750426620917228</c:v>
                </c:pt>
                <c:pt idx="32">
                  <c:v>11.597388798468089</c:v>
                </c:pt>
              </c:numCache>
            </c:numRef>
          </c:val>
          <c:smooth val="0"/>
          <c:extLst>
            <c:ext xmlns:c16="http://schemas.microsoft.com/office/drawing/2014/chart" uri="{C3380CC4-5D6E-409C-BE32-E72D297353CC}">
              <c16:uniqueId val="{00000000-8D3E-4E0A-9EB9-45C348CC9D35}"/>
            </c:ext>
          </c:extLst>
        </c:ser>
        <c:ser>
          <c:idx val="2"/>
          <c:order val="1"/>
          <c:tx>
            <c:strRef>
              <c:f>'Sector Sublimits'!$C$18</c:f>
              <c:strCache>
                <c:ptCount val="1"/>
                <c:pt idx="0">
                  <c:v>Commercial CO2e from Fuel Combustion and Fuel Cell</c:v>
                </c:pt>
              </c:strCache>
            </c:strRef>
          </c:tx>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Sublimits'!$D$18:$AJ$18</c:f>
              <c:numCache>
                <c:formatCode>#,##0.0</c:formatCode>
                <c:ptCount val="33"/>
                <c:pt idx="0">
                  <c:v>8.4498373292805997</c:v>
                </c:pt>
                <c:pt idx="1">
                  <c:v>9.2327174055964729</c:v>
                </c:pt>
                <c:pt idx="2">
                  <c:v>8.9900720556205993</c:v>
                </c:pt>
                <c:pt idx="3">
                  <c:v>8.0482362214060164</c:v>
                </c:pt>
                <c:pt idx="4">
                  <c:v>8.921629042544625</c:v>
                </c:pt>
                <c:pt idx="5">
                  <c:v>9.018799817873635</c:v>
                </c:pt>
                <c:pt idx="6">
                  <c:v>9.1210152080864475</c:v>
                </c:pt>
                <c:pt idx="7">
                  <c:v>9.5098828363490053</c:v>
                </c:pt>
                <c:pt idx="8">
                  <c:v>8.1251718135853466</c:v>
                </c:pt>
                <c:pt idx="9">
                  <c:v>6.2393751516955165</c:v>
                </c:pt>
                <c:pt idx="10">
                  <c:v>6.8430239750778155</c:v>
                </c:pt>
                <c:pt idx="11">
                  <c:v>5.8080881395792963</c:v>
                </c:pt>
                <c:pt idx="12">
                  <c:v>5.9304040174073975</c:v>
                </c:pt>
                <c:pt idx="13">
                  <c:v>7.1634710881257879</c:v>
                </c:pt>
                <c:pt idx="14">
                  <c:v>6.5866153077796898</c:v>
                </c:pt>
                <c:pt idx="15">
                  <c:v>6.7227130330437754</c:v>
                </c:pt>
                <c:pt idx="16">
                  <c:v>5.043099047620605</c:v>
                </c:pt>
                <c:pt idx="17">
                  <c:v>5.3760371803162688</c:v>
                </c:pt>
                <c:pt idx="18">
                  <c:v>5.6229897228886969</c:v>
                </c:pt>
                <c:pt idx="19">
                  <c:v>5.8286975313890119</c:v>
                </c:pt>
                <c:pt idx="20">
                  <c:v>6.7611009884578097</c:v>
                </c:pt>
                <c:pt idx="21">
                  <c:v>6.3698002623165113</c:v>
                </c:pt>
                <c:pt idx="22">
                  <c:v>5.2680912967014679</c:v>
                </c:pt>
                <c:pt idx="23">
                  <c:v>6.7973406332367121</c:v>
                </c:pt>
                <c:pt idx="24">
                  <c:v>7.1829581238722682</c:v>
                </c:pt>
                <c:pt idx="25">
                  <c:v>7.5869342069335239</c:v>
                </c:pt>
                <c:pt idx="26">
                  <c:v>7.0016349806269655</c:v>
                </c:pt>
                <c:pt idx="27">
                  <c:v>7.3467236414478316</c:v>
                </c:pt>
                <c:pt idx="28">
                  <c:v>7.8911378472718328</c:v>
                </c:pt>
                <c:pt idx="29">
                  <c:v>8.0751392897162351</c:v>
                </c:pt>
                <c:pt idx="30">
                  <c:v>7.2732153222710592</c:v>
                </c:pt>
                <c:pt idx="31">
                  <c:v>7.4164393195736737</c:v>
                </c:pt>
                <c:pt idx="32">
                  <c:v>8.1539546241569685</c:v>
                </c:pt>
              </c:numCache>
            </c:numRef>
          </c:val>
          <c:smooth val="0"/>
          <c:extLst>
            <c:ext xmlns:c16="http://schemas.microsoft.com/office/drawing/2014/chart" uri="{C3380CC4-5D6E-409C-BE32-E72D297353CC}">
              <c16:uniqueId val="{00000006-8D3E-4E0A-9EB9-45C348CC9D35}"/>
            </c:ext>
          </c:extLst>
        </c:ser>
        <c:ser>
          <c:idx val="1"/>
          <c:order val="2"/>
          <c:tx>
            <c:strRef>
              <c:f>'Sector Sublimits'!$C$22</c:f>
              <c:strCache>
                <c:ptCount val="1"/>
                <c:pt idx="0">
                  <c:v>Industrial CO2e from Fuel Combustion</c:v>
                </c:pt>
              </c:strCache>
            </c:strRef>
          </c:tx>
          <c:spPr>
            <a:ln>
              <a:solidFill>
                <a:srgbClr val="00206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Sublimits'!$D$22:$AI$22</c:f>
              <c:numCache>
                <c:formatCode>#,##0.0</c:formatCode>
                <c:ptCount val="32"/>
                <c:pt idx="0">
                  <c:v>5.6055444375748946</c:v>
                </c:pt>
                <c:pt idx="1">
                  <c:v>4.7328409933051026</c:v>
                </c:pt>
                <c:pt idx="2">
                  <c:v>6.4646976690637183</c:v>
                </c:pt>
                <c:pt idx="3">
                  <c:v>6.6237986733791532</c:v>
                </c:pt>
                <c:pt idx="4">
                  <c:v>5.7387061744089225</c:v>
                </c:pt>
                <c:pt idx="5">
                  <c:v>5.0548236972883327</c:v>
                </c:pt>
                <c:pt idx="6">
                  <c:v>5.0352045973600434</c:v>
                </c:pt>
                <c:pt idx="7">
                  <c:v>5.1365507036797382</c:v>
                </c:pt>
                <c:pt idx="8">
                  <c:v>4.8190196972819219</c:v>
                </c:pt>
                <c:pt idx="9">
                  <c:v>5.5236045450469069</c:v>
                </c:pt>
                <c:pt idx="10">
                  <c:v>5.383699074112787</c:v>
                </c:pt>
                <c:pt idx="11">
                  <c:v>6.5334397169982976</c:v>
                </c:pt>
                <c:pt idx="12">
                  <c:v>6.435345446843038</c:v>
                </c:pt>
                <c:pt idx="13">
                  <c:v>4.3803333150168502</c:v>
                </c:pt>
                <c:pt idx="14">
                  <c:v>4.273330769414045</c:v>
                </c:pt>
                <c:pt idx="15">
                  <c:v>4.5285892741443128</c:v>
                </c:pt>
                <c:pt idx="16">
                  <c:v>4.4025879463596489</c:v>
                </c:pt>
                <c:pt idx="17">
                  <c:v>4.3185592976348302</c:v>
                </c:pt>
                <c:pt idx="18">
                  <c:v>3.9880198797073669</c:v>
                </c:pt>
                <c:pt idx="19">
                  <c:v>3.2829648383483834</c:v>
                </c:pt>
                <c:pt idx="20">
                  <c:v>3.7103454298638465</c:v>
                </c:pt>
                <c:pt idx="21">
                  <c:v>3.8684672038229566</c:v>
                </c:pt>
                <c:pt idx="22">
                  <c:v>3.319348364609743</c:v>
                </c:pt>
                <c:pt idx="23">
                  <c:v>3.5087182553165523</c:v>
                </c:pt>
                <c:pt idx="24">
                  <c:v>3.4326962506983167</c:v>
                </c:pt>
                <c:pt idx="25">
                  <c:v>3.4457475416232417</c:v>
                </c:pt>
                <c:pt idx="26">
                  <c:v>3.2329737262187876</c:v>
                </c:pt>
                <c:pt idx="27">
                  <c:v>3.3143303499774706</c:v>
                </c:pt>
                <c:pt idx="28">
                  <c:v>3.3434035542597087</c:v>
                </c:pt>
                <c:pt idx="29">
                  <c:v>3.4285298090215748</c:v>
                </c:pt>
                <c:pt idx="30">
                  <c:v>3.1773973892722349</c:v>
                </c:pt>
                <c:pt idx="31">
                  <c:v>3.3339873013435537</c:v>
                </c:pt>
              </c:numCache>
            </c:numRef>
          </c:val>
          <c:smooth val="0"/>
          <c:extLst>
            <c:ext xmlns:c16="http://schemas.microsoft.com/office/drawing/2014/chart" uri="{C3380CC4-5D6E-409C-BE32-E72D297353CC}">
              <c16:uniqueId val="{00000001-8D3E-4E0A-9EB9-45C348CC9D35}"/>
            </c:ext>
          </c:extLst>
        </c:ser>
        <c:ser>
          <c:idx val="5"/>
          <c:order val="3"/>
          <c:tx>
            <c:strRef>
              <c:f>'Sector Sublimits'!$C$30</c:f>
              <c:strCache>
                <c:ptCount val="1"/>
                <c:pt idx="0">
                  <c:v>2025 CECP Limit (35% below 1990)</c:v>
                </c:pt>
              </c:strCache>
            </c:strRef>
          </c:tx>
          <c:spPr>
            <a:ln>
              <a:noFill/>
              <a:prstDash val="dash"/>
            </a:ln>
          </c:spPr>
          <c:marker>
            <c:symbol val="diamond"/>
            <c:size val="10"/>
            <c:spPr>
              <a:solidFill>
                <a:srgbClr val="FF00FF"/>
              </a:solidFill>
              <a:ln>
                <a:solidFill>
                  <a:schemeClr val="tx1"/>
                </a:solidFill>
              </a:ln>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0A-4B97-8B4A-43B1755C91A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Sublimits'!$D$30:$AM$30</c:f>
              <c:numCache>
                <c:formatCode>#,##0.0</c:formatCode>
                <c:ptCount val="36"/>
                <c:pt idx="35">
                  <c:v>9.3000000000000007</c:v>
                </c:pt>
              </c:numCache>
            </c:numRef>
          </c:val>
          <c:smooth val="0"/>
          <c:extLst>
            <c:ext xmlns:c16="http://schemas.microsoft.com/office/drawing/2014/chart" uri="{C3380CC4-5D6E-409C-BE32-E72D297353CC}">
              <c16:uniqueId val="{00000003-8D3E-4E0A-9EB9-45C348CC9D35}"/>
            </c:ext>
          </c:extLst>
        </c:ser>
        <c:ser>
          <c:idx val="6"/>
          <c:order val="4"/>
          <c:tx>
            <c:strRef>
              <c:f>'Sector Sublimits'!$C$31</c:f>
              <c:strCache>
                <c:ptCount val="1"/>
                <c:pt idx="0">
                  <c:v>2030 CECP Limit (49%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4-8D3E-4E0A-9EB9-45C348CC9D35}"/>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3E-4E0A-9EB9-45C348CC9D35}"/>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E5-4BB9-8AEA-C51845BFF96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Sublimits'!$D$31:$AR$31</c:f>
              <c:numCache>
                <c:formatCode>#,##0.0</c:formatCode>
                <c:ptCount val="41"/>
                <c:pt idx="40">
                  <c:v>7.2</c:v>
                </c:pt>
              </c:numCache>
            </c:numRef>
          </c:val>
          <c:smooth val="0"/>
          <c:extLst>
            <c:ext xmlns:c16="http://schemas.microsoft.com/office/drawing/2014/chart" uri="{C3380CC4-5D6E-409C-BE32-E72D297353CC}">
              <c16:uniqueId val="{00000005-8D3E-4E0A-9EB9-45C348CC9D35}"/>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max val="16"/>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77193373783"/>
          <c:y val="0.2021024922905045"/>
          <c:w val="0.3171540617010995"/>
          <c:h val="0.66962588860065964"/>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MA natural</a:t>
            </a:r>
            <a:r>
              <a:rPr lang="en-US" baseline="0"/>
              <a:t> gas system</a:t>
            </a:r>
            <a:r>
              <a:rPr lang="en-US"/>
              <a:t>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Sublimits'!$C$53</c:f>
              <c:strCache>
                <c:ptCount val="1"/>
                <c:pt idx="0">
                  <c:v>Natural Gas Systems (CO2e)</c:v>
                </c:pt>
              </c:strCache>
            </c:strRef>
          </c:tx>
          <c:spPr>
            <a:ln>
              <a:solidFill>
                <a:srgbClr val="FF00FF"/>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Sublimits'!$D$56:$AJ$56</c:f>
              <c:numCache>
                <c:formatCode>#,##0.0</c:formatCode>
                <c:ptCount val="33"/>
                <c:pt idx="0">
                  <c:v>1.8677651258656023</c:v>
                </c:pt>
                <c:pt idx="1">
                  <c:v>1.8459141852462597</c:v>
                </c:pt>
                <c:pt idx="2">
                  <c:v>1.8328011148242493</c:v>
                </c:pt>
                <c:pt idx="3">
                  <c:v>1.754371218422466</c:v>
                </c:pt>
                <c:pt idx="4">
                  <c:v>1.6979421175482081</c:v>
                </c:pt>
                <c:pt idx="5">
                  <c:v>1.6639970217391518</c:v>
                </c:pt>
                <c:pt idx="6">
                  <c:v>1.5854815983319805</c:v>
                </c:pt>
                <c:pt idx="7">
                  <c:v>1.5341953490807867</c:v>
                </c:pt>
                <c:pt idx="8">
                  <c:v>1.4749217365566851</c:v>
                </c:pt>
                <c:pt idx="9">
                  <c:v>1.4159240794319685</c:v>
                </c:pt>
                <c:pt idx="10">
                  <c:v>1.3779308860348727</c:v>
                </c:pt>
                <c:pt idx="11">
                  <c:v>1.3078896113878109</c:v>
                </c:pt>
                <c:pt idx="12">
                  <c:v>1.2705904514515338</c:v>
                </c:pt>
                <c:pt idx="13">
                  <c:v>1.217910217108797</c:v>
                </c:pt>
                <c:pt idx="14">
                  <c:v>1.2026721581526407</c:v>
                </c:pt>
                <c:pt idx="15">
                  <c:v>1.109795717263852</c:v>
                </c:pt>
                <c:pt idx="16">
                  <c:v>1.0704121650190279</c:v>
                </c:pt>
                <c:pt idx="17">
                  <c:v>1.0271288082702621</c:v>
                </c:pt>
                <c:pt idx="18">
                  <c:v>1.010590335679201</c:v>
                </c:pt>
                <c:pt idx="19">
                  <c:v>0.96019685439515889</c:v>
                </c:pt>
                <c:pt idx="20">
                  <c:v>0.96322373008061823</c:v>
                </c:pt>
                <c:pt idx="21">
                  <c:v>0.79967539204563709</c:v>
                </c:pt>
                <c:pt idx="22">
                  <c:v>0.7993683187669699</c:v>
                </c:pt>
                <c:pt idx="23">
                  <c:v>0.78443741397921429</c:v>
                </c:pt>
                <c:pt idx="24">
                  <c:v>0.7596547163364249</c:v>
                </c:pt>
                <c:pt idx="25">
                  <c:v>0.7888767209069355</c:v>
                </c:pt>
                <c:pt idx="26">
                  <c:v>0.76847695919838299</c:v>
                </c:pt>
                <c:pt idx="27">
                  <c:v>0.73513424394234506</c:v>
                </c:pt>
                <c:pt idx="28">
                  <c:v>0.71995390570325668</c:v>
                </c:pt>
                <c:pt idx="29">
                  <c:v>0.71637272821169318</c:v>
                </c:pt>
                <c:pt idx="30">
                  <c:v>0.74058749016049774</c:v>
                </c:pt>
                <c:pt idx="31">
                  <c:v>0.71541075756581629</c:v>
                </c:pt>
                <c:pt idx="32">
                  <c:v>0.73417706876001998</c:v>
                </c:pt>
              </c:numCache>
            </c:numRef>
          </c:val>
          <c:smooth val="0"/>
          <c:extLst>
            <c:ext xmlns:c16="http://schemas.microsoft.com/office/drawing/2014/chart" uri="{C3380CC4-5D6E-409C-BE32-E72D297353CC}">
              <c16:uniqueId val="{00000000-5A84-4B1E-94CC-76869ED80777}"/>
            </c:ext>
          </c:extLst>
        </c:ser>
        <c:ser>
          <c:idx val="1"/>
          <c:order val="1"/>
          <c:tx>
            <c:strRef>
              <c:f>Process!$C$33</c:f>
              <c:strCache>
                <c:ptCount val="1"/>
                <c:pt idx="0">
                  <c:v>Natural Gas Distribution and Post-Meter</c:v>
                </c:pt>
              </c:strCache>
            </c:strRef>
          </c:tx>
          <c:spPr>
            <a:ln>
              <a:solidFill>
                <a:srgbClr val="002060"/>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Process!$D$33:$AJ$33</c:f>
              <c:numCache>
                <c:formatCode>#,##0.0</c:formatCode>
                <c:ptCount val="33"/>
                <c:pt idx="0">
                  <c:v>1.6981171446349697</c:v>
                </c:pt>
                <c:pt idx="1">
                  <c:v>1.6781368503696887</c:v>
                </c:pt>
                <c:pt idx="2">
                  <c:v>1.6650160146858348</c:v>
                </c:pt>
                <c:pt idx="3">
                  <c:v>1.5886060588676603</c:v>
                </c:pt>
                <c:pt idx="4">
                  <c:v>1.5341390258270899</c:v>
                </c:pt>
                <c:pt idx="5">
                  <c:v>1.5022669886244335</c:v>
                </c:pt>
                <c:pt idx="6">
                  <c:v>1.425467376127973</c:v>
                </c:pt>
                <c:pt idx="7">
                  <c:v>1.3761942204657134</c:v>
                </c:pt>
                <c:pt idx="8">
                  <c:v>1.3188501590234014</c:v>
                </c:pt>
                <c:pt idx="9">
                  <c:v>1.2616415488771622</c:v>
                </c:pt>
                <c:pt idx="10">
                  <c:v>1.2234268228376644</c:v>
                </c:pt>
                <c:pt idx="11">
                  <c:v>1.1548456256403654</c:v>
                </c:pt>
                <c:pt idx="12">
                  <c:v>1.1192932542656782</c:v>
                </c:pt>
                <c:pt idx="13">
                  <c:v>1.0689397263294129</c:v>
                </c:pt>
                <c:pt idx="14">
                  <c:v>1.0549659757958127</c:v>
                </c:pt>
                <c:pt idx="15">
                  <c:v>0.96388581295203768</c:v>
                </c:pt>
                <c:pt idx="16">
                  <c:v>0.92709111626173912</c:v>
                </c:pt>
                <c:pt idx="17">
                  <c:v>0.88512738029058702</c:v>
                </c:pt>
                <c:pt idx="18">
                  <c:v>0.83374515920712244</c:v>
                </c:pt>
                <c:pt idx="19">
                  <c:v>0.78517646934640628</c:v>
                </c:pt>
                <c:pt idx="20">
                  <c:v>0.75292583432142179</c:v>
                </c:pt>
                <c:pt idx="21">
                  <c:v>0.69892539643020735</c:v>
                </c:pt>
                <c:pt idx="22">
                  <c:v>0.69397194514018645</c:v>
                </c:pt>
                <c:pt idx="23">
                  <c:v>0.67896910883578931</c:v>
                </c:pt>
                <c:pt idx="24">
                  <c:v>0.65553191641877306</c:v>
                </c:pt>
                <c:pt idx="25">
                  <c:v>0.65849530228214259</c:v>
                </c:pt>
                <c:pt idx="26">
                  <c:v>0.65450594465976542</c:v>
                </c:pt>
                <c:pt idx="27">
                  <c:v>0.66705800983925934</c:v>
                </c:pt>
                <c:pt idx="28">
                  <c:v>0.65440896196676102</c:v>
                </c:pt>
                <c:pt idx="29">
                  <c:v>0.6409510730212864</c:v>
                </c:pt>
                <c:pt idx="30">
                  <c:v>0.66932286638484029</c:v>
                </c:pt>
                <c:pt idx="31">
                  <c:v>0.62668511331774612</c:v>
                </c:pt>
                <c:pt idx="32">
                  <c:v>0.64276940943466943</c:v>
                </c:pt>
              </c:numCache>
            </c:numRef>
          </c:val>
          <c:smooth val="0"/>
          <c:extLst>
            <c:ext xmlns:c16="http://schemas.microsoft.com/office/drawing/2014/chart" uri="{C3380CC4-5D6E-409C-BE32-E72D297353CC}">
              <c16:uniqueId val="{00000001-5A84-4B1E-94CC-76869ED80777}"/>
            </c:ext>
          </c:extLst>
        </c:ser>
        <c:ser>
          <c:idx val="2"/>
          <c:order val="2"/>
          <c:tx>
            <c:strRef>
              <c:f>Process!$C$34</c:f>
              <c:strCache>
                <c:ptCount val="1"/>
                <c:pt idx="0">
                  <c:v>Natural Gas Transmission and Storage</c:v>
                </c:pt>
              </c:strCache>
            </c:strRef>
          </c:tx>
          <c:spPr>
            <a:ln>
              <a:solidFill>
                <a:schemeClr val="tx1">
                  <a:lumMod val="50000"/>
                  <a:lumOff val="50000"/>
                </a:schemeClr>
              </a:solidFill>
            </a:ln>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Process!$D$34:$AJ$34</c:f>
              <c:numCache>
                <c:formatCode>#,##0.0</c:formatCode>
                <c:ptCount val="33"/>
                <c:pt idx="0">
                  <c:v>0.16964798123063266</c:v>
                </c:pt>
                <c:pt idx="1">
                  <c:v>0.16777733487657098</c:v>
                </c:pt>
                <c:pt idx="2">
                  <c:v>0.16778510013841447</c:v>
                </c:pt>
                <c:pt idx="3">
                  <c:v>0.16576515955480578</c:v>
                </c:pt>
                <c:pt idx="4">
                  <c:v>0.16380309172111826</c:v>
                </c:pt>
                <c:pt idx="5">
                  <c:v>0.16173003311471829</c:v>
                </c:pt>
                <c:pt idx="6">
                  <c:v>0.16001422220400752</c:v>
                </c:pt>
                <c:pt idx="7">
                  <c:v>0.15800112861507337</c:v>
                </c:pt>
                <c:pt idx="8">
                  <c:v>0.1560715775332838</c:v>
                </c:pt>
                <c:pt idx="9">
                  <c:v>0.15428253055480623</c:v>
                </c:pt>
                <c:pt idx="10">
                  <c:v>0.15450406319720827</c:v>
                </c:pt>
                <c:pt idx="11">
                  <c:v>0.1530439857474456</c:v>
                </c:pt>
                <c:pt idx="12">
                  <c:v>0.15129719718585574</c:v>
                </c:pt>
                <c:pt idx="13">
                  <c:v>0.14897049077938418</c:v>
                </c:pt>
                <c:pt idx="14">
                  <c:v>0.14770618235682798</c:v>
                </c:pt>
                <c:pt idx="15">
                  <c:v>0.14590990431181422</c:v>
                </c:pt>
                <c:pt idx="16">
                  <c:v>0.14332104875728888</c:v>
                </c:pt>
                <c:pt idx="17">
                  <c:v>0.14200142797967516</c:v>
                </c:pt>
                <c:pt idx="18">
                  <c:v>0.17684517647207851</c:v>
                </c:pt>
                <c:pt idx="19">
                  <c:v>0.17502038504875261</c:v>
                </c:pt>
                <c:pt idx="20">
                  <c:v>0.21029789575919641</c:v>
                </c:pt>
                <c:pt idx="21">
                  <c:v>0.10074999561542974</c:v>
                </c:pt>
                <c:pt idx="22">
                  <c:v>0.10539637362678343</c:v>
                </c:pt>
                <c:pt idx="23">
                  <c:v>0.10546830514342498</c:v>
                </c:pt>
                <c:pt idx="24">
                  <c:v>0.10412279991765183</c:v>
                </c:pt>
                <c:pt idx="25">
                  <c:v>0.13038141862479291</c:v>
                </c:pt>
                <c:pt idx="26">
                  <c:v>0.11397101453861756</c:v>
                </c:pt>
                <c:pt idx="27">
                  <c:v>6.8076234103085762E-2</c:v>
                </c:pt>
                <c:pt idx="28">
                  <c:v>6.5544943736495637E-2</c:v>
                </c:pt>
                <c:pt idx="29">
                  <c:v>7.5421655190406778E-2</c:v>
                </c:pt>
                <c:pt idx="30">
                  <c:v>7.1264623775657482E-2</c:v>
                </c:pt>
                <c:pt idx="31">
                  <c:v>8.8725644248070154E-2</c:v>
                </c:pt>
                <c:pt idx="32">
                  <c:v>9.1407659325350527E-2</c:v>
                </c:pt>
              </c:numCache>
            </c:numRef>
          </c:val>
          <c:smooth val="0"/>
          <c:extLst>
            <c:ext xmlns:c16="http://schemas.microsoft.com/office/drawing/2014/chart" uri="{C3380CC4-5D6E-409C-BE32-E72D297353CC}">
              <c16:uniqueId val="{00000002-5A84-4B1E-94CC-76869ED80777}"/>
            </c:ext>
          </c:extLst>
        </c:ser>
        <c:ser>
          <c:idx val="5"/>
          <c:order val="3"/>
          <c:tx>
            <c:strRef>
              <c:f>'Sector Sublimits'!$C$59</c:f>
              <c:strCache>
                <c:ptCount val="1"/>
                <c:pt idx="0">
                  <c:v>2025 CECP Limit (82% below 1990)</c:v>
                </c:pt>
              </c:strCache>
            </c:strRef>
          </c:tx>
          <c:spPr>
            <a:ln>
              <a:noFill/>
              <a:prstDash val="dash"/>
            </a:ln>
          </c:spPr>
          <c:marker>
            <c:symbol val="diamond"/>
            <c:size val="10"/>
            <c:spPr>
              <a:solidFill>
                <a:srgbClr val="FF00FF"/>
              </a:solidFill>
              <a:ln>
                <a:solidFill>
                  <a:schemeClr val="tx1"/>
                </a:solidFill>
              </a:ln>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D3-470B-A558-BE40EB11183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Sublimits'!$D$59:$AM$59</c:f>
              <c:numCache>
                <c:formatCode>#,##0.0</c:formatCode>
                <c:ptCount val="36"/>
                <c:pt idx="35">
                  <c:v>0.4</c:v>
                </c:pt>
              </c:numCache>
            </c:numRef>
          </c:val>
          <c:smooth val="0"/>
          <c:extLst>
            <c:ext xmlns:c16="http://schemas.microsoft.com/office/drawing/2014/chart" uri="{C3380CC4-5D6E-409C-BE32-E72D297353CC}">
              <c16:uniqueId val="{00000003-5A84-4B1E-94CC-76869ED80777}"/>
            </c:ext>
          </c:extLst>
        </c:ser>
        <c:ser>
          <c:idx val="6"/>
          <c:order val="4"/>
          <c:tx>
            <c:strRef>
              <c:f>'Sector Sublimits'!$C$60</c:f>
              <c:strCache>
                <c:ptCount val="1"/>
                <c:pt idx="0">
                  <c:v>2030 CECP Limit (82%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4-5A84-4B1E-94CC-76869ED80777}"/>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84-4B1E-94CC-76869ED80777}"/>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D3-470B-A558-BE40EB11183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Sublimits'!$D$60:$AR$60</c:f>
              <c:numCache>
                <c:formatCode>#,##0.0</c:formatCode>
                <c:ptCount val="41"/>
                <c:pt idx="40">
                  <c:v>0.4</c:v>
                </c:pt>
              </c:numCache>
            </c:numRef>
          </c:val>
          <c:smooth val="0"/>
          <c:extLst>
            <c:ext xmlns:c16="http://schemas.microsoft.com/office/drawing/2014/chart" uri="{C3380CC4-5D6E-409C-BE32-E72D297353CC}">
              <c16:uniqueId val="{00000005-5A84-4B1E-94CC-76869ED80777}"/>
            </c:ext>
          </c:extLst>
        </c:ser>
        <c:dLbls>
          <c:showLegendKey val="0"/>
          <c:showVal val="0"/>
          <c:showCatName val="0"/>
          <c:showSerName val="0"/>
          <c:showPercent val="0"/>
          <c:showBubbleSize val="0"/>
        </c:dLbls>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003776"/>
        <c:crosses val="autoZero"/>
        <c:auto val="1"/>
        <c:lblAlgn val="ctr"/>
        <c:lblOffset val="100"/>
        <c:noMultiLvlLbl val="0"/>
      </c:catAx>
      <c:valAx>
        <c:axId val="51003776"/>
        <c:scaling>
          <c:orientation val="minMax"/>
          <c:max val="2"/>
        </c:scaling>
        <c:delete val="0"/>
        <c:axPos val="l"/>
        <c:majorGridlines/>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81941384446"/>
          <c:y val="0.10880803692641867"/>
          <c:w val="0.33530115722763454"/>
          <c:h val="0.76573480795816551"/>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MA industrial processes MMTCO2E</a:t>
            </a:r>
            <a:endParaRPr lang="en-US">
              <a:effectLst/>
            </a:endParaRPr>
          </a:p>
        </c:rich>
      </c:tx>
      <c:layout>
        <c:manualLayout>
          <c:xMode val="edge"/>
          <c:yMode val="edge"/>
          <c:x val="6.5682109503753874E-2"/>
          <c:y val="1.38888888888888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0661417322834661E-2"/>
          <c:y val="0.17171296296296296"/>
          <c:w val="0.67644424098150524"/>
          <c:h val="0.68729986876640425"/>
        </c:manualLayout>
      </c:layout>
      <c:lineChart>
        <c:grouping val="standard"/>
        <c:varyColors val="0"/>
        <c:ser>
          <c:idx val="1"/>
          <c:order val="0"/>
          <c:tx>
            <c:strRef>
              <c:f>'Sector Sublimits'!$C$68</c:f>
              <c:strCache>
                <c:ptCount val="1"/>
                <c:pt idx="0">
                  <c:v>Indistrial Processes (CO2e)</c:v>
                </c:pt>
              </c:strCache>
            </c:strRef>
          </c:tx>
          <c:spPr>
            <a:ln w="28575" cap="rnd">
              <a:solidFill>
                <a:srgbClr val="FF00FF"/>
              </a:solidFill>
              <a:round/>
            </a:ln>
            <a:effectLst/>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Sublimits'!$D$68:$AI$68</c:f>
              <c:numCache>
                <c:formatCode>#,##0.0</c:formatCode>
                <c:ptCount val="32"/>
                <c:pt idx="0">
                  <c:v>0.65625199051509786</c:v>
                </c:pt>
                <c:pt idx="1">
                  <c:v>0.63331644452695712</c:v>
                </c:pt>
                <c:pt idx="2">
                  <c:v>0.65299274390212458</c:v>
                </c:pt>
                <c:pt idx="3">
                  <c:v>0.72753199127029544</c:v>
                </c:pt>
                <c:pt idx="4">
                  <c:v>0.87114460853075537</c:v>
                </c:pt>
                <c:pt idx="5">
                  <c:v>1.1874764653811856</c:v>
                </c:pt>
                <c:pt idx="6">
                  <c:v>1.3818297182829506</c:v>
                </c:pt>
                <c:pt idx="7">
                  <c:v>1.5914306750343177</c:v>
                </c:pt>
                <c:pt idx="8">
                  <c:v>1.8072839076805174</c:v>
                </c:pt>
                <c:pt idx="9">
                  <c:v>2.0319751903293111</c:v>
                </c:pt>
                <c:pt idx="10">
                  <c:v>2.1782494890373849</c:v>
                </c:pt>
                <c:pt idx="11">
                  <c:v>2.2546007709387683</c:v>
                </c:pt>
                <c:pt idx="12">
                  <c:v>2.4083019604011335</c:v>
                </c:pt>
                <c:pt idx="13">
                  <c:v>2.4356834976929873</c:v>
                </c:pt>
                <c:pt idx="14">
                  <c:v>2.4599951742250012</c:v>
                </c:pt>
                <c:pt idx="15">
                  <c:v>2.4957903789544686</c:v>
                </c:pt>
                <c:pt idx="16">
                  <c:v>2.57163703562829</c:v>
                </c:pt>
                <c:pt idx="17">
                  <c:v>2.6579478960926655</c:v>
                </c:pt>
                <c:pt idx="18">
                  <c:v>2.8299968705084821</c:v>
                </c:pt>
                <c:pt idx="19">
                  <c:v>2.8897573864573465</c:v>
                </c:pt>
                <c:pt idx="20">
                  <c:v>2.7452187654011122</c:v>
                </c:pt>
                <c:pt idx="21">
                  <c:v>2.9694502142508616</c:v>
                </c:pt>
                <c:pt idx="22">
                  <c:v>3.1868544050475593</c:v>
                </c:pt>
                <c:pt idx="23">
                  <c:v>3.6349955572434878</c:v>
                </c:pt>
                <c:pt idx="24">
                  <c:v>4.0223671955770204</c:v>
                </c:pt>
                <c:pt idx="25">
                  <c:v>3.9056941429484664</c:v>
                </c:pt>
                <c:pt idx="26">
                  <c:v>3.9218385184312834</c:v>
                </c:pt>
                <c:pt idx="27">
                  <c:v>3.4253895318876237</c:v>
                </c:pt>
                <c:pt idx="28">
                  <c:v>3.7961568247384667</c:v>
                </c:pt>
                <c:pt idx="29">
                  <c:v>3.6341921007072808</c:v>
                </c:pt>
                <c:pt idx="30">
                  <c:v>3.9345079101963329</c:v>
                </c:pt>
                <c:pt idx="31">
                  <c:v>4.1022563243660644</c:v>
                </c:pt>
              </c:numCache>
            </c:numRef>
          </c:val>
          <c:smooth val="0"/>
          <c:extLst>
            <c:ext xmlns:c16="http://schemas.microsoft.com/office/drawing/2014/chart" uri="{C3380CC4-5D6E-409C-BE32-E72D297353CC}">
              <c16:uniqueId val="{00000004-2186-4B70-B9F2-B85152210D14}"/>
            </c:ext>
          </c:extLst>
        </c:ser>
        <c:ser>
          <c:idx val="14"/>
          <c:order val="1"/>
          <c:tx>
            <c:strRef>
              <c:f>'Sector Sublimits'!$C$65</c:f>
              <c:strCache>
                <c:ptCount val="1"/>
                <c:pt idx="0">
                  <c:v>ODS Substitutes</c:v>
                </c:pt>
              </c:strCache>
            </c:strRef>
          </c:tx>
          <c:spPr>
            <a:ln w="28575" cap="rnd">
              <a:solidFill>
                <a:schemeClr val="accent3">
                  <a:lumMod val="80000"/>
                  <a:lumOff val="20000"/>
                </a:schemeClr>
              </a:solidFill>
              <a:round/>
            </a:ln>
            <a:effectLst/>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Sublimits'!$D$65:$AI$65</c:f>
              <c:numCache>
                <c:formatCode>#,##0.0</c:formatCode>
                <c:ptCount val="32"/>
                <c:pt idx="0">
                  <c:v>5.4099844792000005E-3</c:v>
                </c:pt>
                <c:pt idx="1">
                  <c:v>1.2460479461513315E-2</c:v>
                </c:pt>
                <c:pt idx="2">
                  <c:v>3.3364256189678726E-2</c:v>
                </c:pt>
                <c:pt idx="3">
                  <c:v>0.10791387960654042</c:v>
                </c:pt>
                <c:pt idx="4">
                  <c:v>0.26075442052323411</c:v>
                </c:pt>
                <c:pt idx="5">
                  <c:v>0.5726936510337084</c:v>
                </c:pt>
                <c:pt idx="6">
                  <c:v>0.80334416190255409</c:v>
                </c:pt>
                <c:pt idx="7">
                  <c:v>1.0209886908184624</c:v>
                </c:pt>
                <c:pt idx="8">
                  <c:v>1.1776020716654192</c:v>
                </c:pt>
                <c:pt idx="9">
                  <c:v>1.3381574499433033</c:v>
                </c:pt>
                <c:pt idx="10">
                  <c:v>1.4723589128157732</c:v>
                </c:pt>
                <c:pt idx="11">
                  <c:v>1.6016525441583729</c:v>
                </c:pt>
                <c:pt idx="12">
                  <c:v>1.6939374776078653</c:v>
                </c:pt>
                <c:pt idx="13">
                  <c:v>1.7760353004828737</c:v>
                </c:pt>
                <c:pt idx="14">
                  <c:v>1.8417104934056658</c:v>
                </c:pt>
                <c:pt idx="15">
                  <c:v>1.9230356945102909</c:v>
                </c:pt>
                <c:pt idx="16">
                  <c:v>2.0434734271879846</c:v>
                </c:pt>
                <c:pt idx="17">
                  <c:v>2.185336049036072</c:v>
                </c:pt>
                <c:pt idx="18">
                  <c:v>2.3446180055725572</c:v>
                </c:pt>
                <c:pt idx="19">
                  <c:v>2.4375478218789497</c:v>
                </c:pt>
                <c:pt idx="20">
                  <c:v>2.2487247459142132</c:v>
                </c:pt>
                <c:pt idx="21">
                  <c:v>2.3750213406845253</c:v>
                </c:pt>
                <c:pt idx="22">
                  <c:v>2.590013383312308</c:v>
                </c:pt>
                <c:pt idx="23">
                  <c:v>3.0580482864494538</c:v>
                </c:pt>
                <c:pt idx="24">
                  <c:v>3.467413417722141</c:v>
                </c:pt>
                <c:pt idx="25">
                  <c:v>3.352298239825052</c:v>
                </c:pt>
                <c:pt idx="26">
                  <c:v>3.3968978292518734</c:v>
                </c:pt>
                <c:pt idx="27">
                  <c:v>2.9302622333298363</c:v>
                </c:pt>
                <c:pt idx="28">
                  <c:v>3.2874970695521233</c:v>
                </c:pt>
                <c:pt idx="29">
                  <c:v>3.1500186257919345</c:v>
                </c:pt>
                <c:pt idx="30">
                  <c:v>3.4605713795215456</c:v>
                </c:pt>
                <c:pt idx="31">
                  <c:v>3.5993820553111133</c:v>
                </c:pt>
              </c:numCache>
            </c:numRef>
          </c:val>
          <c:smooth val="0"/>
          <c:extLst>
            <c:ext xmlns:c16="http://schemas.microsoft.com/office/drawing/2014/chart" uri="{C3380CC4-5D6E-409C-BE32-E72D297353CC}">
              <c16:uniqueId val="{00000000-2186-4B70-B9F2-B85152210D14}"/>
            </c:ext>
          </c:extLst>
        </c:ser>
        <c:ser>
          <c:idx val="15"/>
          <c:order val="2"/>
          <c:tx>
            <c:strRef>
              <c:f>'Sector Sublimits'!$C$66</c:f>
              <c:strCache>
                <c:ptCount val="1"/>
                <c:pt idx="0">
                  <c:v>Semiconductor Manufacturing</c:v>
                </c:pt>
              </c:strCache>
            </c:strRef>
          </c:tx>
          <c:spPr>
            <a:ln w="28575" cap="rnd">
              <a:solidFill>
                <a:schemeClr val="accent4">
                  <a:lumMod val="80000"/>
                  <a:lumOff val="20000"/>
                </a:schemeClr>
              </a:solidFill>
              <a:round/>
            </a:ln>
            <a:effectLst/>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Sublimits'!$D$66:$AI$66</c:f>
              <c:numCache>
                <c:formatCode>#,##0.0</c:formatCode>
                <c:ptCount val="32"/>
                <c:pt idx="0">
                  <c:v>8.8073545482425117E-2</c:v>
                </c:pt>
                <c:pt idx="1">
                  <c:v>8.1004944716333571E-2</c:v>
                </c:pt>
                <c:pt idx="2">
                  <c:v>8.1004944716333571E-2</c:v>
                </c:pt>
                <c:pt idx="3">
                  <c:v>0.10125618089541694</c:v>
                </c:pt>
                <c:pt idx="4">
                  <c:v>0.11138179898495866</c:v>
                </c:pt>
                <c:pt idx="5">
                  <c:v>0.13996914247232409</c:v>
                </c:pt>
                <c:pt idx="6">
                  <c:v>0.15543053401135012</c:v>
                </c:pt>
                <c:pt idx="7">
                  <c:v>0.16425899693515966</c:v>
                </c:pt>
                <c:pt idx="8">
                  <c:v>0.26253939011032906</c:v>
                </c:pt>
                <c:pt idx="9">
                  <c:v>0.33435106863421576</c:v>
                </c:pt>
                <c:pt idx="10">
                  <c:v>0.34483880209913181</c:v>
                </c:pt>
                <c:pt idx="11">
                  <c:v>0.29379758504386466</c:v>
                </c:pt>
                <c:pt idx="12">
                  <c:v>0.35830450702210509</c:v>
                </c:pt>
                <c:pt idx="13">
                  <c:v>0.30417391495858959</c:v>
                </c:pt>
                <c:pt idx="14">
                  <c:v>0.25307006955678107</c:v>
                </c:pt>
                <c:pt idx="15">
                  <c:v>0.20876152734863998</c:v>
                </c:pt>
                <c:pt idx="16">
                  <c:v>0.19705972486139819</c:v>
                </c:pt>
                <c:pt idx="17">
                  <c:v>0.15277881297471974</c:v>
                </c:pt>
                <c:pt idx="18">
                  <c:v>0.16785017402067828</c:v>
                </c:pt>
                <c:pt idx="19">
                  <c:v>0.14326624702402438</c:v>
                </c:pt>
                <c:pt idx="20">
                  <c:v>0.21688356644994836</c:v>
                </c:pt>
                <c:pt idx="21">
                  <c:v>0.33449905312150802</c:v>
                </c:pt>
                <c:pt idx="22">
                  <c:v>0.3669345445531878</c:v>
                </c:pt>
                <c:pt idx="23">
                  <c:v>0.3195543971840169</c:v>
                </c:pt>
                <c:pt idx="24">
                  <c:v>0.31488642340047368</c:v>
                </c:pt>
                <c:pt idx="25">
                  <c:v>0.29984889018138766</c:v>
                </c:pt>
                <c:pt idx="26">
                  <c:v>0.28086050526205503</c:v>
                </c:pt>
                <c:pt idx="27">
                  <c:v>0.25854189962968216</c:v>
                </c:pt>
                <c:pt idx="28">
                  <c:v>0.26775135593837884</c:v>
                </c:pt>
                <c:pt idx="29">
                  <c:v>0.24804664146958025</c:v>
                </c:pt>
                <c:pt idx="30">
                  <c:v>0.24706438617296594</c:v>
                </c:pt>
                <c:pt idx="31">
                  <c:v>0.27214199886570617</c:v>
                </c:pt>
              </c:numCache>
            </c:numRef>
          </c:val>
          <c:smooth val="0"/>
          <c:extLst>
            <c:ext xmlns:c16="http://schemas.microsoft.com/office/drawing/2014/chart" uri="{C3380CC4-5D6E-409C-BE32-E72D297353CC}">
              <c16:uniqueId val="{00000001-2186-4B70-B9F2-B85152210D14}"/>
            </c:ext>
          </c:extLst>
        </c:ser>
        <c:ser>
          <c:idx val="0"/>
          <c:order val="3"/>
          <c:tx>
            <c:strRef>
              <c:f>'Sector Sublimits'!$C$63</c:f>
              <c:strCache>
                <c:ptCount val="1"/>
                <c:pt idx="0">
                  <c:v>Lime, Dolomite, Soda Ash, Urea (CO2)</c:v>
                </c:pt>
              </c:strCache>
            </c:strRef>
          </c:tx>
          <c:spPr>
            <a:ln w="28575" cap="rnd">
              <a:solidFill>
                <a:schemeClr val="accent1"/>
              </a:solidFill>
              <a:round/>
            </a:ln>
            <a:effectLst/>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Sublimits'!$D$63:$AI$63</c:f>
              <c:numCache>
                <c:formatCode>#,##0.0</c:formatCode>
                <c:ptCount val="32"/>
                <c:pt idx="0">
                  <c:v>0.17486870435586824</c:v>
                </c:pt>
                <c:pt idx="1">
                  <c:v>0.16802495618437474</c:v>
                </c:pt>
                <c:pt idx="2">
                  <c:v>0.16647146143521593</c:v>
                </c:pt>
                <c:pt idx="3">
                  <c:v>0.16776886728671644</c:v>
                </c:pt>
                <c:pt idx="4">
                  <c:v>0.17123380147318815</c:v>
                </c:pt>
                <c:pt idx="5">
                  <c:v>0.17784788850002828</c:v>
                </c:pt>
                <c:pt idx="6">
                  <c:v>0.15474222736004781</c:v>
                </c:pt>
                <c:pt idx="7">
                  <c:v>0.1606841887589765</c:v>
                </c:pt>
                <c:pt idx="8">
                  <c:v>0.16287532043738079</c:v>
                </c:pt>
                <c:pt idx="9">
                  <c:v>0.15008461634922687</c:v>
                </c:pt>
                <c:pt idx="10">
                  <c:v>0.15566560192136597</c:v>
                </c:pt>
                <c:pt idx="11">
                  <c:v>0.15342201959521024</c:v>
                </c:pt>
                <c:pt idx="12">
                  <c:v>0.16106900239265376</c:v>
                </c:pt>
                <c:pt idx="13">
                  <c:v>0.16288201663743104</c:v>
                </c:pt>
                <c:pt idx="14">
                  <c:v>0.17856645821263281</c:v>
                </c:pt>
                <c:pt idx="15">
                  <c:v>0.1843543047002687</c:v>
                </c:pt>
                <c:pt idx="16">
                  <c:v>0.16912192522942632</c:v>
                </c:pt>
                <c:pt idx="17">
                  <c:v>0.16947294606177643</c:v>
                </c:pt>
                <c:pt idx="18">
                  <c:v>0.16999467681789315</c:v>
                </c:pt>
                <c:pt idx="19">
                  <c:v>0.17703708287497213</c:v>
                </c:pt>
                <c:pt idx="20">
                  <c:v>0.1650245185207484</c:v>
                </c:pt>
                <c:pt idx="21">
                  <c:v>0.15730983808887186</c:v>
                </c:pt>
                <c:pt idx="22">
                  <c:v>0.14135005046817997</c:v>
                </c:pt>
                <c:pt idx="23">
                  <c:v>0.17274811479382912</c:v>
                </c:pt>
                <c:pt idx="24">
                  <c:v>0.15443164337067591</c:v>
                </c:pt>
                <c:pt idx="25">
                  <c:v>0.17849446201584365</c:v>
                </c:pt>
                <c:pt idx="26">
                  <c:v>0.16737999180826008</c:v>
                </c:pt>
                <c:pt idx="27">
                  <c:v>0.16163986486130955</c:v>
                </c:pt>
                <c:pt idx="28">
                  <c:v>0.17066999348626716</c:v>
                </c:pt>
                <c:pt idx="29">
                  <c:v>0.15656405049563235</c:v>
                </c:pt>
                <c:pt idx="30">
                  <c:v>0.15043766880673398</c:v>
                </c:pt>
                <c:pt idx="31">
                  <c:v>0.15324532225179405</c:v>
                </c:pt>
              </c:numCache>
            </c:numRef>
          </c:val>
          <c:smooth val="0"/>
          <c:extLst>
            <c:ext xmlns:c16="http://schemas.microsoft.com/office/drawing/2014/chart" uri="{C3380CC4-5D6E-409C-BE32-E72D297353CC}">
              <c16:uniqueId val="{00000003-2186-4B70-B9F2-B85152210D14}"/>
            </c:ext>
          </c:extLst>
        </c:ser>
        <c:ser>
          <c:idx val="17"/>
          <c:order val="4"/>
          <c:tx>
            <c:strRef>
              <c:f>'Sector Sublimits'!$C$67</c:f>
              <c:strCache>
                <c:ptCount val="1"/>
                <c:pt idx="0">
                  <c:v>Electric Power Transmission and Distribution Systems</c:v>
                </c:pt>
              </c:strCache>
            </c:strRef>
          </c:tx>
          <c:spPr>
            <a:ln w="28575" cap="rnd">
              <a:solidFill>
                <a:schemeClr val="accent6">
                  <a:lumMod val="80000"/>
                  <a:lumOff val="20000"/>
                </a:schemeClr>
              </a:solidFill>
              <a:round/>
            </a:ln>
            <a:effectLst/>
          </c:spPr>
          <c:marker>
            <c:symbol val="none"/>
          </c:marker>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Sublimits'!$D$67:$AI$67</c:f>
              <c:numCache>
                <c:formatCode>#,##0.0</c:formatCode>
                <c:ptCount val="32"/>
                <c:pt idx="0">
                  <c:v>0.38789975619760453</c:v>
                </c:pt>
                <c:pt idx="1">
                  <c:v>0.3718260641647354</c:v>
                </c:pt>
                <c:pt idx="2">
                  <c:v>0.37215208156089641</c:v>
                </c:pt>
                <c:pt idx="3">
                  <c:v>0.35059306348162167</c:v>
                </c:pt>
                <c:pt idx="4">
                  <c:v>0.32777458754937455</c:v>
                </c:pt>
                <c:pt idx="5">
                  <c:v>0.29696578337512486</c:v>
                </c:pt>
                <c:pt idx="6">
                  <c:v>0.26831279500899841</c:v>
                </c:pt>
                <c:pt idx="7">
                  <c:v>0.24549879852171885</c:v>
                </c:pt>
                <c:pt idx="8">
                  <c:v>0.20426712546738821</c:v>
                </c:pt>
                <c:pt idx="9">
                  <c:v>0.20938205540256527</c:v>
                </c:pt>
                <c:pt idx="10">
                  <c:v>0.20538617220111405</c:v>
                </c:pt>
                <c:pt idx="11">
                  <c:v>0.20572862214132048</c:v>
                </c:pt>
                <c:pt idx="12">
                  <c:v>0.19499097337850929</c:v>
                </c:pt>
                <c:pt idx="13">
                  <c:v>0.19259226561409309</c:v>
                </c:pt>
                <c:pt idx="14">
                  <c:v>0.18664815304992144</c:v>
                </c:pt>
                <c:pt idx="15">
                  <c:v>0.17963885239526922</c:v>
                </c:pt>
                <c:pt idx="16">
                  <c:v>0.16198195834948043</c:v>
                </c:pt>
                <c:pt idx="17">
                  <c:v>0.15036008802009723</c:v>
                </c:pt>
                <c:pt idx="18">
                  <c:v>0.14753401409735378</c:v>
                </c:pt>
                <c:pt idx="19">
                  <c:v>0.13190623467939996</c:v>
                </c:pt>
                <c:pt idx="20">
                  <c:v>0.11458593451620261</c:v>
                </c:pt>
                <c:pt idx="21">
                  <c:v>0.10261998235595651</c:v>
                </c:pt>
                <c:pt idx="22">
                  <c:v>8.8556426713883349E-2</c:v>
                </c:pt>
                <c:pt idx="23">
                  <c:v>8.4644758816187687E-2</c:v>
                </c:pt>
                <c:pt idx="24">
                  <c:v>8.56357110837309E-2</c:v>
                </c:pt>
                <c:pt idx="25">
                  <c:v>7.5052550926182612E-2</c:v>
                </c:pt>
                <c:pt idx="26">
                  <c:v>7.6700192109095663E-2</c:v>
                </c:pt>
                <c:pt idx="27">
                  <c:v>7.4945534066795869E-2</c:v>
                </c:pt>
                <c:pt idx="28">
                  <c:v>7.0238405761697736E-2</c:v>
                </c:pt>
                <c:pt idx="29">
                  <c:v>7.9562782950133915E-2</c:v>
                </c:pt>
                <c:pt idx="30">
                  <c:v>7.6434475695087434E-2</c:v>
                </c:pt>
                <c:pt idx="31">
                  <c:v>7.7486947937451728E-2</c:v>
                </c:pt>
              </c:numCache>
            </c:numRef>
          </c:val>
          <c:smooth val="0"/>
          <c:extLst>
            <c:ext xmlns:c16="http://schemas.microsoft.com/office/drawing/2014/chart" uri="{C3380CC4-5D6E-409C-BE32-E72D297353CC}">
              <c16:uniqueId val="{00000002-2186-4B70-B9F2-B85152210D14}"/>
            </c:ext>
          </c:extLst>
        </c:ser>
        <c:ser>
          <c:idx val="2"/>
          <c:order val="5"/>
          <c:tx>
            <c:strRef>
              <c:f>'Sector Sublimits'!$C$71</c:f>
              <c:strCache>
                <c:ptCount val="1"/>
                <c:pt idx="0">
                  <c:v>2025 CECP Limit (449% above 1990)</c:v>
                </c:pt>
              </c:strCache>
            </c:strRef>
          </c:tx>
          <c:spPr>
            <a:ln w="28575" cap="rnd">
              <a:noFill/>
              <a:prstDash val="dash"/>
              <a:round/>
            </a:ln>
            <a:effectLst/>
          </c:spPr>
          <c:marker>
            <c:symbol val="diamond"/>
            <c:size val="10"/>
            <c:spPr>
              <a:solidFill>
                <a:srgbClr val="FF00FF"/>
              </a:solidFill>
              <a:ln w="9525">
                <a:solidFill>
                  <a:schemeClr val="tx1"/>
                </a:solidFill>
              </a:ln>
              <a:effectLst/>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1D-4467-8259-7DAB825629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Sublimits'!$D$71:$AM$71</c:f>
              <c:numCache>
                <c:formatCode>#,##0.0</c:formatCode>
                <c:ptCount val="36"/>
                <c:pt idx="35">
                  <c:v>3.6</c:v>
                </c:pt>
              </c:numCache>
            </c:numRef>
          </c:val>
          <c:smooth val="0"/>
          <c:extLst>
            <c:ext xmlns:c16="http://schemas.microsoft.com/office/drawing/2014/chart" uri="{C3380CC4-5D6E-409C-BE32-E72D297353CC}">
              <c16:uniqueId val="{00000005-2186-4B70-B9F2-B85152210D14}"/>
            </c:ext>
          </c:extLst>
        </c:ser>
        <c:ser>
          <c:idx val="3"/>
          <c:order val="6"/>
          <c:tx>
            <c:strRef>
              <c:f>'Sector Sublimits'!$C$72</c:f>
              <c:strCache>
                <c:ptCount val="1"/>
                <c:pt idx="0">
                  <c:v>2030 CECP Limit (281% above 1990)</c:v>
                </c:pt>
              </c:strCache>
            </c:strRef>
          </c:tx>
          <c:spPr>
            <a:ln w="28575" cap="rnd">
              <a:noFill/>
              <a:prstDash val="dash"/>
              <a:round/>
            </a:ln>
            <a:effectLst/>
          </c:spPr>
          <c:marker>
            <c:symbol val="diamond"/>
            <c:size val="10"/>
            <c:spPr>
              <a:solidFill>
                <a:srgbClr val="FF00FF"/>
              </a:solidFill>
              <a:ln w="9525">
                <a:solidFill>
                  <a:schemeClr val="tx1"/>
                </a:solidFill>
              </a:ln>
              <a:effectLst/>
            </c:spPr>
          </c:marker>
          <c:dPt>
            <c:idx val="35"/>
            <c:marker>
              <c:symbol val="diamond"/>
              <c:size val="10"/>
              <c:spPr>
                <a:solidFill>
                  <a:srgbClr val="FF00FF"/>
                </a:solidFill>
                <a:ln w="9525">
                  <a:solidFill>
                    <a:schemeClr val="tx1"/>
                  </a:solidFill>
                </a:ln>
                <a:effectLst/>
              </c:spPr>
            </c:marker>
            <c:bubble3D val="0"/>
            <c:spPr>
              <a:ln w="28575" cap="rnd">
                <a:noFill/>
                <a:prstDash val="dash"/>
                <a:round/>
              </a:ln>
              <a:effectLst/>
            </c:spPr>
            <c:extLst>
              <c:ext xmlns:c16="http://schemas.microsoft.com/office/drawing/2014/chart" uri="{C3380CC4-5D6E-409C-BE32-E72D297353CC}">
                <c16:uniqueId val="{00000007-2186-4B70-B9F2-B85152210D14}"/>
              </c:ext>
            </c:extLst>
          </c:dPt>
          <c:dLbls>
            <c:dLbl>
              <c:idx val="35"/>
              <c:layout>
                <c:manualLayout>
                  <c:x val="-4.5263626930354753E-2"/>
                  <c:y val="-5.320610965296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86-4B70-B9F2-B85152210D14}"/>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F4-45FC-A531-2C6FA42B7E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'Sector Sublimits'!$D$8:$AR$8</c:f>
              <c:numCache>
                <c:formatCode>General</c:formatCod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numCache>
            </c:numRef>
          </c:cat>
          <c:val>
            <c:numRef>
              <c:f>'Sector Sublimits'!$D$72:$AR$72</c:f>
              <c:numCache>
                <c:formatCode>#,##0.0</c:formatCode>
                <c:ptCount val="41"/>
                <c:pt idx="40">
                  <c:v>2.5</c:v>
                </c:pt>
              </c:numCache>
            </c:numRef>
          </c:val>
          <c:smooth val="0"/>
          <c:extLst>
            <c:ext xmlns:c16="http://schemas.microsoft.com/office/drawing/2014/chart" uri="{C3380CC4-5D6E-409C-BE32-E72D297353CC}">
              <c16:uniqueId val="{00000006-2186-4B70-B9F2-B85152210D14}"/>
            </c:ext>
          </c:extLst>
        </c:ser>
        <c:dLbls>
          <c:showLegendKey val="0"/>
          <c:showVal val="0"/>
          <c:showCatName val="0"/>
          <c:showSerName val="0"/>
          <c:showPercent val="0"/>
          <c:showBubbleSize val="0"/>
        </c:dLbls>
        <c:smooth val="0"/>
        <c:axId val="803135096"/>
        <c:axId val="803138704"/>
      </c:lineChart>
      <c:catAx>
        <c:axId val="8031350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3138704"/>
        <c:crosses val="autoZero"/>
        <c:auto val="1"/>
        <c:lblAlgn val="ctr"/>
        <c:lblOffset val="100"/>
        <c:noMultiLvlLbl val="0"/>
      </c:catAx>
      <c:valAx>
        <c:axId val="803138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a:p>
                <a:pPr>
                  <a:defRPr/>
                </a:pP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3135096"/>
        <c:crosses val="autoZero"/>
        <c:crossBetween val="midCat"/>
      </c:valAx>
      <c:spPr>
        <a:noFill/>
        <a:ln>
          <a:noFill/>
        </a:ln>
        <a:effectLst/>
      </c:spPr>
    </c:plotArea>
    <c:legend>
      <c:legendPos val="r"/>
      <c:layout>
        <c:manualLayout>
          <c:xMode val="edge"/>
          <c:yMode val="edge"/>
          <c:x val="0.76719196728315942"/>
          <c:y val="0.18249817731116941"/>
          <c:w val="0.23280803271684067"/>
          <c:h val="0.770839895013123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rPr>
              <a:t>MA in-state power plants MMTCO</a:t>
            </a:r>
            <a:r>
              <a:rPr lang="en-US" sz="1800" b="1" i="0" u="none" strike="noStrike" baseline="-25000">
                <a:solidFill>
                  <a:srgbClr val="000000"/>
                </a:solidFill>
                <a:latin typeface="Calibri"/>
              </a:rPr>
              <a:t>2</a:t>
            </a:r>
            <a:r>
              <a:rPr lang="en-US" sz="1800" b="1" i="0" u="none" strike="noStrike" baseline="0">
                <a:solidFill>
                  <a:srgbClr val="000000"/>
                </a:solidFill>
                <a:latin typeface="Calibri"/>
              </a:rPr>
              <a:t> </a:t>
            </a:r>
          </a:p>
        </c:rich>
      </c:tx>
      <c:layout>
        <c:manualLayout>
          <c:xMode val="edge"/>
          <c:yMode val="edge"/>
          <c:x val="8.4882048834804741E-2"/>
          <c:y val="3.7037037037037035E-2"/>
        </c:manualLayout>
      </c:layout>
      <c:overlay val="0"/>
    </c:title>
    <c:autoTitleDeleted val="0"/>
    <c:plotArea>
      <c:layout/>
      <c:lineChart>
        <c:grouping val="standard"/>
        <c:varyColors val="0"/>
        <c:ser>
          <c:idx val="0"/>
          <c:order val="0"/>
          <c:tx>
            <c:strRef>
              <c:f>CO2_FFC!$B$25</c:f>
              <c:strCache>
                <c:ptCount val="1"/>
                <c:pt idx="0">
                  <c:v>Electric Power</c:v>
                </c:pt>
              </c:strCache>
            </c:strRef>
          </c:tx>
          <c:spPr>
            <a:ln>
              <a:solidFill>
                <a:srgbClr val="002060"/>
              </a:solidFill>
            </a:ln>
          </c:spPr>
          <c:marker>
            <c:symbol val="none"/>
          </c:marker>
          <c:cat>
            <c:numRef>
              <c:f>CO2_FFC!$C$4:$AJ$4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CO2_FFC!$C$25:$AH$25</c:f>
              <c:numCache>
                <c:formatCode>_(* #,##0.00_);_(* \(#,##0.00\);_(* "-"??_);_(@_)</c:formatCode>
                <c:ptCount val="32"/>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26.747611926121518</c:v>
                </c:pt>
                <c:pt idx="9">
                  <c:v>24.004093488628136</c:v>
                </c:pt>
                <c:pt idx="10">
                  <c:v>22.176187156381239</c:v>
                </c:pt>
                <c:pt idx="11">
                  <c:v>21.964418106491603</c:v>
                </c:pt>
                <c:pt idx="12">
                  <c:v>22.920165736663851</c:v>
                </c:pt>
                <c:pt idx="13">
                  <c:v>25.008602205089463</c:v>
                </c:pt>
                <c:pt idx="14">
                  <c:v>23.742061768767059</c:v>
                </c:pt>
                <c:pt idx="15">
                  <c:v>24.50850883956242</c:v>
                </c:pt>
                <c:pt idx="16">
                  <c:v>21.605252315219431</c:v>
                </c:pt>
                <c:pt idx="17">
                  <c:v>23.666295740032623</c:v>
                </c:pt>
                <c:pt idx="18">
                  <c:v>20.168912335399149</c:v>
                </c:pt>
                <c:pt idx="19">
                  <c:v>17.585116309401922</c:v>
                </c:pt>
                <c:pt idx="20">
                  <c:v>18.286569094037727</c:v>
                </c:pt>
                <c:pt idx="21">
                  <c:v>14.3548374581957</c:v>
                </c:pt>
                <c:pt idx="22">
                  <c:v>12.131402331331719</c:v>
                </c:pt>
                <c:pt idx="23">
                  <c:v>12.659822445437142</c:v>
                </c:pt>
                <c:pt idx="24">
                  <c:v>10.782306921880682</c:v>
                </c:pt>
                <c:pt idx="25">
                  <c:v>11.311329440348851</c:v>
                </c:pt>
                <c:pt idx="26">
                  <c:v>10.704619766914323</c:v>
                </c:pt>
                <c:pt idx="27">
                  <c:v>10.277665924817709</c:v>
                </c:pt>
                <c:pt idx="28">
                  <c:v>7.6499388544811335</c:v>
                </c:pt>
                <c:pt idx="29">
                  <c:v>6.2240808974230486</c:v>
                </c:pt>
                <c:pt idx="30">
                  <c:v>5.7447834902179782</c:v>
                </c:pt>
                <c:pt idx="31">
                  <c:v>6.140913821697418</c:v>
                </c:pt>
              </c:numCache>
            </c:numRef>
          </c:val>
          <c:smooth val="0"/>
          <c:extLst>
            <c:ext xmlns:c16="http://schemas.microsoft.com/office/drawing/2014/chart" uri="{C3380CC4-5D6E-409C-BE32-E72D297353CC}">
              <c16:uniqueId val="{00000000-3A57-415F-96CC-73FC40390314}"/>
            </c:ext>
          </c:extLst>
        </c:ser>
        <c:ser>
          <c:idx val="3"/>
          <c:order val="1"/>
          <c:tx>
            <c:strRef>
              <c:f>CO2_FFC!$B$28</c:f>
              <c:strCache>
                <c:ptCount val="1"/>
                <c:pt idx="0">
                  <c:v>Natural Gas</c:v>
                </c:pt>
              </c:strCache>
            </c:strRef>
          </c:tx>
          <c:marker>
            <c:symbol val="none"/>
          </c:marker>
          <c:cat>
            <c:numRef>
              <c:f>CO2_FFC!$C$4:$AJ$4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CO2_FFC!$C$28:$AH$28</c:f>
              <c:numCache>
                <c:formatCode>_(* #,##0.00_);_(* \(#,##0.00\);_(* "-"??_);_(@_)</c:formatCode>
                <c:ptCount val="32"/>
                <c:pt idx="0">
                  <c:v>3.3729704011998924</c:v>
                </c:pt>
                <c:pt idx="1">
                  <c:v>3.3394570163380912</c:v>
                </c:pt>
                <c:pt idx="2">
                  <c:v>4.1182749953110838</c:v>
                </c:pt>
                <c:pt idx="3">
                  <c:v>4.2464012542820591</c:v>
                </c:pt>
                <c:pt idx="4">
                  <c:v>5.4739687253802911</c:v>
                </c:pt>
                <c:pt idx="5">
                  <c:v>6.9804138000646212</c:v>
                </c:pt>
                <c:pt idx="6">
                  <c:v>5.6063671370259174</c:v>
                </c:pt>
                <c:pt idx="7">
                  <c:v>6.3967277745293387</c:v>
                </c:pt>
                <c:pt idx="8">
                  <c:v>5.6174313114804821</c:v>
                </c:pt>
                <c:pt idx="9">
                  <c:v>5.013083864244984</c:v>
                </c:pt>
                <c:pt idx="10">
                  <c:v>4.8372351690151447</c:v>
                </c:pt>
                <c:pt idx="11">
                  <c:v>5.2935833828796008</c:v>
                </c:pt>
                <c:pt idx="12">
                  <c:v>6.9531435916420223</c:v>
                </c:pt>
                <c:pt idx="13">
                  <c:v>9.2239901724757676</c:v>
                </c:pt>
                <c:pt idx="14">
                  <c:v>8.6186920447802517</c:v>
                </c:pt>
                <c:pt idx="15">
                  <c:v>8.3479388412598947</c:v>
                </c:pt>
                <c:pt idx="16">
                  <c:v>9.2482748540940278</c:v>
                </c:pt>
                <c:pt idx="17">
                  <c:v>10.072945126247806</c:v>
                </c:pt>
                <c:pt idx="18">
                  <c:v>8.4997501719499216</c:v>
                </c:pt>
                <c:pt idx="19">
                  <c:v>8.2405178294729016</c:v>
                </c:pt>
                <c:pt idx="20">
                  <c:v>10.230105455074932</c:v>
                </c:pt>
                <c:pt idx="21">
                  <c:v>10.256175804663695</c:v>
                </c:pt>
                <c:pt idx="22">
                  <c:v>9.8789813245491835</c:v>
                </c:pt>
                <c:pt idx="23">
                  <c:v>8.4758841526857189</c:v>
                </c:pt>
                <c:pt idx="24">
                  <c:v>7.3613304059671698</c:v>
                </c:pt>
                <c:pt idx="25">
                  <c:v>8.5326843818724019</c:v>
                </c:pt>
                <c:pt idx="26">
                  <c:v>8.5226836541588664</c:v>
                </c:pt>
                <c:pt idx="27">
                  <c:v>8.8855289022070654</c:v>
                </c:pt>
                <c:pt idx="28">
                  <c:v>7.302830783891066</c:v>
                </c:pt>
                <c:pt idx="29">
                  <c:v>6.144233941237248</c:v>
                </c:pt>
                <c:pt idx="30">
                  <c:v>5.7109446634612437</c:v>
                </c:pt>
                <c:pt idx="31">
                  <c:v>6.0757860263439296</c:v>
                </c:pt>
              </c:numCache>
            </c:numRef>
          </c:val>
          <c:smooth val="0"/>
          <c:extLst>
            <c:ext xmlns:c16="http://schemas.microsoft.com/office/drawing/2014/chart" uri="{C3380CC4-5D6E-409C-BE32-E72D297353CC}">
              <c16:uniqueId val="{00000001-3A57-415F-96CC-73FC40390314}"/>
            </c:ext>
          </c:extLst>
        </c:ser>
        <c:ser>
          <c:idx val="1"/>
          <c:order val="2"/>
          <c:tx>
            <c:strRef>
              <c:f>CO2_FFC!$B$26</c:f>
              <c:strCache>
                <c:ptCount val="1"/>
                <c:pt idx="0">
                  <c:v>Coal</c:v>
                </c:pt>
              </c:strCache>
            </c:strRef>
          </c:tx>
          <c:marker>
            <c:symbol val="none"/>
          </c:marker>
          <c:cat>
            <c:numRef>
              <c:f>CO2_FFC!$C$4:$AJ$4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CO2_FFC!$C$26:$AH$26</c:f>
              <c:numCache>
                <c:formatCode>_(* #,##0.00_);_(* \(#,##0.00\);_(* "-"??_);_(@_)</c:formatCode>
                <c:ptCount val="32"/>
                <c:pt idx="0">
                  <c:v>10.521323678949202</c:v>
                </c:pt>
                <c:pt idx="1">
                  <c:v>10.963627545541623</c:v>
                </c:pt>
                <c:pt idx="2">
                  <c:v>10.170308305657707</c:v>
                </c:pt>
                <c:pt idx="3">
                  <c:v>9.0762143367234938</c:v>
                </c:pt>
                <c:pt idx="4">
                  <c:v>9.4498677017642532</c:v>
                </c:pt>
                <c:pt idx="5">
                  <c:v>9.8503048652441247</c:v>
                </c:pt>
                <c:pt idx="6">
                  <c:v>10.639766697376016</c:v>
                </c:pt>
                <c:pt idx="7">
                  <c:v>11.522554889866107</c:v>
                </c:pt>
                <c:pt idx="8">
                  <c:v>10.299362720456667</c:v>
                </c:pt>
                <c:pt idx="9">
                  <c:v>10.642907724189712</c:v>
                </c:pt>
                <c:pt idx="10">
                  <c:v>10.741986927992645</c:v>
                </c:pt>
                <c:pt idx="11">
                  <c:v>10.210804080889385</c:v>
                </c:pt>
                <c:pt idx="12">
                  <c:v>10.981651155953722</c:v>
                </c:pt>
                <c:pt idx="13">
                  <c:v>10.18942909303534</c:v>
                </c:pt>
                <c:pt idx="14">
                  <c:v>9.827440004535628</c:v>
                </c:pt>
                <c:pt idx="15">
                  <c:v>11.130364765005536</c:v>
                </c:pt>
                <c:pt idx="16">
                  <c:v>10.474958732849359</c:v>
                </c:pt>
                <c:pt idx="17">
                  <c:v>11.205114385539192</c:v>
                </c:pt>
                <c:pt idx="18">
                  <c:v>9.9950612412149127</c:v>
                </c:pt>
                <c:pt idx="19">
                  <c:v>8.6652828575851419</c:v>
                </c:pt>
                <c:pt idx="20">
                  <c:v>7.841565823926099</c:v>
                </c:pt>
                <c:pt idx="21">
                  <c:v>3.9475989191205412</c:v>
                </c:pt>
                <c:pt idx="22">
                  <c:v>2.137960957321194</c:v>
                </c:pt>
                <c:pt idx="23">
                  <c:v>3.8779200825621181</c:v>
                </c:pt>
                <c:pt idx="24">
                  <c:v>2.7052281134040319</c:v>
                </c:pt>
                <c:pt idx="25">
                  <c:v>2.1951606622009576</c:v>
                </c:pt>
                <c:pt idx="26">
                  <c:v>1.9131774237776165</c:v>
                </c:pt>
                <c:pt idx="27">
                  <c:v>1.1770842216149977</c:v>
                </c:pt>
                <c:pt idx="28">
                  <c:v>0</c:v>
                </c:pt>
                <c:pt idx="29">
                  <c:v>0</c:v>
                </c:pt>
                <c:pt idx="30">
                  <c:v>0</c:v>
                </c:pt>
                <c:pt idx="31">
                  <c:v>0</c:v>
                </c:pt>
              </c:numCache>
            </c:numRef>
          </c:val>
          <c:smooth val="0"/>
          <c:extLst>
            <c:ext xmlns:c16="http://schemas.microsoft.com/office/drawing/2014/chart" uri="{C3380CC4-5D6E-409C-BE32-E72D297353CC}">
              <c16:uniqueId val="{00000002-3A57-415F-96CC-73FC40390314}"/>
            </c:ext>
          </c:extLst>
        </c:ser>
        <c:ser>
          <c:idx val="2"/>
          <c:order val="3"/>
          <c:tx>
            <c:strRef>
              <c:f>CO2_FFC!$B$27</c:f>
              <c:strCache>
                <c:ptCount val="1"/>
                <c:pt idx="0">
                  <c:v>Petroleum</c:v>
                </c:pt>
              </c:strCache>
            </c:strRef>
          </c:tx>
          <c:spPr>
            <a:ln>
              <a:solidFill>
                <a:schemeClr val="accent6">
                  <a:lumMod val="75000"/>
                </a:schemeClr>
              </a:solidFill>
            </a:ln>
          </c:spPr>
          <c:marker>
            <c:symbol val="none"/>
          </c:marker>
          <c:cat>
            <c:numRef>
              <c:f>CO2_FFC!$C$4:$AJ$4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CO2_FFC!$C$27:$AH$27</c:f>
              <c:numCache>
                <c:formatCode>_(* #,##0.00_);_(* \(#,##0.00\);_(* "-"??_);_(@_)</c:formatCode>
                <c:ptCount val="32"/>
                <c:pt idx="0">
                  <c:v>11.362342652527619</c:v>
                </c:pt>
                <c:pt idx="1">
                  <c:v>11.611644318033653</c:v>
                </c:pt>
                <c:pt idx="2">
                  <c:v>10.138098335945825</c:v>
                </c:pt>
                <c:pt idx="3">
                  <c:v>8.6449203945677393</c:v>
                </c:pt>
                <c:pt idx="4">
                  <c:v>7.384548377453485</c:v>
                </c:pt>
                <c:pt idx="5">
                  <c:v>4.608069488535576</c:v>
                </c:pt>
                <c:pt idx="6">
                  <c:v>4.6377672616852585</c:v>
                </c:pt>
                <c:pt idx="7">
                  <c:v>8.2446599696470919</c:v>
                </c:pt>
                <c:pt idx="8">
                  <c:v>10.830817894184369</c:v>
                </c:pt>
                <c:pt idx="9">
                  <c:v>8.3481019001934413</c:v>
                </c:pt>
                <c:pt idx="10">
                  <c:v>6.5969650593734492</c:v>
                </c:pt>
                <c:pt idx="11">
                  <c:v>6.4600306427226135</c:v>
                </c:pt>
                <c:pt idx="12">
                  <c:v>4.9853709890681026</c:v>
                </c:pt>
                <c:pt idx="13">
                  <c:v>5.5951829395783523</c:v>
                </c:pt>
                <c:pt idx="14">
                  <c:v>5.2959297194511823</c:v>
                </c:pt>
                <c:pt idx="15">
                  <c:v>5.0302052332969875</c:v>
                </c:pt>
                <c:pt idx="16">
                  <c:v>1.8820187282760468</c:v>
                </c:pt>
                <c:pt idx="17">
                  <c:v>2.3882362282456264</c:v>
                </c:pt>
                <c:pt idx="18">
                  <c:v>1.6741009222343135</c:v>
                </c:pt>
                <c:pt idx="19">
                  <c:v>0.67931562234387988</c:v>
                </c:pt>
                <c:pt idx="20">
                  <c:v>0.21489781503669622</c:v>
                </c:pt>
                <c:pt idx="21">
                  <c:v>0.15106273441146226</c:v>
                </c:pt>
                <c:pt idx="22">
                  <c:v>0.11446004946133999</c:v>
                </c:pt>
                <c:pt idx="23">
                  <c:v>0.30601821018930508</c:v>
                </c:pt>
                <c:pt idx="24">
                  <c:v>0.71574840250948191</c:v>
                </c:pt>
                <c:pt idx="25">
                  <c:v>0.58348439627549187</c:v>
                </c:pt>
                <c:pt idx="26">
                  <c:v>0.26875868897783989</c:v>
                </c:pt>
                <c:pt idx="27">
                  <c:v>0.21505280099564686</c:v>
                </c:pt>
                <c:pt idx="28">
                  <c:v>0.34710807059006765</c:v>
                </c:pt>
                <c:pt idx="29">
                  <c:v>7.9846956185800733E-2</c:v>
                </c:pt>
                <c:pt idx="30">
                  <c:v>3.3838826756733817E-2</c:v>
                </c:pt>
                <c:pt idx="31">
                  <c:v>6.5127795353489101E-2</c:v>
                </c:pt>
              </c:numCache>
            </c:numRef>
          </c:val>
          <c:smooth val="0"/>
          <c:extLst>
            <c:ext xmlns:c16="http://schemas.microsoft.com/office/drawing/2014/chart" uri="{C3380CC4-5D6E-409C-BE32-E72D297353CC}">
              <c16:uniqueId val="{00000003-3A57-415F-96CC-73FC40390314}"/>
            </c:ext>
          </c:extLst>
        </c:ser>
        <c:dLbls>
          <c:showLegendKey val="0"/>
          <c:showVal val="0"/>
          <c:showCatName val="0"/>
          <c:showSerName val="0"/>
          <c:showPercent val="0"/>
          <c:showBubbleSize val="0"/>
        </c:dLbls>
        <c:smooth val="0"/>
        <c:axId val="51799168"/>
        <c:axId val="51800704"/>
      </c:lineChart>
      <c:catAx>
        <c:axId val="51799168"/>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51800704"/>
        <c:crosses val="autoZero"/>
        <c:auto val="1"/>
        <c:lblAlgn val="ctr"/>
        <c:lblOffset val="100"/>
        <c:noMultiLvlLbl val="0"/>
      </c:catAx>
      <c:valAx>
        <c:axId val="51800704"/>
        <c:scaling>
          <c:orientation val="minMax"/>
        </c:scaling>
        <c:delete val="0"/>
        <c:axPos val="l"/>
        <c:majorGridlines/>
        <c:numFmt formatCode="_(* #,##0_);_(* \(#,##0\);_(* &quot;-&quot;_);_(@_)"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1799168"/>
        <c:crosses val="autoZero"/>
        <c:crossBetween val="midCat"/>
      </c:valAx>
    </c:plotArea>
    <c:legend>
      <c:legendPos val="r"/>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COMPARISON of CO2 EMISSIONS from 
CO2FFC FUEL COMBUSTION EMISSIONS and MOBILE VEHICLE/VMT CO2 EMISSIONS</a:t>
            </a:r>
          </a:p>
        </c:rich>
      </c:tx>
      <c:layout>
        <c:manualLayout>
          <c:xMode val="edge"/>
          <c:yMode val="edge"/>
          <c:x val="0.18396426724031761"/>
          <c:y val="1.2551503687737357E-3"/>
        </c:manualLayout>
      </c:layout>
      <c:overlay val="0"/>
    </c:title>
    <c:autoTitleDeleted val="0"/>
    <c:plotArea>
      <c:layout>
        <c:manualLayout>
          <c:layoutTarget val="inner"/>
          <c:xMode val="edge"/>
          <c:yMode val="edge"/>
          <c:x val="8.3540693853094053E-2"/>
          <c:y val="0.25047462817147859"/>
          <c:w val="0.73863853173230987"/>
          <c:h val="0.55671602649329743"/>
        </c:manualLayout>
      </c:layout>
      <c:lineChart>
        <c:grouping val="standard"/>
        <c:varyColors val="0"/>
        <c:ser>
          <c:idx val="1"/>
          <c:order val="0"/>
          <c:tx>
            <c:strRef>
              <c:f>Mobile!$B$131</c:f>
              <c:strCache>
                <c:ptCount val="1"/>
                <c:pt idx="0">
                  <c:v>CO2 Based on VMT</c:v>
                </c:pt>
              </c:strCache>
            </c:strRef>
          </c:tx>
          <c:spPr>
            <a:ln>
              <a:solidFill>
                <a:schemeClr val="accent4">
                  <a:lumMod val="75000"/>
                </a:schemeClr>
              </a:solidFill>
            </a:ln>
          </c:spPr>
          <c:marker>
            <c:symbol val="square"/>
            <c:size val="5"/>
            <c:spPr>
              <a:solidFill>
                <a:schemeClr val="accent4">
                  <a:lumMod val="75000"/>
                </a:schemeClr>
              </a:solidFill>
              <a:ln>
                <a:solidFill>
                  <a:schemeClr val="accent4">
                    <a:lumMod val="75000"/>
                  </a:schemeClr>
                </a:solidFill>
              </a:ln>
            </c:spPr>
          </c:marker>
          <c:cat>
            <c:numRef>
              <c:f>Mobile!$C$129:$AH$129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Mobile!$C$131:$AH$131</c:f>
              <c:numCache>
                <c:formatCode>#,##0.00</c:formatCode>
                <c:ptCount val="32"/>
                <c:pt idx="0">
                  <c:v>32.352235101736092</c:v>
                </c:pt>
                <c:pt idx="1">
                  <c:v>30.414844688745507</c:v>
                </c:pt>
                <c:pt idx="2">
                  <c:v>29.433986422934304</c:v>
                </c:pt>
                <c:pt idx="3">
                  <c:v>27.471778882940793</c:v>
                </c:pt>
                <c:pt idx="4">
                  <c:v>28.633814408841815</c:v>
                </c:pt>
                <c:pt idx="5">
                  <c:v>28.684207177575495</c:v>
                </c:pt>
                <c:pt idx="6">
                  <c:v>30.694305219716806</c:v>
                </c:pt>
                <c:pt idx="7">
                  <c:v>30.529483893241085</c:v>
                </c:pt>
                <c:pt idx="8">
                  <c:v>30.1719165379529</c:v>
                </c:pt>
                <c:pt idx="9">
                  <c:v>30.473816178197978</c:v>
                </c:pt>
                <c:pt idx="10">
                  <c:v>31.405187144543259</c:v>
                </c:pt>
                <c:pt idx="11">
                  <c:v>32.275476450635566</c:v>
                </c:pt>
                <c:pt idx="12">
                  <c:v>31.828791240959582</c:v>
                </c:pt>
                <c:pt idx="13">
                  <c:v>32.361449530482574</c:v>
                </c:pt>
                <c:pt idx="14">
                  <c:v>33.384414833708085</c:v>
                </c:pt>
                <c:pt idx="15">
                  <c:v>34.00336756301779</c:v>
                </c:pt>
                <c:pt idx="16">
                  <c:v>33.218122597906117</c:v>
                </c:pt>
                <c:pt idx="17">
                  <c:v>33.016759441298241</c:v>
                </c:pt>
                <c:pt idx="18">
                  <c:v>33.055608116456618</c:v>
                </c:pt>
                <c:pt idx="19">
                  <c:v>32.225581363482121</c:v>
                </c:pt>
                <c:pt idx="20">
                  <c:v>32.353444335177109</c:v>
                </c:pt>
                <c:pt idx="21">
                  <c:v>32.311015302921149</c:v>
                </c:pt>
                <c:pt idx="22">
                  <c:v>32.241130001610358</c:v>
                </c:pt>
                <c:pt idx="23">
                  <c:v>32.756599531028513</c:v>
                </c:pt>
                <c:pt idx="24">
                  <c:v>33.348595498731882</c:v>
                </c:pt>
                <c:pt idx="25">
                  <c:v>32.740397417557077</c:v>
                </c:pt>
                <c:pt idx="26">
                  <c:v>34.151600911851091</c:v>
                </c:pt>
                <c:pt idx="27">
                  <c:v>34.320143573993299</c:v>
                </c:pt>
                <c:pt idx="28">
                  <c:v>33.77747612360961</c:v>
                </c:pt>
                <c:pt idx="29">
                  <c:v>36.277237628458145</c:v>
                </c:pt>
                <c:pt idx="30">
                  <c:v>30.925493206619915</c:v>
                </c:pt>
                <c:pt idx="31">
                  <c:v>32.091642324715636</c:v>
                </c:pt>
              </c:numCache>
            </c:numRef>
          </c:val>
          <c:smooth val="0"/>
          <c:extLst>
            <c:ext xmlns:c16="http://schemas.microsoft.com/office/drawing/2014/chart" uri="{C3380CC4-5D6E-409C-BE32-E72D297353CC}">
              <c16:uniqueId val="{00000001-D83B-4DD8-837A-1E5723B5C839}"/>
            </c:ext>
          </c:extLst>
        </c:ser>
        <c:ser>
          <c:idx val="0"/>
          <c:order val="1"/>
          <c:tx>
            <c:strRef>
              <c:f>Mobile!$B$130</c:f>
              <c:strCache>
                <c:ptCount val="1"/>
                <c:pt idx="0">
                  <c:v>CO2 Based on Fuel Use</c:v>
                </c:pt>
              </c:strCache>
            </c:strRef>
          </c:tx>
          <c:spPr>
            <a:ln>
              <a:solidFill>
                <a:schemeClr val="accent6">
                  <a:lumMod val="75000"/>
                </a:schemeClr>
              </a:solidFill>
            </a:ln>
          </c:spPr>
          <c:marker>
            <c:spPr>
              <a:solidFill>
                <a:schemeClr val="accent6">
                  <a:lumMod val="75000"/>
                </a:schemeClr>
              </a:solidFill>
              <a:ln>
                <a:solidFill>
                  <a:srgbClr val="F79646">
                    <a:lumMod val="75000"/>
                  </a:srgbClr>
                </a:solidFill>
              </a:ln>
            </c:spPr>
          </c:marker>
          <c:cat>
            <c:numRef>
              <c:f>Mobile!$C$129:$AH$129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Mobile!$C$130:$AH$130</c:f>
              <c:numCache>
                <c:formatCode>0.00</c:formatCode>
                <c:ptCount val="32"/>
                <c:pt idx="0">
                  <c:v>28.506437825265561</c:v>
                </c:pt>
                <c:pt idx="1">
                  <c:v>26.924606252648253</c:v>
                </c:pt>
                <c:pt idx="2">
                  <c:v>26.448466366325668</c:v>
                </c:pt>
                <c:pt idx="3">
                  <c:v>26.684940195948617</c:v>
                </c:pt>
                <c:pt idx="4">
                  <c:v>26.904845065360281</c:v>
                </c:pt>
                <c:pt idx="5">
                  <c:v>27.543957964998537</c:v>
                </c:pt>
                <c:pt idx="6">
                  <c:v>28.348712325078182</c:v>
                </c:pt>
                <c:pt idx="7">
                  <c:v>28.691676822505464</c:v>
                </c:pt>
                <c:pt idx="8">
                  <c:v>28.98102039463458</c:v>
                </c:pt>
                <c:pt idx="9">
                  <c:v>29.667708078894691</c:v>
                </c:pt>
                <c:pt idx="10">
                  <c:v>30.840346353806449</c:v>
                </c:pt>
                <c:pt idx="11">
                  <c:v>30.391075770329753</c:v>
                </c:pt>
                <c:pt idx="12">
                  <c:v>30.599206279874757</c:v>
                </c:pt>
                <c:pt idx="13">
                  <c:v>31.044336567887118</c:v>
                </c:pt>
                <c:pt idx="14">
                  <c:v>32.341144579996183</c:v>
                </c:pt>
                <c:pt idx="15">
                  <c:v>32.347883053926061</c:v>
                </c:pt>
                <c:pt idx="16">
                  <c:v>31.473855031392308</c:v>
                </c:pt>
                <c:pt idx="17">
                  <c:v>31.828916188486346</c:v>
                </c:pt>
                <c:pt idx="18">
                  <c:v>30.871216525399529</c:v>
                </c:pt>
                <c:pt idx="19">
                  <c:v>28.987244396457257</c:v>
                </c:pt>
                <c:pt idx="20">
                  <c:v>29.194372528968803</c:v>
                </c:pt>
                <c:pt idx="21">
                  <c:v>29.139892806651648</c:v>
                </c:pt>
                <c:pt idx="22">
                  <c:v>28.60906538035595</c:v>
                </c:pt>
                <c:pt idx="23">
                  <c:v>29.873225105712574</c:v>
                </c:pt>
                <c:pt idx="24">
                  <c:v>28.061539553056065</c:v>
                </c:pt>
                <c:pt idx="25">
                  <c:v>28.545017287030312</c:v>
                </c:pt>
                <c:pt idx="26">
                  <c:v>28.891424634303558</c:v>
                </c:pt>
                <c:pt idx="27">
                  <c:v>28.332334902786233</c:v>
                </c:pt>
                <c:pt idx="28">
                  <c:v>29.002637465691354</c:v>
                </c:pt>
                <c:pt idx="29">
                  <c:v>28.718318898688366</c:v>
                </c:pt>
                <c:pt idx="30">
                  <c:v>22.642037334535477</c:v>
                </c:pt>
                <c:pt idx="31">
                  <c:v>25.3046622669575</c:v>
                </c:pt>
              </c:numCache>
            </c:numRef>
          </c:val>
          <c:smooth val="0"/>
          <c:extLst>
            <c:ext xmlns:c16="http://schemas.microsoft.com/office/drawing/2014/chart" uri="{C3380CC4-5D6E-409C-BE32-E72D297353CC}">
              <c16:uniqueId val="{00000000-D83B-4DD8-837A-1E5723B5C839}"/>
            </c:ext>
          </c:extLst>
        </c:ser>
        <c:dLbls>
          <c:showLegendKey val="0"/>
          <c:showVal val="0"/>
          <c:showCatName val="0"/>
          <c:showSerName val="0"/>
          <c:showPercent val="0"/>
          <c:showBubbleSize val="0"/>
        </c:dLbls>
        <c:marker val="1"/>
        <c:smooth val="0"/>
        <c:axId val="45468672"/>
        <c:axId val="45470848"/>
      </c:lineChart>
      <c:catAx>
        <c:axId val="45468672"/>
        <c:scaling>
          <c:orientation val="minMax"/>
        </c:scaling>
        <c:delete val="0"/>
        <c:axPos val="b"/>
        <c:numFmt formatCode="General" sourceLinked="0"/>
        <c:majorTickMark val="out"/>
        <c:minorTickMark val="none"/>
        <c:tickLblPos val="nextTo"/>
        <c:txPr>
          <a:bodyPr rot="-5400000" vert="horz"/>
          <a:lstStyle/>
          <a:p>
            <a:pPr>
              <a:defRPr sz="980" b="0" i="0" u="none" strike="noStrike" baseline="0">
                <a:solidFill>
                  <a:srgbClr val="000000"/>
                </a:solidFill>
                <a:latin typeface="Calibri"/>
                <a:ea typeface="Calibri"/>
                <a:cs typeface="Calibri"/>
              </a:defRPr>
            </a:pPr>
            <a:endParaRPr lang="en-US"/>
          </a:p>
        </c:txPr>
        <c:crossAx val="45470848"/>
        <c:crosses val="autoZero"/>
        <c:auto val="1"/>
        <c:lblAlgn val="ctr"/>
        <c:lblOffset val="100"/>
        <c:tickLblSkip val="1"/>
        <c:noMultiLvlLbl val="0"/>
      </c:catAx>
      <c:valAx>
        <c:axId val="45470848"/>
        <c:scaling>
          <c:orientation val="minMax"/>
          <c:min val="22"/>
        </c:scaling>
        <c:delete val="0"/>
        <c:axPos val="l"/>
        <c:majorGridlines/>
        <c:title>
          <c:tx>
            <c:rich>
              <a:bodyPr rot="0" vert="wordArtVert"/>
              <a:lstStyle/>
              <a:p>
                <a:pPr algn="ctr">
                  <a:defRPr sz="1000" b="1" i="0" u="none" strike="noStrike" baseline="0">
                    <a:solidFill>
                      <a:srgbClr val="000000"/>
                    </a:solidFill>
                    <a:latin typeface="Calibri"/>
                    <a:ea typeface="Calibri"/>
                    <a:cs typeface="Calibri"/>
                  </a:defRPr>
                </a:pPr>
                <a:r>
                  <a:rPr lang="en-US"/>
                  <a:t>MMTCO2E</a:t>
                </a:r>
              </a:p>
            </c:rich>
          </c:tx>
          <c:layout>
            <c:manualLayout>
              <c:xMode val="edge"/>
              <c:yMode val="edge"/>
              <c:x val="3.8910829576959812E-3"/>
              <c:y val="0.23900585052566753"/>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5468672"/>
        <c:crosses val="autoZero"/>
        <c:crossBetween val="midCat"/>
        <c:majorUnit val="2"/>
      </c:valAx>
    </c:plotArea>
    <c:legend>
      <c:legendPos val="r"/>
      <c:layout>
        <c:manualLayout>
          <c:xMode val="edge"/>
          <c:yMode val="edge"/>
          <c:x val="0.83173176345657518"/>
          <c:y val="0.38169533277614043"/>
          <c:w val="0.15403326409016393"/>
          <c:h val="0.41169635918415226"/>
        </c:manualLayout>
      </c:layout>
      <c:overlay val="0"/>
      <c:txPr>
        <a:bodyPr/>
        <a:lstStyle/>
        <a:p>
          <a:pPr>
            <a:defRPr sz="92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Miles of Pipeline</a:t>
            </a:r>
          </a:p>
        </c:rich>
      </c:tx>
      <c:layout>
        <c:manualLayout>
          <c:xMode val="edge"/>
          <c:yMode val="edge"/>
          <c:x val="0.39416681911534984"/>
          <c:y val="2.3994468303208463E-2"/>
        </c:manualLayout>
      </c:layout>
      <c:overlay val="0"/>
    </c:title>
    <c:autoTitleDeleted val="0"/>
    <c:plotArea>
      <c:layout>
        <c:manualLayout>
          <c:layoutTarget val="inner"/>
          <c:xMode val="edge"/>
          <c:yMode val="edge"/>
          <c:x val="6.0584536307961505E-2"/>
          <c:y val="0.11065761750195427"/>
          <c:w val="0.7145670384951881"/>
          <c:h val="0.80222439650664967"/>
        </c:manualLayout>
      </c:layout>
      <c:lineChart>
        <c:grouping val="standard"/>
        <c:varyColors val="0"/>
        <c:ser>
          <c:idx val="10"/>
          <c:order val="0"/>
          <c:tx>
            <c:strRef>
              <c:f>'NG Sum&amp;Distribution&amp;PostMeter'!$B$34</c:f>
              <c:strCache>
                <c:ptCount val="1"/>
                <c:pt idx="0">
                  <c:v>Total</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Sum&amp;Distribution&amp;PostMeter'!$D$34:$AK$34</c:f>
              <c:numCache>
                <c:formatCode>#,##0</c:formatCode>
                <c:ptCount val="34"/>
                <c:pt idx="0">
                  <c:v>17630</c:v>
                </c:pt>
                <c:pt idx="1">
                  <c:v>17696</c:v>
                </c:pt>
                <c:pt idx="2">
                  <c:v>17961.5</c:v>
                </c:pt>
                <c:pt idx="3">
                  <c:v>18074</c:v>
                </c:pt>
                <c:pt idx="4">
                  <c:v>18370</c:v>
                </c:pt>
                <c:pt idx="5">
                  <c:v>18625</c:v>
                </c:pt>
                <c:pt idx="6">
                  <c:v>18805</c:v>
                </c:pt>
                <c:pt idx="7">
                  <c:v>19044.5</c:v>
                </c:pt>
                <c:pt idx="8">
                  <c:v>19278</c:v>
                </c:pt>
                <c:pt idx="9">
                  <c:v>19506</c:v>
                </c:pt>
                <c:pt idx="10">
                  <c:v>19726</c:v>
                </c:pt>
                <c:pt idx="11">
                  <c:v>20038</c:v>
                </c:pt>
                <c:pt idx="12">
                  <c:v>20234</c:v>
                </c:pt>
                <c:pt idx="13">
                  <c:v>20377.166663333333</c:v>
                </c:pt>
                <c:pt idx="14">
                  <c:v>20686.367336666666</c:v>
                </c:pt>
                <c:pt idx="15">
                  <c:v>20954.368000000002</c:v>
                </c:pt>
                <c:pt idx="16">
                  <c:v>20776.769</c:v>
                </c:pt>
                <c:pt idx="17">
                  <c:v>20903.015000000003</c:v>
                </c:pt>
                <c:pt idx="18">
                  <c:v>21022.859</c:v>
                </c:pt>
                <c:pt idx="19">
                  <c:v>21068.694999999996</c:v>
                </c:pt>
                <c:pt idx="20">
                  <c:v>21132.808000000001</c:v>
                </c:pt>
                <c:pt idx="21">
                  <c:v>21191.999999999996</c:v>
                </c:pt>
                <c:pt idx="22">
                  <c:v>21284.661999999997</c:v>
                </c:pt>
                <c:pt idx="23">
                  <c:v>21382.517000000003</c:v>
                </c:pt>
                <c:pt idx="24">
                  <c:v>21526.286</c:v>
                </c:pt>
                <c:pt idx="25">
                  <c:v>21576.441999999999</c:v>
                </c:pt>
                <c:pt idx="26">
                  <c:v>21631.246999999999</c:v>
                </c:pt>
                <c:pt idx="27">
                  <c:v>21668.565999999999</c:v>
                </c:pt>
                <c:pt idx="28">
                  <c:v>21714.471999999998</c:v>
                </c:pt>
                <c:pt idx="29">
                  <c:v>21755.177000000003</c:v>
                </c:pt>
                <c:pt idx="30">
                  <c:v>21798.249</c:v>
                </c:pt>
                <c:pt idx="31">
                  <c:v>21779.767</c:v>
                </c:pt>
                <c:pt idx="32">
                  <c:v>21842.466</c:v>
                </c:pt>
                <c:pt idx="33">
                  <c:v>21857.349000000002</c:v>
                </c:pt>
              </c:numCache>
            </c:numRef>
          </c:val>
          <c:smooth val="0"/>
          <c:extLst>
            <c:ext xmlns:c16="http://schemas.microsoft.com/office/drawing/2014/chart" uri="{C3380CC4-5D6E-409C-BE32-E72D297353CC}">
              <c16:uniqueId val="{00000000-D78E-4553-93BF-F18D15B65E4E}"/>
            </c:ext>
          </c:extLst>
        </c:ser>
        <c:ser>
          <c:idx val="5"/>
          <c:order val="1"/>
          <c:tx>
            <c:strRef>
              <c:f>'NG Sum&amp;Distribution&amp;PostMeter'!$B$29</c:f>
              <c:strCache>
                <c:ptCount val="1"/>
                <c:pt idx="0">
                  <c:v>Plastic</c:v>
                </c:pt>
              </c:strCache>
            </c:strRef>
          </c:tx>
          <c:spPr>
            <a:ln>
              <a:solidFill>
                <a:schemeClr val="accent6">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Sum&amp;Distribution&amp;PostMeter'!$D$29:$AK$29</c:f>
              <c:numCache>
                <c:formatCode>#,##0</c:formatCode>
                <c:ptCount val="34"/>
                <c:pt idx="0">
                  <c:v>2392</c:v>
                </c:pt>
                <c:pt idx="1">
                  <c:v>2654</c:v>
                </c:pt>
                <c:pt idx="2">
                  <c:v>2946</c:v>
                </c:pt>
                <c:pt idx="3">
                  <c:v>3291</c:v>
                </c:pt>
                <c:pt idx="4">
                  <c:v>3558</c:v>
                </c:pt>
                <c:pt idx="5">
                  <c:v>3886</c:v>
                </c:pt>
                <c:pt idx="6">
                  <c:v>4173</c:v>
                </c:pt>
                <c:pt idx="7">
                  <c:v>4485</c:v>
                </c:pt>
                <c:pt idx="8">
                  <c:v>4790.5</c:v>
                </c:pt>
                <c:pt idx="9">
                  <c:v>5084</c:v>
                </c:pt>
                <c:pt idx="10">
                  <c:v>5458</c:v>
                </c:pt>
                <c:pt idx="11">
                  <c:v>5874</c:v>
                </c:pt>
                <c:pt idx="12">
                  <c:v>6138</c:v>
                </c:pt>
                <c:pt idx="13">
                  <c:v>6421.7333333333336</c:v>
                </c:pt>
                <c:pt idx="14">
                  <c:v>6803.3786666666674</c:v>
                </c:pt>
                <c:pt idx="15">
                  <c:v>7241.8329999999996</c:v>
                </c:pt>
                <c:pt idx="16">
                  <c:v>7282.4510000000009</c:v>
                </c:pt>
                <c:pt idx="17">
                  <c:v>7523.9110000000001</c:v>
                </c:pt>
                <c:pt idx="18">
                  <c:v>7752.192</c:v>
                </c:pt>
                <c:pt idx="19">
                  <c:v>7943.8769999999995</c:v>
                </c:pt>
                <c:pt idx="20">
                  <c:v>8150.4049999999997</c:v>
                </c:pt>
                <c:pt idx="21">
                  <c:v>8434.4189999999981</c:v>
                </c:pt>
                <c:pt idx="22">
                  <c:v>8780.8809999999994</c:v>
                </c:pt>
                <c:pt idx="23">
                  <c:v>9097.1120000000028</c:v>
                </c:pt>
                <c:pt idx="24">
                  <c:v>9490.3840000000018</c:v>
                </c:pt>
                <c:pt idx="25">
                  <c:v>9788.7090000000007</c:v>
                </c:pt>
                <c:pt idx="26">
                  <c:v>10099.989000000001</c:v>
                </c:pt>
                <c:pt idx="27">
                  <c:v>10467.602999999999</c:v>
                </c:pt>
                <c:pt idx="28">
                  <c:v>10741.089</c:v>
                </c:pt>
                <c:pt idx="29">
                  <c:v>11016.081</c:v>
                </c:pt>
                <c:pt idx="30">
                  <c:v>11259.867</c:v>
                </c:pt>
                <c:pt idx="31">
                  <c:v>11541.005999999999</c:v>
                </c:pt>
                <c:pt idx="32" formatCode="_(* #,##0_);_(* \(#,##0\);_(* &quot;-&quot;??_);_(@_)">
                  <c:v>11843.298999999999</c:v>
                </c:pt>
                <c:pt idx="33" formatCode="_(* #,##0_);_(* \(#,##0\);_(* &quot;-&quot;??_);_(@_)">
                  <c:v>12128.515000000001</c:v>
                </c:pt>
              </c:numCache>
            </c:numRef>
          </c:val>
          <c:smooth val="0"/>
          <c:extLst>
            <c:ext xmlns:c16="http://schemas.microsoft.com/office/drawing/2014/chart" uri="{C3380CC4-5D6E-409C-BE32-E72D297353CC}">
              <c16:uniqueId val="{00000001-D78E-4553-93BF-F18D15B65E4E}"/>
            </c:ext>
          </c:extLst>
        </c:ser>
        <c:ser>
          <c:idx val="4"/>
          <c:order val="2"/>
          <c:tx>
            <c:strRef>
              <c:f>'NG Sum&amp;Distribution&amp;PostMeter'!$B$28</c:f>
              <c:strCache>
                <c:ptCount val="1"/>
                <c:pt idx="0">
                  <c:v>Steel, Cathodically Protected and Coated</c:v>
                </c:pt>
              </c:strCache>
            </c:strRef>
          </c:tx>
          <c:spPr>
            <a:ln>
              <a:solidFill>
                <a:schemeClr val="accent5">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Sum&amp;Distribution&amp;PostMeter'!$D$28:$AK$28</c:f>
              <c:numCache>
                <c:formatCode>#,##0</c:formatCode>
                <c:ptCount val="34"/>
                <c:pt idx="0">
                  <c:v>4345</c:v>
                </c:pt>
                <c:pt idx="1">
                  <c:v>4335</c:v>
                </c:pt>
                <c:pt idx="2">
                  <c:v>4531.5</c:v>
                </c:pt>
                <c:pt idx="3">
                  <c:v>4641</c:v>
                </c:pt>
                <c:pt idx="4">
                  <c:v>4737</c:v>
                </c:pt>
                <c:pt idx="5">
                  <c:v>4816</c:v>
                </c:pt>
                <c:pt idx="6">
                  <c:v>4984</c:v>
                </c:pt>
                <c:pt idx="7">
                  <c:v>5031.5</c:v>
                </c:pt>
                <c:pt idx="8">
                  <c:v>5104.5</c:v>
                </c:pt>
                <c:pt idx="9">
                  <c:v>5174</c:v>
                </c:pt>
                <c:pt idx="10">
                  <c:v>4911</c:v>
                </c:pt>
                <c:pt idx="11">
                  <c:v>5391</c:v>
                </c:pt>
                <c:pt idx="12">
                  <c:v>5495</c:v>
                </c:pt>
                <c:pt idx="13">
                  <c:v>5717.9666666666672</c:v>
                </c:pt>
                <c:pt idx="14">
                  <c:v>5764.333333333333</c:v>
                </c:pt>
                <c:pt idx="15">
                  <c:v>5982.8640000000005</c:v>
                </c:pt>
                <c:pt idx="16">
                  <c:v>5429.8910000000005</c:v>
                </c:pt>
                <c:pt idx="17">
                  <c:v>5530.1380000000008</c:v>
                </c:pt>
                <c:pt idx="18">
                  <c:v>5569.3809999999994</c:v>
                </c:pt>
                <c:pt idx="19">
                  <c:v>5635.1399999999985</c:v>
                </c:pt>
                <c:pt idx="20">
                  <c:v>5743.9079999999994</c:v>
                </c:pt>
                <c:pt idx="21">
                  <c:v>5791.3860000000004</c:v>
                </c:pt>
                <c:pt idx="22">
                  <c:v>5767.6239999999998</c:v>
                </c:pt>
                <c:pt idx="23">
                  <c:v>5745.0240000000003</c:v>
                </c:pt>
                <c:pt idx="24">
                  <c:v>5845.0329999999994</c:v>
                </c:pt>
                <c:pt idx="25">
                  <c:v>5790.0969999999979</c:v>
                </c:pt>
                <c:pt idx="26">
                  <c:v>5781.018</c:v>
                </c:pt>
                <c:pt idx="27">
                  <c:v>5755.134</c:v>
                </c:pt>
                <c:pt idx="28">
                  <c:v>5746.6629999999986</c:v>
                </c:pt>
                <c:pt idx="29" formatCode="0">
                  <c:v>5731.9160000000002</c:v>
                </c:pt>
                <c:pt idx="30" formatCode="0">
                  <c:v>5714.6039999999994</c:v>
                </c:pt>
                <c:pt idx="31">
                  <c:v>5696.9069999999992</c:v>
                </c:pt>
                <c:pt idx="32" formatCode="_(* #,##0_);_(* \(#,##0\);_(* &quot;-&quot;??_);_(@_)">
                  <c:v>5754.6399999999994</c:v>
                </c:pt>
                <c:pt idx="33" formatCode="_(* #,##0_);_(* \(#,##0\);_(* &quot;-&quot;??_);_(@_)">
                  <c:v>5747.33</c:v>
                </c:pt>
              </c:numCache>
            </c:numRef>
          </c:val>
          <c:smooth val="0"/>
          <c:extLst>
            <c:ext xmlns:c16="http://schemas.microsoft.com/office/drawing/2014/chart" uri="{C3380CC4-5D6E-409C-BE32-E72D297353CC}">
              <c16:uniqueId val="{00000002-D78E-4553-93BF-F18D15B65E4E}"/>
            </c:ext>
          </c:extLst>
        </c:ser>
        <c:ser>
          <c:idx val="6"/>
          <c:order val="3"/>
          <c:tx>
            <c:strRef>
              <c:f>'NG Sum&amp;Distribution&amp;PostMeter'!$B$30</c:f>
              <c:strCache>
                <c:ptCount val="1"/>
                <c:pt idx="0">
                  <c:v>Cast or Wrought Iron</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Sum&amp;Distribution&amp;PostMeter'!$D$30:$AK$30</c:f>
              <c:numCache>
                <c:formatCode>#,##0</c:formatCode>
                <c:ptCount val="34"/>
                <c:pt idx="0">
                  <c:v>5155</c:v>
                </c:pt>
                <c:pt idx="1">
                  <c:v>5099</c:v>
                </c:pt>
                <c:pt idx="2">
                  <c:v>5017</c:v>
                </c:pt>
                <c:pt idx="3">
                  <c:v>4820</c:v>
                </c:pt>
                <c:pt idx="4">
                  <c:v>4903</c:v>
                </c:pt>
                <c:pt idx="5">
                  <c:v>4867</c:v>
                </c:pt>
                <c:pt idx="6">
                  <c:v>4798</c:v>
                </c:pt>
                <c:pt idx="7">
                  <c:v>4755</c:v>
                </c:pt>
                <c:pt idx="8">
                  <c:v>4715.5</c:v>
                </c:pt>
                <c:pt idx="9">
                  <c:v>4685</c:v>
                </c:pt>
                <c:pt idx="10">
                  <c:v>4574.5</c:v>
                </c:pt>
                <c:pt idx="11">
                  <c:v>4501</c:v>
                </c:pt>
                <c:pt idx="12">
                  <c:v>4440</c:v>
                </c:pt>
                <c:pt idx="13">
                  <c:v>4405</c:v>
                </c:pt>
                <c:pt idx="14">
                  <c:v>4351.7439999999997</c:v>
                </c:pt>
                <c:pt idx="15">
                  <c:v>4292.402</c:v>
                </c:pt>
                <c:pt idx="16">
                  <c:v>4228.4610000000002</c:v>
                </c:pt>
                <c:pt idx="17">
                  <c:v>4184.7259999999997</c:v>
                </c:pt>
                <c:pt idx="18">
                  <c:v>4140.4629999999997</c:v>
                </c:pt>
                <c:pt idx="19">
                  <c:v>4066.4039999999995</c:v>
                </c:pt>
                <c:pt idx="20">
                  <c:v>3990.1370000000006</c:v>
                </c:pt>
                <c:pt idx="21">
                  <c:v>3901.2620000000006</c:v>
                </c:pt>
                <c:pt idx="22">
                  <c:v>3791.5729999999999</c:v>
                </c:pt>
                <c:pt idx="23">
                  <c:v>3691.1470000000008</c:v>
                </c:pt>
                <c:pt idx="24">
                  <c:v>3433.2250000000004</c:v>
                </c:pt>
                <c:pt idx="25">
                  <c:v>3315.1860000000001</c:v>
                </c:pt>
                <c:pt idx="26">
                  <c:v>3193.5120000000002</c:v>
                </c:pt>
                <c:pt idx="27">
                  <c:v>3049.1059999999998</c:v>
                </c:pt>
                <c:pt idx="28">
                  <c:v>2925.4759999999997</c:v>
                </c:pt>
                <c:pt idx="29">
                  <c:v>2808.6909999999998</c:v>
                </c:pt>
                <c:pt idx="30">
                  <c:v>2712.5239999999999</c:v>
                </c:pt>
                <c:pt idx="31">
                  <c:v>2560.4329999999995</c:v>
                </c:pt>
                <c:pt idx="32" formatCode="_(* #,##0_);_(* \(#,##0\);_(* &quot;-&quot;??_);_(@_)">
                  <c:v>2413.442</c:v>
                </c:pt>
                <c:pt idx="33" formatCode="_(* #,##0_);_(* \(#,##0\);_(* &quot;-&quot;??_);_(@_)">
                  <c:v>2265.7069999999999</c:v>
                </c:pt>
              </c:numCache>
            </c:numRef>
          </c:val>
          <c:smooth val="0"/>
          <c:extLst>
            <c:ext xmlns:c16="http://schemas.microsoft.com/office/drawing/2014/chart" uri="{C3380CC4-5D6E-409C-BE32-E72D297353CC}">
              <c16:uniqueId val="{00000003-D78E-4553-93BF-F18D15B65E4E}"/>
            </c:ext>
          </c:extLst>
        </c:ser>
        <c:ser>
          <c:idx val="1"/>
          <c:order val="4"/>
          <c:tx>
            <c:strRef>
              <c:f>'NG Sum&amp;Distribution&amp;PostMeter'!$B$25</c:f>
              <c:strCache>
                <c:ptCount val="1"/>
                <c:pt idx="0">
                  <c:v>Steel, Cathodically Unprotected and Uncoated</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Sum&amp;Distribution&amp;PostMeter'!$D$25:$AK$25</c:f>
              <c:numCache>
                <c:formatCode>#,##0</c:formatCode>
                <c:ptCount val="34"/>
                <c:pt idx="0">
                  <c:v>2784</c:v>
                </c:pt>
                <c:pt idx="1">
                  <c:v>2737</c:v>
                </c:pt>
                <c:pt idx="2">
                  <c:v>2648</c:v>
                </c:pt>
                <c:pt idx="3">
                  <c:v>2588</c:v>
                </c:pt>
                <c:pt idx="4">
                  <c:v>2529</c:v>
                </c:pt>
                <c:pt idx="5">
                  <c:v>2481</c:v>
                </c:pt>
                <c:pt idx="6">
                  <c:v>2436</c:v>
                </c:pt>
                <c:pt idx="7">
                  <c:v>2393.5</c:v>
                </c:pt>
                <c:pt idx="8">
                  <c:v>2349</c:v>
                </c:pt>
                <c:pt idx="9">
                  <c:v>2329</c:v>
                </c:pt>
                <c:pt idx="10">
                  <c:v>2603.5</c:v>
                </c:pt>
                <c:pt idx="11">
                  <c:v>2398</c:v>
                </c:pt>
                <c:pt idx="12">
                  <c:v>2421</c:v>
                </c:pt>
                <c:pt idx="13">
                  <c:v>2329</c:v>
                </c:pt>
                <c:pt idx="14">
                  <c:v>2271.9870000000001</c:v>
                </c:pt>
                <c:pt idx="15">
                  <c:v>2174.9859999999999</c:v>
                </c:pt>
                <c:pt idx="16">
                  <c:v>2125.0189999999998</c:v>
                </c:pt>
                <c:pt idx="17">
                  <c:v>2054.0549999999998</c:v>
                </c:pt>
                <c:pt idx="18">
                  <c:v>1988.9559999999999</c:v>
                </c:pt>
                <c:pt idx="19">
                  <c:v>1913.8189999999997</c:v>
                </c:pt>
                <c:pt idx="20">
                  <c:v>1839.1949999999997</c:v>
                </c:pt>
                <c:pt idx="21">
                  <c:v>1746.3110000000001</c:v>
                </c:pt>
                <c:pt idx="22">
                  <c:v>1622.2090000000001</c:v>
                </c:pt>
                <c:pt idx="23">
                  <c:v>1538.5670000000002</c:v>
                </c:pt>
                <c:pt idx="24">
                  <c:v>1487.05</c:v>
                </c:pt>
                <c:pt idx="25">
                  <c:v>1417.8520000000003</c:v>
                </c:pt>
                <c:pt idx="26">
                  <c:v>1317.1020000000001</c:v>
                </c:pt>
                <c:pt idx="27">
                  <c:v>1206.0239999999999</c:v>
                </c:pt>
                <c:pt idx="28">
                  <c:v>1145.8670000000002</c:v>
                </c:pt>
                <c:pt idx="29">
                  <c:v>1077.4349999999999</c:v>
                </c:pt>
                <c:pt idx="30">
                  <c:v>1011.423</c:v>
                </c:pt>
                <c:pt idx="31">
                  <c:v>934.69400000000007</c:v>
                </c:pt>
                <c:pt idx="32" formatCode="_(* #,##0_);_(* \(#,##0\);_(* &quot;-&quot;??_);_(@_)">
                  <c:v>931.7120000000001</c:v>
                </c:pt>
                <c:pt idx="33" formatCode="_(* #,##0_);_(* \(#,##0\);_(* &quot;-&quot;??_);_(@_)">
                  <c:v>848.0619999999999</c:v>
                </c:pt>
              </c:numCache>
            </c:numRef>
          </c:val>
          <c:smooth val="0"/>
          <c:extLst>
            <c:ext xmlns:c16="http://schemas.microsoft.com/office/drawing/2014/chart" uri="{C3380CC4-5D6E-409C-BE32-E72D297353CC}">
              <c16:uniqueId val="{00000004-D78E-4553-93BF-F18D15B65E4E}"/>
            </c:ext>
          </c:extLst>
        </c:ser>
        <c:ser>
          <c:idx val="2"/>
          <c:order val="5"/>
          <c:tx>
            <c:strRef>
              <c:f>'NG Sum&amp;Distribution&amp;PostMeter'!$B$26</c:f>
              <c:strCache>
                <c:ptCount val="1"/>
                <c:pt idx="0">
                  <c:v>Steel, Cathodically Unprotected and Coated</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Sum&amp;Distribution&amp;PostMeter'!$D$26:$AK$26</c:f>
              <c:numCache>
                <c:formatCode>#,##0</c:formatCode>
                <c:ptCount val="34"/>
                <c:pt idx="0">
                  <c:v>2888</c:v>
                </c:pt>
                <c:pt idx="1">
                  <c:v>2806</c:v>
                </c:pt>
                <c:pt idx="2">
                  <c:v>2754</c:v>
                </c:pt>
                <c:pt idx="3">
                  <c:v>2669</c:v>
                </c:pt>
                <c:pt idx="4">
                  <c:v>2580</c:v>
                </c:pt>
                <c:pt idx="5">
                  <c:v>2512</c:v>
                </c:pt>
                <c:pt idx="6">
                  <c:v>2351</c:v>
                </c:pt>
                <c:pt idx="7">
                  <c:v>2312.5</c:v>
                </c:pt>
                <c:pt idx="8">
                  <c:v>2252.5</c:v>
                </c:pt>
                <c:pt idx="9">
                  <c:v>2173</c:v>
                </c:pt>
                <c:pt idx="10">
                  <c:v>2118</c:v>
                </c:pt>
                <c:pt idx="11">
                  <c:v>1637</c:v>
                </c:pt>
                <c:pt idx="12">
                  <c:v>1425</c:v>
                </c:pt>
                <c:pt idx="13">
                  <c:v>1256.3333333333333</c:v>
                </c:pt>
                <c:pt idx="14">
                  <c:v>1233.9366666666667</c:v>
                </c:pt>
                <c:pt idx="15">
                  <c:v>1015.2810000000001</c:v>
                </c:pt>
                <c:pt idx="16">
                  <c:v>1510.3520000000001</c:v>
                </c:pt>
                <c:pt idx="17">
                  <c:v>1410.135</c:v>
                </c:pt>
                <c:pt idx="18">
                  <c:v>1376.232</c:v>
                </c:pt>
                <c:pt idx="19">
                  <c:v>1318.5780000000002</c:v>
                </c:pt>
                <c:pt idx="20">
                  <c:v>1241.2710000000002</c:v>
                </c:pt>
                <c:pt idx="21">
                  <c:v>1160.97</c:v>
                </c:pt>
                <c:pt idx="22">
                  <c:v>1162.8399999999999</c:v>
                </c:pt>
                <c:pt idx="23">
                  <c:v>1149.636</c:v>
                </c:pt>
                <c:pt idx="24">
                  <c:v>1116.9070000000002</c:v>
                </c:pt>
                <c:pt idx="25">
                  <c:v>1113.386</c:v>
                </c:pt>
                <c:pt idx="26">
                  <c:v>1091.992</c:v>
                </c:pt>
                <c:pt idx="27">
                  <c:v>1045.3530000000001</c:v>
                </c:pt>
                <c:pt idx="28">
                  <c:v>1011.107</c:v>
                </c:pt>
                <c:pt idx="29">
                  <c:v>978.54300000000012</c:v>
                </c:pt>
                <c:pt idx="30">
                  <c:v>959.04899999999998</c:v>
                </c:pt>
                <c:pt idx="31">
                  <c:v>911.46399999999994</c:v>
                </c:pt>
                <c:pt idx="32" formatCode="_(* #,##0_);_(* \(#,##0\);_(* &quot;-&quot;??_);_(@_)">
                  <c:v>897.91599999999994</c:v>
                </c:pt>
                <c:pt idx="33" formatCode="_(* #,##0_);_(* \(#,##0\);_(* &quot;-&quot;??_);_(@_)">
                  <c:v>866.52799999999991</c:v>
                </c:pt>
              </c:numCache>
            </c:numRef>
          </c:val>
          <c:smooth val="0"/>
          <c:extLst>
            <c:ext xmlns:c16="http://schemas.microsoft.com/office/drawing/2014/chart" uri="{C3380CC4-5D6E-409C-BE32-E72D297353CC}">
              <c16:uniqueId val="{00000005-D78E-4553-93BF-F18D15B65E4E}"/>
            </c:ext>
          </c:extLst>
        </c:ser>
        <c:ser>
          <c:idx val="3"/>
          <c:order val="6"/>
          <c:tx>
            <c:strRef>
              <c:f>'NG Sum&amp;Distribution&amp;PostMeter'!$B$27</c:f>
              <c:strCache>
                <c:ptCount val="1"/>
                <c:pt idx="0">
                  <c:v>Steel, Cathodically Protected and Uncoated</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Sum&amp;Distribution&amp;PostMeter'!$D$27:$AK$27</c:f>
              <c:numCache>
                <c:formatCode>#,##0</c:formatCode>
                <c:ptCount val="34"/>
                <c:pt idx="0">
                  <c:v>53</c:v>
                </c:pt>
                <c:pt idx="1">
                  <c:v>52</c:v>
                </c:pt>
                <c:pt idx="2">
                  <c:v>52</c:v>
                </c:pt>
                <c:pt idx="3">
                  <c:v>52</c:v>
                </c:pt>
                <c:pt idx="4">
                  <c:v>50</c:v>
                </c:pt>
                <c:pt idx="5">
                  <c:v>50</c:v>
                </c:pt>
                <c:pt idx="6">
                  <c:v>50</c:v>
                </c:pt>
                <c:pt idx="7">
                  <c:v>50</c:v>
                </c:pt>
                <c:pt idx="8">
                  <c:v>50</c:v>
                </c:pt>
                <c:pt idx="9">
                  <c:v>48</c:v>
                </c:pt>
                <c:pt idx="10">
                  <c:v>48</c:v>
                </c:pt>
                <c:pt idx="11">
                  <c:v>225</c:v>
                </c:pt>
                <c:pt idx="12">
                  <c:v>255</c:v>
                </c:pt>
                <c:pt idx="13">
                  <c:v>235</c:v>
                </c:pt>
                <c:pt idx="14">
                  <c:v>240.79999999999998</c:v>
                </c:pt>
                <c:pt idx="15">
                  <c:v>242.47</c:v>
                </c:pt>
                <c:pt idx="16">
                  <c:v>198.40800000000002</c:v>
                </c:pt>
                <c:pt idx="17">
                  <c:v>198.09100000000001</c:v>
                </c:pt>
                <c:pt idx="18">
                  <c:v>191.47200000000001</c:v>
                </c:pt>
                <c:pt idx="19">
                  <c:v>188.91399999999999</c:v>
                </c:pt>
                <c:pt idx="20">
                  <c:v>165.92699999999999</c:v>
                </c:pt>
                <c:pt idx="21">
                  <c:v>155.69699999999997</c:v>
                </c:pt>
                <c:pt idx="22">
                  <c:v>157.58000000000001</c:v>
                </c:pt>
                <c:pt idx="23">
                  <c:v>159.25200000000001</c:v>
                </c:pt>
                <c:pt idx="24">
                  <c:v>151.28700000000001</c:v>
                </c:pt>
                <c:pt idx="25">
                  <c:v>148.55199999999999</c:v>
                </c:pt>
                <c:pt idx="26">
                  <c:v>144.97399999999999</c:v>
                </c:pt>
                <c:pt idx="27">
                  <c:v>143.11500000000001</c:v>
                </c:pt>
                <c:pt idx="28">
                  <c:v>142.08099999999999</c:v>
                </c:pt>
                <c:pt idx="29">
                  <c:v>140.32300000000001</c:v>
                </c:pt>
                <c:pt idx="30">
                  <c:v>138.964</c:v>
                </c:pt>
                <c:pt idx="31">
                  <c:v>133.476</c:v>
                </c:pt>
                <c:pt idx="32" formatCode="_(* #,##0_);_(* \(#,##0\);_(* &quot;-&quot;??_);_(@_)">
                  <c:v>0</c:v>
                </c:pt>
                <c:pt idx="33" formatCode="_(* #,##0_);_(* \(#,##0\);_(* &quot;-&quot;??_);_(@_)">
                  <c:v>0</c:v>
                </c:pt>
              </c:numCache>
            </c:numRef>
          </c:val>
          <c:smooth val="0"/>
          <c:extLst>
            <c:ext xmlns:c16="http://schemas.microsoft.com/office/drawing/2014/chart" uri="{C3380CC4-5D6E-409C-BE32-E72D297353CC}">
              <c16:uniqueId val="{00000006-D78E-4553-93BF-F18D15B65E4E}"/>
            </c:ext>
          </c:extLst>
        </c:ser>
        <c:ser>
          <c:idx val="7"/>
          <c:order val="7"/>
          <c:tx>
            <c:strRef>
              <c:f>'NG Sum&amp;Distribution&amp;PostMeter'!$B$31</c:f>
              <c:strCache>
                <c:ptCount val="1"/>
                <c:pt idx="0">
                  <c:v>Ductile Iron</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Sum&amp;Distribution&amp;PostMeter'!$D$31:$AI$31</c:f>
              <c:numCache>
                <c:formatCode>#,##0</c:formatCode>
                <c:ptCount val="32"/>
                <c:pt idx="0">
                  <c:v>13</c:v>
                </c:pt>
                <c:pt idx="1">
                  <c:v>13</c:v>
                </c:pt>
                <c:pt idx="2">
                  <c:v>13</c:v>
                </c:pt>
                <c:pt idx="3">
                  <c:v>13</c:v>
                </c:pt>
                <c:pt idx="4">
                  <c:v>13</c:v>
                </c:pt>
                <c:pt idx="5">
                  <c:v>13</c:v>
                </c:pt>
                <c:pt idx="6">
                  <c:v>13</c:v>
                </c:pt>
                <c:pt idx="7">
                  <c:v>13</c:v>
                </c:pt>
                <c:pt idx="8">
                  <c:v>13</c:v>
                </c:pt>
                <c:pt idx="9">
                  <c:v>13</c:v>
                </c:pt>
                <c:pt idx="10">
                  <c:v>13</c:v>
                </c:pt>
                <c:pt idx="11">
                  <c:v>3</c:v>
                </c:pt>
                <c:pt idx="12">
                  <c:v>3</c:v>
                </c:pt>
                <c:pt idx="13">
                  <c:v>3</c:v>
                </c:pt>
                <c:pt idx="14">
                  <c:v>3</c:v>
                </c:pt>
                <c:pt idx="15">
                  <c:v>3</c:v>
                </c:pt>
                <c:pt idx="16">
                  <c:v>2</c:v>
                </c:pt>
                <c:pt idx="17">
                  <c:v>1.9</c:v>
                </c:pt>
                <c:pt idx="18">
                  <c:v>1.92</c:v>
                </c:pt>
                <c:pt idx="19">
                  <c:v>1.92</c:v>
                </c:pt>
                <c:pt idx="20">
                  <c:v>1.9</c:v>
                </c:pt>
                <c:pt idx="21">
                  <c:v>1.89</c:v>
                </c:pt>
                <c:pt idx="22">
                  <c:v>1.89</c:v>
                </c:pt>
                <c:pt idx="23">
                  <c:v>1.1000000000000001</c:v>
                </c:pt>
                <c:pt idx="24">
                  <c:v>1.54</c:v>
                </c:pt>
                <c:pt idx="25">
                  <c:v>1.8</c:v>
                </c:pt>
                <c:pt idx="26">
                  <c:v>1.8</c:v>
                </c:pt>
                <c:pt idx="27">
                  <c:v>1.37</c:v>
                </c:pt>
                <c:pt idx="28">
                  <c:v>1.36</c:v>
                </c:pt>
                <c:pt idx="29">
                  <c:v>1.47</c:v>
                </c:pt>
                <c:pt idx="30">
                  <c:v>1.1000000000000001</c:v>
                </c:pt>
                <c:pt idx="31">
                  <c:v>1.07</c:v>
                </c:pt>
              </c:numCache>
            </c:numRef>
          </c:val>
          <c:smooth val="0"/>
          <c:extLst>
            <c:ext xmlns:c16="http://schemas.microsoft.com/office/drawing/2014/chart" uri="{C3380CC4-5D6E-409C-BE32-E72D297353CC}">
              <c16:uniqueId val="{00000007-D78E-4553-93BF-F18D15B65E4E}"/>
            </c:ext>
          </c:extLst>
        </c:ser>
        <c:ser>
          <c:idx val="8"/>
          <c:order val="8"/>
          <c:tx>
            <c:strRef>
              <c:f>'NG Sum&amp;Distribution&amp;PostMeter'!$B$32</c:f>
              <c:strCache>
                <c:ptCount val="1"/>
                <c:pt idx="0">
                  <c:v>Copper</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Sum&amp;Distribution&amp;PostMeter'!$D$32:$AI$32</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2</c:v>
                </c:pt>
                <c:pt idx="13">
                  <c:v>0</c:v>
                </c:pt>
                <c:pt idx="14">
                  <c:v>0</c:v>
                </c:pt>
                <c:pt idx="15">
                  <c:v>0</c:v>
                </c:pt>
                <c:pt idx="16">
                  <c:v>5.8999999999999997E-2</c:v>
                </c:pt>
                <c:pt idx="17">
                  <c:v>5.8999999999999997E-2</c:v>
                </c:pt>
                <c:pt idx="18">
                  <c:v>4.2999999999999997E-2</c:v>
                </c:pt>
                <c:pt idx="19">
                  <c:v>4.2999999999999997E-2</c:v>
                </c:pt>
                <c:pt idx="20">
                  <c:v>6.5000000000000002E-2</c:v>
                </c:pt>
                <c:pt idx="21">
                  <c:v>6.5000000000000002E-2</c:v>
                </c:pt>
                <c:pt idx="22">
                  <c:v>6.5000000000000002E-2</c:v>
                </c:pt>
                <c:pt idx="23">
                  <c:v>3.9E-2</c:v>
                </c:pt>
                <c:pt idx="24">
                  <c:v>0.06</c:v>
                </c:pt>
                <c:pt idx="25">
                  <c:v>0.06</c:v>
                </c:pt>
                <c:pt idx="26">
                  <c:v>0.06</c:v>
                </c:pt>
                <c:pt idx="27">
                  <c:v>0.06</c:v>
                </c:pt>
                <c:pt idx="28">
                  <c:v>2.8000000000000001E-2</c:v>
                </c:pt>
                <c:pt idx="29">
                  <c:v>1.7000000000000001E-2</c:v>
                </c:pt>
                <c:pt idx="30">
                  <c:v>1.7000000000000001E-2</c:v>
                </c:pt>
                <c:pt idx="31">
                  <c:v>1.7000000000000001E-2</c:v>
                </c:pt>
              </c:numCache>
            </c:numRef>
          </c:val>
          <c:smooth val="0"/>
          <c:extLst>
            <c:ext xmlns:c16="http://schemas.microsoft.com/office/drawing/2014/chart" uri="{C3380CC4-5D6E-409C-BE32-E72D297353CC}">
              <c16:uniqueId val="{00000008-D78E-4553-93BF-F18D15B65E4E}"/>
            </c:ext>
          </c:extLst>
        </c:ser>
        <c:ser>
          <c:idx val="9"/>
          <c:order val="9"/>
          <c:tx>
            <c:strRef>
              <c:f>'NG Sum&amp;Distribution&amp;PostMeter'!$B$33</c:f>
              <c:strCache>
                <c:ptCount val="1"/>
                <c:pt idx="0">
                  <c:v>Other</c:v>
                </c:pt>
              </c:strCache>
            </c:strRef>
          </c:tx>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Sum&amp;Distribution&amp;PostMeter'!$D$33:$AJ$33</c:f>
              <c:numCache>
                <c:formatCode>#,##0</c:formatCode>
                <c:ptCount val="33"/>
                <c:pt idx="0">
                  <c:v>0</c:v>
                </c:pt>
                <c:pt idx="1">
                  <c:v>0</c:v>
                </c:pt>
                <c:pt idx="2">
                  <c:v>0</c:v>
                </c:pt>
                <c:pt idx="3">
                  <c:v>0</c:v>
                </c:pt>
                <c:pt idx="4">
                  <c:v>0</c:v>
                </c:pt>
                <c:pt idx="5">
                  <c:v>0</c:v>
                </c:pt>
                <c:pt idx="6">
                  <c:v>0</c:v>
                </c:pt>
                <c:pt idx="7">
                  <c:v>4</c:v>
                </c:pt>
                <c:pt idx="8">
                  <c:v>3</c:v>
                </c:pt>
                <c:pt idx="9">
                  <c:v>0</c:v>
                </c:pt>
                <c:pt idx="10">
                  <c:v>0</c:v>
                </c:pt>
                <c:pt idx="11">
                  <c:v>9</c:v>
                </c:pt>
                <c:pt idx="12">
                  <c:v>55</c:v>
                </c:pt>
                <c:pt idx="13">
                  <c:v>9.1333300000000008</c:v>
                </c:pt>
                <c:pt idx="14">
                  <c:v>17.187670000000001</c:v>
                </c:pt>
                <c:pt idx="15">
                  <c:v>1.532</c:v>
                </c:pt>
                <c:pt idx="16">
                  <c:v>0.128</c:v>
                </c:pt>
                <c:pt idx="17">
                  <c:v>0</c:v>
                </c:pt>
                <c:pt idx="18">
                  <c:v>2.2000000000000002</c:v>
                </c:pt>
                <c:pt idx="19">
                  <c:v>0</c:v>
                </c:pt>
                <c:pt idx="20">
                  <c:v>0</c:v>
                </c:pt>
                <c:pt idx="21">
                  <c:v>0</c:v>
                </c:pt>
                <c:pt idx="22">
                  <c:v>0</c:v>
                </c:pt>
                <c:pt idx="23">
                  <c:v>0.64</c:v>
                </c:pt>
                <c:pt idx="24">
                  <c:v>0.8</c:v>
                </c:pt>
                <c:pt idx="25">
                  <c:v>0.8</c:v>
                </c:pt>
                <c:pt idx="26">
                  <c:v>0.8</c:v>
                </c:pt>
                <c:pt idx="27">
                  <c:v>0.80100000000000005</c:v>
                </c:pt>
                <c:pt idx="28">
                  <c:v>0.80100000000000005</c:v>
                </c:pt>
                <c:pt idx="29">
                  <c:v>0.70099999999999996</c:v>
                </c:pt>
                <c:pt idx="30">
                  <c:v>0.70099999999999996</c:v>
                </c:pt>
                <c:pt idx="31">
                  <c:v>0.7</c:v>
                </c:pt>
                <c:pt idx="32" formatCode="_(* #,##0_);_(* \(#,##0\);_(* &quot;-&quot;??_);_(@_)">
                  <c:v>0.7</c:v>
                </c:pt>
              </c:numCache>
            </c:numRef>
          </c:val>
          <c:smooth val="0"/>
          <c:extLst>
            <c:ext xmlns:c16="http://schemas.microsoft.com/office/drawing/2014/chart" uri="{C3380CC4-5D6E-409C-BE32-E72D297353CC}">
              <c16:uniqueId val="{00000009-D78E-4553-93BF-F18D15B65E4E}"/>
            </c:ext>
          </c:extLst>
        </c:ser>
        <c:dLbls>
          <c:showLegendKey val="0"/>
          <c:showVal val="0"/>
          <c:showCatName val="0"/>
          <c:showSerName val="0"/>
          <c:showPercent val="0"/>
          <c:showBubbleSize val="0"/>
        </c:dLbls>
        <c:smooth val="0"/>
        <c:axId val="79964032"/>
        <c:axId val="79965568"/>
      </c:lineChart>
      <c:catAx>
        <c:axId val="7996403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79965568"/>
        <c:crosses val="autoZero"/>
        <c:auto val="1"/>
        <c:lblAlgn val="ctr"/>
        <c:lblOffset val="100"/>
        <c:noMultiLvlLbl val="0"/>
      </c:catAx>
      <c:valAx>
        <c:axId val="79965568"/>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9964032"/>
        <c:crosses val="autoZero"/>
        <c:crossBetween val="midCat"/>
      </c:valAx>
    </c:plotArea>
    <c:legend>
      <c:legendPos val="r"/>
      <c:layout>
        <c:manualLayout>
          <c:xMode val="edge"/>
          <c:yMode val="edge"/>
          <c:x val="0.78820395888014005"/>
          <c:y val="2.3363825083994677E-2"/>
          <c:w val="0.19566688538932631"/>
          <c:h val="0.96947387493723047"/>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Number of Services</a:t>
            </a:r>
          </a:p>
        </c:rich>
      </c:tx>
      <c:layout>
        <c:manualLayout>
          <c:xMode val="edge"/>
          <c:yMode val="edge"/>
          <c:x val="0.34093431182053674"/>
          <c:y val="2.943525344793781E-2"/>
        </c:manualLayout>
      </c:layout>
      <c:overlay val="0"/>
    </c:title>
    <c:autoTitleDeleted val="0"/>
    <c:plotArea>
      <c:layout/>
      <c:lineChart>
        <c:grouping val="standard"/>
        <c:varyColors val="0"/>
        <c:ser>
          <c:idx val="9"/>
          <c:order val="0"/>
          <c:tx>
            <c:strRef>
              <c:f>'NG Sum&amp;Distribution&amp;PostMeter'!$B$46</c:f>
              <c:strCache>
                <c:ptCount val="1"/>
                <c:pt idx="0">
                  <c:v>Total</c:v>
                </c:pt>
              </c:strCache>
            </c:strRef>
          </c:tx>
          <c:spPr>
            <a:ln>
              <a:solidFill>
                <a:schemeClr val="accent5">
                  <a:lumMod val="60000"/>
                  <a:lumOff val="4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Sum&amp;Distribution&amp;PostMeter'!$D$46:$AK$46</c:f>
              <c:numCache>
                <c:formatCode>#,##0</c:formatCode>
                <c:ptCount val="34"/>
                <c:pt idx="0">
                  <c:v>984898</c:v>
                </c:pt>
                <c:pt idx="1">
                  <c:v>993135</c:v>
                </c:pt>
                <c:pt idx="2">
                  <c:v>1006923</c:v>
                </c:pt>
                <c:pt idx="3">
                  <c:v>1014015</c:v>
                </c:pt>
                <c:pt idx="4">
                  <c:v>1028049</c:v>
                </c:pt>
                <c:pt idx="5">
                  <c:v>1045460</c:v>
                </c:pt>
                <c:pt idx="6">
                  <c:v>1053778</c:v>
                </c:pt>
                <c:pt idx="7">
                  <c:v>1069958</c:v>
                </c:pt>
                <c:pt idx="8">
                  <c:v>1089671</c:v>
                </c:pt>
                <c:pt idx="9">
                  <c:v>1103363</c:v>
                </c:pt>
                <c:pt idx="10">
                  <c:v>1191103</c:v>
                </c:pt>
                <c:pt idx="11">
                  <c:v>1203684</c:v>
                </c:pt>
                <c:pt idx="12">
                  <c:v>1233685</c:v>
                </c:pt>
                <c:pt idx="13">
                  <c:v>1246447.6666666665</c:v>
                </c:pt>
                <c:pt idx="14">
                  <c:v>1255373.3333333335</c:v>
                </c:pt>
                <c:pt idx="15">
                  <c:v>1224377.5</c:v>
                </c:pt>
                <c:pt idx="16">
                  <c:v>1222457</c:v>
                </c:pt>
                <c:pt idx="17">
                  <c:v>1230363</c:v>
                </c:pt>
                <c:pt idx="18">
                  <c:v>1240586</c:v>
                </c:pt>
                <c:pt idx="19">
                  <c:v>1245332</c:v>
                </c:pt>
                <c:pt idx="20">
                  <c:v>1245850</c:v>
                </c:pt>
                <c:pt idx="21">
                  <c:v>1252018</c:v>
                </c:pt>
                <c:pt idx="22">
                  <c:v>1265696</c:v>
                </c:pt>
                <c:pt idx="23">
                  <c:v>1281569</c:v>
                </c:pt>
                <c:pt idx="24">
                  <c:v>1295096</c:v>
                </c:pt>
                <c:pt idx="25">
                  <c:v>1309474</c:v>
                </c:pt>
                <c:pt idx="26">
                  <c:v>1323581</c:v>
                </c:pt>
                <c:pt idx="27">
                  <c:v>1336678</c:v>
                </c:pt>
                <c:pt idx="28">
                  <c:v>1348782</c:v>
                </c:pt>
                <c:pt idx="29">
                  <c:v>1352943</c:v>
                </c:pt>
                <c:pt idx="30">
                  <c:v>1361430</c:v>
                </c:pt>
                <c:pt idx="31">
                  <c:v>1368087</c:v>
                </c:pt>
                <c:pt idx="32">
                  <c:v>1372770</c:v>
                </c:pt>
                <c:pt idx="33">
                  <c:v>1377734</c:v>
                </c:pt>
              </c:numCache>
            </c:numRef>
          </c:val>
          <c:smooth val="0"/>
          <c:extLst>
            <c:ext xmlns:c16="http://schemas.microsoft.com/office/drawing/2014/chart" uri="{C3380CC4-5D6E-409C-BE32-E72D297353CC}">
              <c16:uniqueId val="{00000000-4654-448F-AD67-710A444FA33D}"/>
            </c:ext>
          </c:extLst>
        </c:ser>
        <c:ser>
          <c:idx val="4"/>
          <c:order val="1"/>
          <c:tx>
            <c:strRef>
              <c:f>'NG Sum&amp;Distribution&amp;PostMeter'!$B$41</c:f>
              <c:strCache>
                <c:ptCount val="1"/>
                <c:pt idx="0">
                  <c:v>Plastic</c:v>
                </c:pt>
              </c:strCache>
            </c:strRef>
          </c:tx>
          <c:spPr>
            <a:ln>
              <a:solidFill>
                <a:schemeClr val="accent6">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Sum&amp;Distribution&amp;PostMeter'!$D$41:$AK$41</c:f>
              <c:numCache>
                <c:formatCode>#,##0</c:formatCode>
                <c:ptCount val="34"/>
                <c:pt idx="0">
                  <c:v>236420</c:v>
                </c:pt>
                <c:pt idx="1">
                  <c:v>251027</c:v>
                </c:pt>
                <c:pt idx="2">
                  <c:v>276126</c:v>
                </c:pt>
                <c:pt idx="3">
                  <c:v>300166</c:v>
                </c:pt>
                <c:pt idx="4">
                  <c:v>328250</c:v>
                </c:pt>
                <c:pt idx="5">
                  <c:v>346910</c:v>
                </c:pt>
                <c:pt idx="6">
                  <c:v>375837</c:v>
                </c:pt>
                <c:pt idx="7">
                  <c:v>401255.5</c:v>
                </c:pt>
                <c:pt idx="8">
                  <c:v>429103</c:v>
                </c:pt>
                <c:pt idx="9">
                  <c:v>449591</c:v>
                </c:pt>
                <c:pt idx="10">
                  <c:v>477157</c:v>
                </c:pt>
                <c:pt idx="11">
                  <c:v>498936</c:v>
                </c:pt>
                <c:pt idx="12">
                  <c:v>522779</c:v>
                </c:pt>
                <c:pt idx="13">
                  <c:v>544690.66666666663</c:v>
                </c:pt>
                <c:pt idx="14">
                  <c:v>540562.33333333337</c:v>
                </c:pt>
                <c:pt idx="15">
                  <c:v>574564.5</c:v>
                </c:pt>
                <c:pt idx="16">
                  <c:v>607804</c:v>
                </c:pt>
                <c:pt idx="17">
                  <c:v>627558</c:v>
                </c:pt>
                <c:pt idx="18">
                  <c:v>647922</c:v>
                </c:pt>
                <c:pt idx="19">
                  <c:v>669488</c:v>
                </c:pt>
                <c:pt idx="20">
                  <c:v>692751</c:v>
                </c:pt>
                <c:pt idx="21">
                  <c:v>711267</c:v>
                </c:pt>
                <c:pt idx="22">
                  <c:v>741775</c:v>
                </c:pt>
                <c:pt idx="23">
                  <c:v>771079</c:v>
                </c:pt>
                <c:pt idx="24">
                  <c:v>796643</c:v>
                </c:pt>
                <c:pt idx="25">
                  <c:v>821281</c:v>
                </c:pt>
                <c:pt idx="26">
                  <c:v>843550</c:v>
                </c:pt>
                <c:pt idx="27">
                  <c:v>874717</c:v>
                </c:pt>
                <c:pt idx="28">
                  <c:v>896013</c:v>
                </c:pt>
                <c:pt idx="29">
                  <c:v>920789</c:v>
                </c:pt>
                <c:pt idx="30" formatCode="General">
                  <c:v>934887</c:v>
                </c:pt>
                <c:pt idx="31" formatCode="General">
                  <c:v>955878</c:v>
                </c:pt>
                <c:pt idx="32" formatCode="General">
                  <c:v>974004</c:v>
                </c:pt>
                <c:pt idx="33" formatCode="General">
                  <c:v>990794</c:v>
                </c:pt>
              </c:numCache>
            </c:numRef>
          </c:val>
          <c:smooth val="0"/>
          <c:extLst>
            <c:ext xmlns:c16="http://schemas.microsoft.com/office/drawing/2014/chart" uri="{C3380CC4-5D6E-409C-BE32-E72D297353CC}">
              <c16:uniqueId val="{00000001-4654-448F-AD67-710A444FA33D}"/>
            </c:ext>
          </c:extLst>
        </c:ser>
        <c:ser>
          <c:idx val="0"/>
          <c:order val="2"/>
          <c:tx>
            <c:strRef>
              <c:f>'NG Sum&amp;Distribution&amp;PostMeter'!$B$37</c:f>
              <c:strCache>
                <c:ptCount val="1"/>
                <c:pt idx="0">
                  <c:v>Steel, Cathodically Unprotected and Uncoated</c:v>
                </c:pt>
              </c:strCache>
            </c:strRef>
          </c:tx>
          <c:spPr>
            <a:ln>
              <a:solidFill>
                <a:schemeClr val="accent2">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Sum&amp;Distribution&amp;PostMeter'!$D$37:$AK$37</c:f>
              <c:numCache>
                <c:formatCode>#,##0</c:formatCode>
                <c:ptCount val="34"/>
                <c:pt idx="0">
                  <c:v>475349</c:v>
                </c:pt>
                <c:pt idx="1">
                  <c:v>467092</c:v>
                </c:pt>
                <c:pt idx="2">
                  <c:v>453146</c:v>
                </c:pt>
                <c:pt idx="3">
                  <c:v>443269</c:v>
                </c:pt>
                <c:pt idx="4">
                  <c:v>427591</c:v>
                </c:pt>
                <c:pt idx="5">
                  <c:v>428012</c:v>
                </c:pt>
                <c:pt idx="6">
                  <c:v>415460</c:v>
                </c:pt>
                <c:pt idx="7">
                  <c:v>409520</c:v>
                </c:pt>
                <c:pt idx="8">
                  <c:v>403511</c:v>
                </c:pt>
                <c:pt idx="9">
                  <c:v>398751</c:v>
                </c:pt>
                <c:pt idx="10">
                  <c:v>316403</c:v>
                </c:pt>
                <c:pt idx="11">
                  <c:v>309921</c:v>
                </c:pt>
                <c:pt idx="12">
                  <c:v>306301</c:v>
                </c:pt>
                <c:pt idx="13">
                  <c:v>299705</c:v>
                </c:pt>
                <c:pt idx="14">
                  <c:v>220649</c:v>
                </c:pt>
                <c:pt idx="15">
                  <c:v>217206</c:v>
                </c:pt>
                <c:pt idx="16">
                  <c:v>225174</c:v>
                </c:pt>
                <c:pt idx="17">
                  <c:v>220927</c:v>
                </c:pt>
                <c:pt idx="18">
                  <c:v>215059</c:v>
                </c:pt>
                <c:pt idx="19">
                  <c:v>207260</c:v>
                </c:pt>
                <c:pt idx="20">
                  <c:v>200732</c:v>
                </c:pt>
                <c:pt idx="21">
                  <c:v>200899</c:v>
                </c:pt>
                <c:pt idx="22">
                  <c:v>192355</c:v>
                </c:pt>
                <c:pt idx="23">
                  <c:v>188544</c:v>
                </c:pt>
                <c:pt idx="24">
                  <c:v>180608</c:v>
                </c:pt>
                <c:pt idx="25">
                  <c:v>172605</c:v>
                </c:pt>
                <c:pt idx="26">
                  <c:v>164402</c:v>
                </c:pt>
                <c:pt idx="27">
                  <c:v>155001</c:v>
                </c:pt>
                <c:pt idx="28">
                  <c:v>147064</c:v>
                </c:pt>
                <c:pt idx="29">
                  <c:v>140583</c:v>
                </c:pt>
                <c:pt idx="30" formatCode="General">
                  <c:v>137149</c:v>
                </c:pt>
                <c:pt idx="31" formatCode="General">
                  <c:v>130173</c:v>
                </c:pt>
                <c:pt idx="32" formatCode="General">
                  <c:v>122595</c:v>
                </c:pt>
                <c:pt idx="33" formatCode="General">
                  <c:v>115995</c:v>
                </c:pt>
              </c:numCache>
            </c:numRef>
          </c:val>
          <c:smooth val="0"/>
          <c:extLst>
            <c:ext xmlns:c16="http://schemas.microsoft.com/office/drawing/2014/chart" uri="{C3380CC4-5D6E-409C-BE32-E72D297353CC}">
              <c16:uniqueId val="{00000002-4654-448F-AD67-710A444FA33D}"/>
            </c:ext>
          </c:extLst>
        </c:ser>
        <c:ser>
          <c:idx val="3"/>
          <c:order val="3"/>
          <c:tx>
            <c:strRef>
              <c:f>'NG Sum&amp;Distribution&amp;PostMeter'!$B$40</c:f>
              <c:strCache>
                <c:ptCount val="1"/>
                <c:pt idx="0">
                  <c:v>Steel, Cathodically Protected and Coated</c:v>
                </c:pt>
              </c:strCache>
            </c:strRef>
          </c:tx>
          <c:spPr>
            <a:ln>
              <a:solidFill>
                <a:schemeClr val="accent5">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Sum&amp;Distribution&amp;PostMeter'!$D$40:$AK$40</c:f>
              <c:numCache>
                <c:formatCode>#,##0</c:formatCode>
                <c:ptCount val="34"/>
                <c:pt idx="0">
                  <c:v>150054</c:v>
                </c:pt>
                <c:pt idx="1">
                  <c:v>152153</c:v>
                </c:pt>
                <c:pt idx="2">
                  <c:v>154005</c:v>
                </c:pt>
                <c:pt idx="3">
                  <c:v>153943</c:v>
                </c:pt>
                <c:pt idx="4">
                  <c:v>158080</c:v>
                </c:pt>
                <c:pt idx="5">
                  <c:v>157721</c:v>
                </c:pt>
                <c:pt idx="6">
                  <c:v>151173</c:v>
                </c:pt>
                <c:pt idx="7">
                  <c:v>151111.5</c:v>
                </c:pt>
                <c:pt idx="8">
                  <c:v>151112.5</c:v>
                </c:pt>
                <c:pt idx="9">
                  <c:v>153785</c:v>
                </c:pt>
                <c:pt idx="10">
                  <c:v>220002</c:v>
                </c:pt>
                <c:pt idx="11">
                  <c:v>220002</c:v>
                </c:pt>
                <c:pt idx="12">
                  <c:v>219167</c:v>
                </c:pt>
                <c:pt idx="13">
                  <c:v>218028</c:v>
                </c:pt>
                <c:pt idx="14">
                  <c:v>162241</c:v>
                </c:pt>
                <c:pt idx="15">
                  <c:v>171863</c:v>
                </c:pt>
                <c:pt idx="16">
                  <c:v>178153</c:v>
                </c:pt>
                <c:pt idx="17">
                  <c:v>177883</c:v>
                </c:pt>
                <c:pt idx="18">
                  <c:v>176657</c:v>
                </c:pt>
                <c:pt idx="19">
                  <c:v>175219</c:v>
                </c:pt>
                <c:pt idx="20">
                  <c:v>167169</c:v>
                </c:pt>
                <c:pt idx="21">
                  <c:v>164179</c:v>
                </c:pt>
                <c:pt idx="22">
                  <c:v>161970</c:v>
                </c:pt>
                <c:pt idx="23">
                  <c:v>158060</c:v>
                </c:pt>
                <c:pt idx="24">
                  <c:v>155703</c:v>
                </c:pt>
                <c:pt idx="25">
                  <c:v>153922</c:v>
                </c:pt>
                <c:pt idx="26">
                  <c:v>151873</c:v>
                </c:pt>
                <c:pt idx="27">
                  <c:v>149751</c:v>
                </c:pt>
                <c:pt idx="28">
                  <c:v>146738</c:v>
                </c:pt>
                <c:pt idx="29">
                  <c:v>144496</c:v>
                </c:pt>
                <c:pt idx="30" formatCode="General">
                  <c:v>143181</c:v>
                </c:pt>
                <c:pt idx="31" formatCode="General">
                  <c:v>140604</c:v>
                </c:pt>
                <c:pt idx="32" formatCode="General">
                  <c:v>138640</c:v>
                </c:pt>
                <c:pt idx="33" formatCode="General">
                  <c:v>136722</c:v>
                </c:pt>
              </c:numCache>
            </c:numRef>
          </c:val>
          <c:smooth val="0"/>
          <c:extLst>
            <c:ext xmlns:c16="http://schemas.microsoft.com/office/drawing/2014/chart" uri="{C3380CC4-5D6E-409C-BE32-E72D297353CC}">
              <c16:uniqueId val="{00000003-4654-448F-AD67-710A444FA33D}"/>
            </c:ext>
          </c:extLst>
        </c:ser>
        <c:ser>
          <c:idx val="8"/>
          <c:order val="4"/>
          <c:tx>
            <c:strRef>
              <c:f>'NG Sum&amp;Distribution&amp;PostMeter'!$B$45</c:f>
              <c:strCache>
                <c:ptCount val="1"/>
                <c:pt idx="0">
                  <c:v>Other</c:v>
                </c:pt>
              </c:strCache>
            </c:strRef>
          </c:tx>
          <c:spPr>
            <a:ln>
              <a:solidFill>
                <a:schemeClr val="accent4">
                  <a:lumMod val="60000"/>
                  <a:lumOff val="4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Sum&amp;Distribution&amp;PostMeter'!$D$45:$AK$45</c:f>
              <c:numCache>
                <c:formatCode>#,##0</c:formatCode>
                <c:ptCount val="34"/>
                <c:pt idx="0">
                  <c:v>0</c:v>
                </c:pt>
                <c:pt idx="1">
                  <c:v>0</c:v>
                </c:pt>
                <c:pt idx="2">
                  <c:v>0</c:v>
                </c:pt>
                <c:pt idx="3">
                  <c:v>0</c:v>
                </c:pt>
                <c:pt idx="4">
                  <c:v>0</c:v>
                </c:pt>
                <c:pt idx="5">
                  <c:v>0</c:v>
                </c:pt>
                <c:pt idx="6">
                  <c:v>0</c:v>
                </c:pt>
                <c:pt idx="7">
                  <c:v>0</c:v>
                </c:pt>
                <c:pt idx="8">
                  <c:v>0</c:v>
                </c:pt>
                <c:pt idx="9">
                  <c:v>0</c:v>
                </c:pt>
                <c:pt idx="10">
                  <c:v>79449</c:v>
                </c:pt>
                <c:pt idx="11">
                  <c:v>77088</c:v>
                </c:pt>
                <c:pt idx="12">
                  <c:v>90048</c:v>
                </c:pt>
                <c:pt idx="13">
                  <c:v>89911</c:v>
                </c:pt>
                <c:pt idx="14">
                  <c:v>244773</c:v>
                </c:pt>
                <c:pt idx="15">
                  <c:v>172327</c:v>
                </c:pt>
                <c:pt idx="16">
                  <c:v>124524</c:v>
                </c:pt>
                <c:pt idx="17">
                  <c:v>118486</c:v>
                </c:pt>
                <c:pt idx="18">
                  <c:v>116845</c:v>
                </c:pt>
                <c:pt idx="19">
                  <c:v>112735</c:v>
                </c:pt>
                <c:pt idx="20">
                  <c:v>105536</c:v>
                </c:pt>
                <c:pt idx="21">
                  <c:v>103713</c:v>
                </c:pt>
                <c:pt idx="22">
                  <c:v>100348</c:v>
                </c:pt>
                <c:pt idx="23">
                  <c:v>95366</c:v>
                </c:pt>
                <c:pt idx="24">
                  <c:v>95690</c:v>
                </c:pt>
                <c:pt idx="25">
                  <c:v>97872</c:v>
                </c:pt>
                <c:pt idx="26">
                  <c:v>102975</c:v>
                </c:pt>
                <c:pt idx="27">
                  <c:v>101824</c:v>
                </c:pt>
                <c:pt idx="28">
                  <c:v>105361</c:v>
                </c:pt>
                <c:pt idx="29">
                  <c:v>96072</c:v>
                </c:pt>
                <c:pt idx="30" formatCode="General">
                  <c:v>96000</c:v>
                </c:pt>
                <c:pt idx="31" formatCode="General">
                  <c:v>93946</c:v>
                </c:pt>
                <c:pt idx="32" formatCode="General">
                  <c:v>92617</c:v>
                </c:pt>
                <c:pt idx="33" formatCode="General">
                  <c:v>91919</c:v>
                </c:pt>
              </c:numCache>
            </c:numRef>
          </c:val>
          <c:smooth val="0"/>
          <c:extLst>
            <c:ext xmlns:c16="http://schemas.microsoft.com/office/drawing/2014/chart" uri="{C3380CC4-5D6E-409C-BE32-E72D297353CC}">
              <c16:uniqueId val="{00000004-4654-448F-AD67-710A444FA33D}"/>
            </c:ext>
          </c:extLst>
        </c:ser>
        <c:ser>
          <c:idx val="1"/>
          <c:order val="5"/>
          <c:tx>
            <c:strRef>
              <c:f>'NG Sum&amp;Distribution&amp;PostMeter'!$B$38</c:f>
              <c:strCache>
                <c:ptCount val="1"/>
                <c:pt idx="0">
                  <c:v>Steel, Cathodically Unprotected and Coated</c:v>
                </c:pt>
              </c:strCache>
            </c:strRef>
          </c:tx>
          <c:spPr>
            <a:ln>
              <a:solidFill>
                <a:schemeClr val="accent3">
                  <a:lumMod val="75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Sum&amp;Distribution&amp;PostMeter'!$D$38:$AK$38</c:f>
              <c:numCache>
                <c:formatCode>#,##0</c:formatCode>
                <c:ptCount val="34"/>
                <c:pt idx="0">
                  <c:v>99773</c:v>
                </c:pt>
                <c:pt idx="1">
                  <c:v>99898</c:v>
                </c:pt>
                <c:pt idx="2">
                  <c:v>96050</c:v>
                </c:pt>
                <c:pt idx="3">
                  <c:v>94795</c:v>
                </c:pt>
                <c:pt idx="4">
                  <c:v>92515</c:v>
                </c:pt>
                <c:pt idx="5">
                  <c:v>91539</c:v>
                </c:pt>
                <c:pt idx="6">
                  <c:v>90313</c:v>
                </c:pt>
                <c:pt idx="7">
                  <c:v>87179.5</c:v>
                </c:pt>
                <c:pt idx="8">
                  <c:v>85152</c:v>
                </c:pt>
                <c:pt idx="9">
                  <c:v>80506</c:v>
                </c:pt>
                <c:pt idx="10">
                  <c:v>77326</c:v>
                </c:pt>
                <c:pt idx="11">
                  <c:v>77050</c:v>
                </c:pt>
                <c:pt idx="12">
                  <c:v>74877</c:v>
                </c:pt>
                <c:pt idx="13">
                  <c:v>73794</c:v>
                </c:pt>
                <c:pt idx="14">
                  <c:v>72602</c:v>
                </c:pt>
                <c:pt idx="15">
                  <c:v>74057</c:v>
                </c:pt>
                <c:pt idx="16">
                  <c:v>72459</c:v>
                </c:pt>
                <c:pt idx="17">
                  <c:v>71295</c:v>
                </c:pt>
                <c:pt idx="18">
                  <c:v>70001</c:v>
                </c:pt>
                <c:pt idx="19">
                  <c:v>66838</c:v>
                </c:pt>
                <c:pt idx="20">
                  <c:v>66115</c:v>
                </c:pt>
                <c:pt idx="21">
                  <c:v>58460</c:v>
                </c:pt>
                <c:pt idx="22">
                  <c:v>56086</c:v>
                </c:pt>
                <c:pt idx="23">
                  <c:v>55966</c:v>
                </c:pt>
                <c:pt idx="24">
                  <c:v>54117</c:v>
                </c:pt>
                <c:pt idx="25">
                  <c:v>51749</c:v>
                </c:pt>
                <c:pt idx="26">
                  <c:v>48989</c:v>
                </c:pt>
                <c:pt idx="27">
                  <c:v>44009</c:v>
                </c:pt>
                <c:pt idx="28">
                  <c:v>42471</c:v>
                </c:pt>
                <c:pt idx="29">
                  <c:v>40239</c:v>
                </c:pt>
                <c:pt idx="30" formatCode="General">
                  <c:v>39603</c:v>
                </c:pt>
                <c:pt idx="31" formatCode="General">
                  <c:v>37145</c:v>
                </c:pt>
                <c:pt idx="32" formatCode="General">
                  <c:v>34778</c:v>
                </c:pt>
                <c:pt idx="33" formatCode="General">
                  <c:v>32540</c:v>
                </c:pt>
              </c:numCache>
            </c:numRef>
          </c:val>
          <c:smooth val="0"/>
          <c:extLst>
            <c:ext xmlns:c16="http://schemas.microsoft.com/office/drawing/2014/chart" uri="{C3380CC4-5D6E-409C-BE32-E72D297353CC}">
              <c16:uniqueId val="{00000005-4654-448F-AD67-710A444FA33D}"/>
            </c:ext>
          </c:extLst>
        </c:ser>
        <c:ser>
          <c:idx val="7"/>
          <c:order val="6"/>
          <c:tx>
            <c:strRef>
              <c:f>'NG Sum&amp;Distribution&amp;PostMeter'!$B$44</c:f>
              <c:strCache>
                <c:ptCount val="1"/>
                <c:pt idx="0">
                  <c:v>Copper</c:v>
                </c:pt>
              </c:strCache>
            </c:strRef>
          </c:tx>
          <c:spPr>
            <a:ln>
              <a:solidFill>
                <a:schemeClr val="accent3">
                  <a:lumMod val="60000"/>
                  <a:lumOff val="4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Sum&amp;Distribution&amp;PostMeter'!$D$44:$AK$44</c:f>
              <c:numCache>
                <c:formatCode>#,##0</c:formatCode>
                <c:ptCount val="34"/>
                <c:pt idx="0">
                  <c:v>14098</c:v>
                </c:pt>
                <c:pt idx="1">
                  <c:v>15205</c:v>
                </c:pt>
                <c:pt idx="2">
                  <c:v>19894</c:v>
                </c:pt>
                <c:pt idx="3">
                  <c:v>14792</c:v>
                </c:pt>
                <c:pt idx="4">
                  <c:v>14660</c:v>
                </c:pt>
                <c:pt idx="5">
                  <c:v>14481</c:v>
                </c:pt>
                <c:pt idx="6">
                  <c:v>14382</c:v>
                </c:pt>
                <c:pt idx="7">
                  <c:v>14281</c:v>
                </c:pt>
                <c:pt idx="8">
                  <c:v>14180.5</c:v>
                </c:pt>
                <c:pt idx="9">
                  <c:v>14120</c:v>
                </c:pt>
                <c:pt idx="10">
                  <c:v>16082</c:v>
                </c:pt>
                <c:pt idx="11">
                  <c:v>16024</c:v>
                </c:pt>
                <c:pt idx="12">
                  <c:v>15909</c:v>
                </c:pt>
                <c:pt idx="13">
                  <c:v>15775</c:v>
                </c:pt>
                <c:pt idx="14">
                  <c:v>12448</c:v>
                </c:pt>
                <c:pt idx="15">
                  <c:v>12280</c:v>
                </c:pt>
                <c:pt idx="16">
                  <c:v>12286</c:v>
                </c:pt>
                <c:pt idx="17">
                  <c:v>12199</c:v>
                </c:pt>
                <c:pt idx="18">
                  <c:v>12109</c:v>
                </c:pt>
                <c:pt idx="19">
                  <c:v>11878</c:v>
                </c:pt>
                <c:pt idx="20">
                  <c:v>11675</c:v>
                </c:pt>
                <c:pt idx="21">
                  <c:v>11426</c:v>
                </c:pt>
                <c:pt idx="22">
                  <c:v>11191</c:v>
                </c:pt>
                <c:pt idx="23">
                  <c:v>10903</c:v>
                </c:pt>
                <c:pt idx="24">
                  <c:v>10735</c:v>
                </c:pt>
                <c:pt idx="25">
                  <c:v>10537</c:v>
                </c:pt>
                <c:pt idx="26">
                  <c:v>10337</c:v>
                </c:pt>
                <c:pt idx="27">
                  <c:v>9968</c:v>
                </c:pt>
                <c:pt idx="28">
                  <c:v>9751</c:v>
                </c:pt>
                <c:pt idx="29">
                  <c:v>9411</c:v>
                </c:pt>
                <c:pt idx="30" formatCode="General">
                  <c:v>9285</c:v>
                </c:pt>
                <c:pt idx="31" formatCode="General">
                  <c:v>9064</c:v>
                </c:pt>
                <c:pt idx="32" formatCode="General">
                  <c:v>8878</c:v>
                </c:pt>
                <c:pt idx="33" formatCode="General">
                  <c:v>8550</c:v>
                </c:pt>
              </c:numCache>
            </c:numRef>
          </c:val>
          <c:smooth val="0"/>
          <c:extLst>
            <c:ext xmlns:c16="http://schemas.microsoft.com/office/drawing/2014/chart" uri="{C3380CC4-5D6E-409C-BE32-E72D297353CC}">
              <c16:uniqueId val="{00000006-4654-448F-AD67-710A444FA33D}"/>
            </c:ext>
          </c:extLst>
        </c:ser>
        <c:ser>
          <c:idx val="5"/>
          <c:order val="7"/>
          <c:tx>
            <c:strRef>
              <c:f>'NG Sum&amp;Distribution&amp;PostMeter'!$B$42</c:f>
              <c:strCache>
                <c:ptCount val="1"/>
                <c:pt idx="0">
                  <c:v>Cast or Wrought Iron</c:v>
                </c:pt>
              </c:strCache>
            </c:strRef>
          </c:tx>
          <c:spPr>
            <a:ln>
              <a:solidFill>
                <a:schemeClr val="accent1">
                  <a:lumMod val="60000"/>
                  <a:lumOff val="4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Sum&amp;Distribution&amp;PostMeter'!$D$42:$AK$42</c:f>
              <c:numCache>
                <c:formatCode>#,##0</c:formatCode>
                <c:ptCount val="34"/>
                <c:pt idx="0">
                  <c:v>7414</c:v>
                </c:pt>
                <c:pt idx="1">
                  <c:v>7297</c:v>
                </c:pt>
                <c:pt idx="2">
                  <c:v>7239</c:v>
                </c:pt>
                <c:pt idx="3">
                  <c:v>6593</c:v>
                </c:pt>
                <c:pt idx="4">
                  <c:v>6504</c:v>
                </c:pt>
                <c:pt idx="5">
                  <c:v>6348</c:v>
                </c:pt>
                <c:pt idx="6">
                  <c:v>6164</c:v>
                </c:pt>
                <c:pt idx="7">
                  <c:v>6161.5</c:v>
                </c:pt>
                <c:pt idx="8">
                  <c:v>6163</c:v>
                </c:pt>
                <c:pt idx="9">
                  <c:v>6161</c:v>
                </c:pt>
                <c:pt idx="10">
                  <c:v>4235</c:v>
                </c:pt>
                <c:pt idx="11">
                  <c:v>4214</c:v>
                </c:pt>
                <c:pt idx="12">
                  <c:v>4155</c:v>
                </c:pt>
                <c:pt idx="13">
                  <c:v>4095</c:v>
                </c:pt>
                <c:pt idx="14">
                  <c:v>2098</c:v>
                </c:pt>
                <c:pt idx="15">
                  <c:v>2080</c:v>
                </c:pt>
                <c:pt idx="16">
                  <c:v>2057</c:v>
                </c:pt>
                <c:pt idx="17">
                  <c:v>2015</c:v>
                </c:pt>
                <c:pt idx="18">
                  <c:v>1993</c:v>
                </c:pt>
                <c:pt idx="19">
                  <c:v>1914</c:v>
                </c:pt>
                <c:pt idx="20">
                  <c:v>1827</c:v>
                </c:pt>
                <c:pt idx="21">
                  <c:v>1742</c:v>
                </c:pt>
                <c:pt idx="22">
                  <c:v>1638</c:v>
                </c:pt>
                <c:pt idx="23">
                  <c:v>1583</c:v>
                </c:pt>
                <c:pt idx="24">
                  <c:v>1539</c:v>
                </c:pt>
                <c:pt idx="25">
                  <c:v>1492</c:v>
                </c:pt>
                <c:pt idx="26">
                  <c:v>1444</c:v>
                </c:pt>
                <c:pt idx="27">
                  <c:v>1397</c:v>
                </c:pt>
                <c:pt idx="28">
                  <c:v>1373</c:v>
                </c:pt>
                <c:pt idx="29">
                  <c:v>1344</c:v>
                </c:pt>
                <c:pt idx="30" formatCode="General">
                  <c:v>1325</c:v>
                </c:pt>
                <c:pt idx="31" formatCode="General">
                  <c:v>1277</c:v>
                </c:pt>
                <c:pt idx="32" formatCode="General">
                  <c:v>1258</c:v>
                </c:pt>
                <c:pt idx="33" formatCode="General">
                  <c:v>1214</c:v>
                </c:pt>
              </c:numCache>
            </c:numRef>
          </c:val>
          <c:smooth val="0"/>
          <c:extLst>
            <c:ext xmlns:c16="http://schemas.microsoft.com/office/drawing/2014/chart" uri="{C3380CC4-5D6E-409C-BE32-E72D297353CC}">
              <c16:uniqueId val="{00000007-4654-448F-AD67-710A444FA33D}"/>
            </c:ext>
          </c:extLst>
        </c:ser>
        <c:ser>
          <c:idx val="6"/>
          <c:order val="8"/>
          <c:tx>
            <c:strRef>
              <c:f>'NG Sum&amp;Distribution&amp;PostMeter'!$B$43</c:f>
              <c:strCache>
                <c:ptCount val="1"/>
                <c:pt idx="0">
                  <c:v>Ductile Iron</c:v>
                </c:pt>
              </c:strCache>
            </c:strRef>
          </c:tx>
          <c:spPr>
            <a:ln>
              <a:solidFill>
                <a:schemeClr val="accent2">
                  <a:lumMod val="60000"/>
                  <a:lumOff val="4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Sum&amp;Distribution&amp;PostMeter'!$D$43:$AK$43</c:f>
              <c:numCache>
                <c:formatCode>#,##0</c:formatCode>
                <c:ptCount val="34"/>
                <c:pt idx="0">
                  <c:v>1323</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formatCode="General">
                  <c:v>0</c:v>
                </c:pt>
                <c:pt idx="31" formatCode="General">
                  <c:v>0</c:v>
                </c:pt>
                <c:pt idx="32" formatCode="General">
                  <c:v>0</c:v>
                </c:pt>
                <c:pt idx="33" formatCode="General">
                  <c:v>0</c:v>
                </c:pt>
              </c:numCache>
            </c:numRef>
          </c:val>
          <c:smooth val="0"/>
          <c:extLst>
            <c:ext xmlns:c16="http://schemas.microsoft.com/office/drawing/2014/chart" uri="{C3380CC4-5D6E-409C-BE32-E72D297353CC}">
              <c16:uniqueId val="{00000008-4654-448F-AD67-710A444FA33D}"/>
            </c:ext>
          </c:extLst>
        </c:ser>
        <c:ser>
          <c:idx val="2"/>
          <c:order val="9"/>
          <c:tx>
            <c:strRef>
              <c:f>'NG Sum&amp;Distribution&amp;PostMeter'!$B$39</c:f>
              <c:strCache>
                <c:ptCount val="1"/>
                <c:pt idx="0">
                  <c:v>Steel, Cathodically Protected and Uncoated</c:v>
                </c:pt>
              </c:strCache>
            </c:strRef>
          </c:tx>
          <c:spPr>
            <a:ln>
              <a:solidFill>
                <a:schemeClr val="accent4">
                  <a:lumMod val="50000"/>
                </a:schemeClr>
              </a:solidFill>
            </a:ln>
          </c:spPr>
          <c:marker>
            <c:symbol val="none"/>
          </c:marker>
          <c:cat>
            <c:numRef>
              <c:f>'NG Sum&amp;Distribution&amp;PostMeter'!$D$24:$AK$24</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Sum&amp;Distribution&amp;PostMeter'!$D$39:$AK$39</c:f>
              <c:numCache>
                <c:formatCode>#,##0</c:formatCode>
                <c:ptCount val="34"/>
                <c:pt idx="0">
                  <c:v>467</c:v>
                </c:pt>
                <c:pt idx="1">
                  <c:v>463</c:v>
                </c:pt>
                <c:pt idx="2">
                  <c:v>463</c:v>
                </c:pt>
                <c:pt idx="3">
                  <c:v>457</c:v>
                </c:pt>
                <c:pt idx="4">
                  <c:v>449</c:v>
                </c:pt>
                <c:pt idx="5">
                  <c:v>449</c:v>
                </c:pt>
                <c:pt idx="6">
                  <c:v>449</c:v>
                </c:pt>
                <c:pt idx="7">
                  <c:v>449</c:v>
                </c:pt>
                <c:pt idx="8">
                  <c:v>449</c:v>
                </c:pt>
                <c:pt idx="9">
                  <c:v>449</c:v>
                </c:pt>
                <c:pt idx="10">
                  <c:v>449</c:v>
                </c:pt>
                <c:pt idx="11">
                  <c:v>449</c:v>
                </c:pt>
                <c:pt idx="12">
                  <c:v>449</c:v>
                </c:pt>
                <c:pt idx="13">
                  <c:v>449</c:v>
                </c:pt>
                <c:pt idx="14">
                  <c:v>0</c:v>
                </c:pt>
                <c:pt idx="15">
                  <c:v>0</c:v>
                </c:pt>
                <c:pt idx="16">
                  <c:v>0</c:v>
                </c:pt>
                <c:pt idx="17">
                  <c:v>0</c:v>
                </c:pt>
                <c:pt idx="18">
                  <c:v>0</c:v>
                </c:pt>
                <c:pt idx="19">
                  <c:v>0</c:v>
                </c:pt>
                <c:pt idx="20">
                  <c:v>45</c:v>
                </c:pt>
                <c:pt idx="21">
                  <c:v>332</c:v>
                </c:pt>
                <c:pt idx="22">
                  <c:v>333</c:v>
                </c:pt>
                <c:pt idx="23">
                  <c:v>68</c:v>
                </c:pt>
                <c:pt idx="24">
                  <c:v>61</c:v>
                </c:pt>
                <c:pt idx="25">
                  <c:v>16</c:v>
                </c:pt>
                <c:pt idx="26">
                  <c:v>11</c:v>
                </c:pt>
                <c:pt idx="27">
                  <c:v>11</c:v>
                </c:pt>
                <c:pt idx="28">
                  <c:v>11</c:v>
                </c:pt>
                <c:pt idx="29">
                  <c:v>9</c:v>
                </c:pt>
                <c:pt idx="30" formatCode="General">
                  <c:v>0</c:v>
                </c:pt>
                <c:pt idx="31" formatCode="General">
                  <c:v>0</c:v>
                </c:pt>
                <c:pt idx="32" formatCode="General">
                  <c:v>0</c:v>
                </c:pt>
                <c:pt idx="33" formatCode="General">
                  <c:v>0</c:v>
                </c:pt>
              </c:numCache>
            </c:numRef>
          </c:val>
          <c:smooth val="0"/>
          <c:extLst>
            <c:ext xmlns:c16="http://schemas.microsoft.com/office/drawing/2014/chart" uri="{C3380CC4-5D6E-409C-BE32-E72D297353CC}">
              <c16:uniqueId val="{00000009-4654-448F-AD67-710A444FA33D}"/>
            </c:ext>
          </c:extLst>
        </c:ser>
        <c:dLbls>
          <c:showLegendKey val="0"/>
          <c:showVal val="0"/>
          <c:showCatName val="0"/>
          <c:showSerName val="0"/>
          <c:showPercent val="0"/>
          <c:showBubbleSize val="0"/>
        </c:dLbls>
        <c:smooth val="0"/>
        <c:axId val="94505984"/>
        <c:axId val="94520064"/>
      </c:lineChart>
      <c:catAx>
        <c:axId val="94505984"/>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94520064"/>
        <c:crosses val="autoZero"/>
        <c:auto val="1"/>
        <c:lblAlgn val="ctr"/>
        <c:lblOffset val="100"/>
        <c:noMultiLvlLbl val="0"/>
      </c:catAx>
      <c:valAx>
        <c:axId val="94520064"/>
        <c:scaling>
          <c:orientation val="minMax"/>
          <c:max val="140000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94505984"/>
        <c:crosses val="autoZero"/>
        <c:crossBetween val="midCat"/>
      </c:valAx>
    </c:plotArea>
    <c:legend>
      <c:legendPos val="r"/>
      <c:layout>
        <c:manualLayout>
          <c:xMode val="edge"/>
          <c:yMode val="edge"/>
          <c:x val="0.75103563141903162"/>
          <c:y val="1.3440580201447422E-2"/>
          <c:w val="0.24203196075255498"/>
          <c:h val="0.98655941979855255"/>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NG Distribution System and Post Meter Leaks (metric tons CH4)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'NG Sum&amp;Distribution&amp;PostMeter'!$B$147</c:f>
              <c:strCache>
                <c:ptCount val="1"/>
                <c:pt idx="0">
                  <c:v>Pipeline</c:v>
                </c:pt>
              </c:strCache>
            </c:strRef>
          </c:tx>
          <c:spPr>
            <a:solidFill>
              <a:schemeClr val="accent1"/>
            </a:solidFill>
            <a:ln>
              <a:noFill/>
            </a:ln>
            <a:effectLst/>
          </c:spPr>
          <c:invertIfNegative val="0"/>
          <c:cat>
            <c:numRef>
              <c:f>'NG Sum&amp;Distribution&amp;PostMeter'!$D$146:$AJ$146</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Sum&amp;Distribution&amp;PostMeter'!$D$157:$AJ$157</c:f>
              <c:numCache>
                <c:formatCode>#,##0.0</c:formatCode>
                <c:ptCount val="33"/>
                <c:pt idx="0">
                  <c:v>36512.94696500725</c:v>
                </c:pt>
                <c:pt idx="1">
                  <c:v>36031.080791353575</c:v>
                </c:pt>
                <c:pt idx="2">
                  <c:v>35422.198846617051</c:v>
                </c:pt>
                <c:pt idx="3">
                  <c:v>33038.42040222136</c:v>
                </c:pt>
                <c:pt idx="4">
                  <c:v>31905.14107922063</c:v>
                </c:pt>
                <c:pt idx="5">
                  <c:v>30345.469218131078</c:v>
                </c:pt>
                <c:pt idx="6">
                  <c:v>28513.560483556805</c:v>
                </c:pt>
                <c:pt idx="7">
                  <c:v>27052.104582819102</c:v>
                </c:pt>
                <c:pt idx="8">
                  <c:v>25575.361399154106</c:v>
                </c:pt>
                <c:pt idx="9">
                  <c:v>24154.971506520647</c:v>
                </c:pt>
                <c:pt idx="10">
                  <c:v>23000.099409168488</c:v>
                </c:pt>
                <c:pt idx="11">
                  <c:v>20636.47274342502</c:v>
                </c:pt>
                <c:pt idx="12">
                  <c:v>19179.105727847251</c:v>
                </c:pt>
                <c:pt idx="13">
                  <c:v>17595.254405007803</c:v>
                </c:pt>
                <c:pt idx="14">
                  <c:v>16330.028279890765</c:v>
                </c:pt>
                <c:pt idx="15">
                  <c:v>14764.984940253953</c:v>
                </c:pt>
                <c:pt idx="16">
                  <c:v>14072.677610559844</c:v>
                </c:pt>
                <c:pt idx="17">
                  <c:v>12763.075711166184</c:v>
                </c:pt>
                <c:pt idx="18">
                  <c:v>11559.82227417385</c:v>
                </c:pt>
                <c:pt idx="19">
                  <c:v>10299.597958318396</c:v>
                </c:pt>
                <c:pt idx="20">
                  <c:v>9065.1175620527101</c:v>
                </c:pt>
                <c:pt idx="21">
                  <c:v>7839.8660483975</c:v>
                </c:pt>
                <c:pt idx="22">
                  <c:v>7615.5227717815715</c:v>
                </c:pt>
                <c:pt idx="23">
                  <c:v>7422.5916978826262</c:v>
                </c:pt>
                <c:pt idx="24">
                  <c:v>7072.4649503855126</c:v>
                </c:pt>
                <c:pt idx="25">
                  <c:v>6876.5546779759916</c:v>
                </c:pt>
                <c:pt idx="26">
                  <c:v>6638.2946497602243</c:v>
                </c:pt>
                <c:pt idx="27">
                  <c:v>6342.7564694252587</c:v>
                </c:pt>
                <c:pt idx="28">
                  <c:v>6125.2929214491596</c:v>
                </c:pt>
                <c:pt idx="29">
                  <c:v>5909.5154048708528</c:v>
                </c:pt>
                <c:pt idx="30">
                  <c:v>5729.373966778664</c:v>
                </c:pt>
                <c:pt idx="31">
                  <c:v>5452.1205980805262</c:v>
                </c:pt>
                <c:pt idx="32">
                  <c:v>5268.7852986581493</c:v>
                </c:pt>
              </c:numCache>
            </c:numRef>
          </c:val>
          <c:extLst>
            <c:ext xmlns:c16="http://schemas.microsoft.com/office/drawing/2014/chart" uri="{C3380CC4-5D6E-409C-BE32-E72D297353CC}">
              <c16:uniqueId val="{00000000-FCD0-452B-A298-B506EACE2CEA}"/>
            </c:ext>
          </c:extLst>
        </c:ser>
        <c:ser>
          <c:idx val="1"/>
          <c:order val="1"/>
          <c:tx>
            <c:strRef>
              <c:f>'NG Sum&amp;Distribution&amp;PostMeter'!$B$158</c:f>
              <c:strCache>
                <c:ptCount val="1"/>
                <c:pt idx="0">
                  <c:v>Services</c:v>
                </c:pt>
              </c:strCache>
            </c:strRef>
          </c:tx>
          <c:spPr>
            <a:solidFill>
              <a:schemeClr val="accent2"/>
            </a:solidFill>
            <a:ln>
              <a:noFill/>
            </a:ln>
            <a:effectLst/>
          </c:spPr>
          <c:invertIfNegative val="0"/>
          <c:val>
            <c:numRef>
              <c:f>'NG Sum&amp;Distribution&amp;PostMeter'!$D$168:$AJ$168</c:f>
              <c:numCache>
                <c:formatCode>#,##0.0</c:formatCode>
                <c:ptCount val="33"/>
                <c:pt idx="0">
                  <c:v>19748.406176966371</c:v>
                </c:pt>
                <c:pt idx="1">
                  <c:v>19450.018066822096</c:v>
                </c:pt>
                <c:pt idx="2">
                  <c:v>18899.002437860578</c:v>
                </c:pt>
                <c:pt idx="3">
                  <c:v>17952.768897154412</c:v>
                </c:pt>
                <c:pt idx="4">
                  <c:v>16874.559848479636</c:v>
                </c:pt>
                <c:pt idx="5">
                  <c:v>16332.445478766575</c:v>
                </c:pt>
                <c:pt idx="6">
                  <c:v>15392.965566428633</c:v>
                </c:pt>
                <c:pt idx="7">
                  <c:v>14636.343310117003</c:v>
                </c:pt>
                <c:pt idx="8">
                  <c:v>13926.180378372466</c:v>
                </c:pt>
                <c:pt idx="9">
                  <c:v>13201.643438958456</c:v>
                </c:pt>
                <c:pt idx="10">
                  <c:v>12701.09036415095</c:v>
                </c:pt>
                <c:pt idx="11">
                  <c:v>12003.896349581815</c:v>
                </c:pt>
                <c:pt idx="12">
                  <c:v>11698.734127125721</c:v>
                </c:pt>
                <c:pt idx="13">
                  <c:v>11046.766428983381</c:v>
                </c:pt>
                <c:pt idx="14">
                  <c:v>11982.514040670743</c:v>
                </c:pt>
                <c:pt idx="15">
                  <c:v>9965.5234476617261</c:v>
                </c:pt>
                <c:pt idx="16">
                  <c:v>8721.0380804145752</c:v>
                </c:pt>
                <c:pt idx="17">
                  <c:v>8089.36194288142</c:v>
                </c:pt>
                <c:pt idx="18">
                  <c:v>7524.9132246815479</c:v>
                </c:pt>
                <c:pt idx="19">
                  <c:v>6873.3726131800549</c:v>
                </c:pt>
                <c:pt idx="20">
                  <c:v>6252.3069525485917</c:v>
                </c:pt>
                <c:pt idx="21">
                  <c:v>5741.0464519396355</c:v>
                </c:pt>
                <c:pt idx="22">
                  <c:v>5536.6393022446255</c:v>
                </c:pt>
                <c:pt idx="23">
                  <c:v>5407.6113248911788</c:v>
                </c:pt>
                <c:pt idx="24">
                  <c:v>5272.7539217343347</c:v>
                </c:pt>
                <c:pt idx="25">
                  <c:v>5156.5864528284892</c:v>
                </c:pt>
                <c:pt idx="26">
                  <c:v>5073.215774658177</c:v>
                </c:pt>
                <c:pt idx="27">
                  <c:v>4851.1688601033202</c:v>
                </c:pt>
                <c:pt idx="28">
                  <c:v>4765.4345872101112</c:v>
                </c:pt>
                <c:pt idx="29">
                  <c:v>4506.169623791141</c:v>
                </c:pt>
                <c:pt idx="30">
                  <c:v>4447.2662245829961</c:v>
                </c:pt>
                <c:pt idx="31">
                  <c:v>4281.2482482789128</c:v>
                </c:pt>
                <c:pt idx="32">
                  <c:v>4118.9624850124828</c:v>
                </c:pt>
              </c:numCache>
            </c:numRef>
          </c:val>
          <c:extLst>
            <c:ext xmlns:c16="http://schemas.microsoft.com/office/drawing/2014/chart" uri="{C3380CC4-5D6E-409C-BE32-E72D297353CC}">
              <c16:uniqueId val="{00000002-FCD0-452B-A298-B506EACE2CEA}"/>
            </c:ext>
          </c:extLst>
        </c:ser>
        <c:ser>
          <c:idx val="2"/>
          <c:order val="2"/>
          <c:tx>
            <c:strRef>
              <c:f>'NG Sum&amp;Distribution&amp;PostMeter'!$B$169</c:f>
              <c:strCache>
                <c:ptCount val="1"/>
                <c:pt idx="0">
                  <c:v>Meter/Regulator (City Gates)</c:v>
                </c:pt>
              </c:strCache>
            </c:strRef>
          </c:tx>
          <c:spPr>
            <a:solidFill>
              <a:schemeClr val="accent3"/>
            </a:solidFill>
            <a:ln>
              <a:noFill/>
            </a:ln>
            <a:effectLst/>
          </c:spPr>
          <c:invertIfNegative val="0"/>
          <c:val>
            <c:numRef>
              <c:f>'NG Sum&amp;Distribution&amp;PostMeter'!$D$180:$AJ$180</c:f>
              <c:numCache>
                <c:formatCode>#,##0.0</c:formatCode>
                <c:ptCount val="33"/>
                <c:pt idx="0">
                  <c:v>2218.5582393924005</c:v>
                </c:pt>
                <c:pt idx="1">
                  <c:v>2137.5905963683504</c:v>
                </c:pt>
                <c:pt idx="2">
                  <c:v>2056.6229533443006</c:v>
                </c:pt>
                <c:pt idx="3">
                  <c:v>1975.6553103202505</c:v>
                </c:pt>
                <c:pt idx="4">
                  <c:v>1894.6876672962005</c:v>
                </c:pt>
                <c:pt idx="5">
                  <c:v>1813.7200242721503</c:v>
                </c:pt>
                <c:pt idx="6">
                  <c:v>1732.7523812481004</c:v>
                </c:pt>
                <c:pt idx="7">
                  <c:v>1651.7847382240502</c:v>
                </c:pt>
                <c:pt idx="8">
                  <c:v>1570.8170952000005</c:v>
                </c:pt>
                <c:pt idx="9">
                  <c:v>1489.8494521759503</c:v>
                </c:pt>
                <c:pt idx="10">
                  <c:v>1408.8818091519001</c:v>
                </c:pt>
                <c:pt idx="11">
                  <c:v>1327.9141661278504</c:v>
                </c:pt>
                <c:pt idx="12">
                  <c:v>1246.9465231038002</c:v>
                </c:pt>
                <c:pt idx="13">
                  <c:v>1165.9788800797503</c:v>
                </c:pt>
                <c:pt idx="14">
                  <c:v>1085.0112370557001</c:v>
                </c:pt>
                <c:pt idx="15">
                  <c:v>1004.0435940316502</c:v>
                </c:pt>
                <c:pt idx="16">
                  <c:v>923.07595100760022</c:v>
                </c:pt>
                <c:pt idx="17">
                  <c:v>842.10830798355005</c:v>
                </c:pt>
                <c:pt idx="18">
                  <c:v>761.1406649595001</c:v>
                </c:pt>
                <c:pt idx="19">
                  <c:v>680.17302193545015</c:v>
                </c:pt>
                <c:pt idx="20">
                  <c:v>599.20537891139998</c:v>
                </c:pt>
                <c:pt idx="21">
                  <c:v>518.23773588735003</c:v>
                </c:pt>
                <c:pt idx="22">
                  <c:v>437.27009286330008</c:v>
                </c:pt>
                <c:pt idx="23" formatCode="#,##0.000">
                  <c:v>356.3024498392499</c:v>
                </c:pt>
                <c:pt idx="24" formatCode="#,##0.000">
                  <c:v>275.33480681520001</c:v>
                </c:pt>
                <c:pt idx="25">
                  <c:v>273.84975450000007</c:v>
                </c:pt>
                <c:pt idx="26">
                  <c:v>283.29726522959999</c:v>
                </c:pt>
                <c:pt idx="27">
                  <c:v>283.57683029280003</c:v>
                </c:pt>
                <c:pt idx="28">
                  <c:v>281.65463067600001</c:v>
                </c:pt>
                <c:pt idx="29">
                  <c:v>281.66644090800003</c:v>
                </c:pt>
                <c:pt idx="30">
                  <c:v>288.59601017520009</c:v>
                </c:pt>
                <c:pt idx="31">
                  <c:v>282.07574980559997</c:v>
                </c:pt>
                <c:pt idx="32">
                  <c:v>279.25546640400012</c:v>
                </c:pt>
              </c:numCache>
            </c:numRef>
          </c:val>
          <c:extLst>
            <c:ext xmlns:c16="http://schemas.microsoft.com/office/drawing/2014/chart" uri="{C3380CC4-5D6E-409C-BE32-E72D297353CC}">
              <c16:uniqueId val="{00000003-FCD0-452B-A298-B506EACE2CEA}"/>
            </c:ext>
          </c:extLst>
        </c:ser>
        <c:ser>
          <c:idx val="3"/>
          <c:order val="3"/>
          <c:tx>
            <c:strRef>
              <c:f>'NG Sum&amp;Distribution&amp;PostMeter'!$B$181</c:f>
              <c:strCache>
                <c:ptCount val="1"/>
                <c:pt idx="0">
                  <c:v>Customer Meters</c:v>
                </c:pt>
              </c:strCache>
            </c:strRef>
          </c:tx>
          <c:spPr>
            <a:solidFill>
              <a:schemeClr val="accent4"/>
            </a:solidFill>
            <a:ln>
              <a:noFill/>
            </a:ln>
            <a:effectLst/>
          </c:spPr>
          <c:invertIfNegative val="0"/>
          <c:val>
            <c:numRef>
              <c:f>'NG Sum&amp;Distribution&amp;PostMeter'!$D$185:$AJ$185</c:f>
              <c:numCache>
                <c:formatCode>#,##0.0</c:formatCode>
                <c:ptCount val="33"/>
                <c:pt idx="0">
                  <c:v>4359.1084200222695</c:v>
                </c:pt>
                <c:pt idx="1">
                  <c:v>4281.2254495044654</c:v>
                </c:pt>
                <c:pt idx="2">
                  <c:v>4619.730973659267</c:v>
                </c:pt>
                <c:pt idx="3">
                  <c:v>4876.3843116719891</c:v>
                </c:pt>
                <c:pt idx="4">
                  <c:v>4769.0692476917666</c:v>
                </c:pt>
                <c:pt idx="5">
                  <c:v>5299.4754800423598</c:v>
                </c:pt>
                <c:pt idx="6">
                  <c:v>5397.2066039963229</c:v>
                </c:pt>
                <c:pt idx="7">
                  <c:v>5480.0905014085865</c:v>
                </c:pt>
                <c:pt idx="8">
                  <c:v>5532.8262583671567</c:v>
                </c:pt>
                <c:pt idx="9">
                  <c:v>5326.9870339316994</c:v>
                </c:pt>
                <c:pt idx="10">
                  <c:v>5588.5541444242754</c:v>
                </c:pt>
                <c:pt idx="11">
                  <c:v>5765.2176896775136</c:v>
                </c:pt>
                <c:pt idx="12">
                  <c:v>5749.425941288092</c:v>
                </c:pt>
                <c:pt idx="13">
                  <c:v>6034.4456162629904</c:v>
                </c:pt>
                <c:pt idx="14">
                  <c:v>6022.0381942170025</c:v>
                </c:pt>
                <c:pt idx="15">
                  <c:v>6005.9358776528998</c:v>
                </c:pt>
                <c:pt idx="16">
                  <c:v>6281.4442654223012</c:v>
                </c:pt>
                <c:pt idx="17">
                  <c:v>6376.24564819646</c:v>
                </c:pt>
                <c:pt idx="18">
                  <c:v>6506.4857911683694</c:v>
                </c:pt>
                <c:pt idx="19">
                  <c:v>6636.7259341402778</c:v>
                </c:pt>
                <c:pt idx="20">
                  <c:v>6789.0000525994819</c:v>
                </c:pt>
                <c:pt idx="21">
                  <c:v>6457.1969406598382</c:v>
                </c:pt>
                <c:pt idx="22">
                  <c:v>6636.3468114480083</c:v>
                </c:pt>
                <c:pt idx="23">
                  <c:v>6722.2444310993742</c:v>
                </c:pt>
                <c:pt idx="24">
                  <c:v>6590.9397295055333</c:v>
                </c:pt>
                <c:pt idx="25">
                  <c:v>6672.7691502589405</c:v>
                </c:pt>
                <c:pt idx="26">
                  <c:v>6735.2900494066616</c:v>
                </c:pt>
                <c:pt idx="27">
                  <c:v>6768.3134540929168</c:v>
                </c:pt>
                <c:pt idx="28">
                  <c:v>6842.2673297578767</c:v>
                </c:pt>
                <c:pt idx="29">
                  <c:v>6868.3878028531244</c:v>
                </c:pt>
                <c:pt idx="30">
                  <c:v>8185.8280475476522</c:v>
                </c:pt>
                <c:pt idx="31">
                  <c:v>6934.6076319799904</c:v>
                </c:pt>
                <c:pt idx="32">
                  <c:v>7755.3596180036511</c:v>
                </c:pt>
              </c:numCache>
            </c:numRef>
          </c:val>
          <c:extLst>
            <c:ext xmlns:c16="http://schemas.microsoft.com/office/drawing/2014/chart" uri="{C3380CC4-5D6E-409C-BE32-E72D297353CC}">
              <c16:uniqueId val="{00000004-FCD0-452B-A298-B506EACE2CEA}"/>
            </c:ext>
          </c:extLst>
        </c:ser>
        <c:ser>
          <c:idx val="4"/>
          <c:order val="4"/>
          <c:tx>
            <c:strRef>
              <c:f>'NG Sum&amp;Distribution&amp;PostMeter'!$B$186</c:f>
              <c:strCache>
                <c:ptCount val="1"/>
                <c:pt idx="0">
                  <c:v>Routine Maintenance</c:v>
                </c:pt>
              </c:strCache>
            </c:strRef>
          </c:tx>
          <c:spPr>
            <a:solidFill>
              <a:schemeClr val="accent5"/>
            </a:solidFill>
            <a:ln>
              <a:noFill/>
            </a:ln>
            <a:effectLst/>
          </c:spPr>
          <c:invertIfNegative val="0"/>
          <c:val>
            <c:numRef>
              <c:f>'NG Sum&amp;Distribution&amp;PostMeter'!$D$189:$AJ$189</c:f>
              <c:numCache>
                <c:formatCode>#,##0.0</c:formatCode>
                <c:ptCount val="33"/>
                <c:pt idx="0">
                  <c:v>76.216956226845696</c:v>
                </c:pt>
                <c:pt idx="1">
                  <c:v>76.687328928077591</c:v>
                </c:pt>
                <c:pt idx="2">
                  <c:v>78.435859319638951</c:v>
                </c:pt>
                <c:pt idx="3">
                  <c:v>60.218015434757355</c:v>
                </c:pt>
                <c:pt idx="4">
                  <c:v>47.027596342515736</c:v>
                </c:pt>
                <c:pt idx="5">
                  <c:v>57.488055579429378</c:v>
                </c:pt>
                <c:pt idx="6">
                  <c:v>52.293902373306267</c:v>
                </c:pt>
                <c:pt idx="7">
                  <c:v>18.336421705404089</c:v>
                </c:pt>
                <c:pt idx="8">
                  <c:v>53.923754375442762</c:v>
                </c:pt>
                <c:pt idx="9">
                  <c:v>55.88124675398452</c:v>
                </c:pt>
                <c:pt idx="10">
                  <c:v>55.072283649001776</c:v>
                </c:pt>
                <c:pt idx="11">
                  <c:v>54.839106928158088</c:v>
                </c:pt>
                <c:pt idx="12">
                  <c:v>11.010874460588251</c:v>
                </c:pt>
                <c:pt idx="13">
                  <c:v>37.558159670369193</c:v>
                </c:pt>
                <c:pt idx="14">
                  <c:v>22.963067959949647</c:v>
                </c:pt>
                <c:pt idx="15">
                  <c:v>20.161698951795213</c:v>
                </c:pt>
                <c:pt idx="16">
                  <c:v>19.840570788492748</c:v>
                </c:pt>
                <c:pt idx="17">
                  <c:v>37.476203469849466</c:v>
                </c:pt>
                <c:pt idx="18">
                  <c:v>35.657554506195495</c:v>
                </c:pt>
                <c:pt idx="19">
                  <c:v>44.839281836081042</c:v>
                </c:pt>
                <c:pt idx="20">
                  <c:v>39.036194951470257</c:v>
                </c:pt>
                <c:pt idx="21">
                  <c:v>53.343361531464112</c:v>
                </c:pt>
                <c:pt idx="22">
                  <c:v>57.630791453700368</c:v>
                </c:pt>
                <c:pt idx="23">
                  <c:v>55.18932503984955</c:v>
                </c:pt>
                <c:pt idx="24">
                  <c:v>61.049687339133932</c:v>
                </c:pt>
                <c:pt idx="25">
                  <c:v>54.733399324327905</c:v>
                </c:pt>
                <c:pt idx="26">
                  <c:v>59.700881589656227</c:v>
                </c:pt>
                <c:pt idx="27">
                  <c:v>41.682967721123639</c:v>
                </c:pt>
                <c:pt idx="28">
                  <c:v>33.333757299443221</c:v>
                </c:pt>
                <c:pt idx="29">
                  <c:v>54.260065357506392</c:v>
                </c:pt>
                <c:pt idx="30">
                  <c:v>52.82433674399622</c:v>
                </c:pt>
                <c:pt idx="31">
                  <c:v>48.376809785901841</c:v>
                </c:pt>
                <c:pt idx="32">
                  <c:v>49.028681782052104</c:v>
                </c:pt>
              </c:numCache>
            </c:numRef>
          </c:val>
          <c:extLst>
            <c:ext xmlns:c16="http://schemas.microsoft.com/office/drawing/2014/chart" uri="{C3380CC4-5D6E-409C-BE32-E72D297353CC}">
              <c16:uniqueId val="{00000005-FCD0-452B-A298-B506EACE2CEA}"/>
            </c:ext>
          </c:extLst>
        </c:ser>
        <c:ser>
          <c:idx val="5"/>
          <c:order val="5"/>
          <c:tx>
            <c:strRef>
              <c:f>'NG Sum&amp;Distribution&amp;PostMeter'!$B$191</c:f>
              <c:strCache>
                <c:ptCount val="1"/>
                <c:pt idx="0">
                  <c:v>Mishaps (Dig-ins)</c:v>
                </c:pt>
              </c:strCache>
            </c:strRef>
          </c:tx>
          <c:spPr>
            <a:solidFill>
              <a:schemeClr val="accent6"/>
            </a:solidFill>
            <a:ln>
              <a:noFill/>
            </a:ln>
            <a:effectLst/>
          </c:spPr>
          <c:invertIfNegative val="0"/>
          <c:val>
            <c:numRef>
              <c:f>'NG Sum&amp;Distribution&amp;PostMeter'!$D$191:$AJ$191</c:f>
              <c:numCache>
                <c:formatCode>#,##0.0</c:formatCode>
                <c:ptCount val="33"/>
                <c:pt idx="0">
                  <c:v>923.43562059494752</c:v>
                </c:pt>
                <c:pt idx="1">
                  <c:v>929.7771438788568</c:v>
                </c:pt>
                <c:pt idx="2">
                  <c:v>953.0481016002542</c:v>
                </c:pt>
                <c:pt idx="3">
                  <c:v>958.7464720836341</c:v>
                </c:pt>
                <c:pt idx="4">
                  <c:v>974.11744334298862</c:v>
                </c:pt>
                <c:pt idx="5">
                  <c:v>988.94320389667666</c:v>
                </c:pt>
                <c:pt idx="6">
                  <c:v>999.29619882454438</c:v>
                </c:pt>
                <c:pt idx="7">
                  <c:v>1013.8845841927711</c:v>
                </c:pt>
                <c:pt idx="8">
                  <c:v>1031.3147931644476</c:v>
                </c:pt>
                <c:pt idx="9">
                  <c:v>1044.8859239024357</c:v>
                </c:pt>
                <c:pt idx="10">
                  <c:v>982.44232309255972</c:v>
                </c:pt>
                <c:pt idx="11">
                  <c:v>997.71368366646686</c:v>
                </c:pt>
                <c:pt idx="12">
                  <c:v>1030.9304306899955</c:v>
                </c:pt>
                <c:pt idx="13">
                  <c:v>992.72281791264493</c:v>
                </c:pt>
                <c:pt idx="14">
                  <c:v>1021.6546036661667</c:v>
                </c:pt>
                <c:pt idx="15">
                  <c:v>1104.4887501229325</c:v>
                </c:pt>
                <c:pt idx="16">
                  <c:v>1056.4580556984106</c:v>
                </c:pt>
                <c:pt idx="17">
                  <c:v>1082.8427697888319</c:v>
                </c:pt>
                <c:pt idx="18">
                  <c:v>1072.6930322251053</c:v>
                </c:pt>
                <c:pt idx="19">
                  <c:v>1058.4695739104272</c:v>
                </c:pt>
                <c:pt idx="20">
                  <c:v>1057.2776173253715</c:v>
                </c:pt>
                <c:pt idx="21">
                  <c:v>996.63059097409496</c:v>
                </c:pt>
                <c:pt idx="22">
                  <c:v>1075.2119463487459</c:v>
                </c:pt>
                <c:pt idx="23">
                  <c:v>1077.4813643535153</c:v>
                </c:pt>
                <c:pt idx="24">
                  <c:v>1085.656911707435</c:v>
                </c:pt>
                <c:pt idx="25">
                  <c:v>1093.7029341709363</c:v>
                </c:pt>
                <c:pt idx="26">
                  <c:v>1096.6696917969155</c:v>
                </c:pt>
                <c:pt idx="27">
                  <c:v>1116.4723164741224</c:v>
                </c:pt>
                <c:pt idx="28">
                  <c:v>1123.0140747532823</c:v>
                </c:pt>
                <c:pt idx="29">
                  <c:v>1127.7151512813828</c:v>
                </c:pt>
                <c:pt idx="30">
                  <c:v>1113.4081796769619</c:v>
                </c:pt>
                <c:pt idx="31">
                  <c:v>1115.7772348091339</c:v>
                </c:pt>
                <c:pt idx="32">
                  <c:v>1123.3532018505475</c:v>
                </c:pt>
              </c:numCache>
            </c:numRef>
          </c:val>
          <c:extLst>
            <c:ext xmlns:c16="http://schemas.microsoft.com/office/drawing/2014/chart" uri="{C3380CC4-5D6E-409C-BE32-E72D297353CC}">
              <c16:uniqueId val="{00000006-FCD0-452B-A298-B506EACE2CEA}"/>
            </c:ext>
          </c:extLst>
        </c:ser>
        <c:ser>
          <c:idx val="6"/>
          <c:order val="6"/>
          <c:tx>
            <c:strRef>
              <c:f>'NG Sum&amp;Distribution&amp;PostMeter'!$B$196</c:f>
              <c:strCache>
                <c:ptCount val="1"/>
                <c:pt idx="0">
                  <c:v>Post-Meter Leaks</c:v>
                </c:pt>
              </c:strCache>
            </c:strRef>
          </c:tx>
          <c:spPr>
            <a:solidFill>
              <a:schemeClr val="accent1">
                <a:lumMod val="60000"/>
              </a:schemeClr>
            </a:solidFill>
            <a:ln>
              <a:noFill/>
            </a:ln>
            <a:effectLst/>
          </c:spPr>
          <c:invertIfNegative val="0"/>
          <c:val>
            <c:numRef>
              <c:f>'NG Sum&amp;Distribution&amp;PostMeter'!$D$209:$AJ$209</c:f>
              <c:numCache>
                <c:formatCode>0</c:formatCode>
                <c:ptCount val="33"/>
                <c:pt idx="0">
                  <c:v>4006.8543220672336</c:v>
                </c:pt>
                <c:pt idx="1">
                  <c:v>4140.6027115657444</c:v>
                </c:pt>
                <c:pt idx="2">
                  <c:v>4492.8563618559265</c:v>
                </c:pt>
                <c:pt idx="3">
                  <c:v>4606.9080432143855</c:v>
                </c:pt>
                <c:pt idx="4">
                  <c:v>4827.9235192519445</c:v>
                </c:pt>
                <c:pt idx="5">
                  <c:v>5180.9327570891228</c:v>
                </c:pt>
                <c:pt idx="6">
                  <c:v>4862.8064648706613</c:v>
                </c:pt>
                <c:pt idx="7">
                  <c:v>5129.2743199239876</c:v>
                </c:pt>
                <c:pt idx="8">
                  <c:v>5000.9647466681126</c:v>
                </c:pt>
                <c:pt idx="9">
                  <c:v>5131.3996710659912</c:v>
                </c:pt>
                <c:pt idx="10">
                  <c:v>5142.9662711010078</c:v>
                </c:pt>
                <c:pt idx="11">
                  <c:v>5352.6859843840211</c:v>
                </c:pt>
                <c:pt idx="12">
                  <c:v>5801.177923827021</c:v>
                </c:pt>
                <c:pt idx="13">
                  <c:v>5832.8255103967367</c:v>
                </c:pt>
                <c:pt idx="14">
                  <c:v>5683.4164207666145</c:v>
                </c:pt>
                <c:pt idx="15">
                  <c:v>5643.6103389859272</c:v>
                </c:pt>
                <c:pt idx="16">
                  <c:v>5963.971637103281</c:v>
                </c:pt>
                <c:pt idx="17">
                  <c:v>6170.3794419738506</c:v>
                </c:pt>
                <c:pt idx="18">
                  <c:v>5848.7754681055503</c:v>
                </c:pt>
                <c:pt idx="19">
                  <c:v>5776.1795174544586</c:v>
                </c:pt>
                <c:pt idx="20">
                  <c:v>6277.7721055580305</c:v>
                </c:pt>
                <c:pt idx="21">
                  <c:v>6315.7617240848094</c:v>
                </c:pt>
                <c:pt idx="22">
                  <c:v>6366.130682762725</c:v>
                </c:pt>
                <c:pt idx="23">
                  <c:v>6084.546615642902</c:v>
                </c:pt>
                <c:pt idx="24">
                  <c:v>5831.9612016766987</c:v>
                </c:pt>
                <c:pt idx="25">
                  <c:v>6179.8859617815469</c:v>
                </c:pt>
                <c:pt idx="26">
                  <c:v>6262.2974953582261</c:v>
                </c:pt>
                <c:pt idx="27">
                  <c:v>7247.1155784351122</c:v>
                </c:pt>
                <c:pt idx="28">
                  <c:v>6975.6140845663458</c:v>
                </c:pt>
                <c:pt idx="29">
                  <c:v>6861.9431311242042</c:v>
                </c:pt>
                <c:pt idx="30">
                  <c:v>6926.419890619326</c:v>
                </c:pt>
                <c:pt idx="31">
                  <c:v>6925.6430606848144</c:v>
                </c:pt>
                <c:pt idx="32">
                  <c:v>7087.5893657848146</c:v>
                </c:pt>
              </c:numCache>
            </c:numRef>
          </c:val>
          <c:extLst>
            <c:ext xmlns:c16="http://schemas.microsoft.com/office/drawing/2014/chart" uri="{C3380CC4-5D6E-409C-BE32-E72D297353CC}">
              <c16:uniqueId val="{00000007-FCD0-452B-A298-B506EACE2CEA}"/>
            </c:ext>
          </c:extLst>
        </c:ser>
        <c:dLbls>
          <c:showLegendKey val="0"/>
          <c:showVal val="0"/>
          <c:showCatName val="0"/>
          <c:showSerName val="0"/>
          <c:showPercent val="0"/>
          <c:showBubbleSize val="0"/>
        </c:dLbls>
        <c:gapWidth val="55"/>
        <c:overlap val="100"/>
        <c:axId val="699282304"/>
        <c:axId val="699286264"/>
      </c:barChart>
      <c:catAx>
        <c:axId val="69928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6264"/>
        <c:crosses val="autoZero"/>
        <c:auto val="1"/>
        <c:lblAlgn val="ctr"/>
        <c:lblOffset val="100"/>
        <c:noMultiLvlLbl val="0"/>
      </c:catAx>
      <c:valAx>
        <c:axId val="69928626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2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NG Distribution System and Post Meter Leaks (metric tons CH4)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0"/>
          <c:tx>
            <c:strRef>
              <c:f>'NG Sum&amp;Distribution&amp;PostMeter'!$B$181</c:f>
              <c:strCache>
                <c:ptCount val="1"/>
                <c:pt idx="0">
                  <c:v>Customer Meters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Sum&amp;Distribution&amp;PostMeter'!$D$185:$AJ$185</c:f>
              <c:numCache>
                <c:formatCode>#,##0.0</c:formatCode>
                <c:ptCount val="33"/>
                <c:pt idx="0">
                  <c:v>4359.1084200222695</c:v>
                </c:pt>
                <c:pt idx="1">
                  <c:v>4281.2254495044654</c:v>
                </c:pt>
                <c:pt idx="2">
                  <c:v>4619.730973659267</c:v>
                </c:pt>
                <c:pt idx="3">
                  <c:v>4876.3843116719891</c:v>
                </c:pt>
                <c:pt idx="4">
                  <c:v>4769.0692476917666</c:v>
                </c:pt>
                <c:pt idx="5">
                  <c:v>5299.4754800423598</c:v>
                </c:pt>
                <c:pt idx="6">
                  <c:v>5397.2066039963229</c:v>
                </c:pt>
                <c:pt idx="7">
                  <c:v>5480.0905014085865</c:v>
                </c:pt>
                <c:pt idx="8">
                  <c:v>5532.8262583671567</c:v>
                </c:pt>
                <c:pt idx="9">
                  <c:v>5326.9870339316994</c:v>
                </c:pt>
                <c:pt idx="10">
                  <c:v>5588.5541444242754</c:v>
                </c:pt>
                <c:pt idx="11">
                  <c:v>5765.2176896775136</c:v>
                </c:pt>
                <c:pt idx="12">
                  <c:v>5749.425941288092</c:v>
                </c:pt>
                <c:pt idx="13">
                  <c:v>6034.4456162629904</c:v>
                </c:pt>
                <c:pt idx="14">
                  <c:v>6022.0381942170025</c:v>
                </c:pt>
                <c:pt idx="15">
                  <c:v>6005.9358776528998</c:v>
                </c:pt>
                <c:pt idx="16">
                  <c:v>6281.4442654223012</c:v>
                </c:pt>
                <c:pt idx="17">
                  <c:v>6376.24564819646</c:v>
                </c:pt>
                <c:pt idx="18">
                  <c:v>6506.4857911683694</c:v>
                </c:pt>
                <c:pt idx="19">
                  <c:v>6636.7259341402778</c:v>
                </c:pt>
                <c:pt idx="20">
                  <c:v>6789.0000525994819</c:v>
                </c:pt>
                <c:pt idx="21">
                  <c:v>6457.1969406598382</c:v>
                </c:pt>
                <c:pt idx="22">
                  <c:v>6636.3468114480083</c:v>
                </c:pt>
                <c:pt idx="23">
                  <c:v>6722.2444310993742</c:v>
                </c:pt>
                <c:pt idx="24">
                  <c:v>6590.9397295055333</c:v>
                </c:pt>
                <c:pt idx="25">
                  <c:v>6672.7691502589405</c:v>
                </c:pt>
                <c:pt idx="26">
                  <c:v>6735.2900494066616</c:v>
                </c:pt>
                <c:pt idx="27">
                  <c:v>6768.3134540929168</c:v>
                </c:pt>
                <c:pt idx="28">
                  <c:v>6842.2673297578767</c:v>
                </c:pt>
                <c:pt idx="29">
                  <c:v>6868.3878028531244</c:v>
                </c:pt>
                <c:pt idx="30">
                  <c:v>8185.8280475476522</c:v>
                </c:pt>
                <c:pt idx="31">
                  <c:v>6934.6076319799904</c:v>
                </c:pt>
                <c:pt idx="32">
                  <c:v>7755.3596180036511</c:v>
                </c:pt>
              </c:numCache>
            </c:numRef>
          </c:val>
          <c:smooth val="0"/>
          <c:extLst>
            <c:ext xmlns:c16="http://schemas.microsoft.com/office/drawing/2014/chart" uri="{C3380CC4-5D6E-409C-BE32-E72D297353CC}">
              <c16:uniqueId val="{00000003-1746-48F1-BC8E-BF34BB1445CA}"/>
            </c:ext>
          </c:extLst>
        </c:ser>
        <c:ser>
          <c:idx val="6"/>
          <c:order val="1"/>
          <c:tx>
            <c:strRef>
              <c:f>'NG Sum&amp;Distribution&amp;PostMeter'!$B$196</c:f>
              <c:strCache>
                <c:ptCount val="1"/>
                <c:pt idx="0">
                  <c:v>Post-Meter Leaks</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Sum&amp;Distribution&amp;PostMeter'!$D$209:$AJ$209</c:f>
              <c:numCache>
                <c:formatCode>0</c:formatCode>
                <c:ptCount val="33"/>
                <c:pt idx="0">
                  <c:v>4006.8543220672336</c:v>
                </c:pt>
                <c:pt idx="1">
                  <c:v>4140.6027115657444</c:v>
                </c:pt>
                <c:pt idx="2">
                  <c:v>4492.8563618559265</c:v>
                </c:pt>
                <c:pt idx="3">
                  <c:v>4606.9080432143855</c:v>
                </c:pt>
                <c:pt idx="4">
                  <c:v>4827.9235192519445</c:v>
                </c:pt>
                <c:pt idx="5">
                  <c:v>5180.9327570891228</c:v>
                </c:pt>
                <c:pt idx="6">
                  <c:v>4862.8064648706613</c:v>
                </c:pt>
                <c:pt idx="7">
                  <c:v>5129.2743199239876</c:v>
                </c:pt>
                <c:pt idx="8">
                  <c:v>5000.9647466681126</c:v>
                </c:pt>
                <c:pt idx="9">
                  <c:v>5131.3996710659912</c:v>
                </c:pt>
                <c:pt idx="10">
                  <c:v>5142.9662711010078</c:v>
                </c:pt>
                <c:pt idx="11">
                  <c:v>5352.6859843840211</c:v>
                </c:pt>
                <c:pt idx="12">
                  <c:v>5801.177923827021</c:v>
                </c:pt>
                <c:pt idx="13">
                  <c:v>5832.8255103967367</c:v>
                </c:pt>
                <c:pt idx="14">
                  <c:v>5683.4164207666145</c:v>
                </c:pt>
                <c:pt idx="15">
                  <c:v>5643.6103389859272</c:v>
                </c:pt>
                <c:pt idx="16">
                  <c:v>5963.971637103281</c:v>
                </c:pt>
                <c:pt idx="17">
                  <c:v>6170.3794419738506</c:v>
                </c:pt>
                <c:pt idx="18">
                  <c:v>5848.7754681055503</c:v>
                </c:pt>
                <c:pt idx="19">
                  <c:v>5776.1795174544586</c:v>
                </c:pt>
                <c:pt idx="20">
                  <c:v>6277.7721055580305</c:v>
                </c:pt>
                <c:pt idx="21">
                  <c:v>6315.7617240848094</c:v>
                </c:pt>
                <c:pt idx="22">
                  <c:v>6366.130682762725</c:v>
                </c:pt>
                <c:pt idx="23">
                  <c:v>6084.546615642902</c:v>
                </c:pt>
                <c:pt idx="24">
                  <c:v>5831.9612016766987</c:v>
                </c:pt>
                <c:pt idx="25">
                  <c:v>6179.8859617815469</c:v>
                </c:pt>
                <c:pt idx="26">
                  <c:v>6262.2974953582261</c:v>
                </c:pt>
                <c:pt idx="27">
                  <c:v>7247.1155784351122</c:v>
                </c:pt>
                <c:pt idx="28">
                  <c:v>6975.6140845663458</c:v>
                </c:pt>
                <c:pt idx="29">
                  <c:v>6861.9431311242042</c:v>
                </c:pt>
                <c:pt idx="30">
                  <c:v>6926.419890619326</c:v>
                </c:pt>
                <c:pt idx="31">
                  <c:v>6925.6430606848144</c:v>
                </c:pt>
                <c:pt idx="32">
                  <c:v>7087.5893657848146</c:v>
                </c:pt>
              </c:numCache>
            </c:numRef>
          </c:val>
          <c:smooth val="0"/>
          <c:extLst>
            <c:ext xmlns:c16="http://schemas.microsoft.com/office/drawing/2014/chart" uri="{C3380CC4-5D6E-409C-BE32-E72D297353CC}">
              <c16:uniqueId val="{00000006-1746-48F1-BC8E-BF34BB1445CA}"/>
            </c:ext>
          </c:extLst>
        </c:ser>
        <c:ser>
          <c:idx val="0"/>
          <c:order val="2"/>
          <c:tx>
            <c:strRef>
              <c:f>'NG Sum&amp;Distribution&amp;PostMeter'!$B$147</c:f>
              <c:strCache>
                <c:ptCount val="1"/>
                <c:pt idx="0">
                  <c:v>Pipeline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Sum&amp;Distribution&amp;PostMeter'!$D$157:$AK$157</c:f>
              <c:numCache>
                <c:formatCode>#,##0.0</c:formatCode>
                <c:ptCount val="34"/>
                <c:pt idx="0">
                  <c:v>36512.94696500725</c:v>
                </c:pt>
                <c:pt idx="1">
                  <c:v>36031.080791353575</c:v>
                </c:pt>
                <c:pt idx="2">
                  <c:v>35422.198846617051</c:v>
                </c:pt>
                <c:pt idx="3">
                  <c:v>33038.42040222136</c:v>
                </c:pt>
                <c:pt idx="4">
                  <c:v>31905.14107922063</c:v>
                </c:pt>
                <c:pt idx="5">
                  <c:v>30345.469218131078</c:v>
                </c:pt>
                <c:pt idx="6">
                  <c:v>28513.560483556805</c:v>
                </c:pt>
                <c:pt idx="7">
                  <c:v>27052.104582819102</c:v>
                </c:pt>
                <c:pt idx="8">
                  <c:v>25575.361399154106</c:v>
                </c:pt>
                <c:pt idx="9">
                  <c:v>24154.971506520647</c:v>
                </c:pt>
                <c:pt idx="10">
                  <c:v>23000.099409168488</c:v>
                </c:pt>
                <c:pt idx="11">
                  <c:v>20636.47274342502</c:v>
                </c:pt>
                <c:pt idx="12">
                  <c:v>19179.105727847251</c:v>
                </c:pt>
                <c:pt idx="13">
                  <c:v>17595.254405007803</c:v>
                </c:pt>
                <c:pt idx="14">
                  <c:v>16330.028279890765</c:v>
                </c:pt>
                <c:pt idx="15">
                  <c:v>14764.984940253953</c:v>
                </c:pt>
                <c:pt idx="16">
                  <c:v>14072.677610559844</c:v>
                </c:pt>
                <c:pt idx="17">
                  <c:v>12763.075711166184</c:v>
                </c:pt>
                <c:pt idx="18">
                  <c:v>11559.82227417385</c:v>
                </c:pt>
                <c:pt idx="19">
                  <c:v>10299.597958318396</c:v>
                </c:pt>
                <c:pt idx="20">
                  <c:v>9065.1175620527101</c:v>
                </c:pt>
                <c:pt idx="21">
                  <c:v>7839.8660483975</c:v>
                </c:pt>
                <c:pt idx="22">
                  <c:v>7615.5227717815715</c:v>
                </c:pt>
                <c:pt idx="23">
                  <c:v>7422.5916978826262</c:v>
                </c:pt>
                <c:pt idx="24">
                  <c:v>7072.4649503855126</c:v>
                </c:pt>
                <c:pt idx="25">
                  <c:v>6876.5546779759916</c:v>
                </c:pt>
                <c:pt idx="26">
                  <c:v>6638.2946497602243</c:v>
                </c:pt>
                <c:pt idx="27">
                  <c:v>6342.7564694252587</c:v>
                </c:pt>
                <c:pt idx="28">
                  <c:v>6125.2929214491596</c:v>
                </c:pt>
                <c:pt idx="29">
                  <c:v>5909.5154048708528</c:v>
                </c:pt>
                <c:pt idx="30">
                  <c:v>5729.373966778664</c:v>
                </c:pt>
                <c:pt idx="31">
                  <c:v>5452.1205980805262</c:v>
                </c:pt>
                <c:pt idx="32">
                  <c:v>5268.7852986581493</c:v>
                </c:pt>
                <c:pt idx="33">
                  <c:v>5005.9623994119784</c:v>
                </c:pt>
              </c:numCache>
            </c:numRef>
          </c:val>
          <c:smooth val="0"/>
          <c:extLst>
            <c:ext xmlns:c16="http://schemas.microsoft.com/office/drawing/2014/chart" uri="{C3380CC4-5D6E-409C-BE32-E72D297353CC}">
              <c16:uniqueId val="{00000000-1746-48F1-BC8E-BF34BB1445CA}"/>
            </c:ext>
          </c:extLst>
        </c:ser>
        <c:ser>
          <c:idx val="1"/>
          <c:order val="3"/>
          <c:tx>
            <c:strRef>
              <c:f>'NG Sum&amp;Distribution&amp;PostMeter'!$B$158</c:f>
              <c:strCache>
                <c:ptCount val="1"/>
                <c:pt idx="0">
                  <c:v>Services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Sum&amp;Distribution&amp;PostMeter'!$D$168:$AK$168</c:f>
              <c:numCache>
                <c:formatCode>#,##0.0</c:formatCode>
                <c:ptCount val="34"/>
                <c:pt idx="0">
                  <c:v>19748.406176966371</c:v>
                </c:pt>
                <c:pt idx="1">
                  <c:v>19450.018066822096</c:v>
                </c:pt>
                <c:pt idx="2">
                  <c:v>18899.002437860578</c:v>
                </c:pt>
                <c:pt idx="3">
                  <c:v>17952.768897154412</c:v>
                </c:pt>
                <c:pt idx="4">
                  <c:v>16874.559848479636</c:v>
                </c:pt>
                <c:pt idx="5">
                  <c:v>16332.445478766575</c:v>
                </c:pt>
                <c:pt idx="6">
                  <c:v>15392.965566428633</c:v>
                </c:pt>
                <c:pt idx="7">
                  <c:v>14636.343310117003</c:v>
                </c:pt>
                <c:pt idx="8">
                  <c:v>13926.180378372466</c:v>
                </c:pt>
                <c:pt idx="9">
                  <c:v>13201.643438958456</c:v>
                </c:pt>
                <c:pt idx="10">
                  <c:v>12701.09036415095</c:v>
                </c:pt>
                <c:pt idx="11">
                  <c:v>12003.896349581815</c:v>
                </c:pt>
                <c:pt idx="12">
                  <c:v>11698.734127125721</c:v>
                </c:pt>
                <c:pt idx="13">
                  <c:v>11046.766428983381</c:v>
                </c:pt>
                <c:pt idx="14">
                  <c:v>11982.514040670743</c:v>
                </c:pt>
                <c:pt idx="15">
                  <c:v>9965.5234476617261</c:v>
                </c:pt>
                <c:pt idx="16">
                  <c:v>8721.0380804145752</c:v>
                </c:pt>
                <c:pt idx="17">
                  <c:v>8089.36194288142</c:v>
                </c:pt>
                <c:pt idx="18">
                  <c:v>7524.9132246815479</c:v>
                </c:pt>
                <c:pt idx="19">
                  <c:v>6873.3726131800549</c:v>
                </c:pt>
                <c:pt idx="20">
                  <c:v>6252.3069525485917</c:v>
                </c:pt>
                <c:pt idx="21">
                  <c:v>5741.0464519396355</c:v>
                </c:pt>
                <c:pt idx="22">
                  <c:v>5536.6393022446255</c:v>
                </c:pt>
                <c:pt idx="23">
                  <c:v>5407.6113248911788</c:v>
                </c:pt>
                <c:pt idx="24">
                  <c:v>5272.7539217343347</c:v>
                </c:pt>
                <c:pt idx="25">
                  <c:v>5156.5864528284892</c:v>
                </c:pt>
                <c:pt idx="26">
                  <c:v>5073.215774658177</c:v>
                </c:pt>
                <c:pt idx="27">
                  <c:v>4851.1688601033202</c:v>
                </c:pt>
                <c:pt idx="28">
                  <c:v>4765.4345872101112</c:v>
                </c:pt>
                <c:pt idx="29">
                  <c:v>4506.169623791141</c:v>
                </c:pt>
                <c:pt idx="30">
                  <c:v>4447.2662245829961</c:v>
                </c:pt>
                <c:pt idx="31">
                  <c:v>4281.2482482789128</c:v>
                </c:pt>
                <c:pt idx="32">
                  <c:v>4118.9624850124828</c:v>
                </c:pt>
                <c:pt idx="33">
                  <c:v>3980.505027006885</c:v>
                </c:pt>
              </c:numCache>
            </c:numRef>
          </c:val>
          <c:smooth val="0"/>
          <c:extLst>
            <c:ext xmlns:c16="http://schemas.microsoft.com/office/drawing/2014/chart" uri="{C3380CC4-5D6E-409C-BE32-E72D297353CC}">
              <c16:uniqueId val="{00000001-1746-48F1-BC8E-BF34BB1445CA}"/>
            </c:ext>
          </c:extLst>
        </c:ser>
        <c:ser>
          <c:idx val="5"/>
          <c:order val="4"/>
          <c:tx>
            <c:strRef>
              <c:f>'NG Sum&amp;Distribution&amp;PostMeter'!$B$191</c:f>
              <c:strCache>
                <c:ptCount val="1"/>
                <c:pt idx="0">
                  <c:v>Mishaps (Dig-ins)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Sum&amp;Distribution&amp;PostMeter'!$D$191:$AK$191</c:f>
              <c:numCache>
                <c:formatCode>#,##0.0</c:formatCode>
                <c:ptCount val="34"/>
                <c:pt idx="0">
                  <c:v>923.43562059494752</c:v>
                </c:pt>
                <c:pt idx="1">
                  <c:v>929.7771438788568</c:v>
                </c:pt>
                <c:pt idx="2">
                  <c:v>953.0481016002542</c:v>
                </c:pt>
                <c:pt idx="3">
                  <c:v>958.7464720836341</c:v>
                </c:pt>
                <c:pt idx="4">
                  <c:v>974.11744334298862</c:v>
                </c:pt>
                <c:pt idx="5">
                  <c:v>988.94320389667666</c:v>
                </c:pt>
                <c:pt idx="6">
                  <c:v>999.29619882454438</c:v>
                </c:pt>
                <c:pt idx="7">
                  <c:v>1013.8845841927711</c:v>
                </c:pt>
                <c:pt idx="8">
                  <c:v>1031.3147931644476</c:v>
                </c:pt>
                <c:pt idx="9">
                  <c:v>1044.8859239024357</c:v>
                </c:pt>
                <c:pt idx="10">
                  <c:v>982.44232309255972</c:v>
                </c:pt>
                <c:pt idx="11">
                  <c:v>997.71368366646686</c:v>
                </c:pt>
                <c:pt idx="12">
                  <c:v>1030.9304306899955</c:v>
                </c:pt>
                <c:pt idx="13">
                  <c:v>992.72281791264493</c:v>
                </c:pt>
                <c:pt idx="14">
                  <c:v>1021.6546036661667</c:v>
                </c:pt>
                <c:pt idx="15">
                  <c:v>1104.4887501229325</c:v>
                </c:pt>
                <c:pt idx="16">
                  <c:v>1056.4580556984106</c:v>
                </c:pt>
                <c:pt idx="17">
                  <c:v>1082.8427697888319</c:v>
                </c:pt>
                <c:pt idx="18">
                  <c:v>1072.6930322251053</c:v>
                </c:pt>
                <c:pt idx="19">
                  <c:v>1058.4695739104272</c:v>
                </c:pt>
                <c:pt idx="20">
                  <c:v>1057.2776173253715</c:v>
                </c:pt>
                <c:pt idx="21">
                  <c:v>996.63059097409496</c:v>
                </c:pt>
                <c:pt idx="22">
                  <c:v>1075.2119463487459</c:v>
                </c:pt>
                <c:pt idx="23">
                  <c:v>1077.4813643535153</c:v>
                </c:pt>
                <c:pt idx="24">
                  <c:v>1085.656911707435</c:v>
                </c:pt>
                <c:pt idx="25">
                  <c:v>1093.7029341709363</c:v>
                </c:pt>
                <c:pt idx="26">
                  <c:v>1096.6696917969155</c:v>
                </c:pt>
                <c:pt idx="27">
                  <c:v>1116.4723164741224</c:v>
                </c:pt>
                <c:pt idx="28">
                  <c:v>1123.0140747532823</c:v>
                </c:pt>
                <c:pt idx="29">
                  <c:v>1127.7151512813828</c:v>
                </c:pt>
                <c:pt idx="30">
                  <c:v>1113.4081796769619</c:v>
                </c:pt>
                <c:pt idx="31">
                  <c:v>1115.7772348091339</c:v>
                </c:pt>
                <c:pt idx="32">
                  <c:v>1123.3532018505475</c:v>
                </c:pt>
                <c:pt idx="33">
                  <c:v>1197.7345477303093</c:v>
                </c:pt>
              </c:numCache>
            </c:numRef>
          </c:val>
          <c:smooth val="0"/>
          <c:extLst>
            <c:ext xmlns:c16="http://schemas.microsoft.com/office/drawing/2014/chart" uri="{C3380CC4-5D6E-409C-BE32-E72D297353CC}">
              <c16:uniqueId val="{00000005-1746-48F1-BC8E-BF34BB1445CA}"/>
            </c:ext>
          </c:extLst>
        </c:ser>
        <c:ser>
          <c:idx val="2"/>
          <c:order val="5"/>
          <c:tx>
            <c:strRef>
              <c:f>'NG Sum&amp;Distribution&amp;PostMeter'!$B$169</c:f>
              <c:strCache>
                <c:ptCount val="1"/>
                <c:pt idx="0">
                  <c:v>Meter/Regulator (City Gates)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Sum&amp;Distribution&amp;PostMeter'!$D$180:$AK$180</c:f>
              <c:numCache>
                <c:formatCode>#,##0.0</c:formatCode>
                <c:ptCount val="34"/>
                <c:pt idx="0">
                  <c:v>2218.5582393924005</c:v>
                </c:pt>
                <c:pt idx="1">
                  <c:v>2137.5905963683504</c:v>
                </c:pt>
                <c:pt idx="2">
                  <c:v>2056.6229533443006</c:v>
                </c:pt>
                <c:pt idx="3">
                  <c:v>1975.6553103202505</c:v>
                </c:pt>
                <c:pt idx="4">
                  <c:v>1894.6876672962005</c:v>
                </c:pt>
                <c:pt idx="5">
                  <c:v>1813.7200242721503</c:v>
                </c:pt>
                <c:pt idx="6">
                  <c:v>1732.7523812481004</c:v>
                </c:pt>
                <c:pt idx="7">
                  <c:v>1651.7847382240502</c:v>
                </c:pt>
                <c:pt idx="8">
                  <c:v>1570.8170952000005</c:v>
                </c:pt>
                <c:pt idx="9">
                  <c:v>1489.8494521759503</c:v>
                </c:pt>
                <c:pt idx="10">
                  <c:v>1408.8818091519001</c:v>
                </c:pt>
                <c:pt idx="11">
                  <c:v>1327.9141661278504</c:v>
                </c:pt>
                <c:pt idx="12">
                  <c:v>1246.9465231038002</c:v>
                </c:pt>
                <c:pt idx="13">
                  <c:v>1165.9788800797503</c:v>
                </c:pt>
                <c:pt idx="14">
                  <c:v>1085.0112370557001</c:v>
                </c:pt>
                <c:pt idx="15">
                  <c:v>1004.0435940316502</c:v>
                </c:pt>
                <c:pt idx="16">
                  <c:v>923.07595100760022</c:v>
                </c:pt>
                <c:pt idx="17">
                  <c:v>842.10830798355005</c:v>
                </c:pt>
                <c:pt idx="18">
                  <c:v>761.1406649595001</c:v>
                </c:pt>
                <c:pt idx="19">
                  <c:v>680.17302193545015</c:v>
                </c:pt>
                <c:pt idx="20">
                  <c:v>599.20537891139998</c:v>
                </c:pt>
                <c:pt idx="21">
                  <c:v>518.23773588735003</c:v>
                </c:pt>
                <c:pt idx="22">
                  <c:v>437.27009286330008</c:v>
                </c:pt>
                <c:pt idx="23" formatCode="#,##0.000">
                  <c:v>356.3024498392499</c:v>
                </c:pt>
                <c:pt idx="24" formatCode="#,##0.000">
                  <c:v>275.33480681520001</c:v>
                </c:pt>
                <c:pt idx="25">
                  <c:v>273.84975450000007</c:v>
                </c:pt>
                <c:pt idx="26">
                  <c:v>283.29726522959999</c:v>
                </c:pt>
                <c:pt idx="27">
                  <c:v>283.57683029280003</c:v>
                </c:pt>
                <c:pt idx="28">
                  <c:v>281.65463067600001</c:v>
                </c:pt>
                <c:pt idx="29">
                  <c:v>281.66644090800003</c:v>
                </c:pt>
                <c:pt idx="30">
                  <c:v>288.59601017520009</c:v>
                </c:pt>
                <c:pt idx="31">
                  <c:v>282.07574980559997</c:v>
                </c:pt>
                <c:pt idx="32">
                  <c:v>279.25546640400012</c:v>
                </c:pt>
                <c:pt idx="33">
                  <c:v>279.56236371840009</c:v>
                </c:pt>
              </c:numCache>
            </c:numRef>
          </c:val>
          <c:smooth val="0"/>
          <c:extLst>
            <c:ext xmlns:c16="http://schemas.microsoft.com/office/drawing/2014/chart" uri="{C3380CC4-5D6E-409C-BE32-E72D297353CC}">
              <c16:uniqueId val="{00000002-1746-48F1-BC8E-BF34BB1445CA}"/>
            </c:ext>
          </c:extLst>
        </c:ser>
        <c:ser>
          <c:idx val="4"/>
          <c:order val="6"/>
          <c:tx>
            <c:strRef>
              <c:f>'NG Sum&amp;Distribution&amp;PostMeter'!$B$186</c:f>
              <c:strCache>
                <c:ptCount val="1"/>
                <c:pt idx="0">
                  <c:v>Routine Maintenance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'NG Sum&amp;Distribution&amp;PostMeter'!$D$6:$AK$6</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Sum&amp;Distribution&amp;PostMeter'!$D$189:$AK$189</c:f>
              <c:numCache>
                <c:formatCode>#,##0.0</c:formatCode>
                <c:ptCount val="34"/>
                <c:pt idx="0">
                  <c:v>76.216956226845696</c:v>
                </c:pt>
                <c:pt idx="1">
                  <c:v>76.687328928077591</c:v>
                </c:pt>
                <c:pt idx="2">
                  <c:v>78.435859319638951</c:v>
                </c:pt>
                <c:pt idx="3">
                  <c:v>60.218015434757355</c:v>
                </c:pt>
                <c:pt idx="4">
                  <c:v>47.027596342515736</c:v>
                </c:pt>
                <c:pt idx="5">
                  <c:v>57.488055579429378</c:v>
                </c:pt>
                <c:pt idx="6">
                  <c:v>52.293902373306267</c:v>
                </c:pt>
                <c:pt idx="7">
                  <c:v>18.336421705404089</c:v>
                </c:pt>
                <c:pt idx="8">
                  <c:v>53.923754375442762</c:v>
                </c:pt>
                <c:pt idx="9">
                  <c:v>55.88124675398452</c:v>
                </c:pt>
                <c:pt idx="10">
                  <c:v>55.072283649001776</c:v>
                </c:pt>
                <c:pt idx="11">
                  <c:v>54.839106928158088</c:v>
                </c:pt>
                <c:pt idx="12">
                  <c:v>11.010874460588251</c:v>
                </c:pt>
                <c:pt idx="13">
                  <c:v>37.558159670369193</c:v>
                </c:pt>
                <c:pt idx="14">
                  <c:v>22.963067959949647</c:v>
                </c:pt>
                <c:pt idx="15">
                  <c:v>20.161698951795213</c:v>
                </c:pt>
                <c:pt idx="16">
                  <c:v>19.840570788492748</c:v>
                </c:pt>
                <c:pt idx="17">
                  <c:v>37.476203469849466</c:v>
                </c:pt>
                <c:pt idx="18">
                  <c:v>35.657554506195495</c:v>
                </c:pt>
                <c:pt idx="19">
                  <c:v>44.839281836081042</c:v>
                </c:pt>
                <c:pt idx="20">
                  <c:v>39.036194951470257</c:v>
                </c:pt>
                <c:pt idx="21">
                  <c:v>53.343361531464112</c:v>
                </c:pt>
                <c:pt idx="22">
                  <c:v>57.630791453700368</c:v>
                </c:pt>
                <c:pt idx="23">
                  <c:v>55.18932503984955</c:v>
                </c:pt>
                <c:pt idx="24">
                  <c:v>61.049687339133932</c:v>
                </c:pt>
                <c:pt idx="25">
                  <c:v>54.733399324327905</c:v>
                </c:pt>
                <c:pt idx="26">
                  <c:v>59.700881589656227</c:v>
                </c:pt>
                <c:pt idx="27">
                  <c:v>41.682967721123639</c:v>
                </c:pt>
                <c:pt idx="28">
                  <c:v>33.333757299443221</c:v>
                </c:pt>
                <c:pt idx="29">
                  <c:v>54.260065357506392</c:v>
                </c:pt>
                <c:pt idx="30">
                  <c:v>52.82433674399622</c:v>
                </c:pt>
                <c:pt idx="31">
                  <c:v>48.376809785901841</c:v>
                </c:pt>
                <c:pt idx="32">
                  <c:v>49.028681782052104</c:v>
                </c:pt>
                <c:pt idx="33">
                  <c:v>50.943951792243197</c:v>
                </c:pt>
              </c:numCache>
            </c:numRef>
          </c:val>
          <c:smooth val="0"/>
          <c:extLst>
            <c:ext xmlns:c16="http://schemas.microsoft.com/office/drawing/2014/chart" uri="{C3380CC4-5D6E-409C-BE32-E72D297353CC}">
              <c16:uniqueId val="{00000004-1746-48F1-BC8E-BF34BB1445CA}"/>
            </c:ext>
          </c:extLst>
        </c:ser>
        <c:dLbls>
          <c:showLegendKey val="0"/>
          <c:showVal val="0"/>
          <c:showCatName val="0"/>
          <c:showSerName val="0"/>
          <c:showPercent val="0"/>
          <c:showBubbleSize val="0"/>
        </c:dLbls>
        <c:marker val="1"/>
        <c:smooth val="0"/>
        <c:axId val="699282304"/>
        <c:axId val="699286264"/>
      </c:lineChart>
      <c:catAx>
        <c:axId val="69928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6264"/>
        <c:crosses val="autoZero"/>
        <c:auto val="1"/>
        <c:lblAlgn val="ctr"/>
        <c:lblOffset val="100"/>
        <c:noMultiLvlLbl val="0"/>
      </c:catAx>
      <c:valAx>
        <c:axId val="699286264"/>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2823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Massachusetts GHG Emissions from Fuel Combustion</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 (by Sector)</a:t>
            </a:r>
          </a:p>
        </c:rich>
      </c:tx>
      <c:overlay val="1"/>
    </c:title>
    <c:autoTitleDeleted val="0"/>
    <c:plotArea>
      <c:layout>
        <c:manualLayout>
          <c:layoutTarget val="inner"/>
          <c:xMode val="edge"/>
          <c:yMode val="edge"/>
          <c:x val="9.2726194460591757E-2"/>
          <c:y val="0.15859237229289766"/>
          <c:w val="0.88742207812258767"/>
          <c:h val="0.70402164371716447"/>
        </c:manualLayout>
      </c:layout>
      <c:lineChart>
        <c:grouping val="standard"/>
        <c:varyColors val="0"/>
        <c:ser>
          <c:idx val="12"/>
          <c:order val="0"/>
          <c:tx>
            <c:strRef>
              <c:f>Process!$C$24</c:f>
              <c:strCache>
                <c:ptCount val="1"/>
                <c:pt idx="0">
                  <c:v>Transportation CO2e from Fuel Combustion</c:v>
                </c:pt>
              </c:strCache>
            </c:strRef>
          </c:tx>
          <c:spPr>
            <a:ln w="31750">
              <a:solidFill>
                <a:schemeClr val="accent4">
                  <a:lumMod val="75000"/>
                </a:schemeClr>
              </a:solidFill>
              <a:prstDash val="solid"/>
            </a:ln>
          </c:spPr>
          <c:marker>
            <c:symbol val="square"/>
            <c:size val="5"/>
            <c:spPr>
              <a:solidFill>
                <a:schemeClr val="accent4">
                  <a:lumMod val="40000"/>
                  <a:lumOff val="60000"/>
                </a:schemeClr>
              </a:solidFill>
              <a:ln>
                <a:solidFill>
                  <a:schemeClr val="accent4">
                    <a:lumMod val="75000"/>
                  </a:schemeClr>
                </a:solidFill>
              </a:ln>
            </c:spPr>
          </c:marker>
          <c:dPt>
            <c:idx val="23"/>
            <c:marker>
              <c:spPr>
                <a:solidFill>
                  <a:schemeClr val="accent4">
                    <a:lumMod val="60000"/>
                    <a:lumOff val="40000"/>
                  </a:schemeClr>
                </a:solidFill>
                <a:ln>
                  <a:solidFill>
                    <a:schemeClr val="accent4">
                      <a:lumMod val="75000"/>
                    </a:schemeClr>
                  </a:solidFill>
                </a:ln>
              </c:spPr>
            </c:marker>
            <c:bubble3D val="0"/>
            <c:extLst>
              <c:ext xmlns:c16="http://schemas.microsoft.com/office/drawing/2014/chart" uri="{C3380CC4-5D6E-409C-BE32-E72D297353CC}">
                <c16:uniqueId val="{00000000-6AFD-4DE1-9064-D19218119FE1}"/>
              </c:ext>
            </c:extLst>
          </c:dPt>
          <c:dPt>
            <c:idx val="28"/>
            <c:bubble3D val="0"/>
            <c:extLst>
              <c:ext xmlns:c16="http://schemas.microsoft.com/office/drawing/2014/chart" uri="{C3380CC4-5D6E-409C-BE32-E72D297353CC}">
                <c16:uniqueId val="{00000002-3936-1A48-A98D-B62D98C204CE}"/>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Process!$D$24:$AI$24</c:f>
              <c:numCache>
                <c:formatCode>#,##0.0</c:formatCode>
                <c:ptCount val="32"/>
                <c:pt idx="0">
                  <c:v>29.581745501205152</c:v>
                </c:pt>
                <c:pt idx="1">
                  <c:v>28.008157894701178</c:v>
                </c:pt>
                <c:pt idx="2">
                  <c:v>27.563413985474689</c:v>
                </c:pt>
                <c:pt idx="3">
                  <c:v>27.772478299795356</c:v>
                </c:pt>
                <c:pt idx="4">
                  <c:v>28.042783422795132</c:v>
                </c:pt>
                <c:pt idx="5">
                  <c:v>28.704985829013353</c:v>
                </c:pt>
                <c:pt idx="6">
                  <c:v>29.563275834798592</c:v>
                </c:pt>
                <c:pt idx="7">
                  <c:v>29.897702983833565</c:v>
                </c:pt>
                <c:pt idx="8">
                  <c:v>30.181109205449104</c:v>
                </c:pt>
                <c:pt idx="9">
                  <c:v>30.790053220998082</c:v>
                </c:pt>
                <c:pt idx="10">
                  <c:v>31.933517863915544</c:v>
                </c:pt>
                <c:pt idx="11">
                  <c:v>31.430585003037418</c:v>
                </c:pt>
                <c:pt idx="12">
                  <c:v>31.574740568992283</c:v>
                </c:pt>
                <c:pt idx="13">
                  <c:v>31.975501264052333</c:v>
                </c:pt>
                <c:pt idx="14">
                  <c:v>33.215146622359377</c:v>
                </c:pt>
                <c:pt idx="15">
                  <c:v>33.175691422999876</c:v>
                </c:pt>
                <c:pt idx="16">
                  <c:v>32.288107111618324</c:v>
                </c:pt>
                <c:pt idx="17">
                  <c:v>32.541825019643213</c:v>
                </c:pt>
                <c:pt idx="18">
                  <c:v>31.54022746940004</c:v>
                </c:pt>
                <c:pt idx="19">
                  <c:v>29.587581784741189</c:v>
                </c:pt>
                <c:pt idx="20">
                  <c:v>29.777333231530921</c:v>
                </c:pt>
                <c:pt idx="21">
                  <c:v>29.714058402593366</c:v>
                </c:pt>
                <c:pt idx="22">
                  <c:v>29.128761594393538</c:v>
                </c:pt>
                <c:pt idx="23">
                  <c:v>30.369155716681494</c:v>
                </c:pt>
                <c:pt idx="24">
                  <c:v>28.526599424836107</c:v>
                </c:pt>
                <c:pt idx="25">
                  <c:v>28.936034779613621</c:v>
                </c:pt>
                <c:pt idx="26">
                  <c:v>29.270928447936527</c:v>
                </c:pt>
                <c:pt idx="27">
                  <c:v>28.685739090034748</c:v>
                </c:pt>
                <c:pt idx="28">
                  <c:v>29.324613555027671</c:v>
                </c:pt>
                <c:pt idx="29">
                  <c:v>29.077598592722559</c:v>
                </c:pt>
                <c:pt idx="30">
                  <c:v>22.943227217729611</c:v>
                </c:pt>
                <c:pt idx="31">
                  <c:v>25.606773851436834</c:v>
                </c:pt>
              </c:numCache>
            </c:numRef>
          </c:val>
          <c:smooth val="0"/>
          <c:extLst>
            <c:ext xmlns:c16="http://schemas.microsoft.com/office/drawing/2014/chart" uri="{C3380CC4-5D6E-409C-BE32-E72D297353CC}">
              <c16:uniqueId val="{00000001-6AFD-4DE1-9064-D19218119FE1}"/>
            </c:ext>
          </c:extLst>
        </c:ser>
        <c:ser>
          <c:idx val="3"/>
          <c:order val="1"/>
          <c:tx>
            <c:strRef>
              <c:f>Process!$C$27</c:f>
              <c:strCache>
                <c:ptCount val="1"/>
                <c:pt idx="0">
                  <c:v>Electricity Total CO2e from Fuel Combustion</c:v>
                </c:pt>
              </c:strCache>
            </c:strRef>
          </c:tx>
          <c:spPr>
            <a:ln w="31750" cmpd="sng">
              <a:solidFill>
                <a:srgbClr val="FF33CC"/>
              </a:solidFill>
              <a:prstDash val="solid"/>
            </a:ln>
          </c:spPr>
          <c:marker>
            <c:symbol val="square"/>
            <c:size val="5"/>
            <c:spPr>
              <a:solidFill>
                <a:srgbClr val="FFCCFF"/>
              </a:solidFill>
              <a:ln>
                <a:solidFill>
                  <a:srgbClr val="FF33CC"/>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Process!$D$27:$AI$27</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2-6AFD-4DE1-9064-D19218119FE1}"/>
            </c:ext>
          </c:extLst>
        </c:ser>
        <c:ser>
          <c:idx val="0"/>
          <c:order val="2"/>
          <c:tx>
            <c:strRef>
              <c:f>Summary!$C$7</c:f>
              <c:strCache>
                <c:ptCount val="1"/>
                <c:pt idx="0">
                  <c:v>Building Consumption</c:v>
                </c:pt>
              </c:strCache>
            </c:strRef>
          </c:tx>
          <c:spPr>
            <a:ln>
              <a:solidFill>
                <a:schemeClr val="accent6">
                  <a:lumMod val="50000"/>
                </a:schemeClr>
              </a:solidFill>
            </a:ln>
          </c:spPr>
          <c:marker>
            <c:symbol val="square"/>
            <c:size val="5"/>
            <c:spPr>
              <a:solidFill>
                <a:schemeClr val="accent6">
                  <a:lumMod val="60000"/>
                  <a:lumOff val="40000"/>
                </a:schemeClr>
              </a:solidFill>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Summary!$D$7:$AI$7</c:f>
              <c:numCache>
                <c:formatCode>0.0</c:formatCode>
                <c:ptCount val="32"/>
                <c:pt idx="0">
                  <c:v>29.369032172200857</c:v>
                </c:pt>
                <c:pt idx="1">
                  <c:v>28.484120299972609</c:v>
                </c:pt>
                <c:pt idx="2">
                  <c:v>32.092126470351417</c:v>
                </c:pt>
                <c:pt idx="3">
                  <c:v>31.437036521231601</c:v>
                </c:pt>
                <c:pt idx="4">
                  <c:v>31.240221083692848</c:v>
                </c:pt>
                <c:pt idx="5">
                  <c:v>29.055006014243872</c:v>
                </c:pt>
                <c:pt idx="6">
                  <c:v>28.939078171359775</c:v>
                </c:pt>
                <c:pt idx="7">
                  <c:v>29.211025882124979</c:v>
                </c:pt>
                <c:pt idx="8">
                  <c:v>26.298952028503727</c:v>
                </c:pt>
                <c:pt idx="9">
                  <c:v>25.947505253545565</c:v>
                </c:pt>
                <c:pt idx="10">
                  <c:v>28.099908572354696</c:v>
                </c:pt>
                <c:pt idx="11">
                  <c:v>28.540538994006372</c:v>
                </c:pt>
                <c:pt idx="12">
                  <c:v>28.485554573593809</c:v>
                </c:pt>
                <c:pt idx="13">
                  <c:v>28.145016129708985</c:v>
                </c:pt>
                <c:pt idx="14">
                  <c:v>26.057100556393397</c:v>
                </c:pt>
                <c:pt idx="15">
                  <c:v>26.27851275730281</c:v>
                </c:pt>
                <c:pt idx="16">
                  <c:v>22.376133989054942</c:v>
                </c:pt>
                <c:pt idx="17">
                  <c:v>23.308641212354804</c:v>
                </c:pt>
                <c:pt idx="18">
                  <c:v>24.102601915589155</c:v>
                </c:pt>
                <c:pt idx="19">
                  <c:v>23.107360085174079</c:v>
                </c:pt>
                <c:pt idx="20">
                  <c:v>24.209162883001547</c:v>
                </c:pt>
                <c:pt idx="21">
                  <c:v>24.008476724062515</c:v>
                </c:pt>
                <c:pt idx="22">
                  <c:v>20.509075301309991</c:v>
                </c:pt>
                <c:pt idx="23">
                  <c:v>22.733604682115413</c:v>
                </c:pt>
                <c:pt idx="24">
                  <c:v>24.352199120674609</c:v>
                </c:pt>
                <c:pt idx="25">
                  <c:v>24.669656922183343</c:v>
                </c:pt>
                <c:pt idx="26">
                  <c:v>21.625648028614421</c:v>
                </c:pt>
                <c:pt idx="27">
                  <c:v>23.016071965499631</c:v>
                </c:pt>
                <c:pt idx="28">
                  <c:v>24.635788310641409</c:v>
                </c:pt>
                <c:pt idx="29">
                  <c:v>25.246624195773123</c:v>
                </c:pt>
                <c:pt idx="30">
                  <c:v>22.654145402916306</c:v>
                </c:pt>
                <c:pt idx="31">
                  <c:v>23.337639042465355</c:v>
                </c:pt>
              </c:numCache>
            </c:numRef>
          </c:val>
          <c:smooth val="0"/>
          <c:extLst>
            <c:ext xmlns:c16="http://schemas.microsoft.com/office/drawing/2014/chart" uri="{C3380CC4-5D6E-409C-BE32-E72D297353CC}">
              <c16:uniqueId val="{00000005-6AFD-4DE1-9064-D19218119FE1}"/>
            </c:ext>
          </c:extLst>
        </c:ser>
        <c:dLbls>
          <c:showLegendKey val="0"/>
          <c:showVal val="0"/>
          <c:showCatName val="0"/>
          <c:showSerName val="0"/>
          <c:showPercent val="0"/>
          <c:showBubbleSize val="0"/>
        </c:dLbls>
        <c:marker val="1"/>
        <c:smooth val="0"/>
        <c:axId val="47235072"/>
        <c:axId val="47236608"/>
      </c:lineChart>
      <c:catAx>
        <c:axId val="47235072"/>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7236608"/>
        <c:crossesAt val="0"/>
        <c:auto val="1"/>
        <c:lblAlgn val="ctr"/>
        <c:lblOffset val="100"/>
        <c:tickLblSkip val="5"/>
        <c:noMultiLvlLbl val="0"/>
      </c:catAx>
      <c:valAx>
        <c:axId val="47236608"/>
        <c:scaling>
          <c:orientation val="minMax"/>
          <c:max val="35"/>
          <c:min val="0"/>
        </c:scaling>
        <c:delete val="0"/>
        <c:axPos val="l"/>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alibri"/>
                  </a:rPr>
                  <a:t>Million Metric Tons of CO</a:t>
                </a:r>
                <a:r>
                  <a:rPr lang="en-US" sz="1000" b="1" i="0" u="none" strike="noStrike" baseline="-25000">
                    <a:solidFill>
                      <a:srgbClr val="000000"/>
                    </a:solidFill>
                    <a:latin typeface="Calibri"/>
                  </a:rPr>
                  <a:t>2</a:t>
                </a:r>
                <a:r>
                  <a:rPr lang="en-US" sz="1000" b="1" i="0" u="none" strike="noStrike" baseline="0">
                    <a:solidFill>
                      <a:srgbClr val="000000"/>
                    </a:solidFill>
                    <a:latin typeface="Calibri"/>
                  </a:rPr>
                  <a:t> equivalent</a:t>
                </a:r>
              </a:p>
            </c:rich>
          </c:tx>
          <c:overlay val="0"/>
        </c:title>
        <c:numFmt formatCode="0" sourceLinked="0"/>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47235072"/>
        <c:crosses val="autoZero"/>
        <c:crossBetween val="midCat"/>
        <c:majorUnit val="5"/>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33" l="0.70000000000000029" r="0.70000000000000029" t="0.75000000000000033" header="0.30000000000000016" footer="0.30000000000000016"/>
    <c:pageSetup orientation="portrait"/>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NG Transmission System (metric tons CH4)</a:t>
            </a:r>
          </a:p>
        </c:rich>
      </c:tx>
      <c:layout>
        <c:manualLayout>
          <c:xMode val="edge"/>
          <c:yMode val="edge"/>
          <c:x val="0.18685951587169669"/>
          <c:y val="2.54331025959788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000649497600267E-2"/>
          <c:y val="0.12460216121633444"/>
          <c:w val="0.52885557816856577"/>
          <c:h val="0.68905937433496478"/>
        </c:manualLayout>
      </c:layout>
      <c:barChart>
        <c:barDir val="col"/>
        <c:grouping val="stacked"/>
        <c:varyColors val="0"/>
        <c:ser>
          <c:idx val="17"/>
          <c:order val="0"/>
          <c:tx>
            <c:strRef>
              <c:f>'NG Transmission &amp; Storage'!$B$112</c:f>
              <c:strCache>
                <c:ptCount val="1"/>
                <c:pt idx="0">
                  <c:v>Pipeline venting</c:v>
                </c:pt>
              </c:strCache>
            </c:strRef>
          </c:tx>
          <c:spPr>
            <a:solidFill>
              <a:schemeClr val="accent6">
                <a:lumMod val="80000"/>
                <a:lumOff val="2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Storage'!$D$112:$AI$112</c:f>
              <c:numCache>
                <c:formatCode>#,##0.0</c:formatCode>
                <c:ptCount val="32"/>
                <c:pt idx="0">
                  <c:v>563.86057500000004</c:v>
                </c:pt>
                <c:pt idx="1">
                  <c:v>569.52965969999991</c:v>
                </c:pt>
                <c:pt idx="2">
                  <c:v>569.83444920000011</c:v>
                </c:pt>
                <c:pt idx="3">
                  <c:v>573.24809159999995</c:v>
                </c:pt>
                <c:pt idx="4">
                  <c:v>575.01587069999994</c:v>
                </c:pt>
                <c:pt idx="5">
                  <c:v>575.62544969999988</c:v>
                </c:pt>
                <c:pt idx="6">
                  <c:v>589.70672459999992</c:v>
                </c:pt>
                <c:pt idx="7">
                  <c:v>589.15810350000004</c:v>
                </c:pt>
                <c:pt idx="8">
                  <c:v>594.33952499999998</c:v>
                </c:pt>
                <c:pt idx="9">
                  <c:v>604.0556758305994</c:v>
                </c:pt>
                <c:pt idx="10">
                  <c:v>607.10357083059944</c:v>
                </c:pt>
                <c:pt idx="11">
                  <c:v>633.96215999999993</c:v>
                </c:pt>
                <c:pt idx="12">
                  <c:v>642.57551127000022</c:v>
                </c:pt>
                <c:pt idx="13">
                  <c:v>640.84064943599992</c:v>
                </c:pt>
                <c:pt idx="14">
                  <c:v>668.09858399999996</c:v>
                </c:pt>
                <c:pt idx="15">
                  <c:v>670.69539053999995</c:v>
                </c:pt>
                <c:pt idx="16">
                  <c:v>666.72093545999985</c:v>
                </c:pt>
                <c:pt idx="17">
                  <c:v>676.91919212999983</c:v>
                </c:pt>
                <c:pt idx="18">
                  <c:v>676.4741994599998</c:v>
                </c:pt>
                <c:pt idx="19">
                  <c:v>678.62601332999998</c:v>
                </c:pt>
                <c:pt idx="20">
                  <c:v>685.47158549999995</c:v>
                </c:pt>
                <c:pt idx="21">
                  <c:v>685.87390764000008</c:v>
                </c:pt>
                <c:pt idx="22">
                  <c:v>685.88000342999987</c:v>
                </c:pt>
                <c:pt idx="23">
                  <c:v>688.4097562799999</c:v>
                </c:pt>
                <c:pt idx="24">
                  <c:v>688.42560533400001</c:v>
                </c:pt>
                <c:pt idx="25">
                  <c:v>689.06200580999985</c:v>
                </c:pt>
                <c:pt idx="26">
                  <c:v>363.31148510022825</c:v>
                </c:pt>
                <c:pt idx="27">
                  <c:v>132.93572899440693</c:v>
                </c:pt>
                <c:pt idx="28">
                  <c:v>52.285010639728831</c:v>
                </c:pt>
                <c:pt idx="29">
                  <c:v>199.19844104359814</c:v>
                </c:pt>
                <c:pt idx="30">
                  <c:v>113.40716475742065</c:v>
                </c:pt>
                <c:pt idx="31">
                  <c:v>115.621451727954</c:v>
                </c:pt>
              </c:numCache>
            </c:numRef>
          </c:val>
          <c:extLst>
            <c:ext xmlns:c16="http://schemas.microsoft.com/office/drawing/2014/chart" uri="{C3380CC4-5D6E-409C-BE32-E72D297353CC}">
              <c16:uniqueId val="{00000011-E6D4-48E2-808D-349C0BCA1D85}"/>
            </c:ext>
          </c:extLst>
        </c:ser>
        <c:ser>
          <c:idx val="2"/>
          <c:order val="1"/>
          <c:tx>
            <c:strRef>
              <c:f>'NG Transmission &amp; Storage'!$B$94</c:f>
              <c:strCache>
                <c:ptCount val="1"/>
                <c:pt idx="0">
                  <c:v>Pipeline </c:v>
                </c:pt>
              </c:strCache>
            </c:strRef>
          </c:tx>
          <c:spPr>
            <a:solidFill>
              <a:schemeClr val="accent3"/>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Storage'!$D$94:$AJ$94</c:f>
              <c:numCache>
                <c:formatCode>#,##0.0</c:formatCode>
                <c:ptCount val="33"/>
                <c:pt idx="0">
                  <c:v>10.104725790885766</c:v>
                </c:pt>
                <c:pt idx="1">
                  <c:v>10.206319250188725</c:v>
                </c:pt>
                <c:pt idx="2">
                  <c:v>10.211781264129744</c:v>
                </c:pt>
                <c:pt idx="3">
                  <c:v>10.272955820269161</c:v>
                </c:pt>
                <c:pt idx="4">
                  <c:v>10.304635501127073</c:v>
                </c:pt>
                <c:pt idx="5">
                  <c:v>10.315559529009111</c:v>
                </c:pt>
                <c:pt idx="6">
                  <c:v>10.567904573084206</c:v>
                </c:pt>
                <c:pt idx="7">
                  <c:v>10.55807294799037</c:v>
                </c:pt>
                <c:pt idx="8">
                  <c:v>10.650927184987699</c:v>
                </c:pt>
                <c:pt idx="9">
                  <c:v>10.825046540443779</c:v>
                </c:pt>
                <c:pt idx="10">
                  <c:v>10.879666679853971</c:v>
                </c:pt>
                <c:pt idx="11">
                  <c:v>11.360988997320213</c:v>
                </c:pt>
                <c:pt idx="12">
                  <c:v>11.51534551129342</c:v>
                </c:pt>
                <c:pt idx="13">
                  <c:v>11.484255727941138</c:v>
                </c:pt>
                <c:pt idx="14">
                  <c:v>11.972734558714377</c:v>
                </c:pt>
                <c:pt idx="15">
                  <c:v>12.019270917491861</c:v>
                </c:pt>
                <c:pt idx="16">
                  <c:v>11.948046255700969</c:v>
                </c:pt>
                <c:pt idx="17">
                  <c:v>12.130805242167476</c:v>
                </c:pt>
                <c:pt idx="18">
                  <c:v>12.122830701813585</c:v>
                </c:pt>
                <c:pt idx="19">
                  <c:v>12.161392520237186</c:v>
                </c:pt>
                <c:pt idx="20">
                  <c:v>12.284069353352479</c:v>
                </c:pt>
                <c:pt idx="21">
                  <c:v>12.291279211754627</c:v>
                </c:pt>
                <c:pt idx="22">
                  <c:v>12.291388452033443</c:v>
                </c:pt>
                <c:pt idx="23">
                  <c:v>12.336723167743905</c:v>
                </c:pt>
                <c:pt idx="24">
                  <c:v>12.337007192468839</c:v>
                </c:pt>
                <c:pt idx="25">
                  <c:v>12.348411877577686</c:v>
                </c:pt>
                <c:pt idx="26">
                  <c:v>12.399208607229165</c:v>
                </c:pt>
                <c:pt idx="27">
                  <c:v>12.375601782976078</c:v>
                </c:pt>
                <c:pt idx="28">
                  <c:v>12.383248602493506</c:v>
                </c:pt>
                <c:pt idx="29">
                  <c:v>12.320326201892966</c:v>
                </c:pt>
                <c:pt idx="30">
                  <c:v>12.347745511876882</c:v>
                </c:pt>
                <c:pt idx="31">
                  <c:v>12.353426006375544</c:v>
                </c:pt>
                <c:pt idx="32">
                  <c:v>12.322303450939614</c:v>
                </c:pt>
              </c:numCache>
            </c:numRef>
          </c:val>
          <c:extLst>
            <c:ext xmlns:c16="http://schemas.microsoft.com/office/drawing/2014/chart" uri="{C3380CC4-5D6E-409C-BE32-E72D297353CC}">
              <c16:uniqueId val="{00000002-E6D4-48E2-808D-349C0BCA1D85}"/>
            </c:ext>
          </c:extLst>
        </c:ser>
        <c:ser>
          <c:idx val="11"/>
          <c:order val="2"/>
          <c:tx>
            <c:strRef>
              <c:f>'NG Transmission &amp; Storage'!$B$104</c:f>
              <c:strCache>
                <c:ptCount val="1"/>
                <c:pt idx="0">
                  <c:v>Flaring (Transmission)</c:v>
                </c:pt>
              </c:strCache>
            </c:strRef>
          </c:tx>
          <c:spPr>
            <a:solidFill>
              <a:schemeClr val="accent6">
                <a:lumMod val="6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Storage'!$D$104:$AJ$104</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B-E6D4-48E2-808D-349C0BCA1D85}"/>
            </c:ext>
          </c:extLst>
        </c:ser>
        <c:ser>
          <c:idx val="10"/>
          <c:order val="3"/>
          <c:tx>
            <c:strRef>
              <c:f>'NG Transmission &amp; Storage'!$B$103</c:f>
              <c:strCache>
                <c:ptCount val="1"/>
                <c:pt idx="0">
                  <c:v>Dehydrator vents (Transmission)</c:v>
                </c:pt>
              </c:strCache>
            </c:strRef>
          </c:tx>
          <c:spPr>
            <a:solidFill>
              <a:schemeClr val="accent5">
                <a:lumMod val="6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Storage'!$D$103:$AJ$103</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A-E6D4-48E2-808D-349C0BCA1D85}"/>
            </c:ext>
          </c:extLst>
        </c:ser>
        <c:ser>
          <c:idx val="15"/>
          <c:order val="4"/>
          <c:tx>
            <c:strRef>
              <c:f>'NG Transmission &amp; Storage'!$B$105</c:f>
              <c:strCache>
                <c:ptCount val="1"/>
                <c:pt idx="0">
                  <c:v>Pneumatic Devices Transmission</c:v>
                </c:pt>
              </c:strCache>
            </c:strRef>
          </c:tx>
          <c:spPr>
            <a:solidFill>
              <a:schemeClr val="accent4">
                <a:lumMod val="80000"/>
                <a:lumOff val="2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Storage'!$D$110:$AI$110</c:f>
              <c:numCache>
                <c:formatCode>#,##0.0</c:formatCode>
                <c:ptCount val="32"/>
                <c:pt idx="0">
                  <c:v>424.85233392000004</c:v>
                </c:pt>
                <c:pt idx="1">
                  <c:v>424.85233392000004</c:v>
                </c:pt>
                <c:pt idx="2">
                  <c:v>424.85233392000009</c:v>
                </c:pt>
                <c:pt idx="3">
                  <c:v>408.97378852437049</c:v>
                </c:pt>
                <c:pt idx="4">
                  <c:v>393.09524312874089</c:v>
                </c:pt>
                <c:pt idx="5">
                  <c:v>377.21669773311129</c:v>
                </c:pt>
                <c:pt idx="6">
                  <c:v>361.3381523374818</c:v>
                </c:pt>
                <c:pt idx="7">
                  <c:v>345.45960694185231</c:v>
                </c:pt>
                <c:pt idx="8">
                  <c:v>329.58106154622266</c:v>
                </c:pt>
                <c:pt idx="9">
                  <c:v>313.70251615059317</c:v>
                </c:pt>
                <c:pt idx="10">
                  <c:v>297.82397075496363</c:v>
                </c:pt>
                <c:pt idx="11">
                  <c:v>281.94542535933402</c:v>
                </c:pt>
                <c:pt idx="12">
                  <c:v>266.06687996370448</c:v>
                </c:pt>
                <c:pt idx="13">
                  <c:v>250.18833456807491</c:v>
                </c:pt>
                <c:pt idx="14">
                  <c:v>234.30978917244536</c:v>
                </c:pt>
                <c:pt idx="15">
                  <c:v>218.43124377681582</c:v>
                </c:pt>
                <c:pt idx="16">
                  <c:v>202.55269838118625</c:v>
                </c:pt>
                <c:pt idx="17">
                  <c:v>186.67415298555667</c:v>
                </c:pt>
                <c:pt idx="18">
                  <c:v>170.79560758992713</c:v>
                </c:pt>
                <c:pt idx="19">
                  <c:v>154.91706219429756</c:v>
                </c:pt>
                <c:pt idx="20">
                  <c:v>139.03851679866801</c:v>
                </c:pt>
                <c:pt idx="21">
                  <c:v>68.167789763873913</c:v>
                </c:pt>
                <c:pt idx="22">
                  <c:v>69.112915295150273</c:v>
                </c:pt>
                <c:pt idx="23">
                  <c:v>67.508187417954161</c:v>
                </c:pt>
                <c:pt idx="24">
                  <c:v>64.056905913978582</c:v>
                </c:pt>
                <c:pt idx="25">
                  <c:v>63.123104872006643</c:v>
                </c:pt>
                <c:pt idx="26">
                  <c:v>64.301451224944387</c:v>
                </c:pt>
                <c:pt idx="27">
                  <c:v>62.116596731101716</c:v>
                </c:pt>
                <c:pt idx="28">
                  <c:v>63.055449278655011</c:v>
                </c:pt>
                <c:pt idx="29">
                  <c:v>63.629808217710384</c:v>
                </c:pt>
                <c:pt idx="30">
                  <c:v>63.101386122711226</c:v>
                </c:pt>
                <c:pt idx="31">
                  <c:v>63.309836656876499</c:v>
                </c:pt>
              </c:numCache>
            </c:numRef>
          </c:val>
          <c:extLst>
            <c:ext xmlns:c16="http://schemas.microsoft.com/office/drawing/2014/chart" uri="{C3380CC4-5D6E-409C-BE32-E72D297353CC}">
              <c16:uniqueId val="{0000000F-E6D4-48E2-808D-349C0BCA1D85}"/>
            </c:ext>
          </c:extLst>
        </c:ser>
        <c:ser>
          <c:idx val="20"/>
          <c:order val="5"/>
          <c:tx>
            <c:strRef>
              <c:f>'NG Transmission &amp; Storage'!$B$114</c:f>
              <c:strCache>
                <c:ptCount val="1"/>
                <c:pt idx="0">
                  <c:v>Station Venting Transmission</c:v>
                </c:pt>
              </c:strCache>
            </c:strRef>
          </c:tx>
          <c:spPr>
            <a:solidFill>
              <a:schemeClr val="accent3">
                <a:lumMod val="8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Storage'!$D$114:$AJ$114</c:f>
              <c:numCache>
                <c:formatCode>#,##0.0</c:formatCode>
                <c:ptCount val="33"/>
                <c:pt idx="0">
                  <c:v>335.81735999999995</c:v>
                </c:pt>
                <c:pt idx="1">
                  <c:v>335.81736000000001</c:v>
                </c:pt>
                <c:pt idx="2">
                  <c:v>335.81736000000001</c:v>
                </c:pt>
                <c:pt idx="3">
                  <c:v>333.31467684483289</c:v>
                </c:pt>
                <c:pt idx="4">
                  <c:v>334.80420024469458</c:v>
                </c:pt>
                <c:pt idx="5">
                  <c:v>333.03441253626067</c:v>
                </c:pt>
                <c:pt idx="6">
                  <c:v>331.82554971619498</c:v>
                </c:pt>
                <c:pt idx="7">
                  <c:v>333.63468250659872</c:v>
                </c:pt>
                <c:pt idx="8">
                  <c:v>332.94603867651762</c:v>
                </c:pt>
                <c:pt idx="9">
                  <c:v>333.25622384220918</c:v>
                </c:pt>
                <c:pt idx="10">
                  <c:v>330.67720354559816</c:v>
                </c:pt>
                <c:pt idx="11">
                  <c:v>326.67633939186629</c:v>
                </c:pt>
                <c:pt idx="12">
                  <c:v>329.80072243548784</c:v>
                </c:pt>
                <c:pt idx="13">
                  <c:v>320.27423848818268</c:v>
                </c:pt>
                <c:pt idx="14">
                  <c:v>323.69716319367478</c:v>
                </c:pt>
                <c:pt idx="15">
                  <c:v>330.97341765192232</c:v>
                </c:pt>
                <c:pt idx="16">
                  <c:v>313.24333354348562</c:v>
                </c:pt>
                <c:pt idx="17">
                  <c:v>331.83925348271981</c:v>
                </c:pt>
                <c:pt idx="18">
                  <c:v>321.78383696555085</c:v>
                </c:pt>
                <c:pt idx="19">
                  <c:v>328.37304758296938</c:v>
                </c:pt>
                <c:pt idx="20">
                  <c:v>328.23831725561655</c:v>
                </c:pt>
                <c:pt idx="21">
                  <c:v>330.23351460349318</c:v>
                </c:pt>
                <c:pt idx="22">
                  <c:v>410.73780221479149</c:v>
                </c:pt>
                <c:pt idx="23">
                  <c:v>409.94292245839847</c:v>
                </c:pt>
                <c:pt idx="24">
                  <c:v>410.71278014639461</c:v>
                </c:pt>
                <c:pt idx="25">
                  <c:v>375.50550014488704</c:v>
                </c:pt>
                <c:pt idx="26">
                  <c:v>262.77440648739969</c:v>
                </c:pt>
                <c:pt idx="27">
                  <c:v>226.71836407956363</c:v>
                </c:pt>
                <c:pt idx="28">
                  <c:v>249.08342541881092</c:v>
                </c:pt>
                <c:pt idx="29">
                  <c:v>205.99604602183314</c:v>
                </c:pt>
                <c:pt idx="30">
                  <c:v>201.10143269674148</c:v>
                </c:pt>
                <c:pt idx="31">
                  <c:v>289.50034575294177</c:v>
                </c:pt>
                <c:pt idx="32">
                  <c:v>202.60206277581281</c:v>
                </c:pt>
              </c:numCache>
            </c:numRef>
          </c:val>
          <c:extLst>
            <c:ext xmlns:c16="http://schemas.microsoft.com/office/drawing/2014/chart" uri="{C3380CC4-5D6E-409C-BE32-E72D297353CC}">
              <c16:uniqueId val="{00000014-E6D4-48E2-808D-349C0BCA1D85}"/>
            </c:ext>
          </c:extLst>
        </c:ser>
        <c:ser>
          <c:idx val="1"/>
          <c:order val="6"/>
          <c:tx>
            <c:strRef>
              <c:f>'NG Transmission &amp; Storage'!$B$95</c:f>
              <c:strCache>
                <c:ptCount val="1"/>
                <c:pt idx="0">
                  <c:v>Compressor Stations (Transmission)</c:v>
                </c:pt>
              </c:strCache>
            </c:strRef>
          </c:tx>
          <c:spPr>
            <a:solidFill>
              <a:schemeClr val="accent2"/>
            </a:solidFill>
            <a:ln>
              <a:noFill/>
            </a:ln>
            <a:effectLst/>
          </c:spPr>
          <c:invertIfNegative val="0"/>
          <c:val>
            <c:numRef>
              <c:f>'NG Transmission &amp; Storage'!$D$101:$AI$101</c:f>
              <c:numCache>
                <c:formatCode>#,##0.0</c:formatCode>
                <c:ptCount val="32"/>
                <c:pt idx="0">
                  <c:v>2535.3215789733063</c:v>
                </c:pt>
                <c:pt idx="1">
                  <c:v>2535.3215789733072</c:v>
                </c:pt>
                <c:pt idx="2">
                  <c:v>2535.3215789733072</c:v>
                </c:pt>
                <c:pt idx="3">
                  <c:v>2469.5076612829826</c:v>
                </c:pt>
                <c:pt idx="4">
                  <c:v>2403.6937435926588</c:v>
                </c:pt>
                <c:pt idx="5">
                  <c:v>2337.8798259023347</c:v>
                </c:pt>
                <c:pt idx="6">
                  <c:v>2272.0659082120105</c:v>
                </c:pt>
                <c:pt idx="7">
                  <c:v>2206.2519905216859</c:v>
                </c:pt>
                <c:pt idx="8">
                  <c:v>2140.4380728313618</c:v>
                </c:pt>
                <c:pt idx="9">
                  <c:v>2074.6241551410371</c:v>
                </c:pt>
                <c:pt idx="10">
                  <c:v>2008.810237450713</c:v>
                </c:pt>
                <c:pt idx="11">
                  <c:v>1942.996319760389</c:v>
                </c:pt>
                <c:pt idx="12">
                  <c:v>1877.1824020700647</c:v>
                </c:pt>
                <c:pt idx="13">
                  <c:v>1811.36848437974</c:v>
                </c:pt>
                <c:pt idx="14">
                  <c:v>1745.5545666894154</c:v>
                </c:pt>
                <c:pt idx="15">
                  <c:v>1679.7406489990913</c:v>
                </c:pt>
                <c:pt idx="16">
                  <c:v>1613.9267313087666</c:v>
                </c:pt>
                <c:pt idx="17">
                  <c:v>1548.112813618442</c:v>
                </c:pt>
                <c:pt idx="18">
                  <c:v>1482.2988959281176</c:v>
                </c:pt>
                <c:pt idx="19">
                  <c:v>1416.4849782377928</c:v>
                </c:pt>
                <c:pt idx="20">
                  <c:v>1350.6710605474684</c:v>
                </c:pt>
                <c:pt idx="21">
                  <c:v>1153</c:v>
                </c:pt>
                <c:pt idx="22">
                  <c:v>1261</c:v>
                </c:pt>
                <c:pt idx="23">
                  <c:v>1261</c:v>
                </c:pt>
                <c:pt idx="24">
                  <c:v>1260.9999999999998</c:v>
                </c:pt>
                <c:pt idx="25">
                  <c:v>862.12999999999988</c:v>
                </c:pt>
                <c:pt idx="26">
                  <c:v>633.14020240000002</c:v>
                </c:pt>
                <c:pt idx="27">
                  <c:v>560.5</c:v>
                </c:pt>
                <c:pt idx="28">
                  <c:v>541.10095000000001</c:v>
                </c:pt>
                <c:pt idx="29">
                  <c:v>629.32999999999993</c:v>
                </c:pt>
                <c:pt idx="30">
                  <c:v>582.87999999999988</c:v>
                </c:pt>
                <c:pt idx="31">
                  <c:v>964.42499999999995</c:v>
                </c:pt>
              </c:numCache>
            </c:numRef>
          </c:val>
          <c:extLst>
            <c:ext xmlns:c16="http://schemas.microsoft.com/office/drawing/2014/chart" uri="{C3380CC4-5D6E-409C-BE32-E72D297353CC}">
              <c16:uniqueId val="{00000020-E6D4-48E2-808D-349C0BCA1D85}"/>
            </c:ext>
          </c:extLst>
        </c:ser>
        <c:ser>
          <c:idx val="23"/>
          <c:order val="7"/>
          <c:tx>
            <c:strRef>
              <c:f>'NG Transmission &amp; Storage'!$B$117</c:f>
              <c:strCache>
                <c:ptCount val="1"/>
                <c:pt idx="0">
                  <c:v>LNG Station Blowdowns</c:v>
                </c:pt>
              </c:strCache>
            </c:strRef>
          </c:tx>
          <c:spPr>
            <a:solidFill>
              <a:schemeClr val="accent6">
                <a:lumMod val="8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Storage'!$D$117:$AJ$117</c:f>
              <c:numCache>
                <c:formatCode>#,##0.0</c:formatCode>
                <c:ptCount val="33"/>
                <c:pt idx="0">
                  <c:v>1511.1781200000003</c:v>
                </c:pt>
                <c:pt idx="1">
                  <c:v>1511.17812</c:v>
                </c:pt>
                <c:pt idx="2">
                  <c:v>1511.1781199999998</c:v>
                </c:pt>
                <c:pt idx="3">
                  <c:v>1511.17812</c:v>
                </c:pt>
                <c:pt idx="4">
                  <c:v>1511.1781199999998</c:v>
                </c:pt>
                <c:pt idx="5">
                  <c:v>1511.17812</c:v>
                </c:pt>
                <c:pt idx="6">
                  <c:v>1511.17812</c:v>
                </c:pt>
                <c:pt idx="7">
                  <c:v>1511.17812</c:v>
                </c:pt>
                <c:pt idx="8">
                  <c:v>1511.17812</c:v>
                </c:pt>
                <c:pt idx="9">
                  <c:v>1511.17812</c:v>
                </c:pt>
                <c:pt idx="10">
                  <c:v>1595.1324599999998</c:v>
                </c:pt>
                <c:pt idx="11">
                  <c:v>1595.13246</c:v>
                </c:pt>
                <c:pt idx="12">
                  <c:v>1595.13246</c:v>
                </c:pt>
                <c:pt idx="13">
                  <c:v>1595.13246</c:v>
                </c:pt>
                <c:pt idx="14">
                  <c:v>1595.13246</c:v>
                </c:pt>
                <c:pt idx="15">
                  <c:v>1595.13246</c:v>
                </c:pt>
                <c:pt idx="16">
                  <c:v>1595.13246</c:v>
                </c:pt>
                <c:pt idx="17">
                  <c:v>1595.13246</c:v>
                </c:pt>
                <c:pt idx="18">
                  <c:v>1595.13246</c:v>
                </c:pt>
                <c:pt idx="19">
                  <c:v>1595.13246</c:v>
                </c:pt>
                <c:pt idx="20">
                  <c:v>1595.13246</c:v>
                </c:pt>
                <c:pt idx="21">
                  <c:v>1595.13246</c:v>
                </c:pt>
                <c:pt idx="22">
                  <c:v>1595.1324599999998</c:v>
                </c:pt>
                <c:pt idx="23">
                  <c:v>1595.1324599999998</c:v>
                </c:pt>
                <c:pt idx="24">
                  <c:v>1595.1324599999998</c:v>
                </c:pt>
                <c:pt idx="25">
                  <c:v>1595.1324599999998</c:v>
                </c:pt>
                <c:pt idx="26">
                  <c:v>1595.13246</c:v>
                </c:pt>
                <c:pt idx="27">
                  <c:v>1595.13246</c:v>
                </c:pt>
                <c:pt idx="28">
                  <c:v>1595.13246</c:v>
                </c:pt>
                <c:pt idx="29">
                  <c:v>1595.1324599999998</c:v>
                </c:pt>
                <c:pt idx="30">
                  <c:v>1595.13246</c:v>
                </c:pt>
                <c:pt idx="31">
                  <c:v>1595.13246</c:v>
                </c:pt>
                <c:pt idx="32">
                  <c:v>1595.13246</c:v>
                </c:pt>
              </c:numCache>
            </c:numRef>
          </c:val>
          <c:extLst>
            <c:ext xmlns:c16="http://schemas.microsoft.com/office/drawing/2014/chart" uri="{C3380CC4-5D6E-409C-BE32-E72D297353CC}">
              <c16:uniqueId val="{00000017-E6D4-48E2-808D-349C0BCA1D85}"/>
            </c:ext>
          </c:extLst>
        </c:ser>
        <c:ser>
          <c:idx val="22"/>
          <c:order val="8"/>
          <c:tx>
            <c:strRef>
              <c:f>'NG Transmission &amp; Storage'!$B$116</c:f>
              <c:strCache>
                <c:ptCount val="1"/>
                <c:pt idx="0">
                  <c:v>LNG Stations (eq. leaks, compressors, flares)</c:v>
                </c:pt>
              </c:strCache>
            </c:strRef>
          </c:tx>
          <c:spPr>
            <a:solidFill>
              <a:schemeClr val="accent5">
                <a:lumMod val="8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Storage'!$D$116:$AJ$116</c:f>
              <c:numCache>
                <c:formatCode>#,##0.0</c:formatCode>
                <c:ptCount val="33"/>
                <c:pt idx="0">
                  <c:v>108.69882352941177</c:v>
                </c:pt>
                <c:pt idx="1">
                  <c:v>108.69882352941177</c:v>
                </c:pt>
                <c:pt idx="2">
                  <c:v>108.69882352941175</c:v>
                </c:pt>
                <c:pt idx="3">
                  <c:v>108.69882352941175</c:v>
                </c:pt>
                <c:pt idx="4">
                  <c:v>108.69882352941175</c:v>
                </c:pt>
                <c:pt idx="5">
                  <c:v>108.69882352941174</c:v>
                </c:pt>
                <c:pt idx="6">
                  <c:v>108.69882352941177</c:v>
                </c:pt>
                <c:pt idx="7">
                  <c:v>108.69882352941175</c:v>
                </c:pt>
                <c:pt idx="8">
                  <c:v>108.69882352941175</c:v>
                </c:pt>
                <c:pt idx="9">
                  <c:v>108.69882352941175</c:v>
                </c:pt>
                <c:pt idx="10">
                  <c:v>114.73764705882354</c:v>
                </c:pt>
                <c:pt idx="11">
                  <c:v>114.73764705882351</c:v>
                </c:pt>
                <c:pt idx="12">
                  <c:v>114.7376470588235</c:v>
                </c:pt>
                <c:pt idx="13">
                  <c:v>114.73764705882354</c:v>
                </c:pt>
                <c:pt idx="14">
                  <c:v>114.73764705882354</c:v>
                </c:pt>
                <c:pt idx="15">
                  <c:v>114.73764705882354</c:v>
                </c:pt>
                <c:pt idx="16">
                  <c:v>114.73764705882354</c:v>
                </c:pt>
                <c:pt idx="17">
                  <c:v>114.73764705882354</c:v>
                </c:pt>
                <c:pt idx="18">
                  <c:v>114.73764705882354</c:v>
                </c:pt>
                <c:pt idx="19">
                  <c:v>114.73764705882354</c:v>
                </c:pt>
                <c:pt idx="20">
                  <c:v>114.73764705882351</c:v>
                </c:pt>
                <c:pt idx="21">
                  <c:v>114.73764705882351</c:v>
                </c:pt>
                <c:pt idx="22">
                  <c:v>114.73764705882351</c:v>
                </c:pt>
                <c:pt idx="23">
                  <c:v>114.73764705882351</c:v>
                </c:pt>
                <c:pt idx="24">
                  <c:v>114.73764705882351</c:v>
                </c:pt>
                <c:pt idx="25">
                  <c:v>114.73764705882351</c:v>
                </c:pt>
                <c:pt idx="26">
                  <c:v>114.73764705882354</c:v>
                </c:pt>
                <c:pt idx="27">
                  <c:v>114.73764705882351</c:v>
                </c:pt>
                <c:pt idx="28">
                  <c:v>86.969333333333324</c:v>
                </c:pt>
                <c:pt idx="29">
                  <c:v>121.67599999999995</c:v>
                </c:pt>
                <c:pt idx="30">
                  <c:v>266.51933333333335</c:v>
                </c:pt>
                <c:pt idx="31">
                  <c:v>489.22466666666668</c:v>
                </c:pt>
                <c:pt idx="32">
                  <c:v>623.16200000000015</c:v>
                </c:pt>
              </c:numCache>
            </c:numRef>
          </c:val>
          <c:extLst>
            <c:ext xmlns:c16="http://schemas.microsoft.com/office/drawing/2014/chart" uri="{C3380CC4-5D6E-409C-BE32-E72D297353CC}">
              <c16:uniqueId val="{00000016-E6D4-48E2-808D-349C0BCA1D85}"/>
            </c:ext>
          </c:extLst>
        </c:ser>
        <c:ser>
          <c:idx val="26"/>
          <c:order val="9"/>
          <c:tx>
            <c:strRef>
              <c:f>'NG Transmission &amp; Storage'!$B$120</c:f>
              <c:strCache>
                <c:ptCount val="1"/>
                <c:pt idx="0">
                  <c:v>LNG Import Terminal Blowdowns</c:v>
                </c:pt>
              </c:strCache>
            </c:strRef>
          </c:tx>
          <c:spPr>
            <a:solidFill>
              <a:schemeClr val="accent3">
                <a:lumMod val="60000"/>
                <a:lumOff val="40000"/>
              </a:schemeClr>
            </a:solidFill>
            <a:ln>
              <a:noFill/>
            </a:ln>
            <a:effectLst/>
          </c:spPr>
          <c:invertIfNegative val="0"/>
          <c:cat>
            <c:numRef>
              <c:f>'NG Transmission &amp; Storage'!$D$92:$AJ$92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'NG Transmission &amp; Storage'!$D$120:$AJ$120</c:f>
              <c:numCache>
                <c:formatCode>#,##0.0</c:formatCode>
                <c:ptCount val="33"/>
                <c:pt idx="0">
                  <c:v>1229.556</c:v>
                </c:pt>
                <c:pt idx="1">
                  <c:v>1152.70875</c:v>
                </c:pt>
                <c:pt idx="2">
                  <c:v>1152.70875</c:v>
                </c:pt>
                <c:pt idx="3">
                  <c:v>1152.70875</c:v>
                </c:pt>
                <c:pt idx="4">
                  <c:v>1152.70875</c:v>
                </c:pt>
                <c:pt idx="5">
                  <c:v>1152.70875</c:v>
                </c:pt>
                <c:pt idx="6">
                  <c:v>1152.70875</c:v>
                </c:pt>
                <c:pt idx="7">
                  <c:v>1152.70875</c:v>
                </c:pt>
                <c:pt idx="8">
                  <c:v>1152.70875</c:v>
                </c:pt>
                <c:pt idx="9">
                  <c:v>1152.70875</c:v>
                </c:pt>
                <c:pt idx="10">
                  <c:v>1152.70875</c:v>
                </c:pt>
                <c:pt idx="11">
                  <c:v>1152.7087500000002</c:v>
                </c:pt>
                <c:pt idx="12">
                  <c:v>1152.7087500000002</c:v>
                </c:pt>
                <c:pt idx="13">
                  <c:v>1152.70875</c:v>
                </c:pt>
                <c:pt idx="14">
                  <c:v>1152.70875</c:v>
                </c:pt>
                <c:pt idx="15">
                  <c:v>1152.70875</c:v>
                </c:pt>
                <c:pt idx="16">
                  <c:v>1152.70875</c:v>
                </c:pt>
                <c:pt idx="17">
                  <c:v>1152.70875</c:v>
                </c:pt>
                <c:pt idx="18">
                  <c:v>2305.4175</c:v>
                </c:pt>
                <c:pt idx="19">
                  <c:v>2305.4175</c:v>
                </c:pt>
                <c:pt idx="20">
                  <c:v>3458.1262499999993</c:v>
                </c:pt>
                <c:pt idx="21">
                  <c:v>11.152000000000001</c:v>
                </c:pt>
                <c:pt idx="22">
                  <c:v>7.3244000000000007</c:v>
                </c:pt>
                <c:pt idx="23">
                  <c:v>10.0596</c:v>
                </c:pt>
                <c:pt idx="24">
                  <c:v>9.2959999999999994</c:v>
                </c:pt>
                <c:pt idx="25">
                  <c:v>1161.9887499999998</c:v>
                </c:pt>
                <c:pt idx="26">
                  <c:v>1160.1787499999998</c:v>
                </c:pt>
                <c:pt idx="27">
                  <c:v>6.51</c:v>
                </c:pt>
                <c:pt idx="28">
                  <c:v>7.67</c:v>
                </c:pt>
                <c:pt idx="29">
                  <c:v>52.994666666666674</c:v>
                </c:pt>
                <c:pt idx="30">
                  <c:v>3.71</c:v>
                </c:pt>
                <c:pt idx="31">
                  <c:v>8.11</c:v>
                </c:pt>
                <c:pt idx="32">
                  <c:v>2.6595</c:v>
                </c:pt>
              </c:numCache>
            </c:numRef>
          </c:val>
          <c:extLst>
            <c:ext xmlns:c16="http://schemas.microsoft.com/office/drawing/2014/chart" uri="{C3380CC4-5D6E-409C-BE32-E72D297353CC}">
              <c16:uniqueId val="{0000001A-E6D4-48E2-808D-349C0BCA1D85}"/>
            </c:ext>
          </c:extLst>
        </c:ser>
        <c:ser>
          <c:idx val="0"/>
          <c:order val="10"/>
          <c:tx>
            <c:strRef>
              <c:f>'NG Transmission &amp; Storage'!$B$119</c:f>
              <c:strCache>
                <c:ptCount val="1"/>
                <c:pt idx="0">
                  <c:v>LNG Import Terminals (eq. leaks, compressors, flares)</c:v>
                </c:pt>
              </c:strCache>
            </c:strRef>
          </c:tx>
          <c:spPr>
            <a:solidFill>
              <a:schemeClr val="accent1"/>
            </a:solidFill>
            <a:ln>
              <a:noFill/>
            </a:ln>
            <a:effectLst/>
          </c:spPr>
          <c:invertIfNegative val="0"/>
          <c:val>
            <c:numRef>
              <c:f>'NG Transmission &amp; Storage'!$D$119:$AI$119</c:f>
              <c:numCache>
                <c:formatCode>#,##0.0</c:formatCode>
                <c:ptCount val="32"/>
                <c:pt idx="0">
                  <c:v>57.731333333333332</c:v>
                </c:pt>
                <c:pt idx="1">
                  <c:v>54.123125000000002</c:v>
                </c:pt>
                <c:pt idx="2">
                  <c:v>54.123125000000002</c:v>
                </c:pt>
                <c:pt idx="3">
                  <c:v>54.123125000000002</c:v>
                </c:pt>
                <c:pt idx="4">
                  <c:v>54.123125000000002</c:v>
                </c:pt>
                <c:pt idx="5">
                  <c:v>54.123125000000002</c:v>
                </c:pt>
                <c:pt idx="6">
                  <c:v>54.123125000000002</c:v>
                </c:pt>
                <c:pt idx="7">
                  <c:v>54.123125000000002</c:v>
                </c:pt>
                <c:pt idx="8">
                  <c:v>54.123125000000002</c:v>
                </c:pt>
                <c:pt idx="9">
                  <c:v>54.123125000000002</c:v>
                </c:pt>
                <c:pt idx="10">
                  <c:v>54.123125000000002</c:v>
                </c:pt>
                <c:pt idx="11">
                  <c:v>54.123124999999995</c:v>
                </c:pt>
                <c:pt idx="12">
                  <c:v>54.123124999999995</c:v>
                </c:pt>
                <c:pt idx="13">
                  <c:v>54.123125000000002</c:v>
                </c:pt>
                <c:pt idx="14">
                  <c:v>54.123125000000002</c:v>
                </c:pt>
                <c:pt idx="15">
                  <c:v>54.123125000000002</c:v>
                </c:pt>
                <c:pt idx="16">
                  <c:v>54.123125000000002</c:v>
                </c:pt>
                <c:pt idx="17">
                  <c:v>54.123125000000002</c:v>
                </c:pt>
                <c:pt idx="18">
                  <c:v>108.24625</c:v>
                </c:pt>
                <c:pt idx="19">
                  <c:v>108.24625</c:v>
                </c:pt>
                <c:pt idx="20">
                  <c:v>162.36937499999999</c:v>
                </c:pt>
                <c:pt idx="21">
                  <c:v>54.123124999999995</c:v>
                </c:pt>
                <c:pt idx="22">
                  <c:v>54.123124999999995</c:v>
                </c:pt>
                <c:pt idx="23">
                  <c:v>54.123125000000002</c:v>
                </c:pt>
                <c:pt idx="24">
                  <c:v>4.16</c:v>
                </c:pt>
                <c:pt idx="25">
                  <c:v>57.534725000000002</c:v>
                </c:pt>
                <c:pt idx="26">
                  <c:v>69.683125000000004</c:v>
                </c:pt>
                <c:pt idx="27">
                  <c:v>8.36</c:v>
                </c:pt>
                <c:pt idx="28">
                  <c:v>10.58</c:v>
                </c:pt>
                <c:pt idx="29">
                  <c:v>33.440666666666665</c:v>
                </c:pt>
                <c:pt idx="30">
                  <c:v>8.8199999999999985</c:v>
                </c:pt>
                <c:pt idx="31">
                  <c:v>7.34</c:v>
                </c:pt>
              </c:numCache>
            </c:numRef>
          </c:val>
          <c:extLst>
            <c:ext xmlns:c16="http://schemas.microsoft.com/office/drawing/2014/chart" uri="{C3380CC4-5D6E-409C-BE32-E72D297353CC}">
              <c16:uniqueId val="{0000001E-E6D4-48E2-808D-349C0BCA1D85}"/>
            </c:ext>
          </c:extLst>
        </c:ser>
        <c:dLbls>
          <c:showLegendKey val="0"/>
          <c:showVal val="0"/>
          <c:showCatName val="0"/>
          <c:showSerName val="0"/>
          <c:showPercent val="0"/>
          <c:showBubbleSize val="0"/>
        </c:dLbls>
        <c:gapWidth val="55"/>
        <c:overlap val="100"/>
        <c:axId val="523899920"/>
        <c:axId val="523898120"/>
      </c:barChart>
      <c:catAx>
        <c:axId val="52389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3898120"/>
        <c:crosses val="autoZero"/>
        <c:auto val="1"/>
        <c:lblAlgn val="ctr"/>
        <c:lblOffset val="100"/>
        <c:noMultiLvlLbl val="0"/>
      </c:catAx>
      <c:valAx>
        <c:axId val="523898120"/>
        <c:scaling>
          <c:orientation val="minMax"/>
          <c:max val="8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3899920"/>
        <c:crosses val="autoZero"/>
        <c:crossBetween val="between"/>
      </c:valAx>
      <c:spPr>
        <a:noFill/>
        <a:ln>
          <a:noFill/>
        </a:ln>
        <a:effectLst/>
      </c:spPr>
    </c:plotArea>
    <c:legend>
      <c:legendPos val="r"/>
      <c:layout>
        <c:manualLayout>
          <c:xMode val="edge"/>
          <c:yMode val="edge"/>
          <c:x val="0.64425200506890523"/>
          <c:y val="1.1007742058814165E-2"/>
          <c:w val="0.34080484362050983"/>
          <c:h val="0.9333629516348476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NG Transmission System (metric tons CH4)</a:t>
            </a:r>
          </a:p>
        </c:rich>
      </c:tx>
      <c:layout>
        <c:manualLayout>
          <c:xMode val="edge"/>
          <c:yMode val="edge"/>
          <c:x val="0.18685951587169669"/>
          <c:y val="2.54331025959788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000649497600267E-2"/>
          <c:y val="0.12460216121633444"/>
          <c:w val="0.52885557816856577"/>
          <c:h val="0.68905937433496478"/>
        </c:manualLayout>
      </c:layout>
      <c:lineChart>
        <c:grouping val="standard"/>
        <c:varyColors val="0"/>
        <c:ser>
          <c:idx val="23"/>
          <c:order val="0"/>
          <c:tx>
            <c:strRef>
              <c:f>'NG Transmission &amp; Storage'!$B$117</c:f>
              <c:strCache>
                <c:ptCount val="1"/>
                <c:pt idx="0">
                  <c:v>LNG Station Blowdowns</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Storage'!$D$117:$AJ$117</c:f>
              <c:numCache>
                <c:formatCode>#,##0.0</c:formatCode>
                <c:ptCount val="33"/>
                <c:pt idx="0">
                  <c:v>1511.1781200000003</c:v>
                </c:pt>
                <c:pt idx="1">
                  <c:v>1511.17812</c:v>
                </c:pt>
                <c:pt idx="2">
                  <c:v>1511.1781199999998</c:v>
                </c:pt>
                <c:pt idx="3">
                  <c:v>1511.17812</c:v>
                </c:pt>
                <c:pt idx="4">
                  <c:v>1511.1781199999998</c:v>
                </c:pt>
                <c:pt idx="5">
                  <c:v>1511.17812</c:v>
                </c:pt>
                <c:pt idx="6">
                  <c:v>1511.17812</c:v>
                </c:pt>
                <c:pt idx="7">
                  <c:v>1511.17812</c:v>
                </c:pt>
                <c:pt idx="8">
                  <c:v>1511.17812</c:v>
                </c:pt>
                <c:pt idx="9">
                  <c:v>1511.17812</c:v>
                </c:pt>
                <c:pt idx="10">
                  <c:v>1595.1324599999998</c:v>
                </c:pt>
                <c:pt idx="11">
                  <c:v>1595.13246</c:v>
                </c:pt>
                <c:pt idx="12">
                  <c:v>1595.13246</c:v>
                </c:pt>
                <c:pt idx="13">
                  <c:v>1595.13246</c:v>
                </c:pt>
                <c:pt idx="14">
                  <c:v>1595.13246</c:v>
                </c:pt>
                <c:pt idx="15">
                  <c:v>1595.13246</c:v>
                </c:pt>
                <c:pt idx="16">
                  <c:v>1595.13246</c:v>
                </c:pt>
                <c:pt idx="17">
                  <c:v>1595.13246</c:v>
                </c:pt>
                <c:pt idx="18">
                  <c:v>1595.13246</c:v>
                </c:pt>
                <c:pt idx="19">
                  <c:v>1595.13246</c:v>
                </c:pt>
                <c:pt idx="20">
                  <c:v>1595.13246</c:v>
                </c:pt>
                <c:pt idx="21">
                  <c:v>1595.13246</c:v>
                </c:pt>
                <c:pt idx="22">
                  <c:v>1595.1324599999998</c:v>
                </c:pt>
                <c:pt idx="23">
                  <c:v>1595.1324599999998</c:v>
                </c:pt>
                <c:pt idx="24">
                  <c:v>1595.1324599999998</c:v>
                </c:pt>
                <c:pt idx="25">
                  <c:v>1595.1324599999998</c:v>
                </c:pt>
                <c:pt idx="26">
                  <c:v>1595.13246</c:v>
                </c:pt>
                <c:pt idx="27">
                  <c:v>1595.13246</c:v>
                </c:pt>
                <c:pt idx="28">
                  <c:v>1595.13246</c:v>
                </c:pt>
                <c:pt idx="29">
                  <c:v>1595.1324599999998</c:v>
                </c:pt>
                <c:pt idx="30">
                  <c:v>1595.13246</c:v>
                </c:pt>
                <c:pt idx="31">
                  <c:v>1595.13246</c:v>
                </c:pt>
                <c:pt idx="32">
                  <c:v>1595.13246</c:v>
                </c:pt>
              </c:numCache>
            </c:numRef>
          </c:val>
          <c:smooth val="0"/>
          <c:extLst>
            <c:ext xmlns:c16="http://schemas.microsoft.com/office/drawing/2014/chart" uri="{C3380CC4-5D6E-409C-BE32-E72D297353CC}">
              <c16:uniqueId val="{00000007-180B-43E2-9F90-86105CDD9AF7}"/>
            </c:ext>
          </c:extLst>
        </c:ser>
        <c:ser>
          <c:idx val="1"/>
          <c:order val="1"/>
          <c:tx>
            <c:strRef>
              <c:f>'NG Transmission &amp; Storage'!$B$95</c:f>
              <c:strCache>
                <c:ptCount val="1"/>
                <c:pt idx="0">
                  <c:v>Compressor Stations (Transmission)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Storage'!$D$101:$AJ$101</c:f>
              <c:numCache>
                <c:formatCode>#,##0.0</c:formatCode>
                <c:ptCount val="33"/>
                <c:pt idx="0">
                  <c:v>2535.3215789733063</c:v>
                </c:pt>
                <c:pt idx="1">
                  <c:v>2535.3215789733072</c:v>
                </c:pt>
                <c:pt idx="2">
                  <c:v>2535.3215789733072</c:v>
                </c:pt>
                <c:pt idx="3">
                  <c:v>2469.5076612829826</c:v>
                </c:pt>
                <c:pt idx="4">
                  <c:v>2403.6937435926588</c:v>
                </c:pt>
                <c:pt idx="5">
                  <c:v>2337.8798259023347</c:v>
                </c:pt>
                <c:pt idx="6">
                  <c:v>2272.0659082120105</c:v>
                </c:pt>
                <c:pt idx="7">
                  <c:v>2206.2519905216859</c:v>
                </c:pt>
                <c:pt idx="8">
                  <c:v>2140.4380728313618</c:v>
                </c:pt>
                <c:pt idx="9">
                  <c:v>2074.6241551410371</c:v>
                </c:pt>
                <c:pt idx="10">
                  <c:v>2008.810237450713</c:v>
                </c:pt>
                <c:pt idx="11">
                  <c:v>1942.996319760389</c:v>
                </c:pt>
                <c:pt idx="12">
                  <c:v>1877.1824020700647</c:v>
                </c:pt>
                <c:pt idx="13">
                  <c:v>1811.36848437974</c:v>
                </c:pt>
                <c:pt idx="14">
                  <c:v>1745.5545666894154</c:v>
                </c:pt>
                <c:pt idx="15">
                  <c:v>1679.7406489990913</c:v>
                </c:pt>
                <c:pt idx="16">
                  <c:v>1613.9267313087666</c:v>
                </c:pt>
                <c:pt idx="17">
                  <c:v>1548.112813618442</c:v>
                </c:pt>
                <c:pt idx="18">
                  <c:v>1482.2988959281176</c:v>
                </c:pt>
                <c:pt idx="19">
                  <c:v>1416.4849782377928</c:v>
                </c:pt>
                <c:pt idx="20">
                  <c:v>1350.6710605474684</c:v>
                </c:pt>
                <c:pt idx="21">
                  <c:v>1153</c:v>
                </c:pt>
                <c:pt idx="22">
                  <c:v>1261</c:v>
                </c:pt>
                <c:pt idx="23">
                  <c:v>1261</c:v>
                </c:pt>
                <c:pt idx="24">
                  <c:v>1260.9999999999998</c:v>
                </c:pt>
                <c:pt idx="25">
                  <c:v>862.12999999999988</c:v>
                </c:pt>
                <c:pt idx="26">
                  <c:v>633.14020240000002</c:v>
                </c:pt>
                <c:pt idx="27">
                  <c:v>560.5</c:v>
                </c:pt>
                <c:pt idx="28">
                  <c:v>541.10095000000001</c:v>
                </c:pt>
                <c:pt idx="29">
                  <c:v>629.32999999999993</c:v>
                </c:pt>
                <c:pt idx="30">
                  <c:v>582.87999999999988</c:v>
                </c:pt>
                <c:pt idx="31">
                  <c:v>964.42499999999995</c:v>
                </c:pt>
                <c:pt idx="32">
                  <c:v>848.2299999999999</c:v>
                </c:pt>
              </c:numCache>
            </c:numRef>
          </c:val>
          <c:smooth val="0"/>
          <c:extLst>
            <c:ext xmlns:c16="http://schemas.microsoft.com/office/drawing/2014/chart" uri="{C3380CC4-5D6E-409C-BE32-E72D297353CC}">
              <c16:uniqueId val="{00000006-180B-43E2-9F90-86105CDD9AF7}"/>
            </c:ext>
          </c:extLst>
        </c:ser>
        <c:ser>
          <c:idx val="22"/>
          <c:order val="2"/>
          <c:tx>
            <c:strRef>
              <c:f>'NG Transmission &amp; Storage'!$B$116</c:f>
              <c:strCache>
                <c:ptCount val="1"/>
                <c:pt idx="0">
                  <c:v>LNG Stations (eq. leaks, compressors, flares)</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Storage'!$D$116:$AJ$116</c:f>
              <c:numCache>
                <c:formatCode>#,##0.0</c:formatCode>
                <c:ptCount val="33"/>
                <c:pt idx="0">
                  <c:v>108.69882352941177</c:v>
                </c:pt>
                <c:pt idx="1">
                  <c:v>108.69882352941177</c:v>
                </c:pt>
                <c:pt idx="2">
                  <c:v>108.69882352941175</c:v>
                </c:pt>
                <c:pt idx="3">
                  <c:v>108.69882352941175</c:v>
                </c:pt>
                <c:pt idx="4">
                  <c:v>108.69882352941175</c:v>
                </c:pt>
                <c:pt idx="5">
                  <c:v>108.69882352941174</c:v>
                </c:pt>
                <c:pt idx="6">
                  <c:v>108.69882352941177</c:v>
                </c:pt>
                <c:pt idx="7">
                  <c:v>108.69882352941175</c:v>
                </c:pt>
                <c:pt idx="8">
                  <c:v>108.69882352941175</c:v>
                </c:pt>
                <c:pt idx="9">
                  <c:v>108.69882352941175</c:v>
                </c:pt>
                <c:pt idx="10">
                  <c:v>114.73764705882354</c:v>
                </c:pt>
                <c:pt idx="11">
                  <c:v>114.73764705882351</c:v>
                </c:pt>
                <c:pt idx="12">
                  <c:v>114.7376470588235</c:v>
                </c:pt>
                <c:pt idx="13">
                  <c:v>114.73764705882354</c:v>
                </c:pt>
                <c:pt idx="14">
                  <c:v>114.73764705882354</c:v>
                </c:pt>
                <c:pt idx="15">
                  <c:v>114.73764705882354</c:v>
                </c:pt>
                <c:pt idx="16">
                  <c:v>114.73764705882354</c:v>
                </c:pt>
                <c:pt idx="17">
                  <c:v>114.73764705882354</c:v>
                </c:pt>
                <c:pt idx="18">
                  <c:v>114.73764705882354</c:v>
                </c:pt>
                <c:pt idx="19">
                  <c:v>114.73764705882354</c:v>
                </c:pt>
                <c:pt idx="20">
                  <c:v>114.73764705882351</c:v>
                </c:pt>
                <c:pt idx="21">
                  <c:v>114.73764705882351</c:v>
                </c:pt>
                <c:pt idx="22">
                  <c:v>114.73764705882351</c:v>
                </c:pt>
                <c:pt idx="23">
                  <c:v>114.73764705882351</c:v>
                </c:pt>
                <c:pt idx="24">
                  <c:v>114.73764705882351</c:v>
                </c:pt>
                <c:pt idx="25">
                  <c:v>114.73764705882351</c:v>
                </c:pt>
                <c:pt idx="26">
                  <c:v>114.73764705882354</c:v>
                </c:pt>
                <c:pt idx="27">
                  <c:v>114.73764705882351</c:v>
                </c:pt>
                <c:pt idx="28">
                  <c:v>86.969333333333324</c:v>
                </c:pt>
                <c:pt idx="29">
                  <c:v>121.67599999999995</c:v>
                </c:pt>
                <c:pt idx="30">
                  <c:v>266.51933333333335</c:v>
                </c:pt>
                <c:pt idx="31">
                  <c:v>489.22466666666668</c:v>
                </c:pt>
                <c:pt idx="32">
                  <c:v>623.16200000000015</c:v>
                </c:pt>
              </c:numCache>
            </c:numRef>
          </c:val>
          <c:smooth val="0"/>
          <c:extLst>
            <c:ext xmlns:c16="http://schemas.microsoft.com/office/drawing/2014/chart" uri="{C3380CC4-5D6E-409C-BE32-E72D297353CC}">
              <c16:uniqueId val="{00000008-180B-43E2-9F90-86105CDD9AF7}"/>
            </c:ext>
          </c:extLst>
        </c:ser>
        <c:ser>
          <c:idx val="20"/>
          <c:order val="3"/>
          <c:tx>
            <c:strRef>
              <c:f>'NG Transmission &amp; Storage'!$B$114</c:f>
              <c:strCache>
                <c:ptCount val="1"/>
                <c:pt idx="0">
                  <c:v>Station Venting Transmission</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Storage'!$D$114:$AK$114</c:f>
              <c:numCache>
                <c:formatCode>#,##0.0</c:formatCode>
                <c:ptCount val="34"/>
                <c:pt idx="0">
                  <c:v>335.81735999999995</c:v>
                </c:pt>
                <c:pt idx="1">
                  <c:v>335.81736000000001</c:v>
                </c:pt>
                <c:pt idx="2">
                  <c:v>335.81736000000001</c:v>
                </c:pt>
                <c:pt idx="3">
                  <c:v>333.31467684483289</c:v>
                </c:pt>
                <c:pt idx="4">
                  <c:v>334.80420024469458</c:v>
                </c:pt>
                <c:pt idx="5">
                  <c:v>333.03441253626067</c:v>
                </c:pt>
                <c:pt idx="6">
                  <c:v>331.82554971619498</c:v>
                </c:pt>
                <c:pt idx="7">
                  <c:v>333.63468250659872</c:v>
                </c:pt>
                <c:pt idx="8">
                  <c:v>332.94603867651762</c:v>
                </c:pt>
                <c:pt idx="9">
                  <c:v>333.25622384220918</c:v>
                </c:pt>
                <c:pt idx="10">
                  <c:v>330.67720354559816</c:v>
                </c:pt>
                <c:pt idx="11">
                  <c:v>326.67633939186629</c:v>
                </c:pt>
                <c:pt idx="12">
                  <c:v>329.80072243548784</c:v>
                </c:pt>
                <c:pt idx="13">
                  <c:v>320.27423848818268</c:v>
                </c:pt>
                <c:pt idx="14">
                  <c:v>323.69716319367478</c:v>
                </c:pt>
                <c:pt idx="15">
                  <c:v>330.97341765192232</c:v>
                </c:pt>
                <c:pt idx="16">
                  <c:v>313.24333354348562</c:v>
                </c:pt>
                <c:pt idx="17">
                  <c:v>331.83925348271981</c:v>
                </c:pt>
                <c:pt idx="18">
                  <c:v>321.78383696555085</c:v>
                </c:pt>
                <c:pt idx="19">
                  <c:v>328.37304758296938</c:v>
                </c:pt>
                <c:pt idx="20">
                  <c:v>328.23831725561655</c:v>
                </c:pt>
                <c:pt idx="21">
                  <c:v>330.23351460349318</c:v>
                </c:pt>
                <c:pt idx="22">
                  <c:v>410.73780221479149</c:v>
                </c:pt>
                <c:pt idx="23">
                  <c:v>409.94292245839847</c:v>
                </c:pt>
                <c:pt idx="24">
                  <c:v>410.71278014639461</c:v>
                </c:pt>
                <c:pt idx="25">
                  <c:v>375.50550014488704</c:v>
                </c:pt>
                <c:pt idx="26">
                  <c:v>262.77440648739969</c:v>
                </c:pt>
                <c:pt idx="27">
                  <c:v>226.71836407956363</c:v>
                </c:pt>
                <c:pt idx="28">
                  <c:v>249.08342541881092</c:v>
                </c:pt>
                <c:pt idx="29">
                  <c:v>205.99604602183314</c:v>
                </c:pt>
                <c:pt idx="30">
                  <c:v>201.10143269674148</c:v>
                </c:pt>
                <c:pt idx="31">
                  <c:v>289.50034575294177</c:v>
                </c:pt>
                <c:pt idx="32">
                  <c:v>202.60206277581281</c:v>
                </c:pt>
              </c:numCache>
            </c:numRef>
          </c:val>
          <c:smooth val="0"/>
          <c:extLst>
            <c:ext xmlns:c16="http://schemas.microsoft.com/office/drawing/2014/chart" uri="{C3380CC4-5D6E-409C-BE32-E72D297353CC}">
              <c16:uniqueId val="{00000005-180B-43E2-9F90-86105CDD9AF7}"/>
            </c:ext>
          </c:extLst>
        </c:ser>
        <c:ser>
          <c:idx val="17"/>
          <c:order val="4"/>
          <c:tx>
            <c:strRef>
              <c:f>'NG Transmission &amp; Storage'!$B$112</c:f>
              <c:strCache>
                <c:ptCount val="1"/>
                <c:pt idx="0">
                  <c:v>Pipeline venting</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Storage'!$D$112:$AJ$112</c:f>
              <c:numCache>
                <c:formatCode>#,##0.0</c:formatCode>
                <c:ptCount val="33"/>
                <c:pt idx="0">
                  <c:v>563.86057500000004</c:v>
                </c:pt>
                <c:pt idx="1">
                  <c:v>569.52965969999991</c:v>
                </c:pt>
                <c:pt idx="2">
                  <c:v>569.83444920000011</c:v>
                </c:pt>
                <c:pt idx="3">
                  <c:v>573.24809159999995</c:v>
                </c:pt>
                <c:pt idx="4">
                  <c:v>575.01587069999994</c:v>
                </c:pt>
                <c:pt idx="5">
                  <c:v>575.62544969999988</c:v>
                </c:pt>
                <c:pt idx="6">
                  <c:v>589.70672459999992</c:v>
                </c:pt>
                <c:pt idx="7">
                  <c:v>589.15810350000004</c:v>
                </c:pt>
                <c:pt idx="8">
                  <c:v>594.33952499999998</c:v>
                </c:pt>
                <c:pt idx="9">
                  <c:v>604.0556758305994</c:v>
                </c:pt>
                <c:pt idx="10">
                  <c:v>607.10357083059944</c:v>
                </c:pt>
                <c:pt idx="11">
                  <c:v>633.96215999999993</c:v>
                </c:pt>
                <c:pt idx="12">
                  <c:v>642.57551127000022</c:v>
                </c:pt>
                <c:pt idx="13">
                  <c:v>640.84064943599992</c:v>
                </c:pt>
                <c:pt idx="14">
                  <c:v>668.09858399999996</c:v>
                </c:pt>
                <c:pt idx="15">
                  <c:v>670.69539053999995</c:v>
                </c:pt>
                <c:pt idx="16">
                  <c:v>666.72093545999985</c:v>
                </c:pt>
                <c:pt idx="17">
                  <c:v>676.91919212999983</c:v>
                </c:pt>
                <c:pt idx="18">
                  <c:v>676.4741994599998</c:v>
                </c:pt>
                <c:pt idx="19">
                  <c:v>678.62601332999998</c:v>
                </c:pt>
                <c:pt idx="20">
                  <c:v>685.47158549999995</c:v>
                </c:pt>
                <c:pt idx="21">
                  <c:v>685.87390764000008</c:v>
                </c:pt>
                <c:pt idx="22">
                  <c:v>685.88000342999987</c:v>
                </c:pt>
                <c:pt idx="23">
                  <c:v>688.4097562799999</c:v>
                </c:pt>
                <c:pt idx="24">
                  <c:v>688.42560533400001</c:v>
                </c:pt>
                <c:pt idx="25">
                  <c:v>689.06200580999985</c:v>
                </c:pt>
                <c:pt idx="26">
                  <c:v>363.31148510022825</c:v>
                </c:pt>
                <c:pt idx="27">
                  <c:v>132.93572899440693</c:v>
                </c:pt>
                <c:pt idx="28">
                  <c:v>52.285010639728831</c:v>
                </c:pt>
                <c:pt idx="29">
                  <c:v>199.19844104359814</c:v>
                </c:pt>
                <c:pt idx="30">
                  <c:v>113.40716475742065</c:v>
                </c:pt>
                <c:pt idx="31">
                  <c:v>115.621451727954</c:v>
                </c:pt>
                <c:pt idx="32">
                  <c:v>254.72981902789863</c:v>
                </c:pt>
              </c:numCache>
            </c:numRef>
          </c:val>
          <c:smooth val="0"/>
          <c:extLst>
            <c:ext xmlns:c16="http://schemas.microsoft.com/office/drawing/2014/chart" uri="{C3380CC4-5D6E-409C-BE32-E72D297353CC}">
              <c16:uniqueId val="{00000000-180B-43E2-9F90-86105CDD9AF7}"/>
            </c:ext>
          </c:extLst>
        </c:ser>
        <c:ser>
          <c:idx val="26"/>
          <c:order val="5"/>
          <c:tx>
            <c:strRef>
              <c:f>'NG Transmission &amp; Storage'!$B$120</c:f>
              <c:strCache>
                <c:ptCount val="1"/>
                <c:pt idx="0">
                  <c:v>LNG Import Terminal Blowdowns</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Storage'!$D$120:$AJ$120</c:f>
              <c:numCache>
                <c:formatCode>#,##0.0</c:formatCode>
                <c:ptCount val="33"/>
                <c:pt idx="0">
                  <c:v>1229.556</c:v>
                </c:pt>
                <c:pt idx="1">
                  <c:v>1152.70875</c:v>
                </c:pt>
                <c:pt idx="2">
                  <c:v>1152.70875</c:v>
                </c:pt>
                <c:pt idx="3">
                  <c:v>1152.70875</c:v>
                </c:pt>
                <c:pt idx="4">
                  <c:v>1152.70875</c:v>
                </c:pt>
                <c:pt idx="5">
                  <c:v>1152.70875</c:v>
                </c:pt>
                <c:pt idx="6">
                  <c:v>1152.70875</c:v>
                </c:pt>
                <c:pt idx="7">
                  <c:v>1152.70875</c:v>
                </c:pt>
                <c:pt idx="8">
                  <c:v>1152.70875</c:v>
                </c:pt>
                <c:pt idx="9">
                  <c:v>1152.70875</c:v>
                </c:pt>
                <c:pt idx="10">
                  <c:v>1152.70875</c:v>
                </c:pt>
                <c:pt idx="11">
                  <c:v>1152.7087500000002</c:v>
                </c:pt>
                <c:pt idx="12">
                  <c:v>1152.7087500000002</c:v>
                </c:pt>
                <c:pt idx="13">
                  <c:v>1152.70875</c:v>
                </c:pt>
                <c:pt idx="14">
                  <c:v>1152.70875</c:v>
                </c:pt>
                <c:pt idx="15">
                  <c:v>1152.70875</c:v>
                </c:pt>
                <c:pt idx="16">
                  <c:v>1152.70875</c:v>
                </c:pt>
                <c:pt idx="17">
                  <c:v>1152.70875</c:v>
                </c:pt>
                <c:pt idx="18">
                  <c:v>2305.4175</c:v>
                </c:pt>
                <c:pt idx="19">
                  <c:v>2305.4175</c:v>
                </c:pt>
                <c:pt idx="20">
                  <c:v>3458.1262499999993</c:v>
                </c:pt>
                <c:pt idx="21">
                  <c:v>11.152000000000001</c:v>
                </c:pt>
                <c:pt idx="22">
                  <c:v>7.3244000000000007</c:v>
                </c:pt>
                <c:pt idx="23">
                  <c:v>10.0596</c:v>
                </c:pt>
                <c:pt idx="24">
                  <c:v>9.2959999999999994</c:v>
                </c:pt>
                <c:pt idx="25">
                  <c:v>1161.9887499999998</c:v>
                </c:pt>
                <c:pt idx="26">
                  <c:v>1160.1787499999998</c:v>
                </c:pt>
                <c:pt idx="27">
                  <c:v>6.51</c:v>
                </c:pt>
                <c:pt idx="28">
                  <c:v>7.67</c:v>
                </c:pt>
                <c:pt idx="29">
                  <c:v>52.994666666666674</c:v>
                </c:pt>
                <c:pt idx="30">
                  <c:v>3.71</c:v>
                </c:pt>
                <c:pt idx="31">
                  <c:v>8.11</c:v>
                </c:pt>
                <c:pt idx="32">
                  <c:v>2.6595</c:v>
                </c:pt>
              </c:numCache>
            </c:numRef>
          </c:val>
          <c:smooth val="0"/>
          <c:extLst>
            <c:ext xmlns:c16="http://schemas.microsoft.com/office/drawing/2014/chart" uri="{C3380CC4-5D6E-409C-BE32-E72D297353CC}">
              <c16:uniqueId val="{00000009-180B-43E2-9F90-86105CDD9AF7}"/>
            </c:ext>
          </c:extLst>
        </c:ser>
        <c:ser>
          <c:idx val="15"/>
          <c:order val="6"/>
          <c:tx>
            <c:strRef>
              <c:f>'NG Transmission &amp; Storage'!$B$105</c:f>
              <c:strCache>
                <c:ptCount val="1"/>
                <c:pt idx="0">
                  <c:v>Pneumatic Devices Transmission</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Storage'!$D$110:$AJ$110</c:f>
              <c:numCache>
                <c:formatCode>#,##0.0</c:formatCode>
                <c:ptCount val="33"/>
                <c:pt idx="0">
                  <c:v>424.85233392000004</c:v>
                </c:pt>
                <c:pt idx="1">
                  <c:v>424.85233392000004</c:v>
                </c:pt>
                <c:pt idx="2">
                  <c:v>424.85233392000009</c:v>
                </c:pt>
                <c:pt idx="3">
                  <c:v>408.97378852437049</c:v>
                </c:pt>
                <c:pt idx="4">
                  <c:v>393.09524312874089</c:v>
                </c:pt>
                <c:pt idx="5">
                  <c:v>377.21669773311129</c:v>
                </c:pt>
                <c:pt idx="6">
                  <c:v>361.3381523374818</c:v>
                </c:pt>
                <c:pt idx="7">
                  <c:v>345.45960694185231</c:v>
                </c:pt>
                <c:pt idx="8">
                  <c:v>329.58106154622266</c:v>
                </c:pt>
                <c:pt idx="9">
                  <c:v>313.70251615059317</c:v>
                </c:pt>
                <c:pt idx="10">
                  <c:v>297.82397075496363</c:v>
                </c:pt>
                <c:pt idx="11">
                  <c:v>281.94542535933402</c:v>
                </c:pt>
                <c:pt idx="12">
                  <c:v>266.06687996370448</c:v>
                </c:pt>
                <c:pt idx="13">
                  <c:v>250.18833456807491</c:v>
                </c:pt>
                <c:pt idx="14">
                  <c:v>234.30978917244536</c:v>
                </c:pt>
                <c:pt idx="15">
                  <c:v>218.43124377681582</c:v>
                </c:pt>
                <c:pt idx="16">
                  <c:v>202.55269838118625</c:v>
                </c:pt>
                <c:pt idx="17">
                  <c:v>186.67415298555667</c:v>
                </c:pt>
                <c:pt idx="18">
                  <c:v>170.79560758992713</c:v>
                </c:pt>
                <c:pt idx="19">
                  <c:v>154.91706219429756</c:v>
                </c:pt>
                <c:pt idx="20">
                  <c:v>139.03851679866801</c:v>
                </c:pt>
                <c:pt idx="21">
                  <c:v>68.167789763873913</c:v>
                </c:pt>
                <c:pt idx="22">
                  <c:v>69.112915295150273</c:v>
                </c:pt>
                <c:pt idx="23">
                  <c:v>67.508187417954161</c:v>
                </c:pt>
                <c:pt idx="24">
                  <c:v>64.056905913978582</c:v>
                </c:pt>
                <c:pt idx="25">
                  <c:v>63.123104872006643</c:v>
                </c:pt>
                <c:pt idx="26">
                  <c:v>64.301451224944387</c:v>
                </c:pt>
                <c:pt idx="27">
                  <c:v>62.116596731101716</c:v>
                </c:pt>
                <c:pt idx="28">
                  <c:v>63.055449278655011</c:v>
                </c:pt>
                <c:pt idx="29">
                  <c:v>63.629808217710384</c:v>
                </c:pt>
                <c:pt idx="30">
                  <c:v>63.101386122711226</c:v>
                </c:pt>
                <c:pt idx="31">
                  <c:v>63.309836656876499</c:v>
                </c:pt>
                <c:pt idx="32">
                  <c:v>65.726337607497911</c:v>
                </c:pt>
              </c:numCache>
            </c:numRef>
          </c:val>
          <c:smooth val="0"/>
          <c:extLst>
            <c:ext xmlns:c16="http://schemas.microsoft.com/office/drawing/2014/chart" uri="{C3380CC4-5D6E-409C-BE32-E72D297353CC}">
              <c16:uniqueId val="{00000004-180B-43E2-9F90-86105CDD9AF7}"/>
            </c:ext>
          </c:extLst>
        </c:ser>
        <c:ser>
          <c:idx val="0"/>
          <c:order val="7"/>
          <c:tx>
            <c:strRef>
              <c:f>'NG Transmission &amp; Storage'!$B$119</c:f>
              <c:strCache>
                <c:ptCount val="1"/>
                <c:pt idx="0">
                  <c:v>LNG Import Terminals (eq. leaks, compressors, flares)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Storage'!$D$119:$AJ$119</c:f>
              <c:numCache>
                <c:formatCode>#,##0.0</c:formatCode>
                <c:ptCount val="33"/>
                <c:pt idx="0">
                  <c:v>57.731333333333332</c:v>
                </c:pt>
                <c:pt idx="1">
                  <c:v>54.123125000000002</c:v>
                </c:pt>
                <c:pt idx="2">
                  <c:v>54.123125000000002</c:v>
                </c:pt>
                <c:pt idx="3">
                  <c:v>54.123125000000002</c:v>
                </c:pt>
                <c:pt idx="4">
                  <c:v>54.123125000000002</c:v>
                </c:pt>
                <c:pt idx="5">
                  <c:v>54.123125000000002</c:v>
                </c:pt>
                <c:pt idx="6">
                  <c:v>54.123125000000002</c:v>
                </c:pt>
                <c:pt idx="7">
                  <c:v>54.123125000000002</c:v>
                </c:pt>
                <c:pt idx="8">
                  <c:v>54.123125000000002</c:v>
                </c:pt>
                <c:pt idx="9">
                  <c:v>54.123125000000002</c:v>
                </c:pt>
                <c:pt idx="10">
                  <c:v>54.123125000000002</c:v>
                </c:pt>
                <c:pt idx="11">
                  <c:v>54.123124999999995</c:v>
                </c:pt>
                <c:pt idx="12">
                  <c:v>54.123124999999995</c:v>
                </c:pt>
                <c:pt idx="13">
                  <c:v>54.123125000000002</c:v>
                </c:pt>
                <c:pt idx="14">
                  <c:v>54.123125000000002</c:v>
                </c:pt>
                <c:pt idx="15">
                  <c:v>54.123125000000002</c:v>
                </c:pt>
                <c:pt idx="16">
                  <c:v>54.123125000000002</c:v>
                </c:pt>
                <c:pt idx="17">
                  <c:v>54.123125000000002</c:v>
                </c:pt>
                <c:pt idx="18">
                  <c:v>108.24625</c:v>
                </c:pt>
                <c:pt idx="19">
                  <c:v>108.24625</c:v>
                </c:pt>
                <c:pt idx="20">
                  <c:v>162.36937499999999</c:v>
                </c:pt>
                <c:pt idx="21">
                  <c:v>54.123124999999995</c:v>
                </c:pt>
                <c:pt idx="22">
                  <c:v>54.123124999999995</c:v>
                </c:pt>
                <c:pt idx="23">
                  <c:v>54.123125000000002</c:v>
                </c:pt>
                <c:pt idx="24">
                  <c:v>4.16</c:v>
                </c:pt>
                <c:pt idx="25">
                  <c:v>57.534725000000002</c:v>
                </c:pt>
                <c:pt idx="26">
                  <c:v>69.683125000000004</c:v>
                </c:pt>
                <c:pt idx="27">
                  <c:v>8.36</c:v>
                </c:pt>
                <c:pt idx="28">
                  <c:v>10.58</c:v>
                </c:pt>
                <c:pt idx="29">
                  <c:v>33.440666666666665</c:v>
                </c:pt>
                <c:pt idx="30">
                  <c:v>8.8199999999999985</c:v>
                </c:pt>
                <c:pt idx="31">
                  <c:v>7.34</c:v>
                </c:pt>
                <c:pt idx="32">
                  <c:v>20.072000000000003</c:v>
                </c:pt>
              </c:numCache>
            </c:numRef>
          </c:val>
          <c:smooth val="0"/>
          <c:extLst>
            <c:ext xmlns:c16="http://schemas.microsoft.com/office/drawing/2014/chart" uri="{C3380CC4-5D6E-409C-BE32-E72D297353CC}">
              <c16:uniqueId val="{0000000A-180B-43E2-9F90-86105CDD9AF7}"/>
            </c:ext>
          </c:extLst>
        </c:ser>
        <c:ser>
          <c:idx val="11"/>
          <c:order val="8"/>
          <c:tx>
            <c:strRef>
              <c:f>'NG Transmission &amp; Storage'!$B$104</c:f>
              <c:strCache>
                <c:ptCount val="1"/>
                <c:pt idx="0">
                  <c:v>Flaring (Transmission)</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Storage'!$D$104:$AJ$104</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180B-43E2-9F90-86105CDD9AF7}"/>
            </c:ext>
          </c:extLst>
        </c:ser>
        <c:ser>
          <c:idx val="2"/>
          <c:order val="9"/>
          <c:tx>
            <c:strRef>
              <c:f>'NG Transmission &amp; Storage'!$B$94</c:f>
              <c:strCache>
                <c:ptCount val="1"/>
                <c:pt idx="0">
                  <c:v>Pipeline </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Storage'!$D$94:$AK$94</c:f>
              <c:numCache>
                <c:formatCode>#,##0.0</c:formatCode>
                <c:ptCount val="34"/>
                <c:pt idx="0">
                  <c:v>10.104725790885766</c:v>
                </c:pt>
                <c:pt idx="1">
                  <c:v>10.206319250188725</c:v>
                </c:pt>
                <c:pt idx="2">
                  <c:v>10.211781264129744</c:v>
                </c:pt>
                <c:pt idx="3">
                  <c:v>10.272955820269161</c:v>
                </c:pt>
                <c:pt idx="4">
                  <c:v>10.304635501127073</c:v>
                </c:pt>
                <c:pt idx="5">
                  <c:v>10.315559529009111</c:v>
                </c:pt>
                <c:pt idx="6">
                  <c:v>10.567904573084206</c:v>
                </c:pt>
                <c:pt idx="7">
                  <c:v>10.55807294799037</c:v>
                </c:pt>
                <c:pt idx="8">
                  <c:v>10.650927184987699</c:v>
                </c:pt>
                <c:pt idx="9">
                  <c:v>10.825046540443779</c:v>
                </c:pt>
                <c:pt idx="10">
                  <c:v>10.879666679853971</c:v>
                </c:pt>
                <c:pt idx="11">
                  <c:v>11.360988997320213</c:v>
                </c:pt>
                <c:pt idx="12">
                  <c:v>11.51534551129342</c:v>
                </c:pt>
                <c:pt idx="13">
                  <c:v>11.484255727941138</c:v>
                </c:pt>
                <c:pt idx="14">
                  <c:v>11.972734558714377</c:v>
                </c:pt>
                <c:pt idx="15">
                  <c:v>12.019270917491861</c:v>
                </c:pt>
                <c:pt idx="16">
                  <c:v>11.948046255700969</c:v>
                </c:pt>
                <c:pt idx="17">
                  <c:v>12.130805242167476</c:v>
                </c:pt>
                <c:pt idx="18">
                  <c:v>12.122830701813585</c:v>
                </c:pt>
                <c:pt idx="19">
                  <c:v>12.161392520237186</c:v>
                </c:pt>
                <c:pt idx="20">
                  <c:v>12.284069353352479</c:v>
                </c:pt>
                <c:pt idx="21">
                  <c:v>12.291279211754627</c:v>
                </c:pt>
                <c:pt idx="22">
                  <c:v>12.291388452033443</c:v>
                </c:pt>
                <c:pt idx="23">
                  <c:v>12.336723167743905</c:v>
                </c:pt>
                <c:pt idx="24">
                  <c:v>12.337007192468839</c:v>
                </c:pt>
                <c:pt idx="25">
                  <c:v>12.348411877577686</c:v>
                </c:pt>
                <c:pt idx="26">
                  <c:v>12.399208607229165</c:v>
                </c:pt>
                <c:pt idx="27">
                  <c:v>12.375601782976078</c:v>
                </c:pt>
                <c:pt idx="28">
                  <c:v>12.383248602493506</c:v>
                </c:pt>
                <c:pt idx="29">
                  <c:v>12.320326201892966</c:v>
                </c:pt>
                <c:pt idx="30">
                  <c:v>12.347745511876882</c:v>
                </c:pt>
                <c:pt idx="31">
                  <c:v>12.353426006375544</c:v>
                </c:pt>
                <c:pt idx="32">
                  <c:v>12.322303450939614</c:v>
                </c:pt>
                <c:pt idx="33">
                  <c:v>12.149878594849556</c:v>
                </c:pt>
              </c:numCache>
            </c:numRef>
          </c:val>
          <c:smooth val="0"/>
          <c:extLst>
            <c:ext xmlns:c16="http://schemas.microsoft.com/office/drawing/2014/chart" uri="{C3380CC4-5D6E-409C-BE32-E72D297353CC}">
              <c16:uniqueId val="{00000001-180B-43E2-9F90-86105CDD9AF7}"/>
            </c:ext>
          </c:extLst>
        </c:ser>
        <c:ser>
          <c:idx val="10"/>
          <c:order val="10"/>
          <c:tx>
            <c:strRef>
              <c:f>'NG Transmission &amp; Storage'!$B$103</c:f>
              <c:strCache>
                <c:ptCount val="1"/>
                <c:pt idx="0">
                  <c:v>Dehydrator vents (Transmission)</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f>'NG Transmission &amp; Storage'!$D$92:$AK$92</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'NG Transmission &amp; Storage'!$D$103:$AJ$103</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180B-43E2-9F90-86105CDD9AF7}"/>
            </c:ext>
          </c:extLst>
        </c:ser>
        <c:dLbls>
          <c:showLegendKey val="0"/>
          <c:showVal val="0"/>
          <c:showCatName val="0"/>
          <c:showSerName val="0"/>
          <c:showPercent val="0"/>
          <c:showBubbleSize val="0"/>
        </c:dLbls>
        <c:marker val="1"/>
        <c:smooth val="0"/>
        <c:axId val="523899920"/>
        <c:axId val="523898120"/>
      </c:lineChart>
      <c:catAx>
        <c:axId val="52389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3898120"/>
        <c:crosses val="autoZero"/>
        <c:auto val="1"/>
        <c:lblAlgn val="ctr"/>
        <c:lblOffset val="100"/>
        <c:noMultiLvlLbl val="0"/>
      </c:catAx>
      <c:valAx>
        <c:axId val="523898120"/>
        <c:scaling>
          <c:orientation val="minMax"/>
          <c:max val="3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3899920"/>
        <c:crosses val="autoZero"/>
        <c:crossBetween val="between"/>
      </c:valAx>
      <c:spPr>
        <a:noFill/>
        <a:ln>
          <a:noFill/>
        </a:ln>
        <a:effectLst/>
      </c:spPr>
    </c:plotArea>
    <c:legend>
      <c:legendPos val="r"/>
      <c:layout>
        <c:manualLayout>
          <c:xMode val="edge"/>
          <c:yMode val="edge"/>
          <c:x val="0.64146159767547406"/>
          <c:y val="0.2709904869515723"/>
          <c:w val="0.31413212529580875"/>
          <c:h val="0.524561412487319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48620971558884"/>
          <c:y val="7.9639330797935975E-2"/>
          <c:w val="0.66068310313669809"/>
          <c:h val="0.7338709677419355"/>
        </c:manualLayout>
      </c:layout>
      <c:lineChart>
        <c:grouping val="standard"/>
        <c:varyColors val="0"/>
        <c:ser>
          <c:idx val="1"/>
          <c:order val="0"/>
          <c:tx>
            <c:strRef>
              <c:f>'Indust. Proc.'!$B$7</c:f>
              <c:strCache>
                <c:ptCount val="1"/>
                <c:pt idx="0">
                  <c:v>Lime Manufacture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extLst>
                <c:ext xmlns:c15="http://schemas.microsoft.com/office/drawing/2012/chart" uri="{02D57815-91ED-43cb-92C2-25804820EDAC}">
                  <c15:fullRef>
                    <c15:sqref>'Indust. Proc.'!$C$4:$AJ$4</c15:sqref>
                  </c15:fullRef>
                </c:ext>
              </c:extLst>
              <c:f>'Indust. Proc.'!$C$4:$AI$4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extLst>
                <c:ext xmlns:c15="http://schemas.microsoft.com/office/drawing/2012/chart" uri="{02D57815-91ED-43cb-92C2-25804820EDAC}">
                  <c15:fullRef>
                    <c15:sqref>'Indust. Proc.'!$C$7:$AJ$7</c15:sqref>
                  </c15:fullRef>
                </c:ext>
              </c:extLst>
              <c:f>'Indust. Proc.'!$C$7:$AI$7</c:f>
              <c:numCache>
                <c:formatCode>_(* #,##0_);_(* \(#,##0\);_(* "-"??_);_(@_)</c:formatCode>
                <c:ptCount val="33"/>
                <c:pt idx="0">
                  <c:v>82392.64337283335</c:v>
                </c:pt>
                <c:pt idx="1">
                  <c:v>82733.928410662396</c:v>
                </c:pt>
                <c:pt idx="2">
                  <c:v>82736.469557553399</c:v>
                </c:pt>
                <c:pt idx="3">
                  <c:v>84888.618842455035</c:v>
                </c:pt>
                <c:pt idx="4">
                  <c:v>76384.29939562676</c:v>
                </c:pt>
                <c:pt idx="5">
                  <c:v>86407.97132396551</c:v>
                </c:pt>
                <c:pt idx="6">
                  <c:v>78683.651952622982</c:v>
                </c:pt>
                <c:pt idx="7">
                  <c:v>86428.28917431194</c:v>
                </c:pt>
                <c:pt idx="8">
                  <c:v>87046.680046693567</c:v>
                </c:pt>
                <c:pt idx="9">
                  <c:v>84155.783632751292</c:v>
                </c:pt>
                <c:pt idx="10">
                  <c:v>77987.943380076293</c:v>
                </c:pt>
                <c:pt idx="11">
                  <c:v>82577.975337645243</c:v>
                </c:pt>
                <c:pt idx="12">
                  <c:v>87168.007295214193</c:v>
                </c:pt>
                <c:pt idx="13">
                  <c:v>91758.039252783157</c:v>
                </c:pt>
                <c:pt idx="14">
                  <c:v>96348.071210352107</c:v>
                </c:pt>
                <c:pt idx="15">
                  <c:v>100938.10316792106</c:v>
                </c:pt>
                <c:pt idx="16">
                  <c:v>105528.13512549002</c:v>
                </c:pt>
                <c:pt idx="17">
                  <c:v>110118.16708305897</c:v>
                </c:pt>
                <c:pt idx="18">
                  <c:v>114708.19904062792</c:v>
                </c:pt>
                <c:pt idx="19">
                  <c:v>119298.23099819687</c:v>
                </c:pt>
                <c:pt idx="20">
                  <c:v>109086</c:v>
                </c:pt>
                <c:pt idx="21">
                  <c:v>100131</c:v>
                </c:pt>
                <c:pt idx="22">
                  <c:v>86916</c:v>
                </c:pt>
                <c:pt idx="23">
                  <c:v>92267.3</c:v>
                </c:pt>
                <c:pt idx="24">
                  <c:v>93031.5</c:v>
                </c:pt>
                <c:pt idx="25">
                  <c:v>99260.3</c:v>
                </c:pt>
                <c:pt idx="26">
                  <c:v>90802</c:v>
                </c:pt>
                <c:pt idx="27">
                  <c:v>99669</c:v>
                </c:pt>
                <c:pt idx="28">
                  <c:v>108687</c:v>
                </c:pt>
                <c:pt idx="29">
                  <c:v>98136</c:v>
                </c:pt>
                <c:pt idx="30">
                  <c:v>86087</c:v>
                </c:pt>
                <c:pt idx="31">
                  <c:v>92704.9</c:v>
                </c:pt>
                <c:pt idx="32">
                  <c:v>86354</c:v>
                </c:pt>
              </c:numCache>
            </c:numRef>
          </c:val>
          <c:smooth val="0"/>
          <c:extLst>
            <c:ext xmlns:c16="http://schemas.microsoft.com/office/drawing/2014/chart" uri="{C3380CC4-5D6E-409C-BE32-E72D297353CC}">
              <c16:uniqueId val="{00000000-D7D8-4D74-A50B-B0A3A049E243}"/>
            </c:ext>
          </c:extLst>
        </c:ser>
        <c:ser>
          <c:idx val="0"/>
          <c:order val="1"/>
          <c:tx>
            <c:strRef>
              <c:f>'Indust. Proc.'!$B$8</c:f>
              <c:strCache>
                <c:ptCount val="1"/>
                <c:pt idx="0">
                  <c:v>Limestone and Dolomite Use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extLst>
                <c:ext xmlns:c15="http://schemas.microsoft.com/office/drawing/2012/chart" uri="{02D57815-91ED-43cb-92C2-25804820EDAC}">
                  <c15:fullRef>
                    <c15:sqref>'Indust. Proc.'!$C$4:$AJ$4</c15:sqref>
                  </c15:fullRef>
                </c:ext>
              </c:extLst>
              <c:f>'Indust. Proc.'!$C$4:$AI$4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extLst>
                <c:ext xmlns:c15="http://schemas.microsoft.com/office/drawing/2012/chart" uri="{02D57815-91ED-43cb-92C2-25804820EDAC}">
                  <c15:fullRef>
                    <c15:sqref>'Indust. Proc.'!$C$8:$AI$8</c15:sqref>
                  </c15:fullRef>
                </c:ext>
              </c:extLst>
              <c:f>'Indust. Proc.'!$C$8:$AI$8</c:f>
              <c:numCache>
                <c:formatCode>_(* #,##0_);_(* \(#,##0\);_(* "-"??_);_(@_)</c:formatCode>
                <c:ptCount val="33"/>
                <c:pt idx="0">
                  <c:v>26774.291250064271</c:v>
                </c:pt>
                <c:pt idx="1">
                  <c:v>22920.154001667397</c:v>
                </c:pt>
                <c:pt idx="2">
                  <c:v>22302.967150978977</c:v>
                </c:pt>
                <c:pt idx="3">
                  <c:v>21685.780300290557</c:v>
                </c:pt>
                <c:pt idx="4">
                  <c:v>34355.263197910848</c:v>
                </c:pt>
                <c:pt idx="5">
                  <c:v>28858.060481965218</c:v>
                </c:pt>
                <c:pt idx="6">
                  <c:v>14906.478825010878</c:v>
                </c:pt>
                <c:pt idx="7">
                  <c:v>12505.114298296707</c:v>
                </c:pt>
                <c:pt idx="8">
                  <c:v>13599.247237056918</c:v>
                </c:pt>
                <c:pt idx="9">
                  <c:v>4958.4942760550521</c:v>
                </c:pt>
                <c:pt idx="10">
                  <c:v>17382.69892999974</c:v>
                </c:pt>
                <c:pt idx="11">
                  <c:v>10940.191399934753</c:v>
                </c:pt>
                <c:pt idx="12">
                  <c:v>14055.024876924053</c:v>
                </c:pt>
                <c:pt idx="13">
                  <c:v>13228.369832216878</c:v>
                </c:pt>
                <c:pt idx="14">
                  <c:v>24921.260359097549</c:v>
                </c:pt>
                <c:pt idx="15">
                  <c:v>27273.891029700357</c:v>
                </c:pt>
                <c:pt idx="16">
                  <c:v>8767.0457469637568</c:v>
                </c:pt>
                <c:pt idx="17">
                  <c:v>6290.9471201558545</c:v>
                </c:pt>
                <c:pt idx="18">
                  <c:v>4676.8504723572096</c:v>
                </c:pt>
                <c:pt idx="19">
                  <c:v>13209.142311135272</c:v>
                </c:pt>
                <c:pt idx="20">
                  <c:v>9176.8499056978344</c:v>
                </c:pt>
                <c:pt idx="21">
                  <c:v>11696.870903778061</c:v>
                </c:pt>
                <c:pt idx="22">
                  <c:v>9680.4502947611145</c:v>
                </c:pt>
                <c:pt idx="23">
                  <c:v>35261.960394476766</c:v>
                </c:pt>
                <c:pt idx="24">
                  <c:v>15758.755757032501</c:v>
                </c:pt>
                <c:pt idx="25">
                  <c:v>35309.682542457122</c:v>
                </c:pt>
                <c:pt idx="26">
                  <c:v>31600.200182334724</c:v>
                </c:pt>
                <c:pt idx="27">
                  <c:v>18822.957869047408</c:v>
                </c:pt>
                <c:pt idx="28">
                  <c:v>19423.64104197636</c:v>
                </c:pt>
                <c:pt idx="29">
                  <c:v>17225.136120752031</c:v>
                </c:pt>
                <c:pt idx="30">
                  <c:v>25232.561217095295</c:v>
                </c:pt>
                <c:pt idx="31">
                  <c:v>19903.397214544293</c:v>
                </c:pt>
              </c:numCache>
            </c:numRef>
          </c:val>
          <c:smooth val="0"/>
          <c:extLst>
            <c:ext xmlns:c16="http://schemas.microsoft.com/office/drawing/2014/chart" uri="{C3380CC4-5D6E-409C-BE32-E72D297353CC}">
              <c16:uniqueId val="{00000001-D7D8-4D74-A50B-B0A3A049E243}"/>
            </c:ext>
          </c:extLst>
        </c:ser>
        <c:dLbls>
          <c:showLegendKey val="0"/>
          <c:showVal val="0"/>
          <c:showCatName val="0"/>
          <c:showSerName val="0"/>
          <c:showPercent val="0"/>
          <c:showBubbleSize val="0"/>
        </c:dLbls>
        <c:marker val="1"/>
        <c:smooth val="0"/>
        <c:axId val="80211968"/>
        <c:axId val="80213504"/>
      </c:lineChart>
      <c:catAx>
        <c:axId val="8021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en-US"/>
          </a:p>
        </c:txPr>
        <c:crossAx val="80213504"/>
        <c:crosses val="autoZero"/>
        <c:auto val="1"/>
        <c:lblAlgn val="ctr"/>
        <c:lblOffset val="100"/>
        <c:tickLblSkip val="1"/>
        <c:tickMarkSkip val="1"/>
        <c:noMultiLvlLbl val="0"/>
      </c:catAx>
      <c:valAx>
        <c:axId val="80213504"/>
        <c:scaling>
          <c:orientation val="minMax"/>
        </c:scaling>
        <c:delete val="0"/>
        <c:axPos val="l"/>
        <c:majorGridlines>
          <c:spPr>
            <a:ln w="3175">
              <a:solidFill>
                <a:srgbClr val="000000"/>
              </a:solidFill>
              <a:prstDash val="solid"/>
            </a:ln>
          </c:spPr>
        </c:majorGridlines>
        <c:title>
          <c:tx>
            <c:rich>
              <a:bodyPr rot="-5400000" vert="horz"/>
              <a:lstStyle/>
              <a:p>
                <a:pPr>
                  <a:defRPr/>
                </a:pPr>
                <a:r>
                  <a:rPr lang="en-US"/>
                  <a:t>MTCO2E</a:t>
                </a:r>
              </a:p>
            </c:rich>
          </c:tx>
          <c:overlay val="0"/>
        </c:title>
        <c:numFmt formatCode="_(* #,##0_);_(* \(#,##0\);_(* &quot;-&quot;??_);_(@_)" sourceLinked="1"/>
        <c:majorTickMark val="out"/>
        <c:minorTickMark val="none"/>
        <c:tickLblPos val="nextTo"/>
        <c:spPr>
          <a:ln w="3175">
            <a:solidFill>
              <a:srgbClr val="000000"/>
            </a:solidFill>
            <a:prstDash val="solid"/>
          </a:ln>
        </c:spPr>
        <c:txPr>
          <a:bodyPr rot="0" vert="horz"/>
          <a:lstStyle/>
          <a:p>
            <a:pPr>
              <a:defRPr/>
            </a:pPr>
            <a:endParaRPr lang="en-US"/>
          </a:p>
        </c:txPr>
        <c:crossAx val="80211968"/>
        <c:crosses val="autoZero"/>
        <c:crossBetween val="midCat"/>
      </c:valAx>
      <c:spPr>
        <a:solidFill>
          <a:srgbClr val="C0C0C0"/>
        </a:solidFill>
        <a:ln w="12700">
          <a:solidFill>
            <a:srgbClr val="808080"/>
          </a:solidFill>
          <a:prstDash val="solid"/>
        </a:ln>
      </c:spPr>
    </c:plotArea>
    <c:legend>
      <c:legendPos val="r"/>
      <c:layout>
        <c:manualLayout>
          <c:xMode val="edge"/>
          <c:yMode val="edge"/>
          <c:x val="0.83931063662913696"/>
          <c:y val="0.17393575803024622"/>
          <c:w val="0.1581008795918859"/>
          <c:h val="0.6853650436552573"/>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HFC, PFC, NF3 and SF6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298704293762444"/>
          <c:y val="0.17171296296296296"/>
          <c:w val="0.59801115452902875"/>
          <c:h val="0.68729986876640425"/>
        </c:manualLayout>
      </c:layout>
      <c:lineChart>
        <c:grouping val="standard"/>
        <c:varyColors val="0"/>
        <c:ser>
          <c:idx val="14"/>
          <c:order val="0"/>
          <c:tx>
            <c:strRef>
              <c:f>'Indust. Proc.'!$B$18</c:f>
              <c:strCache>
                <c:ptCount val="1"/>
                <c:pt idx="0">
                  <c:v>ODS Substitutes</c:v>
                </c:pt>
              </c:strCache>
            </c:strRef>
          </c:tx>
          <c:spPr>
            <a:ln w="28575" cap="rnd">
              <a:solidFill>
                <a:schemeClr val="accent3">
                  <a:lumMod val="80000"/>
                  <a:lumOff val="20000"/>
                </a:schemeClr>
              </a:solidFill>
              <a:round/>
            </a:ln>
            <a:effectLst/>
          </c:spPr>
          <c:marker>
            <c:symbol val="square"/>
            <c:size val="5"/>
            <c:spPr>
              <a:solidFill>
                <a:schemeClr val="accent3">
                  <a:lumMod val="80000"/>
                  <a:lumOff val="20000"/>
                </a:schemeClr>
              </a:solidFill>
              <a:ln w="9525">
                <a:solidFill>
                  <a:schemeClr val="accent3">
                    <a:lumMod val="80000"/>
                    <a:lumOff val="20000"/>
                  </a:schemeClr>
                </a:solidFill>
              </a:ln>
              <a:effectLst/>
            </c:spPr>
          </c:marker>
          <c:cat>
            <c:numRef>
              <c:f>'Indust. Proc.'!$C$4:$AH$4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'Indust. Proc.'!$C$18:$AH$18</c:f>
              <c:numCache>
                <c:formatCode>_(* #,##0_);_(* \(#,##0\);_(* "-"??_);_(@_)</c:formatCode>
                <c:ptCount val="32"/>
                <c:pt idx="0">
                  <c:v>5409.9844792000004</c:v>
                </c:pt>
                <c:pt idx="1">
                  <c:v>12460.479461513316</c:v>
                </c:pt>
                <c:pt idx="2">
                  <c:v>33364.256189678723</c:v>
                </c:pt>
                <c:pt idx="3">
                  <c:v>107913.87960654042</c:v>
                </c:pt>
                <c:pt idx="4">
                  <c:v>260754.42052323412</c:v>
                </c:pt>
                <c:pt idx="5">
                  <c:v>572693.65103370836</c:v>
                </c:pt>
                <c:pt idx="6">
                  <c:v>803344.1619025541</c:v>
                </c:pt>
                <c:pt idx="7">
                  <c:v>1020988.6908184625</c:v>
                </c:pt>
                <c:pt idx="8">
                  <c:v>1177602.0716654193</c:v>
                </c:pt>
                <c:pt idx="9">
                  <c:v>1338157.4499433034</c:v>
                </c:pt>
                <c:pt idx="10">
                  <c:v>1472358.9128157732</c:v>
                </c:pt>
                <c:pt idx="11">
                  <c:v>1601652.5441583728</c:v>
                </c:pt>
                <c:pt idx="12">
                  <c:v>1693937.4776078654</c:v>
                </c:pt>
                <c:pt idx="13">
                  <c:v>1776035.3004828738</c:v>
                </c:pt>
                <c:pt idx="14">
                  <c:v>1841710.4934056657</c:v>
                </c:pt>
                <c:pt idx="15">
                  <c:v>1923035.6945102909</c:v>
                </c:pt>
                <c:pt idx="16">
                  <c:v>2043473.4271879846</c:v>
                </c:pt>
                <c:pt idx="17">
                  <c:v>2185336.0490360721</c:v>
                </c:pt>
                <c:pt idx="18">
                  <c:v>2344618.005572557</c:v>
                </c:pt>
                <c:pt idx="19">
                  <c:v>2437547.8218789496</c:v>
                </c:pt>
                <c:pt idx="20">
                  <c:v>2248724.7459142134</c:v>
                </c:pt>
                <c:pt idx="21">
                  <c:v>2375021.3406845252</c:v>
                </c:pt>
                <c:pt idx="22">
                  <c:v>2590013.3833123082</c:v>
                </c:pt>
                <c:pt idx="23">
                  <c:v>3058048.2864494538</c:v>
                </c:pt>
                <c:pt idx="24">
                  <c:v>3467413.4177221409</c:v>
                </c:pt>
                <c:pt idx="25">
                  <c:v>3352298.2398250522</c:v>
                </c:pt>
                <c:pt idx="26">
                  <c:v>3396897.8292518733</c:v>
                </c:pt>
                <c:pt idx="27">
                  <c:v>2930262.2333298363</c:v>
                </c:pt>
                <c:pt idx="28">
                  <c:v>3287497.0695521231</c:v>
                </c:pt>
                <c:pt idx="29">
                  <c:v>3150018.6257919343</c:v>
                </c:pt>
                <c:pt idx="30">
                  <c:v>3460571.3795215455</c:v>
                </c:pt>
                <c:pt idx="31">
                  <c:v>3599382.0553111131</c:v>
                </c:pt>
              </c:numCache>
            </c:numRef>
          </c:val>
          <c:smooth val="0"/>
          <c:extLst>
            <c:ext xmlns:c16="http://schemas.microsoft.com/office/drawing/2014/chart" uri="{C3380CC4-5D6E-409C-BE32-E72D297353CC}">
              <c16:uniqueId val="{0000000E-8010-42EE-961C-DBC3B7EFEBEB}"/>
            </c:ext>
          </c:extLst>
        </c:ser>
        <c:ser>
          <c:idx val="15"/>
          <c:order val="1"/>
          <c:tx>
            <c:strRef>
              <c:f>'Indust. Proc.'!$B$19</c:f>
              <c:strCache>
                <c:ptCount val="1"/>
                <c:pt idx="0">
                  <c:v>Semiconductor Manufacturing</c:v>
                </c:pt>
              </c:strCache>
            </c:strRef>
          </c:tx>
          <c:spPr>
            <a:ln w="28575" cap="rnd">
              <a:solidFill>
                <a:schemeClr val="accent4">
                  <a:lumMod val="80000"/>
                  <a:lumOff val="20000"/>
                </a:schemeClr>
              </a:solidFill>
              <a:round/>
            </a:ln>
            <a:effectLst/>
          </c:spPr>
          <c:marker>
            <c:symbol val="square"/>
            <c:size val="5"/>
            <c:spPr>
              <a:solidFill>
                <a:schemeClr val="accent4">
                  <a:lumMod val="80000"/>
                  <a:lumOff val="20000"/>
                </a:schemeClr>
              </a:solidFill>
              <a:ln w="9525">
                <a:solidFill>
                  <a:schemeClr val="accent4">
                    <a:lumMod val="80000"/>
                    <a:lumOff val="20000"/>
                  </a:schemeClr>
                </a:solidFill>
              </a:ln>
              <a:effectLst/>
            </c:spPr>
          </c:marker>
          <c:cat>
            <c:numRef>
              <c:f>'Indust. Proc.'!$C$4:$AH$4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'Indust. Proc.'!$C$19:$AH$19</c:f>
              <c:numCache>
                <c:formatCode>_(* #,##0_);_(* \(#,##0\);_(* "-"??_);_(@_)</c:formatCode>
                <c:ptCount val="32"/>
                <c:pt idx="0">
                  <c:v>88073.545482425121</c:v>
                </c:pt>
                <c:pt idx="1">
                  <c:v>81004.944716333572</c:v>
                </c:pt>
                <c:pt idx="2">
                  <c:v>81004.944716333572</c:v>
                </c:pt>
                <c:pt idx="3">
                  <c:v>101256.18089541694</c:v>
                </c:pt>
                <c:pt idx="4">
                  <c:v>111381.79898495866</c:v>
                </c:pt>
                <c:pt idx="5">
                  <c:v>139969.14247232408</c:v>
                </c:pt>
                <c:pt idx="6">
                  <c:v>155430.53401135013</c:v>
                </c:pt>
                <c:pt idx="7">
                  <c:v>164258.99693515967</c:v>
                </c:pt>
                <c:pt idx="8">
                  <c:v>262539.39011032908</c:v>
                </c:pt>
                <c:pt idx="9">
                  <c:v>334351.06863421574</c:v>
                </c:pt>
                <c:pt idx="10">
                  <c:v>344838.8020991318</c:v>
                </c:pt>
                <c:pt idx="11">
                  <c:v>293797.58504386467</c:v>
                </c:pt>
                <c:pt idx="12">
                  <c:v>358304.5070221051</c:v>
                </c:pt>
                <c:pt idx="13">
                  <c:v>304173.91495858959</c:v>
                </c:pt>
                <c:pt idx="14">
                  <c:v>253070.06955678106</c:v>
                </c:pt>
                <c:pt idx="15">
                  <c:v>208761.52734863997</c:v>
                </c:pt>
                <c:pt idx="16">
                  <c:v>197059.72486139819</c:v>
                </c:pt>
                <c:pt idx="17">
                  <c:v>152778.81297471974</c:v>
                </c:pt>
                <c:pt idx="18">
                  <c:v>167850.17402067827</c:v>
                </c:pt>
                <c:pt idx="19">
                  <c:v>143266.24702402437</c:v>
                </c:pt>
                <c:pt idx="20">
                  <c:v>216883.56644994835</c:v>
                </c:pt>
                <c:pt idx="21">
                  <c:v>334499.05312150804</c:v>
                </c:pt>
                <c:pt idx="22">
                  <c:v>366934.54455318779</c:v>
                </c:pt>
                <c:pt idx="23">
                  <c:v>319554.39718401688</c:v>
                </c:pt>
                <c:pt idx="24">
                  <c:v>314886.42340047366</c:v>
                </c:pt>
                <c:pt idx="25">
                  <c:v>299848.89018138766</c:v>
                </c:pt>
                <c:pt idx="26">
                  <c:v>280860.50526205503</c:v>
                </c:pt>
                <c:pt idx="27">
                  <c:v>258541.89962968219</c:v>
                </c:pt>
                <c:pt idx="28">
                  <c:v>267751.35593837884</c:v>
                </c:pt>
                <c:pt idx="29">
                  <c:v>248046.64146958024</c:v>
                </c:pt>
                <c:pt idx="30">
                  <c:v>247064.38617296595</c:v>
                </c:pt>
                <c:pt idx="31">
                  <c:v>272141.99886570615</c:v>
                </c:pt>
              </c:numCache>
            </c:numRef>
          </c:val>
          <c:smooth val="0"/>
          <c:extLst>
            <c:ext xmlns:c16="http://schemas.microsoft.com/office/drawing/2014/chart" uri="{C3380CC4-5D6E-409C-BE32-E72D297353CC}">
              <c16:uniqueId val="{0000000F-8010-42EE-961C-DBC3B7EFEBEB}"/>
            </c:ext>
          </c:extLst>
        </c:ser>
        <c:ser>
          <c:idx val="17"/>
          <c:order val="2"/>
          <c:tx>
            <c:strRef>
              <c:f>'Indust. Proc.'!$B$21</c:f>
              <c:strCache>
                <c:ptCount val="1"/>
                <c:pt idx="0">
                  <c:v>Electric Power Transmission and Distribution Systems</c:v>
                </c:pt>
              </c:strCache>
            </c:strRef>
          </c:tx>
          <c:spPr>
            <a:ln w="28575" cap="rnd">
              <a:solidFill>
                <a:schemeClr val="accent6">
                  <a:lumMod val="80000"/>
                  <a:lumOff val="20000"/>
                </a:schemeClr>
              </a:solidFill>
              <a:round/>
            </a:ln>
            <a:effectLst/>
          </c:spPr>
          <c:marker>
            <c:symbol val="square"/>
            <c:size val="5"/>
            <c:spPr>
              <a:solidFill>
                <a:schemeClr val="accent6">
                  <a:lumMod val="80000"/>
                  <a:lumOff val="20000"/>
                </a:schemeClr>
              </a:solidFill>
              <a:ln w="9525">
                <a:solidFill>
                  <a:schemeClr val="accent6">
                    <a:lumMod val="80000"/>
                    <a:lumOff val="20000"/>
                  </a:schemeClr>
                </a:solidFill>
              </a:ln>
              <a:effectLst/>
            </c:spPr>
          </c:marker>
          <c:cat>
            <c:numRef>
              <c:f>'Indust. Proc.'!$C$4:$AH$4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'Indust. Proc.'!$C$21:$AH$21</c:f>
              <c:numCache>
                <c:formatCode>_(* #,##0_);_(* \(#,##0\);_(* "-"??_);_(@_)</c:formatCode>
                <c:ptCount val="32"/>
                <c:pt idx="0">
                  <c:v>387899.75619760453</c:v>
                </c:pt>
                <c:pt idx="1">
                  <c:v>371826.06416473538</c:v>
                </c:pt>
                <c:pt idx="2">
                  <c:v>372152.08156089642</c:v>
                </c:pt>
                <c:pt idx="3">
                  <c:v>350593.06348162168</c:v>
                </c:pt>
                <c:pt idx="4">
                  <c:v>327774.58754937456</c:v>
                </c:pt>
                <c:pt idx="5">
                  <c:v>296965.78337512485</c:v>
                </c:pt>
                <c:pt idx="6">
                  <c:v>268312.79500899842</c:v>
                </c:pt>
                <c:pt idx="7">
                  <c:v>245498.79852171885</c:v>
                </c:pt>
                <c:pt idx="8">
                  <c:v>204267.12546738819</c:v>
                </c:pt>
                <c:pt idx="9">
                  <c:v>209382.05540256528</c:v>
                </c:pt>
                <c:pt idx="10">
                  <c:v>205386.17220111404</c:v>
                </c:pt>
                <c:pt idx="11">
                  <c:v>205728.62214132049</c:v>
                </c:pt>
                <c:pt idx="12">
                  <c:v>194990.97337850928</c:v>
                </c:pt>
                <c:pt idx="13">
                  <c:v>192592.26561409311</c:v>
                </c:pt>
                <c:pt idx="14">
                  <c:v>186648.15304992144</c:v>
                </c:pt>
                <c:pt idx="15">
                  <c:v>179638.85239526923</c:v>
                </c:pt>
                <c:pt idx="16">
                  <c:v>161981.95834948044</c:v>
                </c:pt>
                <c:pt idx="17">
                  <c:v>150360.08802009723</c:v>
                </c:pt>
                <c:pt idx="18">
                  <c:v>147534.01409735379</c:v>
                </c:pt>
                <c:pt idx="19">
                  <c:v>131906.23467939996</c:v>
                </c:pt>
                <c:pt idx="20">
                  <c:v>114585.93451620261</c:v>
                </c:pt>
                <c:pt idx="21">
                  <c:v>102619.98235595651</c:v>
                </c:pt>
                <c:pt idx="22">
                  <c:v>88556.426713883353</c:v>
                </c:pt>
                <c:pt idx="23">
                  <c:v>84644.758816187692</c:v>
                </c:pt>
                <c:pt idx="24">
                  <c:v>85635.711083730901</c:v>
                </c:pt>
                <c:pt idx="25">
                  <c:v>75052.550926182608</c:v>
                </c:pt>
                <c:pt idx="26">
                  <c:v>76700.19210909566</c:v>
                </c:pt>
                <c:pt idx="27">
                  <c:v>74945.534066795866</c:v>
                </c:pt>
                <c:pt idx="28">
                  <c:v>70238.405761697737</c:v>
                </c:pt>
                <c:pt idx="29">
                  <c:v>79562.782950133915</c:v>
                </c:pt>
                <c:pt idx="30">
                  <c:v>76434.475695087429</c:v>
                </c:pt>
                <c:pt idx="31">
                  <c:v>77486.947937451725</c:v>
                </c:pt>
              </c:numCache>
            </c:numRef>
          </c:val>
          <c:smooth val="0"/>
          <c:extLst>
            <c:ext xmlns:c16="http://schemas.microsoft.com/office/drawing/2014/chart" uri="{C3380CC4-5D6E-409C-BE32-E72D297353CC}">
              <c16:uniqueId val="{00000011-8010-42EE-961C-DBC3B7EFEBEB}"/>
            </c:ext>
          </c:extLst>
        </c:ser>
        <c:dLbls>
          <c:showLegendKey val="0"/>
          <c:showVal val="0"/>
          <c:showCatName val="0"/>
          <c:showSerName val="0"/>
          <c:showPercent val="0"/>
          <c:showBubbleSize val="0"/>
        </c:dLbls>
        <c:marker val="1"/>
        <c:smooth val="0"/>
        <c:axId val="803135096"/>
        <c:axId val="803138704"/>
      </c:lineChart>
      <c:catAx>
        <c:axId val="8031350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3138704"/>
        <c:crosses val="autoZero"/>
        <c:auto val="1"/>
        <c:lblAlgn val="ctr"/>
        <c:lblOffset val="100"/>
        <c:tickLblSkip val="1"/>
        <c:noMultiLvlLbl val="0"/>
      </c:catAx>
      <c:valAx>
        <c:axId val="8031387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3135096"/>
        <c:crosses val="autoZero"/>
        <c:crossBetween val="midCat"/>
      </c:valAx>
      <c:spPr>
        <a:noFill/>
        <a:ln>
          <a:noFill/>
        </a:ln>
        <a:effectLst/>
      </c:spPr>
    </c:plotArea>
    <c:legend>
      <c:legendPos val="r"/>
      <c:layout>
        <c:manualLayout>
          <c:xMode val="edge"/>
          <c:yMode val="edge"/>
          <c:x val="0.7857966498957506"/>
          <c:y val="0.18249817731116941"/>
          <c:w val="0.19985786295541511"/>
          <c:h val="0.681716243802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sz="1800" b="1" i="0" u="none" strike="noStrike" baseline="0">
                <a:effectLst/>
              </a:rPr>
              <a:t>Massachusetts Biogenic CO</a:t>
            </a:r>
            <a:r>
              <a:rPr lang="en-US" sz="1800" b="1" i="0" u="none" strike="noStrike" baseline="-25000">
                <a:effectLst/>
              </a:rPr>
              <a:t>2 </a:t>
            </a:r>
            <a:r>
              <a:rPr lang="en-US" sz="1800" b="1" i="0" u="none" strike="noStrike" baseline="0">
                <a:effectLst/>
              </a:rPr>
              <a:t>Combustion Emissions </a:t>
            </a:r>
            <a:r>
              <a:rPr lang="en-US"/>
              <a:t>by Sector</a:t>
            </a:r>
          </a:p>
        </c:rich>
      </c:tx>
      <c:overlay val="0"/>
    </c:title>
    <c:autoTitleDeleted val="0"/>
    <c:plotArea>
      <c:layout>
        <c:manualLayout>
          <c:layoutTarget val="inner"/>
          <c:xMode val="edge"/>
          <c:yMode val="edge"/>
          <c:x val="7.4573912813231252E-2"/>
          <c:y val="5.9860093327987307E-2"/>
          <c:w val="0.69862158481708625"/>
          <c:h val="0.86553013420492253"/>
        </c:manualLayout>
      </c:layout>
      <c:lineChart>
        <c:grouping val="standard"/>
        <c:varyColors val="0"/>
        <c:ser>
          <c:idx val="4"/>
          <c:order val="0"/>
          <c:tx>
            <c:strRef>
              <c:f>'Biogenic Summary'!$B$10</c:f>
              <c:strCache>
                <c:ptCount val="1"/>
                <c:pt idx="0">
                  <c:v>    Electric (Wood, MSW, LFGTE and Imports)</c:v>
                </c:pt>
              </c:strCache>
            </c:strRef>
          </c:tx>
          <c:spPr>
            <a:ln>
              <a:solidFill>
                <a:srgbClr val="FF33CC"/>
              </a:solidFill>
            </a:ln>
          </c:spPr>
          <c:marker>
            <c:symbol val="square"/>
            <c:size val="5"/>
            <c:spPr>
              <a:solidFill>
                <a:srgbClr val="FFCCFF"/>
              </a:solidFill>
              <a:ln>
                <a:solidFill>
                  <a:srgbClr val="FF33CC"/>
                </a:solidFill>
              </a:ln>
            </c:spPr>
          </c:marke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Summary'!$C$10:$AI$10</c:f>
              <c:numCache>
                <c:formatCode>#,##0.0</c:formatCode>
                <c:ptCount val="33"/>
                <c:pt idx="0">
                  <c:v>1.6979350990977795</c:v>
                </c:pt>
                <c:pt idx="1">
                  <c:v>1.7756118886142176</c:v>
                </c:pt>
                <c:pt idx="2">
                  <c:v>1.8956548212774458</c:v>
                </c:pt>
                <c:pt idx="3">
                  <c:v>2.015173567592214</c:v>
                </c:pt>
                <c:pt idx="4">
                  <c:v>2.202988280951752</c:v>
                </c:pt>
                <c:pt idx="5">
                  <c:v>2.1100677747232033</c:v>
                </c:pt>
                <c:pt idx="6">
                  <c:v>2.1822636711554533</c:v>
                </c:pt>
                <c:pt idx="7">
                  <c:v>2.2504020987545577</c:v>
                </c:pt>
                <c:pt idx="8">
                  <c:v>2.2322768293221618</c:v>
                </c:pt>
                <c:pt idx="9">
                  <c:v>2.2266195833350957</c:v>
                </c:pt>
                <c:pt idx="10">
                  <c:v>2.1909535229264967</c:v>
                </c:pt>
                <c:pt idx="11">
                  <c:v>2.7530559282591271</c:v>
                </c:pt>
                <c:pt idx="12">
                  <c:v>2.8671260795404825</c:v>
                </c:pt>
                <c:pt idx="13">
                  <c:v>2.5141993964252496</c:v>
                </c:pt>
                <c:pt idx="14">
                  <c:v>2.4577965596087985</c:v>
                </c:pt>
                <c:pt idx="15">
                  <c:v>3.1310279271990007</c:v>
                </c:pt>
                <c:pt idx="16">
                  <c:v>2.7529710346598049</c:v>
                </c:pt>
                <c:pt idx="17">
                  <c:v>3.404525990573315</c:v>
                </c:pt>
                <c:pt idx="18">
                  <c:v>3.6128117654597283</c:v>
                </c:pt>
                <c:pt idx="19">
                  <c:v>3.4450591459853546</c:v>
                </c:pt>
                <c:pt idx="20">
                  <c:v>3.400274633960704</c:v>
                </c:pt>
                <c:pt idx="21">
                  <c:v>3.1201335249929389</c:v>
                </c:pt>
                <c:pt idx="22">
                  <c:v>3.0384462859705095</c:v>
                </c:pt>
                <c:pt idx="23">
                  <c:v>3.1175423377552769</c:v>
                </c:pt>
                <c:pt idx="24">
                  <c:v>3.0758568702225508</c:v>
                </c:pt>
                <c:pt idx="25">
                  <c:v>3.2851990095882404</c:v>
                </c:pt>
                <c:pt idx="26">
                  <c:v>2.9867985213313286</c:v>
                </c:pt>
                <c:pt idx="27">
                  <c:v>2.0467655065340868</c:v>
                </c:pt>
                <c:pt idx="28">
                  <c:v>2.2121943698514843</c:v>
                </c:pt>
                <c:pt idx="29">
                  <c:v>2.1001964119385566</c:v>
                </c:pt>
                <c:pt idx="30">
                  <c:v>2.1254829320007884</c:v>
                </c:pt>
                <c:pt idx="31">
                  <c:v>1.9548880755963749</c:v>
                </c:pt>
                <c:pt idx="32">
                  <c:v>1.9101736823085842</c:v>
                </c:pt>
              </c:numCache>
            </c:numRef>
          </c:val>
          <c:smooth val="0"/>
          <c:extLst>
            <c:ext xmlns:c16="http://schemas.microsoft.com/office/drawing/2014/chart" uri="{C3380CC4-5D6E-409C-BE32-E72D297353CC}">
              <c16:uniqueId val="{00000000-DED0-4E6A-8E9A-C39B08F79AA5}"/>
            </c:ext>
          </c:extLst>
        </c:ser>
        <c:ser>
          <c:idx val="3"/>
          <c:order val="1"/>
          <c:tx>
            <c:strRef>
              <c:f>'Biogenic Summary'!$B$9</c:f>
              <c:strCache>
                <c:ptCount val="1"/>
                <c:pt idx="0">
                  <c:v>     Transportation (Ethanol and Biodiesel)</c:v>
                </c:pt>
              </c:strCache>
            </c:strRef>
          </c:tx>
          <c:marker>
            <c:symbol val="square"/>
            <c:size val="5"/>
            <c:spPr>
              <a:solidFill>
                <a:schemeClr val="accent4">
                  <a:lumMod val="20000"/>
                  <a:lumOff val="80000"/>
                </a:schemeClr>
              </a:solidFill>
            </c:spPr>
          </c:marke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Summary'!$C$9:$AI$9</c:f>
              <c:numCache>
                <c:formatCode>#,##0.0_);\(#,##0.0\)</c:formatCode>
                <c:ptCount val="33"/>
                <c:pt idx="0">
                  <c:v>0</c:v>
                </c:pt>
                <c:pt idx="1">
                  <c:v>0</c:v>
                </c:pt>
                <c:pt idx="2">
                  <c:v>0</c:v>
                </c:pt>
                <c:pt idx="3">
                  <c:v>0</c:v>
                </c:pt>
                <c:pt idx="4">
                  <c:v>0</c:v>
                </c:pt>
                <c:pt idx="5">
                  <c:v>0</c:v>
                </c:pt>
                <c:pt idx="6">
                  <c:v>0</c:v>
                </c:pt>
                <c:pt idx="7">
                  <c:v>0</c:v>
                </c:pt>
                <c:pt idx="8">
                  <c:v>0</c:v>
                </c:pt>
                <c:pt idx="9">
                  <c:v>0</c:v>
                </c:pt>
                <c:pt idx="10">
                  <c:v>0</c:v>
                </c:pt>
                <c:pt idx="11">
                  <c:v>2.2148182421768706E-4</c:v>
                </c:pt>
                <c:pt idx="12">
                  <c:v>5.2959671590022675E-3</c:v>
                </c:pt>
                <c:pt idx="13">
                  <c:v>5.2221398842630384E-3</c:v>
                </c:pt>
                <c:pt idx="14">
                  <c:v>4.7395510658321989E-2</c:v>
                </c:pt>
                <c:pt idx="15">
                  <c:v>0.4137942762231292</c:v>
                </c:pt>
                <c:pt idx="16">
                  <c:v>1.1187378884019954</c:v>
                </c:pt>
                <c:pt idx="17">
                  <c:v>1.4386171523149205</c:v>
                </c:pt>
                <c:pt idx="18">
                  <c:v>1.1999270142135148</c:v>
                </c:pt>
                <c:pt idx="19">
                  <c:v>1.3291833749014059</c:v>
                </c:pt>
                <c:pt idx="20">
                  <c:v>1.6582573739609978</c:v>
                </c:pt>
                <c:pt idx="21">
                  <c:v>1.6111511734356463</c:v>
                </c:pt>
                <c:pt idx="22">
                  <c:v>1.5631634048620409</c:v>
                </c:pt>
                <c:pt idx="23">
                  <c:v>1.6521920194176869</c:v>
                </c:pt>
                <c:pt idx="24">
                  <c:v>1.6436632094886168</c:v>
                </c:pt>
                <c:pt idx="25">
                  <c:v>1.6717164140894332</c:v>
                </c:pt>
                <c:pt idx="26">
                  <c:v>1.7216663244578683</c:v>
                </c:pt>
                <c:pt idx="27">
                  <c:v>1.7135841575430386</c:v>
                </c:pt>
                <c:pt idx="28">
                  <c:v>1.6554308611537414</c:v>
                </c:pt>
                <c:pt idx="29">
                  <c:v>1.637346698236009</c:v>
                </c:pt>
                <c:pt idx="30">
                  <c:v>1.320269231390476</c:v>
                </c:pt>
                <c:pt idx="31">
                  <c:v>1.4771421919346939</c:v>
                </c:pt>
                <c:pt idx="32">
                  <c:v>1.4704780206066213</c:v>
                </c:pt>
              </c:numCache>
            </c:numRef>
          </c:val>
          <c:smooth val="0"/>
          <c:extLst>
            <c:ext xmlns:c16="http://schemas.microsoft.com/office/drawing/2014/chart" uri="{C3380CC4-5D6E-409C-BE32-E72D297353CC}">
              <c16:uniqueId val="{00000001-DED0-4E6A-8E9A-C39B08F79AA5}"/>
            </c:ext>
          </c:extLst>
        </c:ser>
        <c:ser>
          <c:idx val="0"/>
          <c:order val="2"/>
          <c:tx>
            <c:strRef>
              <c:f>'Biogenic Summary'!$B$6</c:f>
              <c:strCache>
                <c:ptCount val="1"/>
                <c:pt idx="0">
                  <c:v>     Residential (Wood and Biodiesel)</c:v>
                </c:pt>
              </c:strCache>
            </c:strRef>
          </c:tx>
          <c:spPr>
            <a:ln>
              <a:solidFill>
                <a:schemeClr val="accent5">
                  <a:lumMod val="75000"/>
                </a:schemeClr>
              </a:solidFill>
            </a:ln>
          </c:spPr>
          <c:marker>
            <c:symbol val="square"/>
            <c:size val="5"/>
            <c:spPr>
              <a:solidFill>
                <a:schemeClr val="accent5">
                  <a:lumMod val="40000"/>
                  <a:lumOff val="60000"/>
                </a:schemeClr>
              </a:solidFill>
              <a:ln>
                <a:solidFill>
                  <a:schemeClr val="accent5">
                    <a:lumMod val="75000"/>
                  </a:schemeClr>
                </a:solidFill>
              </a:ln>
            </c:spPr>
          </c:marke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Summary'!$C$6:$AI$6</c:f>
              <c:numCache>
                <c:formatCode>#,##0.0</c:formatCode>
                <c:ptCount val="33"/>
                <c:pt idx="0">
                  <c:v>1.6953303838603173</c:v>
                </c:pt>
                <c:pt idx="1">
                  <c:v>1.7772974555809522</c:v>
                </c:pt>
                <c:pt idx="2">
                  <c:v>1.8647039897269839</c:v>
                </c:pt>
                <c:pt idx="3">
                  <c:v>1.9294148358222223</c:v>
                </c:pt>
                <c:pt idx="4">
                  <c:v>1.8314107283301586</c:v>
                </c:pt>
                <c:pt idx="5">
                  <c:v>1.8314107283301586</c:v>
                </c:pt>
                <c:pt idx="6">
                  <c:v>1.9018423883555555</c:v>
                </c:pt>
                <c:pt idx="7">
                  <c:v>1.3625853375619048</c:v>
                </c:pt>
                <c:pt idx="8">
                  <c:v>1.2108430926603175</c:v>
                </c:pt>
                <c:pt idx="9">
                  <c:v>1.2427295965333334</c:v>
                </c:pt>
                <c:pt idx="10">
                  <c:v>1.3382953243174602</c:v>
                </c:pt>
                <c:pt idx="11">
                  <c:v>1.0783604480718365</c:v>
                </c:pt>
                <c:pt idx="12">
                  <c:v>1.0948264898975058</c:v>
                </c:pt>
                <c:pt idx="13">
                  <c:v>1.1523359372640363</c:v>
                </c:pt>
                <c:pt idx="14">
                  <c:v>1.181422883683628</c:v>
                </c:pt>
                <c:pt idx="15">
                  <c:v>0.33755189776399092</c:v>
                </c:pt>
                <c:pt idx="16">
                  <c:v>0.30326080835809521</c:v>
                </c:pt>
                <c:pt idx="17">
                  <c:v>0.33661485927691609</c:v>
                </c:pt>
                <c:pt idx="18">
                  <c:v>0.37461530931773246</c:v>
                </c:pt>
                <c:pt idx="19">
                  <c:v>0.9639838426303855</c:v>
                </c:pt>
                <c:pt idx="20">
                  <c:v>1.0320180758889794</c:v>
                </c:pt>
                <c:pt idx="21">
                  <c:v>1.0148212400268481</c:v>
                </c:pt>
                <c:pt idx="22">
                  <c:v>0.8462220206828116</c:v>
                </c:pt>
                <c:pt idx="23">
                  <c:v>1.1649860368257594</c:v>
                </c:pt>
                <c:pt idx="24">
                  <c:v>1.1685351850757371</c:v>
                </c:pt>
                <c:pt idx="25">
                  <c:v>1.0697184976442629</c:v>
                </c:pt>
                <c:pt idx="26">
                  <c:v>0.91193573391854876</c:v>
                </c:pt>
                <c:pt idx="27">
                  <c:v>0.91405848802938772</c:v>
                </c:pt>
                <c:pt idx="28">
                  <c:v>0.85253937179065764</c:v>
                </c:pt>
                <c:pt idx="29">
                  <c:v>1.0113718345846712</c:v>
                </c:pt>
                <c:pt idx="30">
                  <c:v>0.62626841305360537</c:v>
                </c:pt>
                <c:pt idx="31">
                  <c:v>0.67169902239274371</c:v>
                </c:pt>
                <c:pt idx="32">
                  <c:v>0.76888931015909301</c:v>
                </c:pt>
              </c:numCache>
            </c:numRef>
          </c:val>
          <c:smooth val="0"/>
          <c:extLst>
            <c:ext xmlns:c16="http://schemas.microsoft.com/office/drawing/2014/chart" uri="{C3380CC4-5D6E-409C-BE32-E72D297353CC}">
              <c16:uniqueId val="{00000002-DED0-4E6A-8E9A-C39B08F79AA5}"/>
            </c:ext>
          </c:extLst>
        </c:ser>
        <c:ser>
          <c:idx val="2"/>
          <c:order val="3"/>
          <c:tx>
            <c:strRef>
              <c:f>'Biogenic Summary'!$B$8</c:f>
              <c:strCache>
                <c:ptCount val="1"/>
                <c:pt idx="0">
                  <c:v>     Industrial (Wood, MSW and Ethanol)</c:v>
                </c:pt>
              </c:strCache>
            </c:strRef>
          </c:tx>
          <c:spPr>
            <a:ln>
              <a:solidFill>
                <a:schemeClr val="accent2">
                  <a:lumMod val="75000"/>
                </a:schemeClr>
              </a:solidFill>
            </a:ln>
          </c:spPr>
          <c:marker>
            <c:symbol val="square"/>
            <c:size val="5"/>
            <c:spPr>
              <a:solidFill>
                <a:schemeClr val="accent2">
                  <a:lumMod val="20000"/>
                  <a:lumOff val="80000"/>
                </a:schemeClr>
              </a:solidFill>
              <a:ln>
                <a:solidFill>
                  <a:schemeClr val="accent2">
                    <a:lumMod val="75000"/>
                  </a:schemeClr>
                </a:solidFill>
              </a:ln>
            </c:spPr>
          </c:marker>
          <c:dPt>
            <c:idx val="24"/>
            <c:bubble3D val="0"/>
            <c:spPr>
              <a:ln>
                <a:solidFill>
                  <a:srgbClr val="C00000"/>
                </a:solidFill>
              </a:ln>
            </c:spPr>
            <c:extLst>
              <c:ext xmlns:c16="http://schemas.microsoft.com/office/drawing/2014/chart" uri="{C3380CC4-5D6E-409C-BE32-E72D297353CC}">
                <c16:uniqueId val="{00000004-DED0-4E6A-8E9A-C39B08F79AA5}"/>
              </c:ext>
            </c:extLst>
          </c:dPt>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Summary'!$C$8:$AI$8</c:f>
              <c:numCache>
                <c:formatCode>#,##0.0</c:formatCode>
                <c:ptCount val="33"/>
                <c:pt idx="0">
                  <c:v>0.7113118792281703</c:v>
                </c:pt>
                <c:pt idx="1">
                  <c:v>0.72067566607458899</c:v>
                </c:pt>
                <c:pt idx="2">
                  <c:v>0.72642167970519367</c:v>
                </c:pt>
                <c:pt idx="3">
                  <c:v>0.69539289791064951</c:v>
                </c:pt>
                <c:pt idx="4">
                  <c:v>0.75216093368281622</c:v>
                </c:pt>
                <c:pt idx="5">
                  <c:v>0.84251819656638738</c:v>
                </c:pt>
                <c:pt idx="6">
                  <c:v>0.84819414865637088</c:v>
                </c:pt>
                <c:pt idx="7">
                  <c:v>0.89847356932866218</c:v>
                </c:pt>
                <c:pt idx="8">
                  <c:v>0.66067680364084702</c:v>
                </c:pt>
                <c:pt idx="9">
                  <c:v>0.64340181784905204</c:v>
                </c:pt>
                <c:pt idx="10">
                  <c:v>0.61394211447982583</c:v>
                </c:pt>
                <c:pt idx="11">
                  <c:v>0.4701093094652154</c:v>
                </c:pt>
                <c:pt idx="12">
                  <c:v>0.3066445451192743</c:v>
                </c:pt>
                <c:pt idx="13">
                  <c:v>0.31170899218430836</c:v>
                </c:pt>
                <c:pt idx="14">
                  <c:v>0.32974522336380951</c:v>
                </c:pt>
                <c:pt idx="15">
                  <c:v>0.3392203901737868</c:v>
                </c:pt>
                <c:pt idx="16">
                  <c:v>0.39427225170285135</c:v>
                </c:pt>
                <c:pt idx="17">
                  <c:v>0.41561929193373859</c:v>
                </c:pt>
                <c:pt idx="18">
                  <c:v>0.40104450900065269</c:v>
                </c:pt>
                <c:pt idx="19">
                  <c:v>0.36982602658391434</c:v>
                </c:pt>
                <c:pt idx="20">
                  <c:v>0.54384678392272112</c:v>
                </c:pt>
                <c:pt idx="21">
                  <c:v>0.72023291921632637</c:v>
                </c:pt>
                <c:pt idx="22">
                  <c:v>0.71479663972535135</c:v>
                </c:pt>
                <c:pt idx="23">
                  <c:v>0.71625647562702932</c:v>
                </c:pt>
                <c:pt idx="24">
                  <c:v>0.68931105723356001</c:v>
                </c:pt>
                <c:pt idx="25">
                  <c:v>0.69110237261750562</c:v>
                </c:pt>
                <c:pt idx="26">
                  <c:v>0.68918600082285708</c:v>
                </c:pt>
                <c:pt idx="27">
                  <c:v>0.3202513424105215</c:v>
                </c:pt>
                <c:pt idx="28">
                  <c:v>0.30486682401922899</c:v>
                </c:pt>
                <c:pt idx="29">
                  <c:v>0.32157134966204082</c:v>
                </c:pt>
                <c:pt idx="30">
                  <c:v>0.31591246248344668</c:v>
                </c:pt>
                <c:pt idx="31">
                  <c:v>0.30174266248344667</c:v>
                </c:pt>
                <c:pt idx="32">
                  <c:v>0.28944910094766441</c:v>
                </c:pt>
              </c:numCache>
            </c:numRef>
          </c:val>
          <c:smooth val="0"/>
          <c:extLst>
            <c:ext xmlns:c16="http://schemas.microsoft.com/office/drawing/2014/chart" uri="{C3380CC4-5D6E-409C-BE32-E72D297353CC}">
              <c16:uniqueId val="{00000005-DED0-4E6A-8E9A-C39B08F79AA5}"/>
            </c:ext>
          </c:extLst>
        </c:ser>
        <c:ser>
          <c:idx val="1"/>
          <c:order val="4"/>
          <c:tx>
            <c:strRef>
              <c:f>'Biogenic Summary'!$B$7</c:f>
              <c:strCache>
                <c:ptCount val="1"/>
                <c:pt idx="0">
                  <c:v>     Commercial (Wood, Ethanol and Biogas)</c:v>
                </c:pt>
              </c:strCache>
            </c:strRef>
          </c:tx>
          <c:spPr>
            <a:ln>
              <a:solidFill>
                <a:schemeClr val="accent1">
                  <a:lumMod val="50000"/>
                </a:schemeClr>
              </a:solidFill>
            </a:ln>
          </c:spPr>
          <c:marker>
            <c:symbol val="square"/>
            <c:size val="5"/>
            <c:spPr>
              <a:solidFill>
                <a:schemeClr val="accent1">
                  <a:lumMod val="20000"/>
                  <a:lumOff val="80000"/>
                </a:schemeClr>
              </a:solidFill>
              <a:ln>
                <a:solidFill>
                  <a:schemeClr val="accent1">
                    <a:lumMod val="50000"/>
                  </a:schemeClr>
                </a:solidFill>
              </a:ln>
            </c:spPr>
          </c:marker>
          <c:dPt>
            <c:idx val="24"/>
            <c:marker>
              <c:spPr>
                <a:solidFill>
                  <a:schemeClr val="tx2">
                    <a:lumMod val="20000"/>
                    <a:lumOff val="80000"/>
                  </a:schemeClr>
                </a:solidFill>
                <a:ln>
                  <a:solidFill>
                    <a:schemeClr val="accent1">
                      <a:lumMod val="50000"/>
                    </a:schemeClr>
                  </a:solidFill>
                </a:ln>
              </c:spPr>
            </c:marker>
            <c:bubble3D val="0"/>
            <c:extLst>
              <c:ext xmlns:c16="http://schemas.microsoft.com/office/drawing/2014/chart" uri="{C3380CC4-5D6E-409C-BE32-E72D297353CC}">
                <c16:uniqueId val="{00000006-DED0-4E6A-8E9A-C39B08F79AA5}"/>
              </c:ext>
            </c:extLst>
          </c:dPt>
          <c:trendline>
            <c:trendlineType val="linear"/>
            <c:dispRSqr val="0"/>
            <c:dispEq val="0"/>
          </c:trendline>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Summary'!$C$7:$AI$7</c:f>
              <c:numCache>
                <c:formatCode>#,##0.0</c:formatCode>
                <c:ptCount val="33"/>
                <c:pt idx="0">
                  <c:v>0.18531685780317458</c:v>
                </c:pt>
                <c:pt idx="1">
                  <c:v>0.19347605144126984</c:v>
                </c:pt>
                <c:pt idx="2">
                  <c:v>0.20397984095238092</c:v>
                </c:pt>
                <c:pt idx="3">
                  <c:v>0.25968743889523804</c:v>
                </c:pt>
                <c:pt idx="4">
                  <c:v>0.24871473020952381</c:v>
                </c:pt>
                <c:pt idx="5">
                  <c:v>0.25105932608253967</c:v>
                </c:pt>
                <c:pt idx="6">
                  <c:v>0.26071906107936504</c:v>
                </c:pt>
                <c:pt idx="7">
                  <c:v>0.22761336735238094</c:v>
                </c:pt>
                <c:pt idx="8">
                  <c:v>0.19882173003174602</c:v>
                </c:pt>
                <c:pt idx="9">
                  <c:v>0.20913795187301587</c:v>
                </c:pt>
                <c:pt idx="10">
                  <c:v>0.26182484048136051</c:v>
                </c:pt>
                <c:pt idx="11">
                  <c:v>0.22387673141877548</c:v>
                </c:pt>
                <c:pt idx="12">
                  <c:v>0.23945701591827662</c:v>
                </c:pt>
                <c:pt idx="13">
                  <c:v>0.24159780692018137</c:v>
                </c:pt>
                <c:pt idx="14">
                  <c:v>0.28813235597841269</c:v>
                </c:pt>
                <c:pt idx="15">
                  <c:v>0.10225727239435424</c:v>
                </c:pt>
                <c:pt idx="16">
                  <c:v>0.10253096979114308</c:v>
                </c:pt>
                <c:pt idx="17">
                  <c:v>0.10389064074891245</c:v>
                </c:pt>
                <c:pt idx="18">
                  <c:v>0.1071128271854907</c:v>
                </c:pt>
                <c:pt idx="19">
                  <c:v>0.18839204446473759</c:v>
                </c:pt>
                <c:pt idx="20">
                  <c:v>0.18313075718010469</c:v>
                </c:pt>
                <c:pt idx="21">
                  <c:v>0.18417583599584866</c:v>
                </c:pt>
                <c:pt idx="22">
                  <c:v>0.1640137442610094</c:v>
                </c:pt>
                <c:pt idx="23">
                  <c:v>0.1844783576265496</c:v>
                </c:pt>
                <c:pt idx="24">
                  <c:v>0.19032762022809607</c:v>
                </c:pt>
                <c:pt idx="25">
                  <c:v>0.23112570770970567</c:v>
                </c:pt>
                <c:pt idx="26">
                  <c:v>0.22715258532088306</c:v>
                </c:pt>
                <c:pt idx="27">
                  <c:v>0.23223909572959406</c:v>
                </c:pt>
                <c:pt idx="28">
                  <c:v>0.20625459767011556</c:v>
                </c:pt>
                <c:pt idx="29">
                  <c:v>0.2280774679930215</c:v>
                </c:pt>
                <c:pt idx="30">
                  <c:v>0.21445253140307996</c:v>
                </c:pt>
                <c:pt idx="31">
                  <c:v>0.2279092017652693</c:v>
                </c:pt>
                <c:pt idx="32">
                  <c:v>0.22339646599607071</c:v>
                </c:pt>
              </c:numCache>
            </c:numRef>
          </c:val>
          <c:smooth val="0"/>
          <c:extLst>
            <c:ext xmlns:c16="http://schemas.microsoft.com/office/drawing/2014/chart" uri="{C3380CC4-5D6E-409C-BE32-E72D297353CC}">
              <c16:uniqueId val="{00000008-DED0-4E6A-8E9A-C39B08F79AA5}"/>
            </c:ext>
          </c:extLst>
        </c:ser>
        <c:ser>
          <c:idx val="5"/>
          <c:order val="5"/>
          <c:tx>
            <c:strRef>
              <c:f>'Biogenic Summary'!$B$15</c:f>
              <c:strCache>
                <c:ptCount val="1"/>
                <c:pt idx="0">
                  <c:v>    Waste (LFG and Digester Gas)</c:v>
                </c:pt>
              </c:strCache>
            </c:strRef>
          </c:tx>
          <c:spPr>
            <a:ln>
              <a:solidFill>
                <a:schemeClr val="bg2">
                  <a:lumMod val="25000"/>
                </a:schemeClr>
              </a:solidFill>
            </a:ln>
          </c:spPr>
          <c:marker>
            <c:symbol val="circle"/>
            <c:size val="5"/>
            <c:spPr>
              <a:solidFill>
                <a:schemeClr val="bg2">
                  <a:lumMod val="75000"/>
                </a:schemeClr>
              </a:solidFill>
              <a:ln>
                <a:solidFill>
                  <a:srgbClr val="EEECE1">
                    <a:lumMod val="25000"/>
                  </a:srgbClr>
                </a:solidFill>
              </a:ln>
            </c:spPr>
          </c:marke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Summary'!$C$15:$AI$15</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4.0222470264825727E-3</c:v>
                </c:pt>
                <c:pt idx="16" formatCode="#,##0.0">
                  <c:v>2.1036720346162231E-3</c:v>
                </c:pt>
                <c:pt idx="17" formatCode="#,##0.0">
                  <c:v>1.2046269729633005E-3</c:v>
                </c:pt>
                <c:pt idx="18" formatCode="#,##0.0">
                  <c:v>8.9988145594436879E-4</c:v>
                </c:pt>
                <c:pt idx="19" formatCode="#,##0.0">
                  <c:v>8.3089436442852175E-4</c:v>
                </c:pt>
                <c:pt idx="20" formatCode="#,##0.0">
                  <c:v>0.12703821095533696</c:v>
                </c:pt>
                <c:pt idx="21" formatCode="#,##0.0">
                  <c:v>0.11573072101309732</c:v>
                </c:pt>
                <c:pt idx="22" formatCode="#,##0.0">
                  <c:v>0.1058917904808058</c:v>
                </c:pt>
                <c:pt idx="23" formatCode="#,##0.0">
                  <c:v>0.11311618756795899</c:v>
                </c:pt>
                <c:pt idx="24" formatCode="#,##0.0">
                  <c:v>9.0843311885069125E-2</c:v>
                </c:pt>
                <c:pt idx="25" formatCode="#,##0.0">
                  <c:v>2.5207445831165527E-2</c:v>
                </c:pt>
                <c:pt idx="26" formatCode="#,##0.0">
                  <c:v>3.2276414799801277E-2</c:v>
                </c:pt>
                <c:pt idx="27" formatCode="#,##0.0">
                  <c:v>3.0460217759851187E-2</c:v>
                </c:pt>
                <c:pt idx="28" formatCode="#,##0.0">
                  <c:v>2.917558000451231E-2</c:v>
                </c:pt>
                <c:pt idx="29" formatCode="#,##0.0">
                  <c:v>2.7752122226150248E-2</c:v>
                </c:pt>
                <c:pt idx="30" formatCode="#,##0.0">
                  <c:v>2.898988559742156E-2</c:v>
                </c:pt>
                <c:pt idx="31" formatCode="#,##0.0">
                  <c:v>2.918176366956593E-2</c:v>
                </c:pt>
                <c:pt idx="32" formatCode="#,##0.0">
                  <c:v>2.7232342839569944E-2</c:v>
                </c:pt>
              </c:numCache>
            </c:numRef>
          </c:val>
          <c:smooth val="0"/>
          <c:extLst>
            <c:ext xmlns:c16="http://schemas.microsoft.com/office/drawing/2014/chart" uri="{C3380CC4-5D6E-409C-BE32-E72D297353CC}">
              <c16:uniqueId val="{00000009-DED0-4E6A-8E9A-C39B08F79AA5}"/>
            </c:ext>
          </c:extLst>
        </c:ser>
        <c:dLbls>
          <c:showLegendKey val="0"/>
          <c:showVal val="0"/>
          <c:showCatName val="0"/>
          <c:showSerName val="0"/>
          <c:showPercent val="0"/>
          <c:showBubbleSize val="0"/>
        </c:dLbls>
        <c:marker val="1"/>
        <c:smooth val="0"/>
        <c:axId val="79599488"/>
        <c:axId val="79601024"/>
      </c:lineChart>
      <c:catAx>
        <c:axId val="79599488"/>
        <c:scaling>
          <c:orientation val="minMax"/>
        </c:scaling>
        <c:delete val="0"/>
        <c:axPos val="b"/>
        <c:numFmt formatCode="General" sourceLinked="1"/>
        <c:majorTickMark val="out"/>
        <c:minorTickMark val="none"/>
        <c:tickLblPos val="nextTo"/>
        <c:txPr>
          <a:bodyPr rot="-2700000" vert="horz"/>
          <a:lstStyle/>
          <a:p>
            <a:pPr>
              <a:defRPr sz="1000" b="1" i="0" u="none" strike="noStrike" baseline="0">
                <a:solidFill>
                  <a:srgbClr val="000000"/>
                </a:solidFill>
                <a:latin typeface="Calibri"/>
                <a:ea typeface="Calibri"/>
                <a:cs typeface="Calibri"/>
              </a:defRPr>
            </a:pPr>
            <a:endParaRPr lang="en-US"/>
          </a:p>
        </c:txPr>
        <c:crossAx val="79601024"/>
        <c:crossesAt val="0"/>
        <c:auto val="1"/>
        <c:lblAlgn val="ctr"/>
        <c:lblOffset val="100"/>
        <c:noMultiLvlLbl val="0"/>
      </c:catAx>
      <c:valAx>
        <c:axId val="79601024"/>
        <c:scaling>
          <c:orientation val="minMax"/>
        </c:scaling>
        <c:delete val="0"/>
        <c:axPos val="l"/>
        <c:majorGridlines/>
        <c:title>
          <c:tx>
            <c:rich>
              <a:bodyPr/>
              <a:lstStyle/>
              <a:p>
                <a:pPr>
                  <a:defRPr b="1"/>
                </a:pPr>
                <a:r>
                  <a:rPr lang="en-US" b="1"/>
                  <a:t>Million Metric Tons of CO</a:t>
                </a:r>
                <a:r>
                  <a:rPr lang="en-US" b="1" baseline="-25000"/>
                  <a:t>2</a:t>
                </a:r>
                <a:endParaRPr lang="en-US" b="1"/>
              </a:p>
            </c:rich>
          </c:tx>
          <c:overlay val="0"/>
        </c:title>
        <c:numFmt formatCode="#,##0.0"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79599488"/>
        <c:crosses val="autoZero"/>
        <c:crossBetween val="midCat"/>
      </c:valAx>
    </c:plotArea>
    <c:legend>
      <c:legendPos val="r"/>
      <c:legendEntry>
        <c:idx val="6"/>
        <c:delete val="1"/>
      </c:legendEntry>
      <c:layout>
        <c:manualLayout>
          <c:xMode val="edge"/>
          <c:yMode val="edge"/>
          <c:x val="0.78453616864770892"/>
          <c:y val="9.6956866240776499E-2"/>
          <c:w val="0.21546383135229108"/>
          <c:h val="0.86953600464080671"/>
        </c:manualLayout>
      </c:layout>
      <c:overlay val="0"/>
      <c:txPr>
        <a:bodyPr/>
        <a:lstStyle/>
        <a:p>
          <a:pPr>
            <a:defRPr sz="12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Overall Biogenic</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 GHGs</a:t>
            </a:r>
          </a:p>
        </c:rich>
      </c:tx>
      <c:layout>
        <c:manualLayout>
          <c:xMode val="edge"/>
          <c:yMode val="edge"/>
          <c:x val="0.70429231557322947"/>
          <c:y val="2.7777777777777776E-2"/>
        </c:manualLayout>
      </c:layout>
      <c:overlay val="1"/>
    </c:title>
    <c:autoTitleDeleted val="0"/>
    <c:plotArea>
      <c:layout>
        <c:manualLayout>
          <c:layoutTarget val="inner"/>
          <c:xMode val="edge"/>
          <c:yMode val="edge"/>
          <c:x val="0.12582391989733677"/>
          <c:y val="5.1400554097404488E-2"/>
          <c:w val="0.52913237957931314"/>
          <c:h val="0.89719889180519097"/>
        </c:manualLayout>
      </c:layout>
      <c:lineChart>
        <c:grouping val="standard"/>
        <c:varyColors val="0"/>
        <c:ser>
          <c:idx val="0"/>
          <c:order val="0"/>
          <c:tx>
            <c:strRef>
              <c:f>'Biogenic Summary'!$B$20</c:f>
              <c:strCache>
                <c:ptCount val="1"/>
                <c:pt idx="0">
                  <c:v>TOTAL Combustion and Oxidation</c:v>
                </c:pt>
              </c:strCache>
            </c:strRef>
          </c:tx>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Summary'!$C$20:$AI$20</c:f>
              <c:numCache>
                <c:formatCode>#,##0.0</c:formatCode>
                <c:ptCount val="33"/>
                <c:pt idx="0">
                  <c:v>4.541025720218685</c:v>
                </c:pt>
                <c:pt idx="1">
                  <c:v>4.725615446897625</c:v>
                </c:pt>
                <c:pt idx="2">
                  <c:v>4.9381180216256499</c:v>
                </c:pt>
                <c:pt idx="3">
                  <c:v>5.1339530576852335</c:v>
                </c:pt>
                <c:pt idx="4">
                  <c:v>5.2677717665463453</c:v>
                </c:pt>
                <c:pt idx="5">
                  <c:v>5.2687951884405049</c:v>
                </c:pt>
                <c:pt idx="6">
                  <c:v>5.3842378619555893</c:v>
                </c:pt>
                <c:pt idx="7">
                  <c:v>4.8784025102966231</c:v>
                </c:pt>
                <c:pt idx="8">
                  <c:v>4.4326890341258212</c:v>
                </c:pt>
                <c:pt idx="9">
                  <c:v>4.4527658311945197</c:v>
                </c:pt>
                <c:pt idx="10">
                  <c:v>4.4944183661988033</c:v>
                </c:pt>
                <c:pt idx="11">
                  <c:v>4.5767070400942158</c:v>
                </c:pt>
                <c:pt idx="12">
                  <c:v>4.6065612262535129</c:v>
                </c:pt>
                <c:pt idx="13">
                  <c:v>4.3721240564566948</c:v>
                </c:pt>
                <c:pt idx="14">
                  <c:v>4.4248416776327977</c:v>
                </c:pt>
                <c:pt idx="15">
                  <c:v>4.448465166134203</c:v>
                </c:pt>
                <c:pt idx="16">
                  <c:v>4.7811498501610981</c:v>
                </c:pt>
                <c:pt idx="17">
                  <c:v>5.7975286251876224</c:v>
                </c:pt>
                <c:pt idx="18">
                  <c:v>5.794675577645962</c:v>
                </c:pt>
                <c:pt idx="19">
                  <c:v>6.3989650732769876</c:v>
                </c:pt>
                <c:pt idx="20">
                  <c:v>7.0438134358688433</c:v>
                </c:pt>
                <c:pt idx="21">
                  <c:v>6.8143434146807058</c:v>
                </c:pt>
                <c:pt idx="22">
                  <c:v>6.4811048859825284</c:v>
                </c:pt>
                <c:pt idx="23">
                  <c:v>7.0128267866202609</c:v>
                </c:pt>
                <c:pt idx="24">
                  <c:v>6.9273148541336305</c:v>
                </c:pt>
                <c:pt idx="25">
                  <c:v>7.0141333434803146</c:v>
                </c:pt>
                <c:pt idx="26">
                  <c:v>6.6052678254512873</c:v>
                </c:pt>
                <c:pt idx="27">
                  <c:v>5.2917930060064791</c:v>
                </c:pt>
                <c:pt idx="28">
                  <c:v>5.2942508924897398</c:v>
                </c:pt>
                <c:pt idx="29">
                  <c:v>5.3600745366404494</c:v>
                </c:pt>
                <c:pt idx="30">
                  <c:v>4.6615948729288172</c:v>
                </c:pt>
                <c:pt idx="31">
                  <c:v>4.6822230158420952</c:v>
                </c:pt>
                <c:pt idx="32">
                  <c:v>4.7078434578576029</c:v>
                </c:pt>
              </c:numCache>
            </c:numRef>
          </c:val>
          <c:smooth val="0"/>
          <c:extLst>
            <c:ext xmlns:c16="http://schemas.microsoft.com/office/drawing/2014/chart" uri="{C3380CC4-5D6E-409C-BE32-E72D297353CC}">
              <c16:uniqueId val="{00000000-60BE-4D5C-BF1C-ADC694212AE2}"/>
            </c:ext>
          </c:extLst>
        </c:ser>
        <c:ser>
          <c:idx val="1"/>
          <c:order val="1"/>
          <c:tx>
            <c:strRef>
              <c:f>NWL!$B$34</c:f>
              <c:strCache>
                <c:ptCount val="1"/>
                <c:pt idx="0">
                  <c:v>Total Net NWL Emissions</c:v>
                </c:pt>
              </c:strCache>
            </c:strRef>
          </c:tx>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NWL!$C$34:$AH$34</c:f>
              <c:numCache>
                <c:formatCode>0.00</c:formatCode>
                <c:ptCount val="32"/>
                <c:pt idx="0">
                  <c:v>-5.6841465737107963</c:v>
                </c:pt>
                <c:pt idx="1">
                  <c:v>-5.6946301297974209</c:v>
                </c:pt>
                <c:pt idx="2">
                  <c:v>-5.7570385189392397</c:v>
                </c:pt>
                <c:pt idx="3">
                  <c:v>-5.8786264685362468</c:v>
                </c:pt>
                <c:pt idx="4">
                  <c:v>-5.9389507577366238</c:v>
                </c:pt>
                <c:pt idx="5">
                  <c:v>-5.9823236838541201</c:v>
                </c:pt>
                <c:pt idx="6">
                  <c:v>-6.0556247860892718</c:v>
                </c:pt>
                <c:pt idx="7">
                  <c:v>-6.1465226500729173</c:v>
                </c:pt>
                <c:pt idx="8">
                  <c:v>-6.1807549695038979</c:v>
                </c:pt>
                <c:pt idx="9">
                  <c:v>-6.2350487238073464</c:v>
                </c:pt>
                <c:pt idx="10">
                  <c:v>-6.1655606149976618</c:v>
                </c:pt>
                <c:pt idx="11">
                  <c:v>-6.2330901300534656</c:v>
                </c:pt>
                <c:pt idx="12">
                  <c:v>-6.2619931120181862</c:v>
                </c:pt>
                <c:pt idx="13">
                  <c:v>-6.3266476665036819</c:v>
                </c:pt>
                <c:pt idx="14">
                  <c:v>-6.3411180356260743</c:v>
                </c:pt>
                <c:pt idx="15">
                  <c:v>-6.4656927945032354</c:v>
                </c:pt>
                <c:pt idx="16">
                  <c:v>-6.5392466368140774</c:v>
                </c:pt>
                <c:pt idx="17">
                  <c:v>-6.5776235325797039</c:v>
                </c:pt>
                <c:pt idx="18">
                  <c:v>-6.541911757378041</c:v>
                </c:pt>
                <c:pt idx="19">
                  <c:v>-6.5936649821418012</c:v>
                </c:pt>
                <c:pt idx="20">
                  <c:v>-6.6840868021715494</c:v>
                </c:pt>
                <c:pt idx="21">
                  <c:v>-6.7417155380008733</c:v>
                </c:pt>
                <c:pt idx="22">
                  <c:v>-6.7922961443777314</c:v>
                </c:pt>
                <c:pt idx="23">
                  <c:v>-6.8037031796363774</c:v>
                </c:pt>
                <c:pt idx="24">
                  <c:v>-6.8476525660875609</c:v>
                </c:pt>
                <c:pt idx="25">
                  <c:v>-6.949045497939677</c:v>
                </c:pt>
                <c:pt idx="26">
                  <c:v>-6.9028307955541877</c:v>
                </c:pt>
                <c:pt idx="27">
                  <c:v>-6.8658898257945271</c:v>
                </c:pt>
                <c:pt idx="28">
                  <c:v>-6.9004621283778729</c:v>
                </c:pt>
                <c:pt idx="29">
                  <c:v>-6.8866346512074035</c:v>
                </c:pt>
                <c:pt idx="30">
                  <c:v>-7.0962972486820135</c:v>
                </c:pt>
                <c:pt idx="31">
                  <c:v>-7.1153382046472409</c:v>
                </c:pt>
              </c:numCache>
            </c:numRef>
          </c:val>
          <c:smooth val="0"/>
          <c:extLst>
            <c:ext xmlns:c16="http://schemas.microsoft.com/office/drawing/2014/chart" uri="{C3380CC4-5D6E-409C-BE32-E72D297353CC}">
              <c16:uniqueId val="{00000002-5CCE-4E25-A244-B68603B569DA}"/>
            </c:ext>
          </c:extLst>
        </c:ser>
        <c:dLbls>
          <c:showLegendKey val="0"/>
          <c:showVal val="0"/>
          <c:showCatName val="0"/>
          <c:showSerName val="0"/>
          <c:showPercent val="0"/>
          <c:showBubbleSize val="0"/>
        </c:dLbls>
        <c:marker val="1"/>
        <c:smooth val="0"/>
        <c:axId val="94585216"/>
        <c:axId val="94586752"/>
      </c:lineChart>
      <c:catAx>
        <c:axId val="94585216"/>
        <c:scaling>
          <c:orientation val="minMax"/>
        </c:scaling>
        <c:delete val="0"/>
        <c:axPos val="b"/>
        <c:numFmt formatCode="General" sourceLinked="1"/>
        <c:majorTickMark val="out"/>
        <c:minorTickMark val="none"/>
        <c:tickLblPos val="nextTo"/>
        <c:txPr>
          <a:bodyPr rot="-5400000" vert="horz"/>
          <a:lstStyle/>
          <a:p>
            <a:pPr>
              <a:defRPr sz="1000" b="1" i="0" u="none" strike="noStrike" baseline="0">
                <a:solidFill>
                  <a:srgbClr val="000000"/>
                </a:solidFill>
                <a:latin typeface="Calibri"/>
                <a:ea typeface="Calibri"/>
                <a:cs typeface="Calibri"/>
              </a:defRPr>
            </a:pPr>
            <a:endParaRPr lang="en-US"/>
          </a:p>
        </c:txPr>
        <c:crossAx val="94586752"/>
        <c:crosses val="autoZero"/>
        <c:auto val="1"/>
        <c:lblAlgn val="ctr"/>
        <c:lblOffset val="100"/>
        <c:noMultiLvlLbl val="0"/>
      </c:catAx>
      <c:valAx>
        <c:axId val="94586752"/>
        <c:scaling>
          <c:orientation val="minMax"/>
        </c:scaling>
        <c:delete val="0"/>
        <c:axPos val="l"/>
        <c:majorGridlines/>
        <c:title>
          <c:tx>
            <c:rich>
              <a:bodyPr/>
              <a:lstStyle/>
              <a:p>
                <a:pPr>
                  <a:defRPr b="1"/>
                </a:pPr>
                <a:r>
                  <a:rPr lang="en-US" b="1"/>
                  <a:t>Million Metric Tons of CO</a:t>
                </a:r>
                <a:r>
                  <a:rPr lang="en-US" b="1" baseline="-25000"/>
                  <a:t>2</a:t>
                </a:r>
                <a:endParaRPr lang="en-US" b="1"/>
              </a:p>
            </c:rich>
          </c:tx>
          <c:overlay val="0"/>
        </c:title>
        <c:numFmt formatCode="#,##0.0"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94585216"/>
        <c:crosses val="autoZero"/>
        <c:crossBetween val="midCat"/>
      </c:valAx>
    </c:plotArea>
    <c:legend>
      <c:legendPos val="r"/>
      <c:layout>
        <c:manualLayout>
          <c:xMode val="edge"/>
          <c:yMode val="edge"/>
          <c:x val="0.6898322216765157"/>
          <c:y val="0.23958916593759114"/>
          <c:w val="0.3090254925831683"/>
          <c:h val="0.67713514227987692"/>
        </c:manualLayout>
      </c:layout>
      <c:overlay val="0"/>
      <c:txPr>
        <a:bodyPr/>
        <a:lstStyle/>
        <a:p>
          <a:pPr>
            <a:defRPr sz="11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effectLst/>
              </a:rPr>
              <a:t>Biogenic CO</a:t>
            </a:r>
            <a:r>
              <a:rPr lang="en-US" sz="1400" b="1" i="0" u="none" strike="noStrike" baseline="-25000">
                <a:effectLst/>
              </a:rPr>
              <a:t>2 </a:t>
            </a:r>
            <a:r>
              <a:rPr lang="en-US" sz="1400" b="1" i="0" u="none" strike="noStrike" baseline="0">
                <a:effectLst/>
              </a:rPr>
              <a:t>Combustion Emissions by Sector </a:t>
            </a:r>
            <a:endParaRPr lang="en-US" sz="1400" b="1" i="0" u="none" strike="noStrike" baseline="-25000">
              <a:solidFill>
                <a:srgbClr val="000000"/>
              </a:solidFill>
              <a:latin typeface="Calibri"/>
            </a:endParaRPr>
          </a:p>
        </c:rich>
      </c:tx>
      <c:overlay val="0"/>
    </c:title>
    <c:autoTitleDeleted val="0"/>
    <c:plotArea>
      <c:layout>
        <c:manualLayout>
          <c:layoutTarget val="inner"/>
          <c:xMode val="edge"/>
          <c:yMode val="edge"/>
          <c:x val="0.10161326377468287"/>
          <c:y val="9.1850061743968328E-2"/>
          <c:w val="0.59560892388451447"/>
          <c:h val="0.8390309523330044"/>
        </c:manualLayout>
      </c:layout>
      <c:areaChart>
        <c:grouping val="stacked"/>
        <c:varyColors val="0"/>
        <c:ser>
          <c:idx val="7"/>
          <c:order val="0"/>
          <c:tx>
            <c:strRef>
              <c:f>'Biogenic Summary'!$B$15</c:f>
              <c:strCache>
                <c:ptCount val="1"/>
                <c:pt idx="0">
                  <c:v>    Waste (LFG and Digester Gas)</c:v>
                </c:pt>
              </c:strCache>
            </c:strRef>
          </c:tx>
          <c:spPr>
            <a:solidFill>
              <a:srgbClr val="FFFF00"/>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Summary'!$C$15:$AI$15</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4.0222470264825727E-3</c:v>
                </c:pt>
                <c:pt idx="16" formatCode="#,##0.0">
                  <c:v>2.1036720346162231E-3</c:v>
                </c:pt>
                <c:pt idx="17" formatCode="#,##0.0">
                  <c:v>1.2046269729633005E-3</c:v>
                </c:pt>
                <c:pt idx="18" formatCode="#,##0.0">
                  <c:v>8.9988145594436879E-4</c:v>
                </c:pt>
                <c:pt idx="19" formatCode="#,##0.0">
                  <c:v>8.3089436442852175E-4</c:v>
                </c:pt>
                <c:pt idx="20" formatCode="#,##0.0">
                  <c:v>0.12703821095533696</c:v>
                </c:pt>
                <c:pt idx="21" formatCode="#,##0.0">
                  <c:v>0.11573072101309732</c:v>
                </c:pt>
                <c:pt idx="22" formatCode="#,##0.0">
                  <c:v>0.1058917904808058</c:v>
                </c:pt>
                <c:pt idx="23" formatCode="#,##0.0">
                  <c:v>0.11311618756795899</c:v>
                </c:pt>
                <c:pt idx="24" formatCode="#,##0.0">
                  <c:v>9.0843311885069125E-2</c:v>
                </c:pt>
                <c:pt idx="25" formatCode="#,##0.0">
                  <c:v>2.5207445831165527E-2</c:v>
                </c:pt>
                <c:pt idx="26" formatCode="#,##0.0">
                  <c:v>3.2276414799801277E-2</c:v>
                </c:pt>
                <c:pt idx="27" formatCode="#,##0.0">
                  <c:v>3.0460217759851187E-2</c:v>
                </c:pt>
                <c:pt idx="28" formatCode="#,##0.0">
                  <c:v>2.917558000451231E-2</c:v>
                </c:pt>
                <c:pt idx="29" formatCode="#,##0.0">
                  <c:v>2.7752122226150248E-2</c:v>
                </c:pt>
                <c:pt idx="30" formatCode="#,##0.0">
                  <c:v>2.898988559742156E-2</c:v>
                </c:pt>
                <c:pt idx="31" formatCode="#,##0.0">
                  <c:v>2.918176366956593E-2</c:v>
                </c:pt>
                <c:pt idx="32" formatCode="#,##0.0">
                  <c:v>2.7232342839569944E-2</c:v>
                </c:pt>
              </c:numCache>
            </c:numRef>
          </c:val>
          <c:extLst>
            <c:ext xmlns:c16="http://schemas.microsoft.com/office/drawing/2014/chart" uri="{C3380CC4-5D6E-409C-BE32-E72D297353CC}">
              <c16:uniqueId val="{00000000-55E1-47E4-B3FD-BD0D4800D27C}"/>
            </c:ext>
          </c:extLst>
        </c:ser>
        <c:ser>
          <c:idx val="2"/>
          <c:order val="1"/>
          <c:tx>
            <c:strRef>
              <c:f>'Biogenic Summary'!$B$7</c:f>
              <c:strCache>
                <c:ptCount val="1"/>
                <c:pt idx="0">
                  <c:v>     Commercial (Wood, Ethanol and Biogas)</c:v>
                </c:pt>
              </c:strCache>
            </c:strRef>
          </c:tx>
          <c:spPr>
            <a:solidFill>
              <a:srgbClr val="92D050"/>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Summary'!$C$7:$AI$7</c:f>
              <c:numCache>
                <c:formatCode>#,##0.0</c:formatCode>
                <c:ptCount val="33"/>
                <c:pt idx="0">
                  <c:v>0.18531685780317458</c:v>
                </c:pt>
                <c:pt idx="1">
                  <c:v>0.19347605144126984</c:v>
                </c:pt>
                <c:pt idx="2">
                  <c:v>0.20397984095238092</c:v>
                </c:pt>
                <c:pt idx="3">
                  <c:v>0.25968743889523804</c:v>
                </c:pt>
                <c:pt idx="4">
                  <c:v>0.24871473020952381</c:v>
                </c:pt>
                <c:pt idx="5">
                  <c:v>0.25105932608253967</c:v>
                </c:pt>
                <c:pt idx="6">
                  <c:v>0.26071906107936504</c:v>
                </c:pt>
                <c:pt idx="7">
                  <c:v>0.22761336735238094</c:v>
                </c:pt>
                <c:pt idx="8">
                  <c:v>0.19882173003174602</c:v>
                </c:pt>
                <c:pt idx="9">
                  <c:v>0.20913795187301587</c:v>
                </c:pt>
                <c:pt idx="10">
                  <c:v>0.26182484048136051</c:v>
                </c:pt>
                <c:pt idx="11">
                  <c:v>0.22387673141877548</c:v>
                </c:pt>
                <c:pt idx="12">
                  <c:v>0.23945701591827662</c:v>
                </c:pt>
                <c:pt idx="13">
                  <c:v>0.24159780692018137</c:v>
                </c:pt>
                <c:pt idx="14">
                  <c:v>0.28813235597841269</c:v>
                </c:pt>
                <c:pt idx="15">
                  <c:v>0.10225727239435424</c:v>
                </c:pt>
                <c:pt idx="16">
                  <c:v>0.10253096979114308</c:v>
                </c:pt>
                <c:pt idx="17">
                  <c:v>0.10389064074891245</c:v>
                </c:pt>
                <c:pt idx="18">
                  <c:v>0.1071128271854907</c:v>
                </c:pt>
                <c:pt idx="19">
                  <c:v>0.18839204446473759</c:v>
                </c:pt>
                <c:pt idx="20">
                  <c:v>0.18313075718010469</c:v>
                </c:pt>
                <c:pt idx="21">
                  <c:v>0.18417583599584866</c:v>
                </c:pt>
                <c:pt idx="22">
                  <c:v>0.1640137442610094</c:v>
                </c:pt>
                <c:pt idx="23">
                  <c:v>0.1844783576265496</c:v>
                </c:pt>
                <c:pt idx="24">
                  <c:v>0.19032762022809607</c:v>
                </c:pt>
                <c:pt idx="25">
                  <c:v>0.23112570770970567</c:v>
                </c:pt>
                <c:pt idx="26">
                  <c:v>0.22715258532088306</c:v>
                </c:pt>
                <c:pt idx="27">
                  <c:v>0.23223909572959406</c:v>
                </c:pt>
                <c:pt idx="28">
                  <c:v>0.20625459767011556</c:v>
                </c:pt>
                <c:pt idx="29">
                  <c:v>0.2280774679930215</c:v>
                </c:pt>
                <c:pt idx="30">
                  <c:v>0.21445253140307996</c:v>
                </c:pt>
                <c:pt idx="31">
                  <c:v>0.2279092017652693</c:v>
                </c:pt>
                <c:pt idx="32">
                  <c:v>0.22339646599607071</c:v>
                </c:pt>
              </c:numCache>
            </c:numRef>
          </c:val>
          <c:extLst>
            <c:ext xmlns:c16="http://schemas.microsoft.com/office/drawing/2014/chart" uri="{C3380CC4-5D6E-409C-BE32-E72D297353CC}">
              <c16:uniqueId val="{00000001-55E1-47E4-B3FD-BD0D4800D27C}"/>
            </c:ext>
          </c:extLst>
        </c:ser>
        <c:ser>
          <c:idx val="3"/>
          <c:order val="2"/>
          <c:tx>
            <c:strRef>
              <c:f>'Biogenic Summary'!$B$8</c:f>
              <c:strCache>
                <c:ptCount val="1"/>
                <c:pt idx="0">
                  <c:v>     Industrial (Wood, MSW and Ethanol)</c:v>
                </c:pt>
              </c:strCache>
            </c:strRef>
          </c:tx>
          <c:spPr>
            <a:solidFill>
              <a:srgbClr val="9933FF"/>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Summary'!$C$8:$AI$8</c:f>
              <c:numCache>
                <c:formatCode>#,##0.0</c:formatCode>
                <c:ptCount val="33"/>
                <c:pt idx="0">
                  <c:v>0.7113118792281703</c:v>
                </c:pt>
                <c:pt idx="1">
                  <c:v>0.72067566607458899</c:v>
                </c:pt>
                <c:pt idx="2">
                  <c:v>0.72642167970519367</c:v>
                </c:pt>
                <c:pt idx="3">
                  <c:v>0.69539289791064951</c:v>
                </c:pt>
                <c:pt idx="4">
                  <c:v>0.75216093368281622</c:v>
                </c:pt>
                <c:pt idx="5">
                  <c:v>0.84251819656638738</c:v>
                </c:pt>
                <c:pt idx="6">
                  <c:v>0.84819414865637088</c:v>
                </c:pt>
                <c:pt idx="7">
                  <c:v>0.89847356932866218</c:v>
                </c:pt>
                <c:pt idx="8">
                  <c:v>0.66067680364084702</c:v>
                </c:pt>
                <c:pt idx="9">
                  <c:v>0.64340181784905204</c:v>
                </c:pt>
                <c:pt idx="10">
                  <c:v>0.61394211447982583</c:v>
                </c:pt>
                <c:pt idx="11">
                  <c:v>0.4701093094652154</c:v>
                </c:pt>
                <c:pt idx="12">
                  <c:v>0.3066445451192743</c:v>
                </c:pt>
                <c:pt idx="13">
                  <c:v>0.31170899218430836</c:v>
                </c:pt>
                <c:pt idx="14">
                  <c:v>0.32974522336380951</c:v>
                </c:pt>
                <c:pt idx="15">
                  <c:v>0.3392203901737868</c:v>
                </c:pt>
                <c:pt idx="16">
                  <c:v>0.39427225170285135</c:v>
                </c:pt>
                <c:pt idx="17">
                  <c:v>0.41561929193373859</c:v>
                </c:pt>
                <c:pt idx="18">
                  <c:v>0.40104450900065269</c:v>
                </c:pt>
                <c:pt idx="19">
                  <c:v>0.36982602658391434</c:v>
                </c:pt>
                <c:pt idx="20">
                  <c:v>0.54384678392272112</c:v>
                </c:pt>
                <c:pt idx="21">
                  <c:v>0.72023291921632637</c:v>
                </c:pt>
                <c:pt idx="22">
                  <c:v>0.71479663972535135</c:v>
                </c:pt>
                <c:pt idx="23">
                  <c:v>0.71625647562702932</c:v>
                </c:pt>
                <c:pt idx="24">
                  <c:v>0.68931105723356001</c:v>
                </c:pt>
                <c:pt idx="25">
                  <c:v>0.69110237261750562</c:v>
                </c:pt>
                <c:pt idx="26">
                  <c:v>0.68918600082285708</c:v>
                </c:pt>
                <c:pt idx="27">
                  <c:v>0.3202513424105215</c:v>
                </c:pt>
                <c:pt idx="28">
                  <c:v>0.30486682401922899</c:v>
                </c:pt>
                <c:pt idx="29">
                  <c:v>0.32157134966204082</c:v>
                </c:pt>
                <c:pt idx="30">
                  <c:v>0.31591246248344668</c:v>
                </c:pt>
                <c:pt idx="31">
                  <c:v>0.30174266248344667</c:v>
                </c:pt>
                <c:pt idx="32">
                  <c:v>0.28944910094766441</c:v>
                </c:pt>
              </c:numCache>
            </c:numRef>
          </c:val>
          <c:extLst>
            <c:ext xmlns:c16="http://schemas.microsoft.com/office/drawing/2014/chart" uri="{C3380CC4-5D6E-409C-BE32-E72D297353CC}">
              <c16:uniqueId val="{00000002-55E1-47E4-B3FD-BD0D4800D27C}"/>
            </c:ext>
          </c:extLst>
        </c:ser>
        <c:ser>
          <c:idx val="1"/>
          <c:order val="3"/>
          <c:tx>
            <c:strRef>
              <c:f>'Biogenic Summary'!$B$6</c:f>
              <c:strCache>
                <c:ptCount val="1"/>
                <c:pt idx="0">
                  <c:v>     Residential (Wood and Biodiesel)</c:v>
                </c:pt>
              </c:strCache>
            </c:strRef>
          </c:tx>
          <c:spPr>
            <a:solidFill>
              <a:schemeClr val="accent5">
                <a:lumMod val="60000"/>
                <a:lumOff val="40000"/>
              </a:schemeClr>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Summary'!$C$6:$AI$6</c:f>
              <c:numCache>
                <c:formatCode>#,##0.0</c:formatCode>
                <c:ptCount val="33"/>
                <c:pt idx="0">
                  <c:v>1.6953303838603173</c:v>
                </c:pt>
                <c:pt idx="1">
                  <c:v>1.7772974555809522</c:v>
                </c:pt>
                <c:pt idx="2">
                  <c:v>1.8647039897269839</c:v>
                </c:pt>
                <c:pt idx="3">
                  <c:v>1.9294148358222223</c:v>
                </c:pt>
                <c:pt idx="4">
                  <c:v>1.8314107283301586</c:v>
                </c:pt>
                <c:pt idx="5">
                  <c:v>1.8314107283301586</c:v>
                </c:pt>
                <c:pt idx="6">
                  <c:v>1.9018423883555555</c:v>
                </c:pt>
                <c:pt idx="7">
                  <c:v>1.3625853375619048</c:v>
                </c:pt>
                <c:pt idx="8">
                  <c:v>1.2108430926603175</c:v>
                </c:pt>
                <c:pt idx="9">
                  <c:v>1.2427295965333334</c:v>
                </c:pt>
                <c:pt idx="10">
                  <c:v>1.3382953243174602</c:v>
                </c:pt>
                <c:pt idx="11">
                  <c:v>1.0783604480718365</c:v>
                </c:pt>
                <c:pt idx="12">
                  <c:v>1.0948264898975058</c:v>
                </c:pt>
                <c:pt idx="13">
                  <c:v>1.1523359372640363</c:v>
                </c:pt>
                <c:pt idx="14">
                  <c:v>1.181422883683628</c:v>
                </c:pt>
                <c:pt idx="15">
                  <c:v>0.33755189776399092</c:v>
                </c:pt>
                <c:pt idx="16">
                  <c:v>0.30326080835809521</c:v>
                </c:pt>
                <c:pt idx="17">
                  <c:v>0.33661485927691609</c:v>
                </c:pt>
                <c:pt idx="18">
                  <c:v>0.37461530931773246</c:v>
                </c:pt>
                <c:pt idx="19">
                  <c:v>0.9639838426303855</c:v>
                </c:pt>
                <c:pt idx="20">
                  <c:v>1.0320180758889794</c:v>
                </c:pt>
                <c:pt idx="21">
                  <c:v>1.0148212400268481</c:v>
                </c:pt>
                <c:pt idx="22">
                  <c:v>0.8462220206828116</c:v>
                </c:pt>
                <c:pt idx="23">
                  <c:v>1.1649860368257594</c:v>
                </c:pt>
                <c:pt idx="24">
                  <c:v>1.1685351850757371</c:v>
                </c:pt>
                <c:pt idx="25">
                  <c:v>1.0697184976442629</c:v>
                </c:pt>
                <c:pt idx="26">
                  <c:v>0.91193573391854876</c:v>
                </c:pt>
                <c:pt idx="27">
                  <c:v>0.91405848802938772</c:v>
                </c:pt>
                <c:pt idx="28">
                  <c:v>0.85253937179065764</c:v>
                </c:pt>
                <c:pt idx="29">
                  <c:v>1.0113718345846712</c:v>
                </c:pt>
                <c:pt idx="30">
                  <c:v>0.62626841305360537</c:v>
                </c:pt>
                <c:pt idx="31">
                  <c:v>0.67169902239274371</c:v>
                </c:pt>
                <c:pt idx="32">
                  <c:v>0.76888931015909301</c:v>
                </c:pt>
              </c:numCache>
            </c:numRef>
          </c:val>
          <c:extLst>
            <c:ext xmlns:c16="http://schemas.microsoft.com/office/drawing/2014/chart" uri="{C3380CC4-5D6E-409C-BE32-E72D297353CC}">
              <c16:uniqueId val="{00000003-55E1-47E4-B3FD-BD0D4800D27C}"/>
            </c:ext>
          </c:extLst>
        </c:ser>
        <c:ser>
          <c:idx val="4"/>
          <c:order val="4"/>
          <c:tx>
            <c:strRef>
              <c:f>'Biogenic Summary'!$B$9</c:f>
              <c:strCache>
                <c:ptCount val="1"/>
                <c:pt idx="0">
                  <c:v>     Transportation (Ethanol and Biodiesel)</c:v>
                </c:pt>
              </c:strCache>
            </c:strRef>
          </c:tx>
          <c:spPr>
            <a:solidFill>
              <a:srgbClr val="0000FF"/>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Summary'!$C$9:$AI$9</c:f>
              <c:numCache>
                <c:formatCode>#,##0.0_);\(#,##0.0\)</c:formatCode>
                <c:ptCount val="33"/>
                <c:pt idx="0">
                  <c:v>0</c:v>
                </c:pt>
                <c:pt idx="1">
                  <c:v>0</c:v>
                </c:pt>
                <c:pt idx="2">
                  <c:v>0</c:v>
                </c:pt>
                <c:pt idx="3">
                  <c:v>0</c:v>
                </c:pt>
                <c:pt idx="4">
                  <c:v>0</c:v>
                </c:pt>
                <c:pt idx="5">
                  <c:v>0</c:v>
                </c:pt>
                <c:pt idx="6">
                  <c:v>0</c:v>
                </c:pt>
                <c:pt idx="7">
                  <c:v>0</c:v>
                </c:pt>
                <c:pt idx="8">
                  <c:v>0</c:v>
                </c:pt>
                <c:pt idx="9">
                  <c:v>0</c:v>
                </c:pt>
                <c:pt idx="10">
                  <c:v>0</c:v>
                </c:pt>
                <c:pt idx="11">
                  <c:v>2.2148182421768706E-4</c:v>
                </c:pt>
                <c:pt idx="12">
                  <c:v>5.2959671590022675E-3</c:v>
                </c:pt>
                <c:pt idx="13">
                  <c:v>5.2221398842630384E-3</c:v>
                </c:pt>
                <c:pt idx="14">
                  <c:v>4.7395510658321989E-2</c:v>
                </c:pt>
                <c:pt idx="15">
                  <c:v>0.4137942762231292</c:v>
                </c:pt>
                <c:pt idx="16">
                  <c:v>1.1187378884019954</c:v>
                </c:pt>
                <c:pt idx="17">
                  <c:v>1.4386171523149205</c:v>
                </c:pt>
                <c:pt idx="18">
                  <c:v>1.1999270142135148</c:v>
                </c:pt>
                <c:pt idx="19">
                  <c:v>1.3291833749014059</c:v>
                </c:pt>
                <c:pt idx="20">
                  <c:v>1.6582573739609978</c:v>
                </c:pt>
                <c:pt idx="21">
                  <c:v>1.6111511734356463</c:v>
                </c:pt>
                <c:pt idx="22">
                  <c:v>1.5631634048620409</c:v>
                </c:pt>
                <c:pt idx="23">
                  <c:v>1.6521920194176869</c:v>
                </c:pt>
                <c:pt idx="24">
                  <c:v>1.6436632094886168</c:v>
                </c:pt>
                <c:pt idx="25">
                  <c:v>1.6717164140894332</c:v>
                </c:pt>
                <c:pt idx="26">
                  <c:v>1.7216663244578683</c:v>
                </c:pt>
                <c:pt idx="27">
                  <c:v>1.7135841575430386</c:v>
                </c:pt>
                <c:pt idx="28">
                  <c:v>1.6554308611537414</c:v>
                </c:pt>
                <c:pt idx="29">
                  <c:v>1.637346698236009</c:v>
                </c:pt>
                <c:pt idx="30">
                  <c:v>1.320269231390476</c:v>
                </c:pt>
                <c:pt idx="31">
                  <c:v>1.4771421919346939</c:v>
                </c:pt>
                <c:pt idx="32">
                  <c:v>1.4704780206066213</c:v>
                </c:pt>
              </c:numCache>
            </c:numRef>
          </c:val>
          <c:extLst>
            <c:ext xmlns:c16="http://schemas.microsoft.com/office/drawing/2014/chart" uri="{C3380CC4-5D6E-409C-BE32-E72D297353CC}">
              <c16:uniqueId val="{00000004-55E1-47E4-B3FD-BD0D4800D27C}"/>
            </c:ext>
          </c:extLst>
        </c:ser>
        <c:ser>
          <c:idx val="6"/>
          <c:order val="5"/>
          <c:tx>
            <c:strRef>
              <c:f>'Biogenic Summary'!$B$12</c:f>
              <c:strCache>
                <c:ptCount val="1"/>
                <c:pt idx="0">
                  <c:v>     Electric (MSW)</c:v>
                </c:pt>
              </c:strCache>
            </c:strRef>
          </c:tx>
          <c:spPr>
            <a:solidFill>
              <a:schemeClr val="bg1">
                <a:lumMod val="65000"/>
              </a:schemeClr>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Summary'!$C$12:$AI$12</c:f>
              <c:numCache>
                <c:formatCode>#,##0.0</c:formatCode>
                <c:ptCount val="33"/>
                <c:pt idx="0">
                  <c:v>1.6979350990977795</c:v>
                </c:pt>
                <c:pt idx="1">
                  <c:v>1.7756118886142176</c:v>
                </c:pt>
                <c:pt idx="2">
                  <c:v>1.7790815144710965</c:v>
                </c:pt>
                <c:pt idx="3">
                  <c:v>1.8802186291414202</c:v>
                </c:pt>
                <c:pt idx="4">
                  <c:v>2.038256974913657</c:v>
                </c:pt>
                <c:pt idx="5">
                  <c:v>1.923297267478759</c:v>
                </c:pt>
                <c:pt idx="6">
                  <c:v>1.985648205840215</c:v>
                </c:pt>
                <c:pt idx="7">
                  <c:v>2.0028465367446526</c:v>
                </c:pt>
                <c:pt idx="8">
                  <c:v>1.9035365403425302</c:v>
                </c:pt>
                <c:pt idx="9">
                  <c:v>1.9646795974008162</c:v>
                </c:pt>
                <c:pt idx="10">
                  <c:v>1.8991902774874554</c:v>
                </c:pt>
                <c:pt idx="11">
                  <c:v>1.8664288411671384</c:v>
                </c:pt>
                <c:pt idx="12">
                  <c:v>1.7359847231019108</c:v>
                </c:pt>
                <c:pt idx="13">
                  <c:v>1.7616616243782757</c:v>
                </c:pt>
                <c:pt idx="14">
                  <c:v>1.8034436944420011</c:v>
                </c:pt>
                <c:pt idx="15">
                  <c:v>1.8299516686910193</c:v>
                </c:pt>
                <c:pt idx="16">
                  <c:v>1.8291042571457692</c:v>
                </c:pt>
                <c:pt idx="17">
                  <c:v>1.738874785356247</c:v>
                </c:pt>
                <c:pt idx="18">
                  <c:v>1.8849390714709355</c:v>
                </c:pt>
                <c:pt idx="19">
                  <c:v>1.8524814547479607</c:v>
                </c:pt>
                <c:pt idx="20">
                  <c:v>1.7429429999999999</c:v>
                </c:pt>
                <c:pt idx="21">
                  <c:v>1.7277246000000002</c:v>
                </c:pt>
                <c:pt idx="22">
                  <c:v>1.618303</c:v>
                </c:pt>
                <c:pt idx="23">
                  <c:v>1.7030479999999999</c:v>
                </c:pt>
                <c:pt idx="24">
                  <c:v>1.7152989999999999</c:v>
                </c:pt>
                <c:pt idx="25">
                  <c:v>1.6561053999999999</c:v>
                </c:pt>
                <c:pt idx="26">
                  <c:v>1.6287308999999999</c:v>
                </c:pt>
                <c:pt idx="27">
                  <c:v>1.6707406</c:v>
                </c:pt>
                <c:pt idx="28">
                  <c:v>1.6940913999999998</c:v>
                </c:pt>
                <c:pt idx="29">
                  <c:v>1.7387703000000001</c:v>
                </c:pt>
                <c:pt idx="30">
                  <c:v>1.5934241</c:v>
                </c:pt>
                <c:pt idx="31">
                  <c:v>1.6504923</c:v>
                </c:pt>
                <c:pt idx="32">
                  <c:v>1.7101503</c:v>
                </c:pt>
              </c:numCache>
            </c:numRef>
          </c:val>
          <c:extLst>
            <c:ext xmlns:c16="http://schemas.microsoft.com/office/drawing/2014/chart" uri="{C3380CC4-5D6E-409C-BE32-E72D297353CC}">
              <c16:uniqueId val="{00000005-55E1-47E4-B3FD-BD0D4800D27C}"/>
            </c:ext>
          </c:extLst>
        </c:ser>
        <c:ser>
          <c:idx val="5"/>
          <c:order val="6"/>
          <c:tx>
            <c:strRef>
              <c:f>'Biogenic Summary'!$B$11</c:f>
              <c:strCache>
                <c:ptCount val="1"/>
                <c:pt idx="0">
                  <c:v>     Electric (Wood)</c:v>
                </c:pt>
              </c:strCache>
            </c:strRef>
          </c:tx>
          <c:spPr>
            <a:solidFill>
              <a:schemeClr val="accent3">
                <a:lumMod val="40000"/>
                <a:lumOff val="60000"/>
              </a:schemeClr>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Summary'!$C$11:$AI$11</c:f>
              <c:numCache>
                <c:formatCode>#,##0.0</c:formatCode>
                <c:ptCount val="33"/>
                <c:pt idx="0">
                  <c:v>0</c:v>
                </c:pt>
                <c:pt idx="1">
                  <c:v>0</c:v>
                </c:pt>
                <c:pt idx="2">
                  <c:v>0.1165733068063492</c:v>
                </c:pt>
                <c:pt idx="3">
                  <c:v>0.12810871850158731</c:v>
                </c:pt>
                <c:pt idx="4">
                  <c:v>0.14864737834920635</c:v>
                </c:pt>
                <c:pt idx="5">
                  <c:v>0.16449684645079363</c:v>
                </c:pt>
                <c:pt idx="6">
                  <c:v>0.16927982203174602</c:v>
                </c:pt>
                <c:pt idx="7">
                  <c:v>0.1732187430984127</c:v>
                </c:pt>
                <c:pt idx="8">
                  <c:v>0.23483472264126984</c:v>
                </c:pt>
                <c:pt idx="9">
                  <c:v>0.13035953053968252</c:v>
                </c:pt>
                <c:pt idx="10">
                  <c:v>0.16018279004444444</c:v>
                </c:pt>
                <c:pt idx="11">
                  <c:v>0.15877603252063494</c:v>
                </c:pt>
                <c:pt idx="12">
                  <c:v>0.14480224111746032</c:v>
                </c:pt>
                <c:pt idx="13">
                  <c:v>0.17706388033015871</c:v>
                </c:pt>
                <c:pt idx="14">
                  <c:v>0.16637252314920634</c:v>
                </c:pt>
                <c:pt idx="15">
                  <c:v>0.17593847431111112</c:v>
                </c:pt>
                <c:pt idx="16">
                  <c:v>0.17762658333968254</c:v>
                </c:pt>
                <c:pt idx="17">
                  <c:v>0.16731036149841269</c:v>
                </c:pt>
                <c:pt idx="18">
                  <c:v>0.17199955324444444</c:v>
                </c:pt>
                <c:pt idx="19">
                  <c:v>0.15446197611428569</c:v>
                </c:pt>
                <c:pt idx="20">
                  <c:v>0.14119156347301587</c:v>
                </c:pt>
                <c:pt idx="21">
                  <c:v>0.14503670070476188</c:v>
                </c:pt>
                <c:pt idx="22">
                  <c:v>0.14358305126349205</c:v>
                </c:pt>
                <c:pt idx="23">
                  <c:v>0.1251826628520635</c:v>
                </c:pt>
                <c:pt idx="24">
                  <c:v>0.21130435845968254</c:v>
                </c:pt>
                <c:pt idx="25">
                  <c:v>0.18677988562793651</c:v>
                </c:pt>
                <c:pt idx="26">
                  <c:v>0.21043216879492063</c:v>
                </c:pt>
                <c:pt idx="27">
                  <c:v>0.21204525075555553</c:v>
                </c:pt>
                <c:pt idx="28">
                  <c:v>0.18442591137142858</c:v>
                </c:pt>
                <c:pt idx="29">
                  <c:v>0.17057403895365078</c:v>
                </c:pt>
                <c:pt idx="30">
                  <c:v>0.19504739959536507</c:v>
                </c:pt>
                <c:pt idx="31">
                  <c:v>0.13236416001111109</c:v>
                </c:pt>
                <c:pt idx="32">
                  <c:v>8.2275901889028571E-2</c:v>
                </c:pt>
              </c:numCache>
            </c:numRef>
          </c:val>
          <c:extLst>
            <c:ext xmlns:c16="http://schemas.microsoft.com/office/drawing/2014/chart" uri="{C3380CC4-5D6E-409C-BE32-E72D297353CC}">
              <c16:uniqueId val="{00000006-55E1-47E4-B3FD-BD0D4800D27C}"/>
            </c:ext>
          </c:extLst>
        </c:ser>
        <c:ser>
          <c:idx val="0"/>
          <c:order val="7"/>
          <c:tx>
            <c:strRef>
              <c:f>'Biogenic Summary'!$B$13</c:f>
              <c:strCache>
                <c:ptCount val="1"/>
                <c:pt idx="0">
                  <c:v>     Electric (LFG to Energy)</c:v>
                </c:pt>
              </c:strCache>
            </c:strRef>
          </c:tx>
          <c:spPr>
            <a:solidFill>
              <a:srgbClr val="002060"/>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Summary'!$C$13:$AI$13</c:f>
              <c:numCache>
                <c:formatCode>#,##0.0</c:formatCode>
                <c:ptCount val="33"/>
                <c:pt idx="0">
                  <c:v>0</c:v>
                </c:pt>
                <c:pt idx="1">
                  <c:v>0</c:v>
                </c:pt>
                <c:pt idx="2">
                  <c:v>0</c:v>
                </c:pt>
                <c:pt idx="3">
                  <c:v>6.8462199492063495E-3</c:v>
                </c:pt>
                <c:pt idx="4">
                  <c:v>1.6083927688888888E-2</c:v>
                </c:pt>
                <c:pt idx="5">
                  <c:v>2.2273660793650792E-2</c:v>
                </c:pt>
                <c:pt idx="6">
                  <c:v>2.7335643283492063E-2</c:v>
                </c:pt>
                <c:pt idx="7">
                  <c:v>7.4336818911492047E-2</c:v>
                </c:pt>
                <c:pt idx="8">
                  <c:v>9.3905566338361904E-2</c:v>
                </c:pt>
                <c:pt idx="9">
                  <c:v>0.13158045539459681</c:v>
                </c:pt>
                <c:pt idx="10">
                  <c:v>0.13158045539459681</c:v>
                </c:pt>
                <c:pt idx="11">
                  <c:v>0.16925534445083174</c:v>
                </c:pt>
                <c:pt idx="12">
                  <c:v>0.14463896346086347</c:v>
                </c:pt>
                <c:pt idx="13">
                  <c:v>0.17382758775471746</c:v>
                </c:pt>
                <c:pt idx="14">
                  <c:v>0.15895572234834285</c:v>
                </c:pt>
                <c:pt idx="15">
                  <c:v>0.17604257436787302</c:v>
                </c:pt>
                <c:pt idx="16">
                  <c:v>0.16301975105079364</c:v>
                </c:pt>
                <c:pt idx="17">
                  <c:v>0.17158080842152379</c:v>
                </c:pt>
                <c:pt idx="18">
                  <c:v>0.18618248259949205</c:v>
                </c:pt>
                <c:pt idx="19">
                  <c:v>0.16312825894779681</c:v>
                </c:pt>
                <c:pt idx="20">
                  <c:v>0.1678412717878984</c:v>
                </c:pt>
                <c:pt idx="21">
                  <c:v>0.16841804237266031</c:v>
                </c:pt>
                <c:pt idx="22">
                  <c:v>0.16699684213827301</c:v>
                </c:pt>
                <c:pt idx="23">
                  <c:v>0.17465035333847617</c:v>
                </c:pt>
                <c:pt idx="24">
                  <c:v>0.19411650124994284</c:v>
                </c:pt>
                <c:pt idx="25">
                  <c:v>0.17373943094989205</c:v>
                </c:pt>
                <c:pt idx="26">
                  <c:v>0.19701714148020316</c:v>
                </c:pt>
                <c:pt idx="27">
                  <c:v>0.16771072468968887</c:v>
                </c:pt>
                <c:pt idx="28">
                  <c:v>0.18494406705936506</c:v>
                </c:pt>
                <c:pt idx="29">
                  <c:v>0.16657415839428569</c:v>
                </c:pt>
                <c:pt idx="30">
                  <c:v>0.16594139886007617</c:v>
                </c:pt>
                <c:pt idx="31">
                  <c:v>0.15052661883334603</c:v>
                </c:pt>
                <c:pt idx="32">
                  <c:v>0.11774748041955554</c:v>
                </c:pt>
              </c:numCache>
            </c:numRef>
          </c:val>
          <c:extLst>
            <c:ext xmlns:c16="http://schemas.microsoft.com/office/drawing/2014/chart" uri="{C3380CC4-5D6E-409C-BE32-E72D297353CC}">
              <c16:uniqueId val="{00000007-55E1-47E4-B3FD-BD0D4800D27C}"/>
            </c:ext>
          </c:extLst>
        </c:ser>
        <c:ser>
          <c:idx val="9"/>
          <c:order val="8"/>
          <c:tx>
            <c:strRef>
              <c:f>'Biogenic Summary'!$B$14</c:f>
              <c:strCache>
                <c:ptCount val="1"/>
                <c:pt idx="0">
                  <c:v>     Electric (Imports)</c:v>
                </c:pt>
              </c:strCache>
            </c:strRef>
          </c:tx>
          <c:spPr>
            <a:solidFill>
              <a:srgbClr val="FF00FF"/>
            </a:solidFill>
          </c:spPr>
          <c:cat>
            <c:numRef>
              <c:f>'Biogenic Summary'!$C$4:$AI$4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'Biogenic Summary'!$C$14:$AI$14</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formatCode="#,##0.0">
                  <c:v>0.55859571012052256</c:v>
                </c:pt>
                <c:pt idx="12" formatCode="#,##0.0">
                  <c:v>0.84170015186024771</c:v>
                </c:pt>
                <c:pt idx="13" formatCode="#,##0.0">
                  <c:v>0.40164630396209744</c:v>
                </c:pt>
                <c:pt idx="14" formatCode="#,##0.0">
                  <c:v>0.32902461966924834</c:v>
                </c:pt>
                <c:pt idx="15" formatCode="#,##0.0">
                  <c:v>0.94909520982899687</c:v>
                </c:pt>
                <c:pt idx="16" formatCode="#,##0.0">
                  <c:v>0.58322044312355947</c:v>
                </c:pt>
                <c:pt idx="17" formatCode="#,##0.0">
                  <c:v>1.3267600352971316</c:v>
                </c:pt>
                <c:pt idx="18" formatCode="#,##0.0">
                  <c:v>1.369690658144856</c:v>
                </c:pt>
                <c:pt idx="19" formatCode="#,##0.0">
                  <c:v>1.2749874561753112</c:v>
                </c:pt>
                <c:pt idx="20" formatCode="#,##0.0">
                  <c:v>1.3482987986997899</c:v>
                </c:pt>
                <c:pt idx="21" formatCode="#,##0.0">
                  <c:v>1.0789541819155164</c:v>
                </c:pt>
                <c:pt idx="22" formatCode="#,##0.0">
                  <c:v>1.1095633925687443</c:v>
                </c:pt>
                <c:pt idx="23" formatCode="#,##0.0">
                  <c:v>1.1146613215647374</c:v>
                </c:pt>
                <c:pt idx="24" formatCode="#,##0.0">
                  <c:v>0.95513701051292543</c:v>
                </c:pt>
                <c:pt idx="25" formatCode="#,##0.0">
                  <c:v>1.268574293010412</c:v>
                </c:pt>
                <c:pt idx="26" formatCode="#,##0.0">
                  <c:v>0.95061831105620487</c:v>
                </c:pt>
                <c:pt idx="27" formatCode="#,##0.000">
                  <c:v>-3.7310689111573763E-3</c:v>
                </c:pt>
                <c:pt idx="28" formatCode="#,##0.0">
                  <c:v>0.14873299142069088</c:v>
                </c:pt>
                <c:pt idx="29" formatCode="#,##0.0">
                  <c:v>2.4277914590619825E-2</c:v>
                </c:pt>
                <c:pt idx="30" formatCode="#,##0.0">
                  <c:v>0.17107003354534717</c:v>
                </c:pt>
                <c:pt idx="31" formatCode="#,##0.00">
                  <c:v>2.1504996751917593E-2</c:v>
                </c:pt>
                <c:pt idx="32" formatCode="#,##0.0">
                  <c:v>0</c:v>
                </c:pt>
              </c:numCache>
            </c:numRef>
          </c:val>
          <c:extLst>
            <c:ext xmlns:c16="http://schemas.microsoft.com/office/drawing/2014/chart" uri="{C3380CC4-5D6E-409C-BE32-E72D297353CC}">
              <c16:uniqueId val="{00000008-55E1-47E4-B3FD-BD0D4800D27C}"/>
            </c:ext>
          </c:extLst>
        </c:ser>
        <c:dLbls>
          <c:showLegendKey val="0"/>
          <c:showVal val="0"/>
          <c:showCatName val="0"/>
          <c:showSerName val="0"/>
          <c:showPercent val="0"/>
          <c:showBubbleSize val="0"/>
        </c:dLbls>
        <c:axId val="97256576"/>
        <c:axId val="97258112"/>
      </c:areaChart>
      <c:catAx>
        <c:axId val="97256576"/>
        <c:scaling>
          <c:orientation val="minMax"/>
        </c:scaling>
        <c:delete val="0"/>
        <c:axPos val="b"/>
        <c:numFmt formatCode="General"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97258112"/>
        <c:crosses val="autoZero"/>
        <c:auto val="1"/>
        <c:lblAlgn val="ctr"/>
        <c:lblOffset val="100"/>
        <c:tickLblSkip val="5"/>
        <c:noMultiLvlLbl val="0"/>
      </c:catAx>
      <c:valAx>
        <c:axId val="97258112"/>
        <c:scaling>
          <c:orientation val="minMax"/>
          <c:max val="7.5"/>
          <c:min val="0"/>
        </c:scaling>
        <c:delete val="0"/>
        <c:axPos val="l"/>
        <c:majorGridlines/>
        <c:title>
          <c:tx>
            <c:rich>
              <a:bodyPr/>
              <a:lstStyle/>
              <a:p>
                <a:pPr>
                  <a:defRPr/>
                </a:pPr>
                <a:r>
                  <a:rPr lang="en-US" sz="1200" b="1" i="0" baseline="0">
                    <a:effectLst/>
                  </a:rPr>
                  <a:t>Million Metric Tons of CO</a:t>
                </a:r>
                <a:r>
                  <a:rPr lang="en-US" sz="1200" b="1" i="0" baseline="-25000">
                    <a:effectLst/>
                  </a:rPr>
                  <a:t>2</a:t>
                </a:r>
                <a:r>
                  <a:rPr lang="en-US" sz="1200" b="1" i="0" baseline="0">
                    <a:effectLst/>
                  </a:rPr>
                  <a:t> </a:t>
                </a:r>
                <a:endParaRPr lang="en-US" sz="1200">
                  <a:effectLst/>
                </a:endParaRPr>
              </a:p>
            </c:rich>
          </c:tx>
          <c:overlay val="0"/>
        </c:title>
        <c:numFmt formatCode="#,##0" sourceLinked="0"/>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97256576"/>
        <c:crossesAt val="1"/>
        <c:crossBetween val="midCat"/>
      </c:valAx>
      <c:spPr>
        <a:ln>
          <a:solidFill>
            <a:schemeClr val="tx1"/>
          </a:solidFill>
        </a:ln>
      </c:spPr>
    </c:plotArea>
    <c:legend>
      <c:legendPos val="r"/>
      <c:layout>
        <c:manualLayout>
          <c:xMode val="edge"/>
          <c:yMode val="edge"/>
          <c:x val="0.72870380091377474"/>
          <c:y val="0.11746222102998648"/>
          <c:w val="0.26016836784290853"/>
          <c:h val="0.87711380766782909"/>
        </c:manualLayout>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mn-lt"/>
              </a:rPr>
              <a:t>Natural and Working Lands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0"/>
          <c:tx>
            <c:strRef>
              <c:f>'Biogenic Summary'!$B$26</c:f>
              <c:strCache>
                <c:ptCount val="1"/>
                <c:pt idx="0">
                  <c:v>Cropland &amp; Grassland</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Summary'!$C$26:$AH$26</c:f>
              <c:numCache>
                <c:formatCode>0.0</c:formatCode>
                <c:ptCount val="32"/>
                <c:pt idx="0">
                  <c:v>0.28978702310560001</c:v>
                </c:pt>
                <c:pt idx="1">
                  <c:v>0.30046698151260004</c:v>
                </c:pt>
                <c:pt idx="2">
                  <c:v>0.26979463935530001</c:v>
                </c:pt>
                <c:pt idx="3">
                  <c:v>0.28551053537109999</c:v>
                </c:pt>
                <c:pt idx="4">
                  <c:v>0.27143371585099996</c:v>
                </c:pt>
                <c:pt idx="5">
                  <c:v>0.26360081351260001</c:v>
                </c:pt>
                <c:pt idx="6">
                  <c:v>0.26174698088670001</c:v>
                </c:pt>
                <c:pt idx="7">
                  <c:v>0.24125841543590001</c:v>
                </c:pt>
                <c:pt idx="8">
                  <c:v>0.25571400048340004</c:v>
                </c:pt>
                <c:pt idx="9">
                  <c:v>0.23268648722169999</c:v>
                </c:pt>
                <c:pt idx="10">
                  <c:v>0.30953517288330001</c:v>
                </c:pt>
                <c:pt idx="11">
                  <c:v>0.28330836780590002</c:v>
                </c:pt>
                <c:pt idx="12">
                  <c:v>0.2838346253813</c:v>
                </c:pt>
                <c:pt idx="13">
                  <c:v>0.27816865413269998</c:v>
                </c:pt>
                <c:pt idx="14">
                  <c:v>0.2981598121465</c:v>
                </c:pt>
                <c:pt idx="15">
                  <c:v>0.22517721354000003</c:v>
                </c:pt>
                <c:pt idx="16">
                  <c:v>0.21536012199120003</c:v>
                </c:pt>
                <c:pt idx="17">
                  <c:v>0.22735671178019998</c:v>
                </c:pt>
                <c:pt idx="18">
                  <c:v>0.2608287179371</c:v>
                </c:pt>
                <c:pt idx="19">
                  <c:v>0.29591659239920004</c:v>
                </c:pt>
                <c:pt idx="20">
                  <c:v>0.26099809392119999</c:v>
                </c:pt>
                <c:pt idx="21">
                  <c:v>0.2563052145345</c:v>
                </c:pt>
                <c:pt idx="22">
                  <c:v>0.2523459240682</c:v>
                </c:pt>
                <c:pt idx="23">
                  <c:v>0.27834175921420001</c:v>
                </c:pt>
                <c:pt idx="24">
                  <c:v>0.28444429139360006</c:v>
                </c:pt>
                <c:pt idx="25">
                  <c:v>0.24042800620539997</c:v>
                </c:pt>
                <c:pt idx="26">
                  <c:v>0.25895812800950002</c:v>
                </c:pt>
                <c:pt idx="27">
                  <c:v>0.27081783066769999</c:v>
                </c:pt>
                <c:pt idx="28">
                  <c:v>0.27479130450050004</c:v>
                </c:pt>
                <c:pt idx="29">
                  <c:v>0.27635183497850002</c:v>
                </c:pt>
                <c:pt idx="30">
                  <c:v>0.27636179565230001</c:v>
                </c:pt>
                <c:pt idx="31">
                  <c:v>0.2769859872955</c:v>
                </c:pt>
              </c:numCache>
            </c:numRef>
          </c:val>
          <c:smooth val="0"/>
          <c:extLst>
            <c:ext xmlns:c16="http://schemas.microsoft.com/office/drawing/2014/chart" uri="{C3380CC4-5D6E-409C-BE32-E72D297353CC}">
              <c16:uniqueId val="{00000000-5D58-406B-82A7-BC3353DB2EFA}"/>
            </c:ext>
          </c:extLst>
        </c:ser>
        <c:ser>
          <c:idx val="5"/>
          <c:order val="1"/>
          <c:tx>
            <c:strRef>
              <c:f>'Biogenic Summary'!$B$29</c:f>
              <c:strCache>
                <c:ptCount val="1"/>
                <c:pt idx="0">
                  <c:v>Other Land</c:v>
                </c:pt>
              </c:strCache>
            </c:strRef>
          </c:tx>
          <c:spPr>
            <a:ln w="28575" cap="rnd">
              <a:solidFill>
                <a:schemeClr val="tx2">
                  <a:lumMod val="50000"/>
                </a:schemeClr>
              </a:solidFill>
              <a:round/>
            </a:ln>
            <a:effectLst/>
          </c:spPr>
          <c:marker>
            <c:symbol val="circle"/>
            <c:size val="5"/>
            <c:spPr>
              <a:solidFill>
                <a:schemeClr val="tx2">
                  <a:lumMod val="50000"/>
                </a:schemeClr>
              </a:solidFill>
              <a:ln w="9525">
                <a:solidFill>
                  <a:schemeClr val="tx2">
                    <a:lumMod val="50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Summary'!$C$29:$AH$29</c:f>
              <c:numCache>
                <c:formatCode>0.0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1-5D58-406B-82A7-BC3353DB2EFA}"/>
            </c:ext>
          </c:extLst>
        </c:ser>
        <c:ser>
          <c:idx val="3"/>
          <c:order val="2"/>
          <c:tx>
            <c:strRef>
              <c:f>'Biogenic Summary'!$B$27</c:f>
              <c:strCache>
                <c:ptCount val="1"/>
                <c:pt idx="0">
                  <c:v>Wetlands</c:v>
                </c:pt>
              </c:strCache>
            </c:strRef>
          </c:tx>
          <c:spPr>
            <a:ln w="28575" cap="rnd">
              <a:solidFill>
                <a:schemeClr val="accent5">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Summary'!$C$27:$AH$27</c:f>
              <c:numCache>
                <c:formatCode>0.0</c:formatCode>
                <c:ptCount val="32"/>
                <c:pt idx="0">
                  <c:v>7.9161219477199965E-2</c:v>
                </c:pt>
                <c:pt idx="1">
                  <c:v>7.5639151131400004E-2</c:v>
                </c:pt>
                <c:pt idx="2">
                  <c:v>7.3852744419999991E-2</c:v>
                </c:pt>
                <c:pt idx="3">
                  <c:v>7.4202946167700012E-2</c:v>
                </c:pt>
                <c:pt idx="4">
                  <c:v>7.2713172091900008E-2</c:v>
                </c:pt>
                <c:pt idx="5">
                  <c:v>7.5141272146499988E-2</c:v>
                </c:pt>
                <c:pt idx="6">
                  <c:v>7.0660668598099996E-2</c:v>
                </c:pt>
                <c:pt idx="7">
                  <c:v>7.4928919787399989E-2</c:v>
                </c:pt>
                <c:pt idx="8">
                  <c:v>7.4472834159899998E-2</c:v>
                </c:pt>
                <c:pt idx="9">
                  <c:v>7.6323808444699964E-2</c:v>
                </c:pt>
                <c:pt idx="10">
                  <c:v>7.7802728788699982E-2</c:v>
                </c:pt>
                <c:pt idx="11">
                  <c:v>8.0112403677399996E-2</c:v>
                </c:pt>
                <c:pt idx="12">
                  <c:v>7.6298821827700036E-2</c:v>
                </c:pt>
                <c:pt idx="13">
                  <c:v>7.5725315558599987E-2</c:v>
                </c:pt>
                <c:pt idx="14">
                  <c:v>7.7764213371699989E-2</c:v>
                </c:pt>
                <c:pt idx="15">
                  <c:v>7.6903455339100021E-2</c:v>
                </c:pt>
                <c:pt idx="16">
                  <c:v>7.9459336996399996E-2</c:v>
                </c:pt>
                <c:pt idx="17">
                  <c:v>8.3116101311900004E-2</c:v>
                </c:pt>
                <c:pt idx="18">
                  <c:v>8.2724922095100017E-2</c:v>
                </c:pt>
                <c:pt idx="19">
                  <c:v>8.21669477393E-2</c:v>
                </c:pt>
                <c:pt idx="20">
                  <c:v>8.4117234552400014E-2</c:v>
                </c:pt>
                <c:pt idx="21">
                  <c:v>7.264064191910001E-2</c:v>
                </c:pt>
                <c:pt idx="22">
                  <c:v>6.9757187211800006E-2</c:v>
                </c:pt>
                <c:pt idx="23">
                  <c:v>7.1630844382900016E-2</c:v>
                </c:pt>
                <c:pt idx="24">
                  <c:v>7.3030609059599988E-2</c:v>
                </c:pt>
                <c:pt idx="25">
                  <c:v>7.2667445020299995E-2</c:v>
                </c:pt>
                <c:pt idx="26">
                  <c:v>7.2251007459700006E-2</c:v>
                </c:pt>
                <c:pt idx="27">
                  <c:v>7.417031378860002E-2</c:v>
                </c:pt>
                <c:pt idx="28">
                  <c:v>7.3331760052699979E-2</c:v>
                </c:pt>
                <c:pt idx="29">
                  <c:v>7.2490651950900001E-2</c:v>
                </c:pt>
                <c:pt idx="30">
                  <c:v>7.2110015527699994E-2</c:v>
                </c:pt>
                <c:pt idx="31">
                  <c:v>7.1433277902600012E-2</c:v>
                </c:pt>
              </c:numCache>
            </c:numRef>
          </c:val>
          <c:smooth val="0"/>
          <c:extLst>
            <c:ext xmlns:c16="http://schemas.microsoft.com/office/drawing/2014/chart" uri="{C3380CC4-5D6E-409C-BE32-E72D297353CC}">
              <c16:uniqueId val="{00000002-5D58-406B-82A7-BC3353DB2EFA}"/>
            </c:ext>
          </c:extLst>
        </c:ser>
        <c:ser>
          <c:idx val="4"/>
          <c:order val="3"/>
          <c:tx>
            <c:strRef>
              <c:f>'Biogenic Summary'!$B$28</c:f>
              <c:strCache>
                <c:ptCount val="1"/>
                <c:pt idx="0">
                  <c:v>Settlements</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Summary'!$C$28:$AH$28</c:f>
              <c:numCache>
                <c:formatCode>0.0</c:formatCode>
                <c:ptCount val="32"/>
                <c:pt idx="0">
                  <c:v>-1.1454179257269832</c:v>
                </c:pt>
                <c:pt idx="1">
                  <c:v>-1.1430593718748079</c:v>
                </c:pt>
                <c:pt idx="2">
                  <c:v>-1.1530090121479271</c:v>
                </c:pt>
                <c:pt idx="3">
                  <c:v>-1.1585748364226691</c:v>
                </c:pt>
                <c:pt idx="4">
                  <c:v>-1.1633325320271455</c:v>
                </c:pt>
                <c:pt idx="5">
                  <c:v>-1.1713006558608419</c:v>
                </c:pt>
                <c:pt idx="6">
                  <c:v>-1.1882673219216933</c:v>
                </c:pt>
                <c:pt idx="7">
                  <c:v>-1.2229448716438389</c:v>
                </c:pt>
                <c:pt idx="8">
                  <c:v>-1.2311766904948203</c:v>
                </c:pt>
                <c:pt idx="9">
                  <c:v>-1.2342939058213673</c:v>
                </c:pt>
                <c:pt idx="10">
                  <c:v>-1.2531334030172829</c:v>
                </c:pt>
                <c:pt idx="11">
                  <c:v>-1.2567457878843864</c:v>
                </c:pt>
                <c:pt idx="12">
                  <c:v>-1.2623614455748076</c:v>
                </c:pt>
                <c:pt idx="13">
                  <c:v>-1.2707765225426035</c:v>
                </c:pt>
                <c:pt idx="14">
                  <c:v>-1.2972769474918953</c:v>
                </c:pt>
                <c:pt idx="15">
                  <c:v>-1.3180083497299573</c:v>
                </c:pt>
                <c:pt idx="16">
                  <c:v>-1.3343009821492982</c:v>
                </c:pt>
                <c:pt idx="17">
                  <c:v>-1.3583312320194252</c:v>
                </c:pt>
                <c:pt idx="18">
                  <c:v>-1.3357002837578615</c:v>
                </c:pt>
                <c:pt idx="19">
                  <c:v>-1.3819834086279228</c:v>
                </c:pt>
                <c:pt idx="20">
                  <c:v>-1.3994370169927701</c:v>
                </c:pt>
                <c:pt idx="21">
                  <c:v>-1.4008962808020939</c:v>
                </c:pt>
                <c:pt idx="22">
                  <c:v>-1.4046341420053516</c:v>
                </c:pt>
                <c:pt idx="23">
                  <c:v>-1.4139106695810997</c:v>
                </c:pt>
                <c:pt idx="24">
                  <c:v>-1.425362352888383</c:v>
                </c:pt>
                <c:pt idx="25">
                  <c:v>-1.4523758355129994</c:v>
                </c:pt>
                <c:pt idx="26">
                  <c:v>-1.4242748173710091</c:v>
                </c:pt>
                <c:pt idx="27">
                  <c:v>-1.421112856598449</c:v>
                </c:pt>
                <c:pt idx="28">
                  <c:v>-1.4488200792786954</c:v>
                </c:pt>
                <c:pt idx="29">
                  <c:v>-1.4457120244844244</c:v>
                </c:pt>
                <c:pt idx="30">
                  <c:v>-1.665003946209636</c:v>
                </c:pt>
                <c:pt idx="31">
                  <c:v>-1.6839923561929644</c:v>
                </c:pt>
              </c:numCache>
            </c:numRef>
          </c:val>
          <c:smooth val="0"/>
          <c:extLst>
            <c:ext xmlns:c16="http://schemas.microsoft.com/office/drawing/2014/chart" uri="{C3380CC4-5D6E-409C-BE32-E72D297353CC}">
              <c16:uniqueId val="{00000003-5D58-406B-82A7-BC3353DB2EFA}"/>
            </c:ext>
          </c:extLst>
        </c:ser>
        <c:ser>
          <c:idx val="1"/>
          <c:order val="4"/>
          <c:tx>
            <c:strRef>
              <c:f>'Biogenic Summary'!$B$25</c:f>
              <c:strCache>
                <c:ptCount val="1"/>
                <c:pt idx="0">
                  <c:v>Forest Land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Summary'!$C$25:$AH$25</c:f>
              <c:numCache>
                <c:formatCode>0.0</c:formatCode>
                <c:ptCount val="32"/>
                <c:pt idx="0">
                  <c:v>-4.9076768905666128</c:v>
                </c:pt>
                <c:pt idx="1">
                  <c:v>-4.9276768905666124</c:v>
                </c:pt>
                <c:pt idx="2">
                  <c:v>-4.9476768905666129</c:v>
                </c:pt>
                <c:pt idx="3">
                  <c:v>-5.0797651136523783</c:v>
                </c:pt>
                <c:pt idx="4">
                  <c:v>-5.1197651136523783</c:v>
                </c:pt>
                <c:pt idx="5">
                  <c:v>-5.1497651136523785</c:v>
                </c:pt>
                <c:pt idx="6">
                  <c:v>-5.1997651136523784</c:v>
                </c:pt>
                <c:pt idx="7">
                  <c:v>-5.2397651136523784</c:v>
                </c:pt>
                <c:pt idx="8">
                  <c:v>-5.2797651136523784</c:v>
                </c:pt>
                <c:pt idx="9">
                  <c:v>-5.3097651136523787</c:v>
                </c:pt>
                <c:pt idx="10">
                  <c:v>-5.2997651136523789</c:v>
                </c:pt>
                <c:pt idx="11">
                  <c:v>-5.3397651136523789</c:v>
                </c:pt>
                <c:pt idx="12">
                  <c:v>-5.3597651136523785</c:v>
                </c:pt>
                <c:pt idx="13">
                  <c:v>-5.4097651136523783</c:v>
                </c:pt>
                <c:pt idx="14">
                  <c:v>-5.419765113652379</c:v>
                </c:pt>
                <c:pt idx="15">
                  <c:v>-5.4497651136523784</c:v>
                </c:pt>
                <c:pt idx="16">
                  <c:v>-5.4997651136523791</c:v>
                </c:pt>
                <c:pt idx="17">
                  <c:v>-5.5297651136523784</c:v>
                </c:pt>
                <c:pt idx="18">
                  <c:v>-5.5497651136523789</c:v>
                </c:pt>
                <c:pt idx="19">
                  <c:v>-5.5897651136523789</c:v>
                </c:pt>
                <c:pt idx="20">
                  <c:v>-5.629765113652379</c:v>
                </c:pt>
                <c:pt idx="21">
                  <c:v>-5.669765113652379</c:v>
                </c:pt>
                <c:pt idx="22">
                  <c:v>-5.709765113652379</c:v>
                </c:pt>
                <c:pt idx="23">
                  <c:v>-5.7397651136523784</c:v>
                </c:pt>
                <c:pt idx="24">
                  <c:v>-5.7797651136523776</c:v>
                </c:pt>
                <c:pt idx="25">
                  <c:v>-5.8097651136523778</c:v>
                </c:pt>
                <c:pt idx="26">
                  <c:v>-5.8097651136523778</c:v>
                </c:pt>
                <c:pt idx="27">
                  <c:v>-5.7897651136523782</c:v>
                </c:pt>
                <c:pt idx="28">
                  <c:v>-5.799765113652378</c:v>
                </c:pt>
                <c:pt idx="29">
                  <c:v>-5.7897651136523782</c:v>
                </c:pt>
                <c:pt idx="30">
                  <c:v>-5.7797651136523776</c:v>
                </c:pt>
                <c:pt idx="31">
                  <c:v>-5.7797651136523776</c:v>
                </c:pt>
              </c:numCache>
            </c:numRef>
          </c:val>
          <c:smooth val="0"/>
          <c:extLst>
            <c:ext xmlns:c16="http://schemas.microsoft.com/office/drawing/2014/chart" uri="{C3380CC4-5D6E-409C-BE32-E72D297353CC}">
              <c16:uniqueId val="{00000004-5D58-406B-82A7-BC3353DB2EFA}"/>
            </c:ext>
          </c:extLst>
        </c:ser>
        <c:ser>
          <c:idx val="6"/>
          <c:order val="5"/>
          <c:tx>
            <c:strRef>
              <c:f>'Biogenic Summary'!$B$30</c:f>
              <c:strCache>
                <c:ptCount val="1"/>
                <c:pt idx="0">
                  <c:v>Net NWL Emissions</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'Biogenic Summary'!$C$24:$AH$24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Summary'!$C$30:$AH$30</c:f>
              <c:numCache>
                <c:formatCode>0.0</c:formatCode>
                <c:ptCount val="32"/>
                <c:pt idx="0">
                  <c:v>-5.6841465737107963</c:v>
                </c:pt>
                <c:pt idx="1">
                  <c:v>-5.6946301297974209</c:v>
                </c:pt>
                <c:pt idx="2">
                  <c:v>-5.7570385189392397</c:v>
                </c:pt>
                <c:pt idx="3">
                  <c:v>-5.8786264685362468</c:v>
                </c:pt>
                <c:pt idx="4">
                  <c:v>-5.9389507577366238</c:v>
                </c:pt>
                <c:pt idx="5">
                  <c:v>-5.9823236838541201</c:v>
                </c:pt>
                <c:pt idx="6">
                  <c:v>-6.0556247860892718</c:v>
                </c:pt>
                <c:pt idx="7">
                  <c:v>-6.1465226500729173</c:v>
                </c:pt>
                <c:pt idx="8">
                  <c:v>-6.1807549695038979</c:v>
                </c:pt>
                <c:pt idx="9">
                  <c:v>-6.2350487238073464</c:v>
                </c:pt>
                <c:pt idx="10">
                  <c:v>-6.1655606149976618</c:v>
                </c:pt>
                <c:pt idx="11">
                  <c:v>-6.2330901300534656</c:v>
                </c:pt>
                <c:pt idx="12">
                  <c:v>-6.2619931120181862</c:v>
                </c:pt>
                <c:pt idx="13">
                  <c:v>-6.3266476665036819</c:v>
                </c:pt>
                <c:pt idx="14">
                  <c:v>-6.3411180356260743</c:v>
                </c:pt>
                <c:pt idx="15">
                  <c:v>-6.4656927945032354</c:v>
                </c:pt>
                <c:pt idx="16">
                  <c:v>-6.5392466368140774</c:v>
                </c:pt>
                <c:pt idx="17">
                  <c:v>-6.5776235325797039</c:v>
                </c:pt>
                <c:pt idx="18">
                  <c:v>-6.541911757378041</c:v>
                </c:pt>
                <c:pt idx="19">
                  <c:v>-6.5936649821418012</c:v>
                </c:pt>
                <c:pt idx="20">
                  <c:v>-6.6840868021715494</c:v>
                </c:pt>
                <c:pt idx="21">
                  <c:v>-6.7417155380008733</c:v>
                </c:pt>
                <c:pt idx="22">
                  <c:v>-6.7922961443777314</c:v>
                </c:pt>
                <c:pt idx="23">
                  <c:v>-6.8037031796363774</c:v>
                </c:pt>
                <c:pt idx="24">
                  <c:v>-6.8476525660875609</c:v>
                </c:pt>
                <c:pt idx="25">
                  <c:v>-6.949045497939677</c:v>
                </c:pt>
                <c:pt idx="26">
                  <c:v>-6.9028307955541877</c:v>
                </c:pt>
                <c:pt idx="27">
                  <c:v>-6.8658898257945271</c:v>
                </c:pt>
                <c:pt idx="28">
                  <c:v>-6.9004621283778729</c:v>
                </c:pt>
                <c:pt idx="29">
                  <c:v>-6.8866346512074035</c:v>
                </c:pt>
                <c:pt idx="30">
                  <c:v>-7.0962972486820135</c:v>
                </c:pt>
                <c:pt idx="31">
                  <c:v>-7.1153382046472409</c:v>
                </c:pt>
              </c:numCache>
            </c:numRef>
          </c:val>
          <c:smooth val="0"/>
          <c:extLst>
            <c:ext xmlns:c16="http://schemas.microsoft.com/office/drawing/2014/chart" uri="{C3380CC4-5D6E-409C-BE32-E72D297353CC}">
              <c16:uniqueId val="{00000005-5D58-406B-82A7-BC3353DB2EFA}"/>
            </c:ext>
          </c:extLst>
        </c:ser>
        <c:dLbls>
          <c:showLegendKey val="0"/>
          <c:showVal val="0"/>
          <c:showCatName val="0"/>
          <c:showSerName val="0"/>
          <c:showPercent val="0"/>
          <c:showBubbleSize val="0"/>
        </c:dLbls>
        <c:marker val="1"/>
        <c:smooth val="0"/>
        <c:axId val="763958440"/>
        <c:axId val="763958768"/>
      </c:lineChart>
      <c:catAx>
        <c:axId val="76395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763958768"/>
        <c:crosses val="autoZero"/>
        <c:auto val="1"/>
        <c:lblAlgn val="ctr"/>
        <c:lblOffset val="100"/>
        <c:noMultiLvlLbl val="0"/>
      </c:catAx>
      <c:valAx>
        <c:axId val="763958768"/>
        <c:scaling>
          <c:orientation val="minMax"/>
          <c:max val="0.5"/>
          <c:min val="-7.5"/>
        </c:scaling>
        <c:delete val="0"/>
        <c:axPos val="l"/>
        <c:majorGridlines>
          <c:spPr>
            <a:ln w="12700" cap="flat" cmpd="sng" algn="ctr">
              <a:solidFill>
                <a:schemeClr val="tx1"/>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solidFill>
                      <a:sysClr val="windowText" lastClr="000000"/>
                    </a:solidFill>
                  </a:rPr>
                  <a:t>Million Metric Tons of CO</a:t>
                </a:r>
                <a:r>
                  <a:rPr lang="en-US" b="1" baseline="-25000">
                    <a:solidFill>
                      <a:sysClr val="windowText" lastClr="000000"/>
                    </a:solidFill>
                  </a:rPr>
                  <a:t>2</a:t>
                </a:r>
                <a:endParaRPr lang="en-US"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763958440"/>
        <c:crosses val="autoZero"/>
        <c:crossBetween val="between"/>
        <c:majorUnit val="0.5"/>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Massachusetts Biogenic CO</a:t>
            </a:r>
            <a:r>
              <a:rPr lang="en-US" sz="1400" b="1" i="0" baseline="-25000">
                <a:effectLst/>
              </a:rPr>
              <a:t>2 </a:t>
            </a:r>
            <a:r>
              <a:rPr lang="en-US" sz="1400" b="1" i="0" u="none" strike="noStrike" baseline="0">
                <a:effectLst/>
              </a:rPr>
              <a:t>Combustion Emissions </a:t>
            </a:r>
            <a:r>
              <a:rPr lang="en-US" sz="1400" b="1" i="0" baseline="0">
                <a:effectLst/>
              </a:rPr>
              <a:t> </a:t>
            </a:r>
            <a:endParaRPr lang="en-US" sz="1400" b="1">
              <a:effectLst/>
            </a:endParaRPr>
          </a:p>
        </c:rich>
      </c:tx>
      <c:layout>
        <c:manualLayout>
          <c:xMode val="edge"/>
          <c:yMode val="edge"/>
          <c:x val="9.8936482762401828E-2"/>
          <c:y val="2.7303746928664392E-2"/>
        </c:manualLayout>
      </c:layout>
      <c:overlay val="0"/>
    </c:title>
    <c:autoTitleDeleted val="0"/>
    <c:plotArea>
      <c:layout>
        <c:manualLayout>
          <c:layoutTarget val="inner"/>
          <c:xMode val="edge"/>
          <c:yMode val="edge"/>
          <c:x val="9.9124126004937044E-2"/>
          <c:y val="0.14735128124713626"/>
          <c:w val="0.67195485564304458"/>
          <c:h val="0.72043193667680616"/>
        </c:manualLayout>
      </c:layout>
      <c:lineChart>
        <c:grouping val="standard"/>
        <c:varyColors val="0"/>
        <c:ser>
          <c:idx val="4"/>
          <c:order val="0"/>
          <c:tx>
            <c:strRef>
              <c:f>'Biogenic Summary'!$B$10</c:f>
              <c:strCache>
                <c:ptCount val="1"/>
                <c:pt idx="0">
                  <c:v>    Electric (Wood, MSW, LFGTE and Imports)</c:v>
                </c:pt>
              </c:strCache>
            </c:strRef>
          </c:tx>
          <c:spPr>
            <a:ln>
              <a:solidFill>
                <a:srgbClr val="FF33CC"/>
              </a:solidFill>
            </a:ln>
          </c:spPr>
          <c:marker>
            <c:symbol val="square"/>
            <c:size val="5"/>
            <c:spPr>
              <a:solidFill>
                <a:srgbClr val="FFCCFF"/>
              </a:solidFill>
              <a:ln>
                <a:solidFill>
                  <a:srgbClr val="FF33CC"/>
                </a:solidFill>
              </a:ln>
            </c:spPr>
          </c:marker>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Summary'!$C$10:$AH$10</c:f>
              <c:numCache>
                <c:formatCode>#,##0.0</c:formatCode>
                <c:ptCount val="32"/>
                <c:pt idx="0">
                  <c:v>1.6979350990977795</c:v>
                </c:pt>
                <c:pt idx="1">
                  <c:v>1.7756118886142176</c:v>
                </c:pt>
                <c:pt idx="2">
                  <c:v>1.8956548212774458</c:v>
                </c:pt>
                <c:pt idx="3">
                  <c:v>2.015173567592214</c:v>
                </c:pt>
                <c:pt idx="4">
                  <c:v>2.202988280951752</c:v>
                </c:pt>
                <c:pt idx="5">
                  <c:v>2.1100677747232033</c:v>
                </c:pt>
                <c:pt idx="6">
                  <c:v>2.1822636711554533</c:v>
                </c:pt>
                <c:pt idx="7">
                  <c:v>2.2504020987545577</c:v>
                </c:pt>
                <c:pt idx="8">
                  <c:v>2.2322768293221618</c:v>
                </c:pt>
                <c:pt idx="9">
                  <c:v>2.2266195833350957</c:v>
                </c:pt>
                <c:pt idx="10">
                  <c:v>2.1909535229264967</c:v>
                </c:pt>
                <c:pt idx="11">
                  <c:v>2.7530559282591271</c:v>
                </c:pt>
                <c:pt idx="12">
                  <c:v>2.8671260795404825</c:v>
                </c:pt>
                <c:pt idx="13">
                  <c:v>2.5141993964252496</c:v>
                </c:pt>
                <c:pt idx="14">
                  <c:v>2.4577965596087985</c:v>
                </c:pt>
                <c:pt idx="15">
                  <c:v>3.1310279271990007</c:v>
                </c:pt>
                <c:pt idx="16">
                  <c:v>2.7529710346598049</c:v>
                </c:pt>
                <c:pt idx="17">
                  <c:v>3.404525990573315</c:v>
                </c:pt>
                <c:pt idx="18">
                  <c:v>3.6128117654597283</c:v>
                </c:pt>
                <c:pt idx="19">
                  <c:v>3.4450591459853546</c:v>
                </c:pt>
                <c:pt idx="20">
                  <c:v>3.400274633960704</c:v>
                </c:pt>
                <c:pt idx="21">
                  <c:v>3.1201335249929389</c:v>
                </c:pt>
                <c:pt idx="22">
                  <c:v>3.0384462859705095</c:v>
                </c:pt>
                <c:pt idx="23">
                  <c:v>3.1175423377552769</c:v>
                </c:pt>
                <c:pt idx="24">
                  <c:v>3.0758568702225508</c:v>
                </c:pt>
                <c:pt idx="25">
                  <c:v>3.2851990095882404</c:v>
                </c:pt>
                <c:pt idx="26">
                  <c:v>2.9867985213313286</c:v>
                </c:pt>
                <c:pt idx="27">
                  <c:v>2.0467655065340868</c:v>
                </c:pt>
                <c:pt idx="28">
                  <c:v>2.2121943698514843</c:v>
                </c:pt>
                <c:pt idx="29">
                  <c:v>2.1001964119385566</c:v>
                </c:pt>
                <c:pt idx="30">
                  <c:v>2.1254829320007884</c:v>
                </c:pt>
                <c:pt idx="31">
                  <c:v>1.9548880755963749</c:v>
                </c:pt>
              </c:numCache>
            </c:numRef>
          </c:val>
          <c:smooth val="0"/>
          <c:extLst>
            <c:ext xmlns:c16="http://schemas.microsoft.com/office/drawing/2014/chart" uri="{C3380CC4-5D6E-409C-BE32-E72D297353CC}">
              <c16:uniqueId val="{00000000-379C-49F2-AA09-A78A8A8D0778}"/>
            </c:ext>
          </c:extLst>
        </c:ser>
        <c:ser>
          <c:idx val="3"/>
          <c:order val="1"/>
          <c:tx>
            <c:strRef>
              <c:f>'Biogenic Summary'!$B$9</c:f>
              <c:strCache>
                <c:ptCount val="1"/>
                <c:pt idx="0">
                  <c:v>     Transportation (Ethanol and Biodiesel)</c:v>
                </c:pt>
              </c:strCache>
            </c:strRef>
          </c:tx>
          <c:marker>
            <c:symbol val="square"/>
            <c:size val="5"/>
            <c:spPr>
              <a:solidFill>
                <a:schemeClr val="accent4">
                  <a:lumMod val="20000"/>
                  <a:lumOff val="80000"/>
                </a:schemeClr>
              </a:solidFill>
            </c:spPr>
          </c:marker>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Summary'!$C$9:$AH$9</c:f>
              <c:numCache>
                <c:formatCode>#,##0.0_);\(#,##0.0\)</c:formatCode>
                <c:ptCount val="32"/>
                <c:pt idx="0">
                  <c:v>0</c:v>
                </c:pt>
                <c:pt idx="1">
                  <c:v>0</c:v>
                </c:pt>
                <c:pt idx="2">
                  <c:v>0</c:v>
                </c:pt>
                <c:pt idx="3">
                  <c:v>0</c:v>
                </c:pt>
                <c:pt idx="4">
                  <c:v>0</c:v>
                </c:pt>
                <c:pt idx="5">
                  <c:v>0</c:v>
                </c:pt>
                <c:pt idx="6">
                  <c:v>0</c:v>
                </c:pt>
                <c:pt idx="7">
                  <c:v>0</c:v>
                </c:pt>
                <c:pt idx="8">
                  <c:v>0</c:v>
                </c:pt>
                <c:pt idx="9">
                  <c:v>0</c:v>
                </c:pt>
                <c:pt idx="10">
                  <c:v>0</c:v>
                </c:pt>
                <c:pt idx="11">
                  <c:v>2.2148182421768706E-4</c:v>
                </c:pt>
                <c:pt idx="12">
                  <c:v>5.2959671590022675E-3</c:v>
                </c:pt>
                <c:pt idx="13">
                  <c:v>5.2221398842630384E-3</c:v>
                </c:pt>
                <c:pt idx="14">
                  <c:v>4.7395510658321989E-2</c:v>
                </c:pt>
                <c:pt idx="15">
                  <c:v>0.4137942762231292</c:v>
                </c:pt>
                <c:pt idx="16">
                  <c:v>1.1187378884019954</c:v>
                </c:pt>
                <c:pt idx="17">
                  <c:v>1.4386171523149205</c:v>
                </c:pt>
                <c:pt idx="18">
                  <c:v>1.1999270142135148</c:v>
                </c:pt>
                <c:pt idx="19">
                  <c:v>1.3291833749014059</c:v>
                </c:pt>
                <c:pt idx="20">
                  <c:v>1.6582573739609978</c:v>
                </c:pt>
                <c:pt idx="21">
                  <c:v>1.6111511734356463</c:v>
                </c:pt>
                <c:pt idx="22">
                  <c:v>1.5631634048620409</c:v>
                </c:pt>
                <c:pt idx="23">
                  <c:v>1.6521920194176869</c:v>
                </c:pt>
                <c:pt idx="24">
                  <c:v>1.6436632094886168</c:v>
                </c:pt>
                <c:pt idx="25">
                  <c:v>1.6717164140894332</c:v>
                </c:pt>
                <c:pt idx="26">
                  <c:v>1.7216663244578683</c:v>
                </c:pt>
                <c:pt idx="27">
                  <c:v>1.7135841575430386</c:v>
                </c:pt>
                <c:pt idx="28">
                  <c:v>1.6554308611537414</c:v>
                </c:pt>
                <c:pt idx="29">
                  <c:v>1.637346698236009</c:v>
                </c:pt>
                <c:pt idx="30">
                  <c:v>1.320269231390476</c:v>
                </c:pt>
                <c:pt idx="31">
                  <c:v>1.4771421919346939</c:v>
                </c:pt>
              </c:numCache>
            </c:numRef>
          </c:val>
          <c:smooth val="0"/>
          <c:extLst>
            <c:ext xmlns:c16="http://schemas.microsoft.com/office/drawing/2014/chart" uri="{C3380CC4-5D6E-409C-BE32-E72D297353CC}">
              <c16:uniqueId val="{00000001-379C-49F2-AA09-A78A8A8D0778}"/>
            </c:ext>
          </c:extLst>
        </c:ser>
        <c:ser>
          <c:idx val="0"/>
          <c:order val="2"/>
          <c:tx>
            <c:strRef>
              <c:f>'Biogenic Summary'!$B$6</c:f>
              <c:strCache>
                <c:ptCount val="1"/>
                <c:pt idx="0">
                  <c:v>     Residential (Wood and Biodiesel)</c:v>
                </c:pt>
              </c:strCache>
            </c:strRef>
          </c:tx>
          <c:spPr>
            <a:ln>
              <a:solidFill>
                <a:schemeClr val="accent5">
                  <a:lumMod val="75000"/>
                </a:schemeClr>
              </a:solidFill>
            </a:ln>
          </c:spPr>
          <c:marker>
            <c:symbol val="square"/>
            <c:size val="5"/>
            <c:spPr>
              <a:solidFill>
                <a:schemeClr val="accent5">
                  <a:lumMod val="40000"/>
                  <a:lumOff val="60000"/>
                </a:schemeClr>
              </a:solidFill>
              <a:ln>
                <a:solidFill>
                  <a:schemeClr val="accent5">
                    <a:lumMod val="75000"/>
                  </a:schemeClr>
                </a:solidFill>
              </a:ln>
            </c:spPr>
          </c:marker>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Summary'!$C$6:$AH$6</c:f>
              <c:numCache>
                <c:formatCode>#,##0.0</c:formatCode>
                <c:ptCount val="32"/>
                <c:pt idx="0">
                  <c:v>1.6953303838603173</c:v>
                </c:pt>
                <c:pt idx="1">
                  <c:v>1.7772974555809522</c:v>
                </c:pt>
                <c:pt idx="2">
                  <c:v>1.8647039897269839</c:v>
                </c:pt>
                <c:pt idx="3">
                  <c:v>1.9294148358222223</c:v>
                </c:pt>
                <c:pt idx="4">
                  <c:v>1.8314107283301586</c:v>
                </c:pt>
                <c:pt idx="5">
                  <c:v>1.8314107283301586</c:v>
                </c:pt>
                <c:pt idx="6">
                  <c:v>1.9018423883555555</c:v>
                </c:pt>
                <c:pt idx="7">
                  <c:v>1.3625853375619048</c:v>
                </c:pt>
                <c:pt idx="8">
                  <c:v>1.2108430926603175</c:v>
                </c:pt>
                <c:pt idx="9">
                  <c:v>1.2427295965333334</c:v>
                </c:pt>
                <c:pt idx="10">
                  <c:v>1.3382953243174602</c:v>
                </c:pt>
                <c:pt idx="11">
                  <c:v>1.0783604480718365</c:v>
                </c:pt>
                <c:pt idx="12">
                  <c:v>1.0948264898975058</c:v>
                </c:pt>
                <c:pt idx="13">
                  <c:v>1.1523359372640363</c:v>
                </c:pt>
                <c:pt idx="14">
                  <c:v>1.181422883683628</c:v>
                </c:pt>
                <c:pt idx="15">
                  <c:v>0.33755189776399092</c:v>
                </c:pt>
                <c:pt idx="16">
                  <c:v>0.30326080835809521</c:v>
                </c:pt>
                <c:pt idx="17">
                  <c:v>0.33661485927691609</c:v>
                </c:pt>
                <c:pt idx="18">
                  <c:v>0.37461530931773246</c:v>
                </c:pt>
                <c:pt idx="19">
                  <c:v>0.9639838426303855</c:v>
                </c:pt>
                <c:pt idx="20">
                  <c:v>1.0320180758889794</c:v>
                </c:pt>
                <c:pt idx="21">
                  <c:v>1.0148212400268481</c:v>
                </c:pt>
                <c:pt idx="22">
                  <c:v>0.8462220206828116</c:v>
                </c:pt>
                <c:pt idx="23">
                  <c:v>1.1649860368257594</c:v>
                </c:pt>
                <c:pt idx="24">
                  <c:v>1.1685351850757371</c:v>
                </c:pt>
                <c:pt idx="25">
                  <c:v>1.0697184976442629</c:v>
                </c:pt>
                <c:pt idx="26">
                  <c:v>0.91193573391854876</c:v>
                </c:pt>
                <c:pt idx="27">
                  <c:v>0.91405848802938772</c:v>
                </c:pt>
                <c:pt idx="28">
                  <c:v>0.85253937179065764</c:v>
                </c:pt>
                <c:pt idx="29">
                  <c:v>1.0113718345846712</c:v>
                </c:pt>
                <c:pt idx="30">
                  <c:v>0.62626841305360537</c:v>
                </c:pt>
                <c:pt idx="31">
                  <c:v>0.67169902239274371</c:v>
                </c:pt>
              </c:numCache>
            </c:numRef>
          </c:val>
          <c:smooth val="0"/>
          <c:extLst>
            <c:ext xmlns:c16="http://schemas.microsoft.com/office/drawing/2014/chart" uri="{C3380CC4-5D6E-409C-BE32-E72D297353CC}">
              <c16:uniqueId val="{00000002-379C-49F2-AA09-A78A8A8D0778}"/>
            </c:ext>
          </c:extLst>
        </c:ser>
        <c:ser>
          <c:idx val="2"/>
          <c:order val="3"/>
          <c:tx>
            <c:strRef>
              <c:f>'Biogenic Summary'!$B$8</c:f>
              <c:strCache>
                <c:ptCount val="1"/>
                <c:pt idx="0">
                  <c:v>     Industrial (Wood, MSW and Ethanol)</c:v>
                </c:pt>
              </c:strCache>
            </c:strRef>
          </c:tx>
          <c:spPr>
            <a:ln>
              <a:solidFill>
                <a:schemeClr val="accent2">
                  <a:lumMod val="75000"/>
                </a:schemeClr>
              </a:solidFill>
            </a:ln>
          </c:spPr>
          <c:marker>
            <c:symbol val="square"/>
            <c:size val="5"/>
            <c:spPr>
              <a:solidFill>
                <a:schemeClr val="accent2">
                  <a:lumMod val="20000"/>
                  <a:lumOff val="80000"/>
                </a:schemeClr>
              </a:solidFill>
              <a:ln>
                <a:solidFill>
                  <a:schemeClr val="accent2">
                    <a:lumMod val="75000"/>
                  </a:schemeClr>
                </a:solidFill>
              </a:ln>
            </c:spPr>
          </c:marker>
          <c:dPt>
            <c:idx val="24"/>
            <c:bubble3D val="0"/>
            <c:spPr>
              <a:ln>
                <a:solidFill>
                  <a:srgbClr val="C00000"/>
                </a:solidFill>
              </a:ln>
            </c:spPr>
            <c:extLst>
              <c:ext xmlns:c16="http://schemas.microsoft.com/office/drawing/2014/chart" uri="{C3380CC4-5D6E-409C-BE32-E72D297353CC}">
                <c16:uniqueId val="{00000004-379C-49F2-AA09-A78A8A8D0778}"/>
              </c:ext>
            </c:extLst>
          </c:dPt>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Summary'!$C$8:$AH$8</c:f>
              <c:numCache>
                <c:formatCode>#,##0.0</c:formatCode>
                <c:ptCount val="32"/>
                <c:pt idx="0">
                  <c:v>0.7113118792281703</c:v>
                </c:pt>
                <c:pt idx="1">
                  <c:v>0.72067566607458899</c:v>
                </c:pt>
                <c:pt idx="2">
                  <c:v>0.72642167970519367</c:v>
                </c:pt>
                <c:pt idx="3">
                  <c:v>0.69539289791064951</c:v>
                </c:pt>
                <c:pt idx="4">
                  <c:v>0.75216093368281622</c:v>
                </c:pt>
                <c:pt idx="5">
                  <c:v>0.84251819656638738</c:v>
                </c:pt>
                <c:pt idx="6">
                  <c:v>0.84819414865637088</c:v>
                </c:pt>
                <c:pt idx="7">
                  <c:v>0.89847356932866218</c:v>
                </c:pt>
                <c:pt idx="8">
                  <c:v>0.66067680364084702</c:v>
                </c:pt>
                <c:pt idx="9">
                  <c:v>0.64340181784905204</c:v>
                </c:pt>
                <c:pt idx="10">
                  <c:v>0.61394211447982583</c:v>
                </c:pt>
                <c:pt idx="11">
                  <c:v>0.4701093094652154</c:v>
                </c:pt>
                <c:pt idx="12">
                  <c:v>0.3066445451192743</c:v>
                </c:pt>
                <c:pt idx="13">
                  <c:v>0.31170899218430836</c:v>
                </c:pt>
                <c:pt idx="14">
                  <c:v>0.32974522336380951</c:v>
                </c:pt>
                <c:pt idx="15">
                  <c:v>0.3392203901737868</c:v>
                </c:pt>
                <c:pt idx="16">
                  <c:v>0.39427225170285135</c:v>
                </c:pt>
                <c:pt idx="17">
                  <c:v>0.41561929193373859</c:v>
                </c:pt>
                <c:pt idx="18">
                  <c:v>0.40104450900065269</c:v>
                </c:pt>
                <c:pt idx="19">
                  <c:v>0.36982602658391434</c:v>
                </c:pt>
                <c:pt idx="20">
                  <c:v>0.54384678392272112</c:v>
                </c:pt>
                <c:pt idx="21">
                  <c:v>0.72023291921632637</c:v>
                </c:pt>
                <c:pt idx="22">
                  <c:v>0.71479663972535135</c:v>
                </c:pt>
                <c:pt idx="23">
                  <c:v>0.71625647562702932</c:v>
                </c:pt>
                <c:pt idx="24">
                  <c:v>0.68931105723356001</c:v>
                </c:pt>
                <c:pt idx="25">
                  <c:v>0.69110237261750562</c:v>
                </c:pt>
                <c:pt idx="26">
                  <c:v>0.68918600082285708</c:v>
                </c:pt>
                <c:pt idx="27">
                  <c:v>0.3202513424105215</c:v>
                </c:pt>
                <c:pt idx="28">
                  <c:v>0.30486682401922899</c:v>
                </c:pt>
                <c:pt idx="29">
                  <c:v>0.32157134966204082</c:v>
                </c:pt>
                <c:pt idx="30">
                  <c:v>0.31591246248344668</c:v>
                </c:pt>
                <c:pt idx="31">
                  <c:v>0.30174266248344667</c:v>
                </c:pt>
              </c:numCache>
            </c:numRef>
          </c:val>
          <c:smooth val="0"/>
          <c:extLst>
            <c:ext xmlns:c16="http://schemas.microsoft.com/office/drawing/2014/chart" uri="{C3380CC4-5D6E-409C-BE32-E72D297353CC}">
              <c16:uniqueId val="{00000005-379C-49F2-AA09-A78A8A8D0778}"/>
            </c:ext>
          </c:extLst>
        </c:ser>
        <c:ser>
          <c:idx val="1"/>
          <c:order val="4"/>
          <c:tx>
            <c:strRef>
              <c:f>'Biogenic Summary'!$B$7</c:f>
              <c:strCache>
                <c:ptCount val="1"/>
                <c:pt idx="0">
                  <c:v>     Commercial (Wood, Ethanol and Biogas)</c:v>
                </c:pt>
              </c:strCache>
            </c:strRef>
          </c:tx>
          <c:spPr>
            <a:ln>
              <a:solidFill>
                <a:schemeClr val="accent1">
                  <a:lumMod val="50000"/>
                </a:schemeClr>
              </a:solidFill>
            </a:ln>
          </c:spPr>
          <c:marker>
            <c:symbol val="square"/>
            <c:size val="5"/>
            <c:spPr>
              <a:solidFill>
                <a:schemeClr val="accent1">
                  <a:lumMod val="20000"/>
                  <a:lumOff val="80000"/>
                </a:schemeClr>
              </a:solidFill>
              <a:ln>
                <a:solidFill>
                  <a:schemeClr val="accent1">
                    <a:lumMod val="50000"/>
                  </a:schemeClr>
                </a:solidFill>
              </a:ln>
            </c:spPr>
          </c:marker>
          <c:dPt>
            <c:idx val="24"/>
            <c:marker>
              <c:spPr>
                <a:solidFill>
                  <a:schemeClr val="tx2">
                    <a:lumMod val="20000"/>
                    <a:lumOff val="80000"/>
                  </a:schemeClr>
                </a:solidFill>
                <a:ln>
                  <a:solidFill>
                    <a:schemeClr val="accent1">
                      <a:lumMod val="50000"/>
                    </a:schemeClr>
                  </a:solidFill>
                </a:ln>
              </c:spPr>
            </c:marker>
            <c:bubble3D val="0"/>
            <c:extLst>
              <c:ext xmlns:c16="http://schemas.microsoft.com/office/drawing/2014/chart" uri="{C3380CC4-5D6E-409C-BE32-E72D297353CC}">
                <c16:uniqueId val="{00000006-379C-49F2-AA09-A78A8A8D0778}"/>
              </c:ext>
            </c:extLst>
          </c:dPt>
          <c:trendline>
            <c:trendlineType val="linear"/>
            <c:dispRSqr val="0"/>
            <c:dispEq val="0"/>
          </c:trendline>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Summary'!$C$7:$AH$7</c:f>
              <c:numCache>
                <c:formatCode>#,##0.0</c:formatCode>
                <c:ptCount val="32"/>
                <c:pt idx="0">
                  <c:v>0.18531685780317458</c:v>
                </c:pt>
                <c:pt idx="1">
                  <c:v>0.19347605144126984</c:v>
                </c:pt>
                <c:pt idx="2">
                  <c:v>0.20397984095238092</c:v>
                </c:pt>
                <c:pt idx="3">
                  <c:v>0.25968743889523804</c:v>
                </c:pt>
                <c:pt idx="4">
                  <c:v>0.24871473020952381</c:v>
                </c:pt>
                <c:pt idx="5">
                  <c:v>0.25105932608253967</c:v>
                </c:pt>
                <c:pt idx="6">
                  <c:v>0.26071906107936504</c:v>
                </c:pt>
                <c:pt idx="7">
                  <c:v>0.22761336735238094</c:v>
                </c:pt>
                <c:pt idx="8">
                  <c:v>0.19882173003174602</c:v>
                </c:pt>
                <c:pt idx="9">
                  <c:v>0.20913795187301587</c:v>
                </c:pt>
                <c:pt idx="10">
                  <c:v>0.26182484048136051</c:v>
                </c:pt>
                <c:pt idx="11">
                  <c:v>0.22387673141877548</c:v>
                </c:pt>
                <c:pt idx="12">
                  <c:v>0.23945701591827662</c:v>
                </c:pt>
                <c:pt idx="13">
                  <c:v>0.24159780692018137</c:v>
                </c:pt>
                <c:pt idx="14">
                  <c:v>0.28813235597841269</c:v>
                </c:pt>
                <c:pt idx="15">
                  <c:v>0.10225727239435424</c:v>
                </c:pt>
                <c:pt idx="16">
                  <c:v>0.10253096979114308</c:v>
                </c:pt>
                <c:pt idx="17">
                  <c:v>0.10389064074891245</c:v>
                </c:pt>
                <c:pt idx="18">
                  <c:v>0.1071128271854907</c:v>
                </c:pt>
                <c:pt idx="19">
                  <c:v>0.18839204446473759</c:v>
                </c:pt>
                <c:pt idx="20">
                  <c:v>0.18313075718010469</c:v>
                </c:pt>
                <c:pt idx="21">
                  <c:v>0.18417583599584866</c:v>
                </c:pt>
                <c:pt idx="22">
                  <c:v>0.1640137442610094</c:v>
                </c:pt>
                <c:pt idx="23">
                  <c:v>0.1844783576265496</c:v>
                </c:pt>
                <c:pt idx="24">
                  <c:v>0.19032762022809607</c:v>
                </c:pt>
                <c:pt idx="25">
                  <c:v>0.23112570770970567</c:v>
                </c:pt>
                <c:pt idx="26">
                  <c:v>0.22715258532088306</c:v>
                </c:pt>
                <c:pt idx="27">
                  <c:v>0.23223909572959406</c:v>
                </c:pt>
                <c:pt idx="28">
                  <c:v>0.20625459767011556</c:v>
                </c:pt>
                <c:pt idx="29">
                  <c:v>0.2280774679930215</c:v>
                </c:pt>
                <c:pt idx="30">
                  <c:v>0.21445253140307996</c:v>
                </c:pt>
                <c:pt idx="31">
                  <c:v>0.2279092017652693</c:v>
                </c:pt>
              </c:numCache>
            </c:numRef>
          </c:val>
          <c:smooth val="0"/>
          <c:extLst>
            <c:ext xmlns:c16="http://schemas.microsoft.com/office/drawing/2014/chart" uri="{C3380CC4-5D6E-409C-BE32-E72D297353CC}">
              <c16:uniqueId val="{00000008-379C-49F2-AA09-A78A8A8D0778}"/>
            </c:ext>
          </c:extLst>
        </c:ser>
        <c:ser>
          <c:idx val="5"/>
          <c:order val="5"/>
          <c:tx>
            <c:strRef>
              <c:f>'Biogenic Summary'!$B$15</c:f>
              <c:strCache>
                <c:ptCount val="1"/>
                <c:pt idx="0">
                  <c:v>    Waste (LFG and Digester Gas)</c:v>
                </c:pt>
              </c:strCache>
            </c:strRef>
          </c:tx>
          <c:spPr>
            <a:ln>
              <a:solidFill>
                <a:schemeClr val="bg2">
                  <a:lumMod val="25000"/>
                </a:schemeClr>
              </a:solidFill>
            </a:ln>
          </c:spPr>
          <c:marker>
            <c:symbol val="circle"/>
            <c:size val="5"/>
            <c:spPr>
              <a:solidFill>
                <a:schemeClr val="bg2">
                  <a:lumMod val="75000"/>
                </a:schemeClr>
              </a:solidFill>
              <a:ln>
                <a:solidFill>
                  <a:srgbClr val="EEECE1">
                    <a:lumMod val="25000"/>
                  </a:srgbClr>
                </a:solidFill>
              </a:ln>
            </c:spPr>
          </c:marker>
          <c:cat>
            <c:numRef>
              <c:f>'Biogenic Summary'!$C$4:$AH$4</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'Biogenic Summary'!$C$15:$AH$15</c:f>
              <c:numCache>
                <c:formatCode>_(* #,##0.00_);_(* \(#,##0.00\);_(* "-"??_);_(@_)</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4.0222470264825727E-3</c:v>
                </c:pt>
                <c:pt idx="16" formatCode="#,##0.0">
                  <c:v>2.1036720346162231E-3</c:v>
                </c:pt>
                <c:pt idx="17" formatCode="#,##0.0">
                  <c:v>1.2046269729633005E-3</c:v>
                </c:pt>
                <c:pt idx="18" formatCode="#,##0.0">
                  <c:v>8.9988145594436879E-4</c:v>
                </c:pt>
                <c:pt idx="19" formatCode="#,##0.0">
                  <c:v>8.3089436442852175E-4</c:v>
                </c:pt>
                <c:pt idx="20" formatCode="#,##0.0">
                  <c:v>0.12703821095533696</c:v>
                </c:pt>
                <c:pt idx="21" formatCode="#,##0.0">
                  <c:v>0.11573072101309732</c:v>
                </c:pt>
                <c:pt idx="22" formatCode="#,##0.0">
                  <c:v>0.1058917904808058</c:v>
                </c:pt>
                <c:pt idx="23" formatCode="#,##0.0">
                  <c:v>0.11311618756795899</c:v>
                </c:pt>
                <c:pt idx="24" formatCode="#,##0.0">
                  <c:v>9.0843311885069125E-2</c:v>
                </c:pt>
                <c:pt idx="25" formatCode="#,##0.0">
                  <c:v>2.5207445831165527E-2</c:v>
                </c:pt>
                <c:pt idx="26" formatCode="#,##0.0">
                  <c:v>3.2276414799801277E-2</c:v>
                </c:pt>
                <c:pt idx="27" formatCode="#,##0.0">
                  <c:v>3.0460217759851187E-2</c:v>
                </c:pt>
                <c:pt idx="28" formatCode="#,##0.0">
                  <c:v>2.917558000451231E-2</c:v>
                </c:pt>
                <c:pt idx="29" formatCode="#,##0.0">
                  <c:v>2.7752122226150248E-2</c:v>
                </c:pt>
                <c:pt idx="30" formatCode="#,##0.0">
                  <c:v>2.898988559742156E-2</c:v>
                </c:pt>
                <c:pt idx="31" formatCode="#,##0.0">
                  <c:v>2.918176366956593E-2</c:v>
                </c:pt>
              </c:numCache>
            </c:numRef>
          </c:val>
          <c:smooth val="0"/>
          <c:extLst>
            <c:ext xmlns:c16="http://schemas.microsoft.com/office/drawing/2014/chart" uri="{C3380CC4-5D6E-409C-BE32-E72D297353CC}">
              <c16:uniqueId val="{00000009-379C-49F2-AA09-A78A8A8D0778}"/>
            </c:ext>
          </c:extLst>
        </c:ser>
        <c:dLbls>
          <c:showLegendKey val="0"/>
          <c:showVal val="0"/>
          <c:showCatName val="0"/>
          <c:showSerName val="0"/>
          <c:showPercent val="0"/>
          <c:showBubbleSize val="0"/>
        </c:dLbls>
        <c:marker val="1"/>
        <c:smooth val="0"/>
        <c:axId val="79599488"/>
        <c:axId val="79601024"/>
      </c:lineChart>
      <c:catAx>
        <c:axId val="79599488"/>
        <c:scaling>
          <c:orientation val="minMax"/>
        </c:scaling>
        <c:delete val="0"/>
        <c:axPos val="b"/>
        <c:numFmt formatCode="General"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79601024"/>
        <c:crossesAt val="0"/>
        <c:auto val="1"/>
        <c:lblAlgn val="ctr"/>
        <c:lblOffset val="100"/>
        <c:tickLblSkip val="5"/>
        <c:noMultiLvlLbl val="0"/>
      </c:catAx>
      <c:valAx>
        <c:axId val="79601024"/>
        <c:scaling>
          <c:orientation val="minMax"/>
        </c:scaling>
        <c:delete val="0"/>
        <c:axPos val="l"/>
        <c:majorGridlines/>
        <c:title>
          <c:tx>
            <c:rich>
              <a:bodyPr/>
              <a:lstStyle/>
              <a:p>
                <a:pPr>
                  <a:defRPr b="1"/>
                </a:pPr>
                <a:r>
                  <a:rPr lang="en-US" sz="1000" b="1" i="0" u="none" strike="noStrike" baseline="0">
                    <a:effectLst/>
                  </a:rPr>
                  <a:t>Million Metric Tons of CO</a:t>
                </a:r>
                <a:r>
                  <a:rPr lang="en-US" sz="1000" b="1" i="0" u="none" strike="noStrike" baseline="-25000">
                    <a:effectLst/>
                  </a:rPr>
                  <a:t>2</a:t>
                </a:r>
                <a:r>
                  <a:rPr lang="en-US" sz="1000" b="1" i="0" u="none" strike="noStrike" baseline="0">
                    <a:effectLst/>
                  </a:rPr>
                  <a:t> </a:t>
                </a:r>
                <a:endParaRPr lang="en-US" b="1"/>
              </a:p>
            </c:rich>
          </c:tx>
          <c:overlay val="0"/>
        </c:title>
        <c:numFmt formatCode="#,##0.0"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79599488"/>
        <c:crosses val="autoZero"/>
        <c:crossBetween val="midCat"/>
      </c:valAx>
    </c:plotArea>
    <c:legend>
      <c:legendPos val="r"/>
      <c:legendEntry>
        <c:idx val="6"/>
        <c:delete val="1"/>
      </c:legendEntry>
      <c:layout>
        <c:manualLayout>
          <c:xMode val="edge"/>
          <c:yMode val="edge"/>
          <c:x val="0.7845361329833771"/>
          <c:y val="3.2110388833842457E-2"/>
          <c:w val="0.21546383135229108"/>
          <c:h val="0.95827310250380182"/>
        </c:manualLayout>
      </c:layout>
      <c:overlay val="0"/>
      <c:txPr>
        <a:bodyPr/>
        <a:lstStyle/>
        <a:p>
          <a:pPr>
            <a:defRPr sz="1000" b="1"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Massachusetts GHG Emissions from Fuel Combustion</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rPr>
              <a:t> (by Sector)</a:t>
            </a:r>
          </a:p>
        </c:rich>
      </c:tx>
      <c:overlay val="1"/>
    </c:title>
    <c:autoTitleDeleted val="0"/>
    <c:plotArea>
      <c:layout>
        <c:manualLayout>
          <c:layoutTarget val="inner"/>
          <c:xMode val="edge"/>
          <c:yMode val="edge"/>
          <c:x val="9.2726194460591757E-2"/>
          <c:y val="0.13862553412707471"/>
          <c:w val="0.88742207812258767"/>
          <c:h val="0.72398848694637807"/>
        </c:manualLayout>
      </c:layout>
      <c:lineChart>
        <c:grouping val="standard"/>
        <c:varyColors val="0"/>
        <c:ser>
          <c:idx val="12"/>
          <c:order val="0"/>
          <c:tx>
            <c:strRef>
              <c:f>Summary!$C$41</c:f>
              <c:strCache>
                <c:ptCount val="1"/>
                <c:pt idx="0">
                  <c:v>Transportation</c:v>
                </c:pt>
              </c:strCache>
            </c:strRef>
          </c:tx>
          <c:spPr>
            <a:ln w="31750">
              <a:solidFill>
                <a:schemeClr val="accent4">
                  <a:lumMod val="75000"/>
                </a:schemeClr>
              </a:solidFill>
              <a:prstDash val="solid"/>
            </a:ln>
          </c:spPr>
          <c:marker>
            <c:symbol val="square"/>
            <c:size val="5"/>
            <c:spPr>
              <a:solidFill>
                <a:schemeClr val="accent4">
                  <a:lumMod val="40000"/>
                  <a:lumOff val="60000"/>
                </a:schemeClr>
              </a:solidFill>
              <a:ln>
                <a:solidFill>
                  <a:schemeClr val="accent4">
                    <a:lumMod val="75000"/>
                  </a:schemeClr>
                </a:solidFill>
              </a:ln>
            </c:spPr>
          </c:marker>
          <c:dPt>
            <c:idx val="23"/>
            <c:marker>
              <c:spPr>
                <a:solidFill>
                  <a:schemeClr val="accent4">
                    <a:lumMod val="60000"/>
                    <a:lumOff val="40000"/>
                  </a:schemeClr>
                </a:solidFill>
                <a:ln>
                  <a:solidFill>
                    <a:schemeClr val="accent4">
                      <a:lumMod val="75000"/>
                    </a:schemeClr>
                  </a:solidFill>
                </a:ln>
              </c:spPr>
            </c:marker>
            <c:bubble3D val="0"/>
            <c:extLst>
              <c:ext xmlns:c16="http://schemas.microsoft.com/office/drawing/2014/chart" uri="{C3380CC4-5D6E-409C-BE32-E72D297353CC}">
                <c16:uniqueId val="{00000000-B580-45B2-A5D6-511B129F9B3A}"/>
              </c:ext>
            </c:extLst>
          </c:dPt>
          <c:dPt>
            <c:idx val="28"/>
            <c:bubble3D val="0"/>
            <c:extLst>
              <c:ext xmlns:c16="http://schemas.microsoft.com/office/drawing/2014/chart" uri="{C3380CC4-5D6E-409C-BE32-E72D297353CC}">
                <c16:uniqueId val="{00000001-B580-45B2-A5D6-511B129F9B3A}"/>
              </c:ext>
            </c:extLst>
          </c:dPt>
          <c:cat>
            <c:numRef>
              <c:f>Summary!$D$39:$AI$39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Summary!$D$41:$AI$41</c:f>
              <c:numCache>
                <c:formatCode>0.0</c:formatCode>
                <c:ptCount val="32"/>
                <c:pt idx="0">
                  <c:v>29.581745501205152</c:v>
                </c:pt>
                <c:pt idx="1">
                  <c:v>28.008157894701178</c:v>
                </c:pt>
                <c:pt idx="2">
                  <c:v>27.563413985474689</c:v>
                </c:pt>
                <c:pt idx="3">
                  <c:v>27.772478299795356</c:v>
                </c:pt>
                <c:pt idx="4">
                  <c:v>28.042783422795132</c:v>
                </c:pt>
                <c:pt idx="5">
                  <c:v>28.704985829013353</c:v>
                </c:pt>
                <c:pt idx="6">
                  <c:v>29.563275834798592</c:v>
                </c:pt>
                <c:pt idx="7">
                  <c:v>29.897702983833565</c:v>
                </c:pt>
                <c:pt idx="8">
                  <c:v>30.181109205449104</c:v>
                </c:pt>
                <c:pt idx="9">
                  <c:v>30.790053220998082</c:v>
                </c:pt>
                <c:pt idx="10">
                  <c:v>31.933517863915544</c:v>
                </c:pt>
                <c:pt idx="11">
                  <c:v>31.430585003037418</c:v>
                </c:pt>
                <c:pt idx="12">
                  <c:v>31.574740568992283</c:v>
                </c:pt>
                <c:pt idx="13">
                  <c:v>31.975501264052333</c:v>
                </c:pt>
                <c:pt idx="14">
                  <c:v>33.215146622359377</c:v>
                </c:pt>
                <c:pt idx="15">
                  <c:v>33.175691422999876</c:v>
                </c:pt>
                <c:pt idx="16">
                  <c:v>32.288107111618324</c:v>
                </c:pt>
                <c:pt idx="17">
                  <c:v>32.541825019643213</c:v>
                </c:pt>
                <c:pt idx="18">
                  <c:v>31.54022746940004</c:v>
                </c:pt>
                <c:pt idx="19">
                  <c:v>29.587581784741189</c:v>
                </c:pt>
                <c:pt idx="20">
                  <c:v>29.777333231530921</c:v>
                </c:pt>
                <c:pt idx="21">
                  <c:v>29.714058402593366</c:v>
                </c:pt>
                <c:pt idx="22">
                  <c:v>29.128761594393538</c:v>
                </c:pt>
                <c:pt idx="23">
                  <c:v>30.369155716681494</c:v>
                </c:pt>
                <c:pt idx="24">
                  <c:v>28.526599424836107</c:v>
                </c:pt>
                <c:pt idx="25">
                  <c:v>28.936034779613621</c:v>
                </c:pt>
                <c:pt idx="26">
                  <c:v>29.270928447936527</c:v>
                </c:pt>
                <c:pt idx="27">
                  <c:v>28.685739090034748</c:v>
                </c:pt>
                <c:pt idx="28">
                  <c:v>29.324613555027671</c:v>
                </c:pt>
                <c:pt idx="29">
                  <c:v>29.077598592722559</c:v>
                </c:pt>
                <c:pt idx="30">
                  <c:v>22.943227217729611</c:v>
                </c:pt>
                <c:pt idx="31">
                  <c:v>25.606773851436834</c:v>
                </c:pt>
              </c:numCache>
            </c:numRef>
          </c:val>
          <c:smooth val="0"/>
          <c:extLst>
            <c:ext xmlns:c16="http://schemas.microsoft.com/office/drawing/2014/chart" uri="{C3380CC4-5D6E-409C-BE32-E72D297353CC}">
              <c16:uniqueId val="{00000002-B580-45B2-A5D6-511B129F9B3A}"/>
            </c:ext>
          </c:extLst>
        </c:ser>
        <c:ser>
          <c:idx val="3"/>
          <c:order val="1"/>
          <c:tx>
            <c:strRef>
              <c:f>Summary!$C$40</c:f>
              <c:strCache>
                <c:ptCount val="1"/>
                <c:pt idx="0">
                  <c:v>Electric Power</c:v>
                </c:pt>
              </c:strCache>
            </c:strRef>
          </c:tx>
          <c:spPr>
            <a:ln w="31750" cmpd="sng">
              <a:solidFill>
                <a:srgbClr val="FF33CC"/>
              </a:solidFill>
              <a:prstDash val="solid"/>
            </a:ln>
          </c:spPr>
          <c:marker>
            <c:symbol val="square"/>
            <c:size val="5"/>
            <c:spPr>
              <a:solidFill>
                <a:srgbClr val="FFCCFF"/>
              </a:solidFill>
              <a:ln>
                <a:solidFill>
                  <a:srgbClr val="FF33CC"/>
                </a:solidFill>
              </a:ln>
            </c:spPr>
          </c:marker>
          <c:cat>
            <c:numRef>
              <c:f>Summary!$D$39:$AI$39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Summary!$D$40:$AI$40</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3-B580-45B2-A5D6-511B129F9B3A}"/>
            </c:ext>
          </c:extLst>
        </c:ser>
        <c:ser>
          <c:idx val="0"/>
          <c:order val="2"/>
          <c:tx>
            <c:strRef>
              <c:f>Summary!$C$42</c:f>
              <c:strCache>
                <c:ptCount val="1"/>
                <c:pt idx="0">
                  <c:v>Commercial &amp; Industrial Heating and Cooling</c:v>
                </c:pt>
              </c:strCache>
            </c:strRef>
          </c:tx>
          <c:spPr>
            <a:ln>
              <a:solidFill>
                <a:schemeClr val="accent3">
                  <a:lumMod val="50000"/>
                </a:schemeClr>
              </a:solidFill>
            </a:ln>
          </c:spPr>
          <c:marker>
            <c:spPr>
              <a:solidFill>
                <a:schemeClr val="bg2">
                  <a:lumMod val="75000"/>
                </a:schemeClr>
              </a:solidFill>
            </c:spPr>
          </c:marker>
          <c:cat>
            <c:numRef>
              <c:f>Summary!$D$39:$AI$39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Summary!$D$42:$AI$42</c:f>
              <c:numCache>
                <c:formatCode>0.0</c:formatCode>
                <c:ptCount val="32"/>
                <c:pt idx="0">
                  <c:v>14.055381766855493</c:v>
                </c:pt>
                <c:pt idx="1">
                  <c:v>13.965558398901575</c:v>
                </c:pt>
                <c:pt idx="2">
                  <c:v>15.454769724684319</c:v>
                </c:pt>
                <c:pt idx="3">
                  <c:v>14.67203489478517</c:v>
                </c:pt>
                <c:pt idx="4">
                  <c:v>14.660335216953548</c:v>
                </c:pt>
                <c:pt idx="5">
                  <c:v>14.073623515161968</c:v>
                </c:pt>
                <c:pt idx="6">
                  <c:v>14.15621980544649</c:v>
                </c:pt>
                <c:pt idx="7">
                  <c:v>14.646433540028744</c:v>
                </c:pt>
                <c:pt idx="8">
                  <c:v>12.944191510867268</c:v>
                </c:pt>
                <c:pt idx="9">
                  <c:v>11.762979696742423</c:v>
                </c:pt>
                <c:pt idx="10">
                  <c:v>12.226723049190603</c:v>
                </c:pt>
                <c:pt idx="11">
                  <c:v>12.341527856577594</c:v>
                </c:pt>
                <c:pt idx="12">
                  <c:v>12.365749464250435</c:v>
                </c:pt>
                <c:pt idx="13">
                  <c:v>11.543804403142637</c:v>
                </c:pt>
                <c:pt idx="14">
                  <c:v>10.859946077193735</c:v>
                </c:pt>
                <c:pt idx="15">
                  <c:v>11.251302307188087</c:v>
                </c:pt>
                <c:pt idx="16">
                  <c:v>9.445686993980253</c:v>
                </c:pt>
                <c:pt idx="17">
                  <c:v>9.694596477951098</c:v>
                </c:pt>
                <c:pt idx="18">
                  <c:v>9.611009602596063</c:v>
                </c:pt>
                <c:pt idx="19">
                  <c:v>9.1116623697373953</c:v>
                </c:pt>
                <c:pt idx="20">
                  <c:v>10.471446418321657</c:v>
                </c:pt>
                <c:pt idx="21">
                  <c:v>10.238267466139469</c:v>
                </c:pt>
                <c:pt idx="22">
                  <c:v>8.5874396613112118</c:v>
                </c:pt>
                <c:pt idx="23">
                  <c:v>10.306058888553265</c:v>
                </c:pt>
                <c:pt idx="24">
                  <c:v>10.615654374570585</c:v>
                </c:pt>
                <c:pt idx="25">
                  <c:v>11.032681748556765</c:v>
                </c:pt>
                <c:pt idx="26">
                  <c:v>10.234608706845753</c:v>
                </c:pt>
                <c:pt idx="27">
                  <c:v>10.661053991425302</c:v>
                </c:pt>
                <c:pt idx="28">
                  <c:v>11.234541401531541</c:v>
                </c:pt>
                <c:pt idx="29">
                  <c:v>11.503669098737809</c:v>
                </c:pt>
                <c:pt idx="30">
                  <c:v>10.450612711543293</c:v>
                </c:pt>
                <c:pt idx="31">
                  <c:v>10.750426620917228</c:v>
                </c:pt>
              </c:numCache>
            </c:numRef>
          </c:val>
          <c:smooth val="0"/>
          <c:extLst>
            <c:ext xmlns:c16="http://schemas.microsoft.com/office/drawing/2014/chart" uri="{C3380CC4-5D6E-409C-BE32-E72D297353CC}">
              <c16:uniqueId val="{00000006-B580-45B2-A5D6-511B129F9B3A}"/>
            </c:ext>
          </c:extLst>
        </c:ser>
        <c:ser>
          <c:idx val="1"/>
          <c:order val="3"/>
          <c:tx>
            <c:strRef>
              <c:f>Summary!$C$43</c:f>
              <c:strCache>
                <c:ptCount val="1"/>
                <c:pt idx="0">
                  <c:v>Residential Heating and Cooling</c:v>
                </c:pt>
              </c:strCache>
            </c:strRef>
          </c:tx>
          <c:spPr>
            <a:ln w="22225">
              <a:solidFill>
                <a:schemeClr val="accent5">
                  <a:lumMod val="75000"/>
                </a:schemeClr>
              </a:solidFill>
            </a:ln>
          </c:spPr>
          <c:marker>
            <c:spPr>
              <a:solidFill>
                <a:schemeClr val="accent5">
                  <a:lumMod val="60000"/>
                  <a:lumOff val="40000"/>
                </a:schemeClr>
              </a:solidFill>
              <a:ln>
                <a:solidFill>
                  <a:srgbClr val="7030A0"/>
                </a:solidFill>
              </a:ln>
            </c:spPr>
          </c:marker>
          <c:cat>
            <c:numRef>
              <c:f>Summary!$D$39:$AI$39</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Summary!$D$43:$AI$43</c:f>
              <c:numCache>
                <c:formatCode>0.0</c:formatCode>
                <c:ptCount val="32"/>
                <c:pt idx="0">
                  <c:v>15.31365040534536</c:v>
                </c:pt>
                <c:pt idx="1">
                  <c:v>14.518561901071035</c:v>
                </c:pt>
                <c:pt idx="2">
                  <c:v>16.637356745667098</c:v>
                </c:pt>
                <c:pt idx="3">
                  <c:v>16.765001626446431</c:v>
                </c:pt>
                <c:pt idx="4">
                  <c:v>16.5798858667393</c:v>
                </c:pt>
                <c:pt idx="5">
                  <c:v>14.981382499081906</c:v>
                </c:pt>
                <c:pt idx="6">
                  <c:v>14.782858365913285</c:v>
                </c:pt>
                <c:pt idx="7">
                  <c:v>14.564592342096233</c:v>
                </c:pt>
                <c:pt idx="8">
                  <c:v>13.354760517636457</c:v>
                </c:pt>
                <c:pt idx="9">
                  <c:v>14.184525556803141</c:v>
                </c:pt>
                <c:pt idx="10">
                  <c:v>15.873185523164093</c:v>
                </c:pt>
                <c:pt idx="11">
                  <c:v>16.199011137428776</c:v>
                </c:pt>
                <c:pt idx="12">
                  <c:v>16.119805109343375</c:v>
                </c:pt>
                <c:pt idx="13">
                  <c:v>16.601211726566344</c:v>
                </c:pt>
                <c:pt idx="14">
                  <c:v>15.197154479199662</c:v>
                </c:pt>
                <c:pt idx="15">
                  <c:v>15.027210450114723</c:v>
                </c:pt>
                <c:pt idx="16">
                  <c:v>12.930446995074689</c:v>
                </c:pt>
                <c:pt idx="17">
                  <c:v>13.614044734403702</c:v>
                </c:pt>
                <c:pt idx="18">
                  <c:v>14.49159231299309</c:v>
                </c:pt>
                <c:pt idx="19">
                  <c:v>13.995697715436682</c:v>
                </c:pt>
                <c:pt idx="20">
                  <c:v>13.737716464679892</c:v>
                </c:pt>
                <c:pt idx="21">
                  <c:v>13.770209257923048</c:v>
                </c:pt>
                <c:pt idx="22">
                  <c:v>11.921635639998783</c:v>
                </c:pt>
                <c:pt idx="23">
                  <c:v>12.427545793562148</c:v>
                </c:pt>
                <c:pt idx="24">
                  <c:v>13.736544746104025</c:v>
                </c:pt>
                <c:pt idx="25">
                  <c:v>13.636975173626578</c:v>
                </c:pt>
                <c:pt idx="26">
                  <c:v>11.39103932176867</c:v>
                </c:pt>
                <c:pt idx="27">
                  <c:v>12.355017974074329</c:v>
                </c:pt>
                <c:pt idx="28">
                  <c:v>13.40124690910987</c:v>
                </c:pt>
                <c:pt idx="29">
                  <c:v>13.74295509703531</c:v>
                </c:pt>
                <c:pt idx="30">
                  <c:v>12.203532691373011</c:v>
                </c:pt>
                <c:pt idx="31">
                  <c:v>12.587212421548125</c:v>
                </c:pt>
              </c:numCache>
            </c:numRef>
          </c:val>
          <c:smooth val="0"/>
          <c:extLst>
            <c:ext xmlns:c16="http://schemas.microsoft.com/office/drawing/2014/chart" uri="{C3380CC4-5D6E-409C-BE32-E72D297353CC}">
              <c16:uniqueId val="{00000007-B580-45B2-A5D6-511B129F9B3A}"/>
            </c:ext>
          </c:extLst>
        </c:ser>
        <c:dLbls>
          <c:showLegendKey val="0"/>
          <c:showVal val="0"/>
          <c:showCatName val="0"/>
          <c:showSerName val="0"/>
          <c:showPercent val="0"/>
          <c:showBubbleSize val="0"/>
        </c:dLbls>
        <c:marker val="1"/>
        <c:smooth val="0"/>
        <c:axId val="47235072"/>
        <c:axId val="47236608"/>
      </c:lineChart>
      <c:catAx>
        <c:axId val="47235072"/>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7236608"/>
        <c:crossesAt val="0"/>
        <c:auto val="1"/>
        <c:lblAlgn val="ctr"/>
        <c:lblOffset val="100"/>
        <c:tickLblSkip val="5"/>
        <c:noMultiLvlLbl val="0"/>
      </c:catAx>
      <c:valAx>
        <c:axId val="47236608"/>
        <c:scaling>
          <c:orientation val="minMax"/>
          <c:max val="35"/>
          <c:min val="0"/>
        </c:scaling>
        <c:delete val="0"/>
        <c:axPos val="l"/>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alibri"/>
                  </a:rPr>
                  <a:t>Million Metric Tons of CO</a:t>
                </a:r>
                <a:r>
                  <a:rPr lang="en-US" sz="1000" b="1" i="0" u="none" strike="noStrike" baseline="-25000">
                    <a:solidFill>
                      <a:srgbClr val="000000"/>
                    </a:solidFill>
                    <a:latin typeface="Calibri"/>
                  </a:rPr>
                  <a:t>2</a:t>
                </a:r>
                <a:r>
                  <a:rPr lang="en-US" sz="1000" b="1" i="0" u="none" strike="noStrike" baseline="0">
                    <a:solidFill>
                      <a:srgbClr val="000000"/>
                    </a:solidFill>
                    <a:latin typeface="Calibri"/>
                  </a:rPr>
                  <a:t> equivalent</a:t>
                </a:r>
              </a:p>
            </c:rich>
          </c:tx>
          <c:overlay val="0"/>
        </c:title>
        <c:numFmt formatCode="0" sourceLinked="0"/>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47235072"/>
        <c:crosses val="autoZero"/>
        <c:crossBetween val="midCat"/>
        <c:majorUnit val="5"/>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33" l="0.70000000000000029" r="0.70000000000000029" t="0.75000000000000033" header="0.30000000000000016" footer="0.30000000000000016"/>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Massachusetts GHG Emissions from Non-Fuel Combustion</a:t>
            </a:r>
            <a:endParaRPr lang="en-US" sz="1400">
              <a:effectLst/>
            </a:endParaRPr>
          </a:p>
          <a:p>
            <a:pPr>
              <a:defRPr/>
            </a:pPr>
            <a:r>
              <a:rPr lang="en-US" sz="1400" b="1" i="0" baseline="0">
                <a:effectLst/>
              </a:rPr>
              <a:t> (by Sub-Sector)</a:t>
            </a:r>
            <a:endParaRPr lang="en-US" sz="1400">
              <a:effectLst/>
            </a:endParaRPr>
          </a:p>
        </c:rich>
      </c:tx>
      <c:layout>
        <c:manualLayout>
          <c:xMode val="edge"/>
          <c:yMode val="edge"/>
          <c:x val="8.998387096774195E-2"/>
          <c:y val="0"/>
        </c:manualLayout>
      </c:layout>
      <c:overlay val="0"/>
    </c:title>
    <c:autoTitleDeleted val="0"/>
    <c:plotArea>
      <c:layout>
        <c:manualLayout>
          <c:layoutTarget val="inner"/>
          <c:xMode val="edge"/>
          <c:yMode val="edge"/>
          <c:x val="9.9177800355600712E-2"/>
          <c:y val="0.14562600727540637"/>
          <c:w val="0.56293040386080773"/>
          <c:h val="0.70721344042521006"/>
        </c:manualLayout>
      </c:layout>
      <c:lineChart>
        <c:grouping val="standard"/>
        <c:varyColors val="0"/>
        <c:ser>
          <c:idx val="6"/>
          <c:order val="0"/>
          <c:tx>
            <c:strRef>
              <c:f>Process!$C$37</c:f>
              <c:strCache>
                <c:ptCount val="1"/>
                <c:pt idx="0">
                  <c:v>ODS Substitutes, Semiconductor Mfg., Electricity Trans. (HFCs, PFCs, NF3, SF6)</c:v>
                </c:pt>
              </c:strCache>
            </c:strRef>
          </c:tx>
          <c:spPr>
            <a:ln>
              <a:solidFill>
                <a:schemeClr val="accent4">
                  <a:lumMod val="75000"/>
                </a:schemeClr>
              </a:solidFill>
            </a:ln>
          </c:spPr>
          <c:marker>
            <c:symbol val="diamond"/>
            <c:size val="7"/>
            <c:spPr>
              <a:solidFill>
                <a:schemeClr val="accent4">
                  <a:lumMod val="60000"/>
                  <a:lumOff val="40000"/>
                </a:schemeClr>
              </a:solidFill>
              <a:ln>
                <a:solidFill>
                  <a:schemeClr val="accent4">
                    <a:lumMod val="75000"/>
                  </a:schemeClr>
                </a:solidFill>
              </a:ln>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extLst>
                <c:ext xmlns:c15="http://schemas.microsoft.com/office/drawing/2012/chart" uri="{02D57815-91ED-43cb-92C2-25804820EDAC}">
                  <c15:fullRef>
                    <c15:sqref>Process!$D$37:$AI$37</c15:sqref>
                  </c15:fullRef>
                </c:ext>
              </c:extLst>
              <c:f>Process!$D$37:$AI$37</c:f>
              <c:numCache>
                <c:formatCode>#,##0.0</c:formatCode>
                <c:ptCount val="32"/>
                <c:pt idx="0">
                  <c:v>0.48138328615922965</c:v>
                </c:pt>
                <c:pt idx="1">
                  <c:v>0.46529148834258233</c:v>
                </c:pt>
                <c:pt idx="2">
                  <c:v>0.48652128246690862</c:v>
                </c:pt>
                <c:pt idx="3">
                  <c:v>0.55976312398357897</c:v>
                </c:pt>
                <c:pt idx="4">
                  <c:v>0.69991080705756725</c:v>
                </c:pt>
                <c:pt idx="5">
                  <c:v>1.0096285768811573</c:v>
                </c:pt>
                <c:pt idx="6">
                  <c:v>1.2270874909229028</c:v>
                </c:pt>
                <c:pt idx="7">
                  <c:v>1.4307464862753412</c:v>
                </c:pt>
                <c:pt idx="8">
                  <c:v>1.6444085872431364</c:v>
                </c:pt>
                <c:pt idx="9">
                  <c:v>1.8818905739800844</c:v>
                </c:pt>
                <c:pt idx="10">
                  <c:v>2.0225838871160189</c:v>
                </c:pt>
                <c:pt idx="11">
                  <c:v>2.101178751343558</c:v>
                </c:pt>
                <c:pt idx="12">
                  <c:v>2.24723295800848</c:v>
                </c:pt>
                <c:pt idx="13">
                  <c:v>2.2728014810555561</c:v>
                </c:pt>
                <c:pt idx="14">
                  <c:v>2.2814287160123685</c:v>
                </c:pt>
                <c:pt idx="15">
                  <c:v>2.3114360742541997</c:v>
                </c:pt>
                <c:pt idx="16">
                  <c:v>2.4025151103988636</c:v>
                </c:pt>
                <c:pt idx="17">
                  <c:v>2.4884749500308887</c:v>
                </c:pt>
                <c:pt idx="18">
                  <c:v>2.6600021936905893</c:v>
                </c:pt>
                <c:pt idx="19">
                  <c:v>2.7127203035823739</c:v>
                </c:pt>
                <c:pt idx="20">
                  <c:v>2.5801942468803643</c:v>
                </c:pt>
                <c:pt idx="21">
                  <c:v>2.8121403761619899</c:v>
                </c:pt>
                <c:pt idx="22">
                  <c:v>3.0455043545793794</c:v>
                </c:pt>
                <c:pt idx="23">
                  <c:v>3.4622474424496588</c:v>
                </c:pt>
                <c:pt idx="24">
                  <c:v>3.8679355522063448</c:v>
                </c:pt>
                <c:pt idx="25">
                  <c:v>3.7271996809326229</c:v>
                </c:pt>
                <c:pt idx="26">
                  <c:v>3.7544585266230235</c:v>
                </c:pt>
                <c:pt idx="27">
                  <c:v>3.2637496670263144</c:v>
                </c:pt>
                <c:pt idx="28">
                  <c:v>3.6254868312521995</c:v>
                </c:pt>
                <c:pt idx="29">
                  <c:v>3.4776280502116483</c:v>
                </c:pt>
                <c:pt idx="30">
                  <c:v>3.7840702413895988</c:v>
                </c:pt>
                <c:pt idx="31">
                  <c:v>3.949011002114271</c:v>
                </c:pt>
              </c:numCache>
            </c:numRef>
          </c:val>
          <c:smooth val="0"/>
          <c:extLst>
            <c:ext xmlns:c16="http://schemas.microsoft.com/office/drawing/2014/chart" uri="{C3380CC4-5D6E-409C-BE32-E72D297353CC}">
              <c16:uniqueId val="{0000000D-3573-4F86-A650-A5A448E5E63B}"/>
            </c:ext>
          </c:extLst>
        </c:ser>
        <c:ser>
          <c:idx val="3"/>
          <c:order val="1"/>
          <c:tx>
            <c:strRef>
              <c:f>Process!$C$41</c:f>
              <c:strCache>
                <c:ptCount val="1"/>
                <c:pt idx="0">
                  <c:v>Municipal Solid Waste (Landfills Only)</c:v>
                </c:pt>
              </c:strCache>
            </c:strRef>
          </c:tx>
          <c:spPr>
            <a:ln>
              <a:solidFill>
                <a:schemeClr val="bg2">
                  <a:lumMod val="25000"/>
                  <a:alpha val="76000"/>
                </a:schemeClr>
              </a:solidFill>
            </a:ln>
          </c:spPr>
          <c:marker>
            <c:symbol val="square"/>
            <c:size val="6"/>
            <c:spPr>
              <a:solidFill>
                <a:schemeClr val="accent3">
                  <a:lumMod val="40000"/>
                  <a:lumOff val="60000"/>
                </a:schemeClr>
              </a:solidFill>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Process!$D$41:$AJ$41</c15:sqref>
                  </c15:fullRef>
                </c:ext>
              </c:extLst>
              <c:f>Process!$D$41:$AI$41</c:f>
              <c:numCache>
                <c:formatCode>#,##0.0</c:formatCode>
                <c:ptCount val="32"/>
                <c:pt idx="0">
                  <c:v>2.2601835020631844</c:v>
                </c:pt>
                <c:pt idx="1">
                  <c:v>2.3269894666793722</c:v>
                </c:pt>
                <c:pt idx="2">
                  <c:v>2.2262192096728057</c:v>
                </c:pt>
                <c:pt idx="3">
                  <c:v>2.1085588571841871</c:v>
                </c:pt>
                <c:pt idx="4">
                  <c:v>2.092473840348851</c:v>
                </c:pt>
                <c:pt idx="5">
                  <c:v>2.103652464643941</c:v>
                </c:pt>
                <c:pt idx="6">
                  <c:v>1.7209673343795984</c:v>
                </c:pt>
                <c:pt idx="7">
                  <c:v>1.2539532356920566</c:v>
                </c:pt>
                <c:pt idx="8">
                  <c:v>1.1706352062367347</c:v>
                </c:pt>
                <c:pt idx="9">
                  <c:v>1.1778919344362082</c:v>
                </c:pt>
                <c:pt idx="10">
                  <c:v>0.80462307594293703</c:v>
                </c:pt>
                <c:pt idx="11">
                  <c:v>0.45974826949538999</c:v>
                </c:pt>
                <c:pt idx="12">
                  <c:v>0.83890015757074898</c:v>
                </c:pt>
                <c:pt idx="13">
                  <c:v>1.3235380540079069</c:v>
                </c:pt>
                <c:pt idx="14">
                  <c:v>1.0831422990584423</c:v>
                </c:pt>
                <c:pt idx="15">
                  <c:v>1.0853203981811246</c:v>
                </c:pt>
                <c:pt idx="16">
                  <c:v>0.96545902691332885</c:v>
                </c:pt>
                <c:pt idx="17">
                  <c:v>0.87350457030170925</c:v>
                </c:pt>
                <c:pt idx="18">
                  <c:v>0.88437843911608716</c:v>
                </c:pt>
                <c:pt idx="19">
                  <c:v>0.91520769912085576</c:v>
                </c:pt>
                <c:pt idx="20">
                  <c:v>0.45184079999999971</c:v>
                </c:pt>
                <c:pt idx="21">
                  <c:v>0.46137242380952381</c:v>
                </c:pt>
                <c:pt idx="22">
                  <c:v>0.50790487857142874</c:v>
                </c:pt>
                <c:pt idx="23">
                  <c:v>0.40840533255999983</c:v>
                </c:pt>
                <c:pt idx="24">
                  <c:v>0.35318320000000009</c:v>
                </c:pt>
                <c:pt idx="25">
                  <c:v>0.36106089999999991</c:v>
                </c:pt>
                <c:pt idx="26">
                  <c:v>0.32675480000000001</c:v>
                </c:pt>
                <c:pt idx="27">
                  <c:v>0.31036939999999985</c:v>
                </c:pt>
                <c:pt idx="28">
                  <c:v>0.30455500000000008</c:v>
                </c:pt>
                <c:pt idx="29">
                  <c:v>0.30426600000000009</c:v>
                </c:pt>
                <c:pt idx="30">
                  <c:v>0.27239219999999997</c:v>
                </c:pt>
                <c:pt idx="31">
                  <c:v>0.17726269999999988</c:v>
                </c:pt>
              </c:numCache>
            </c:numRef>
          </c:val>
          <c:smooth val="0"/>
          <c:extLst>
            <c:ext xmlns:c16="http://schemas.microsoft.com/office/drawing/2014/chart" uri="{C3380CC4-5D6E-409C-BE32-E72D297353CC}">
              <c16:uniqueId val="{00000009-3573-4F86-A650-A5A448E5E63B}"/>
            </c:ext>
          </c:extLst>
        </c:ser>
        <c:ser>
          <c:idx val="4"/>
          <c:order val="2"/>
          <c:tx>
            <c:strRef>
              <c:f>Process!$C$33</c:f>
              <c:strCache>
                <c:ptCount val="1"/>
                <c:pt idx="0">
                  <c:v>Natural Gas Distribution and Post-Meter</c:v>
                </c:pt>
              </c:strCache>
            </c:strRef>
          </c:tx>
          <c:spPr>
            <a:ln>
              <a:solidFill>
                <a:schemeClr val="accent1">
                  <a:lumMod val="75000"/>
                </a:schemeClr>
              </a:solidFill>
            </a:ln>
          </c:spPr>
          <c:marker>
            <c:symbol val="circle"/>
            <c:size val="5"/>
            <c:spPr>
              <a:solidFill>
                <a:schemeClr val="accent1">
                  <a:lumMod val="60000"/>
                  <a:lumOff val="40000"/>
                </a:schemeClr>
              </a:solidFill>
              <a:ln>
                <a:solidFill>
                  <a:schemeClr val="accent1">
                    <a:lumMod val="75000"/>
                  </a:schemeClr>
                </a:solidFill>
              </a:ln>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Process!$D$33:$AJ$33</c15:sqref>
                  </c15:fullRef>
                </c:ext>
              </c:extLst>
              <c:f>Process!$D$33:$AI$33</c:f>
              <c:numCache>
                <c:formatCode>#,##0.0</c:formatCode>
                <c:ptCount val="32"/>
                <c:pt idx="0">
                  <c:v>1.6981171446349697</c:v>
                </c:pt>
                <c:pt idx="1">
                  <c:v>1.6781368503696887</c:v>
                </c:pt>
                <c:pt idx="2">
                  <c:v>1.6650160146858348</c:v>
                </c:pt>
                <c:pt idx="3">
                  <c:v>1.5886060588676603</c:v>
                </c:pt>
                <c:pt idx="4">
                  <c:v>1.5341390258270899</c:v>
                </c:pt>
                <c:pt idx="5">
                  <c:v>1.5022669886244335</c:v>
                </c:pt>
                <c:pt idx="6">
                  <c:v>1.425467376127973</c:v>
                </c:pt>
                <c:pt idx="7">
                  <c:v>1.3761942204657134</c:v>
                </c:pt>
                <c:pt idx="8">
                  <c:v>1.3188501590234014</c:v>
                </c:pt>
                <c:pt idx="9">
                  <c:v>1.2616415488771622</c:v>
                </c:pt>
                <c:pt idx="10">
                  <c:v>1.2234268228376644</c:v>
                </c:pt>
                <c:pt idx="11">
                  <c:v>1.1548456256403654</c:v>
                </c:pt>
                <c:pt idx="12">
                  <c:v>1.1192932542656782</c:v>
                </c:pt>
                <c:pt idx="13">
                  <c:v>1.0689397263294129</c:v>
                </c:pt>
                <c:pt idx="14">
                  <c:v>1.0549659757958127</c:v>
                </c:pt>
                <c:pt idx="15">
                  <c:v>0.96388581295203768</c:v>
                </c:pt>
                <c:pt idx="16">
                  <c:v>0.92709111626173912</c:v>
                </c:pt>
                <c:pt idx="17">
                  <c:v>0.88512738029058702</c:v>
                </c:pt>
                <c:pt idx="18">
                  <c:v>0.83374515920712244</c:v>
                </c:pt>
                <c:pt idx="19">
                  <c:v>0.78517646934640628</c:v>
                </c:pt>
                <c:pt idx="20">
                  <c:v>0.75292583432142179</c:v>
                </c:pt>
                <c:pt idx="21">
                  <c:v>0.69892539643020735</c:v>
                </c:pt>
                <c:pt idx="22">
                  <c:v>0.69397194514018645</c:v>
                </c:pt>
                <c:pt idx="23">
                  <c:v>0.67896910883578931</c:v>
                </c:pt>
                <c:pt idx="24">
                  <c:v>0.65553191641877306</c:v>
                </c:pt>
                <c:pt idx="25">
                  <c:v>0.65849530228214259</c:v>
                </c:pt>
                <c:pt idx="26">
                  <c:v>0.65450594465976542</c:v>
                </c:pt>
                <c:pt idx="27">
                  <c:v>0.66705800983925934</c:v>
                </c:pt>
                <c:pt idx="28">
                  <c:v>0.65440896196676102</c:v>
                </c:pt>
                <c:pt idx="29">
                  <c:v>0.6409510730212864</c:v>
                </c:pt>
                <c:pt idx="30">
                  <c:v>0.66932286638484029</c:v>
                </c:pt>
                <c:pt idx="31">
                  <c:v>0.62668511331774612</c:v>
                </c:pt>
              </c:numCache>
            </c:numRef>
          </c:val>
          <c:smooth val="0"/>
          <c:extLst>
            <c:ext xmlns:c16="http://schemas.microsoft.com/office/drawing/2014/chart" uri="{C3380CC4-5D6E-409C-BE32-E72D297353CC}">
              <c16:uniqueId val="{0000000A-3573-4F86-A650-A5A448E5E63B}"/>
            </c:ext>
          </c:extLst>
        </c:ser>
        <c:ser>
          <c:idx val="2"/>
          <c:order val="3"/>
          <c:tx>
            <c:strRef>
              <c:f>Process!$C$40</c:f>
              <c:strCache>
                <c:ptCount val="1"/>
                <c:pt idx="0">
                  <c:v>Wastewater</c:v>
                </c:pt>
              </c:strCache>
            </c:strRef>
          </c:tx>
          <c:spPr>
            <a:ln>
              <a:solidFill>
                <a:schemeClr val="bg2">
                  <a:lumMod val="10000"/>
                </a:schemeClr>
              </a:solidFill>
            </a:ln>
          </c:spPr>
          <c:marker>
            <c:spPr>
              <a:solidFill>
                <a:schemeClr val="bg2">
                  <a:lumMod val="75000"/>
                </a:schemeClr>
              </a:solidFill>
              <a:ln>
                <a:solidFill>
                  <a:schemeClr val="bg2">
                    <a:lumMod val="10000"/>
                  </a:schemeClr>
                </a:solidFill>
              </a:ln>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Process!$D$40:$AJ$40</c15:sqref>
                  </c15:fullRef>
                </c:ext>
              </c:extLst>
              <c:f>Process!$D$40:$AI$40</c:f>
              <c:numCache>
                <c:formatCode>#,##0.0</c:formatCode>
                <c:ptCount val="32"/>
                <c:pt idx="0">
                  <c:v>0.66155072341355736</c:v>
                </c:pt>
                <c:pt idx="1">
                  <c:v>0.63893431729918548</c:v>
                </c:pt>
                <c:pt idx="2">
                  <c:v>0.63618237300378322</c:v>
                </c:pt>
                <c:pt idx="3">
                  <c:v>0.63582356028834708</c:v>
                </c:pt>
                <c:pt idx="4">
                  <c:v>0.63577431249312955</c:v>
                </c:pt>
                <c:pt idx="5">
                  <c:v>0.63681457789259799</c:v>
                </c:pt>
                <c:pt idx="6">
                  <c:v>0.6401941926386403</c:v>
                </c:pt>
                <c:pt idx="7">
                  <c:v>0.64432121132635656</c:v>
                </c:pt>
                <c:pt idx="8">
                  <c:v>0.64833614179881538</c:v>
                </c:pt>
                <c:pt idx="9">
                  <c:v>0.65255366526470115</c:v>
                </c:pt>
                <c:pt idx="10">
                  <c:v>0.43254572282981785</c:v>
                </c:pt>
                <c:pt idx="11">
                  <c:v>0.43768390160435044</c:v>
                </c:pt>
                <c:pt idx="12">
                  <c:v>0.43607053465248102</c:v>
                </c:pt>
                <c:pt idx="13">
                  <c:v>0.43663973406238332</c:v>
                </c:pt>
                <c:pt idx="14">
                  <c:v>0.43763293803551007</c:v>
                </c:pt>
                <c:pt idx="15">
                  <c:v>0.45059783936917874</c:v>
                </c:pt>
                <c:pt idx="16">
                  <c:v>0.44219765417535528</c:v>
                </c:pt>
                <c:pt idx="17">
                  <c:v>0.44485004782414389</c:v>
                </c:pt>
                <c:pt idx="18">
                  <c:v>0.44358606844340209</c:v>
                </c:pt>
                <c:pt idx="19">
                  <c:v>0.44783771964931191</c:v>
                </c:pt>
                <c:pt idx="20">
                  <c:v>0.41065736472906322</c:v>
                </c:pt>
                <c:pt idx="21">
                  <c:v>0.41590223074773397</c:v>
                </c:pt>
                <c:pt idx="22">
                  <c:v>0.41421410088679406</c:v>
                </c:pt>
                <c:pt idx="23">
                  <c:v>0.41644624358183085</c:v>
                </c:pt>
                <c:pt idx="24">
                  <c:v>0.41618052223646163</c:v>
                </c:pt>
                <c:pt idx="25">
                  <c:v>0.41869050329903285</c:v>
                </c:pt>
                <c:pt idx="26">
                  <c:v>0.42123417998549484</c:v>
                </c:pt>
                <c:pt idx="27">
                  <c:v>0.41174591342011019</c:v>
                </c:pt>
                <c:pt idx="28">
                  <c:v>0.41556159953318339</c:v>
                </c:pt>
                <c:pt idx="29">
                  <c:v>0.41747304594467805</c:v>
                </c:pt>
                <c:pt idx="30">
                  <c:v>0.42485632674260515</c:v>
                </c:pt>
                <c:pt idx="31">
                  <c:v>0.41931601753171527</c:v>
                </c:pt>
              </c:numCache>
            </c:numRef>
          </c:val>
          <c:smooth val="0"/>
          <c:extLst>
            <c:ext xmlns:c16="http://schemas.microsoft.com/office/drawing/2014/chart" uri="{C3380CC4-5D6E-409C-BE32-E72D297353CC}">
              <c16:uniqueId val="{00000008-3573-4F86-A650-A5A448E5E63B}"/>
            </c:ext>
          </c:extLst>
        </c:ser>
        <c:ser>
          <c:idx val="0"/>
          <c:order val="4"/>
          <c:tx>
            <c:strRef>
              <c:f>Process!$C$38</c:f>
              <c:strCache>
                <c:ptCount val="1"/>
                <c:pt idx="0">
                  <c:v>Agriculture &amp; Land Use (CO2e)</c:v>
                </c:pt>
              </c:strCache>
            </c:strRef>
          </c:tx>
          <c:spPr>
            <a:ln w="28575">
              <a:solidFill>
                <a:schemeClr val="accent3">
                  <a:lumMod val="50000"/>
                </a:schemeClr>
              </a:solidFill>
              <a:prstDash val="solid"/>
            </a:ln>
          </c:spPr>
          <c:marker>
            <c:symbol val="square"/>
            <c:size val="5"/>
            <c:spPr>
              <a:solidFill>
                <a:schemeClr val="accent3">
                  <a:lumMod val="60000"/>
                  <a:lumOff val="40000"/>
                </a:schemeClr>
              </a:solidFill>
              <a:ln>
                <a:solidFill>
                  <a:schemeClr val="accent3">
                    <a:lumMod val="50000"/>
                  </a:schemeClr>
                </a:solidFill>
              </a:ln>
            </c:spPr>
          </c:marker>
          <c:dPt>
            <c:idx val="23"/>
            <c:marker>
              <c:spPr>
                <a:solidFill>
                  <a:schemeClr val="accent3">
                    <a:lumMod val="60000"/>
                    <a:lumOff val="40000"/>
                  </a:schemeClr>
                </a:solidFill>
                <a:ln>
                  <a:solidFill>
                    <a:schemeClr val="accent3">
                      <a:lumMod val="75000"/>
                    </a:schemeClr>
                  </a:solidFill>
                </a:ln>
              </c:spPr>
            </c:marker>
            <c:bubble3D val="0"/>
            <c:extLst>
              <c:ext xmlns:c16="http://schemas.microsoft.com/office/drawing/2014/chart" uri="{C3380CC4-5D6E-409C-BE32-E72D297353CC}">
                <c16:uniqueId val="{00000003-3573-4F86-A650-A5A448E5E63B}"/>
              </c:ext>
            </c:extLst>
          </c:dPt>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Process!$D$38:$AJ$38</c15:sqref>
                  </c15:fullRef>
                </c:ext>
              </c:extLst>
              <c:f>Process!$D$38:$AI$38</c:f>
              <c:numCache>
                <c:formatCode>#,##0.0</c:formatCode>
                <c:ptCount val="32"/>
                <c:pt idx="0">
                  <c:v>0.44610076900597256</c:v>
                </c:pt>
                <c:pt idx="1">
                  <c:v>0.39821865849902877</c:v>
                </c:pt>
                <c:pt idx="2">
                  <c:v>0.4024590137738116</c:v>
                </c:pt>
                <c:pt idx="3">
                  <c:v>0.41723952078982274</c:v>
                </c:pt>
                <c:pt idx="4">
                  <c:v>0.38537380629380164</c:v>
                </c:pt>
                <c:pt idx="5">
                  <c:v>0.38959088733546887</c:v>
                </c:pt>
                <c:pt idx="6">
                  <c:v>0.3853494467228562</c:v>
                </c:pt>
                <c:pt idx="7">
                  <c:v>0.37954245865357722</c:v>
                </c:pt>
                <c:pt idx="8">
                  <c:v>0.36089604709262979</c:v>
                </c:pt>
                <c:pt idx="9">
                  <c:v>0.35534423332749382</c:v>
                </c:pt>
                <c:pt idx="10">
                  <c:v>0.35808927940321517</c:v>
                </c:pt>
                <c:pt idx="11">
                  <c:v>0.34835342208127046</c:v>
                </c:pt>
                <c:pt idx="12">
                  <c:v>0.40121522100556378</c:v>
                </c:pt>
                <c:pt idx="13">
                  <c:v>0.35371034819730651</c:v>
                </c:pt>
                <c:pt idx="14">
                  <c:v>0.34502939445979169</c:v>
                </c:pt>
                <c:pt idx="15">
                  <c:v>0.36828267265399622</c:v>
                </c:pt>
                <c:pt idx="16">
                  <c:v>0.46627193708306636</c:v>
                </c:pt>
                <c:pt idx="17">
                  <c:v>0.45487124021948133</c:v>
                </c:pt>
                <c:pt idx="18">
                  <c:v>0.33823094475600562</c:v>
                </c:pt>
                <c:pt idx="19">
                  <c:v>0.31042290716519921</c:v>
                </c:pt>
                <c:pt idx="20">
                  <c:v>0.32504807625862253</c:v>
                </c:pt>
                <c:pt idx="21">
                  <c:v>0.3007991811743016</c:v>
                </c:pt>
                <c:pt idx="22">
                  <c:v>0.29086338314162158</c:v>
                </c:pt>
                <c:pt idx="23">
                  <c:v>0.3021658883193768</c:v>
                </c:pt>
                <c:pt idx="24">
                  <c:v>0.3051908156739303</c:v>
                </c:pt>
                <c:pt idx="25">
                  <c:v>0.28371044472182944</c:v>
                </c:pt>
                <c:pt idx="26">
                  <c:v>0.2298891465170948</c:v>
                </c:pt>
                <c:pt idx="27">
                  <c:v>0.26630917520767899</c:v>
                </c:pt>
                <c:pt idx="28">
                  <c:v>0.25754276630837303</c:v>
                </c:pt>
                <c:pt idx="29">
                  <c:v>0.24873056149142708</c:v>
                </c:pt>
                <c:pt idx="30">
                  <c:v>0.21212335344157099</c:v>
                </c:pt>
                <c:pt idx="31">
                  <c:v>0.19358342282429983</c:v>
                </c:pt>
              </c:numCache>
            </c:numRef>
          </c:val>
          <c:smooth val="0"/>
          <c:extLst>
            <c:ext xmlns:c16="http://schemas.microsoft.com/office/drawing/2014/chart" uri="{C3380CC4-5D6E-409C-BE32-E72D297353CC}">
              <c16:uniqueId val="{00000004-3573-4F86-A650-A5A448E5E63B}"/>
            </c:ext>
          </c:extLst>
        </c:ser>
        <c:ser>
          <c:idx val="1"/>
          <c:order val="5"/>
          <c:tx>
            <c:strRef>
              <c:f>Process!$C$36</c:f>
              <c:strCache>
                <c:ptCount val="1"/>
                <c:pt idx="0">
                  <c:v>Lime, Dolomite, Soda Ash, Urea (CO2)</c:v>
                </c:pt>
              </c:strCache>
            </c:strRef>
          </c:tx>
          <c:spPr>
            <a:ln w="28575">
              <a:solidFill>
                <a:schemeClr val="accent2">
                  <a:lumMod val="50000"/>
                </a:schemeClr>
              </a:solidFill>
            </a:ln>
          </c:spPr>
          <c:marker>
            <c:symbol val="square"/>
            <c:size val="5"/>
            <c:spPr>
              <a:solidFill>
                <a:schemeClr val="accent2">
                  <a:lumMod val="60000"/>
                  <a:lumOff val="40000"/>
                </a:schemeClr>
              </a:solidFill>
              <a:ln w="6350">
                <a:solidFill>
                  <a:schemeClr val="accent2">
                    <a:lumMod val="50000"/>
                  </a:schemeClr>
                </a:solidFill>
              </a:ln>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Process!$D$36:$AJ$36</c15:sqref>
                  </c15:fullRef>
                </c:ext>
              </c:extLst>
              <c:f>Process!$D$36:$AI$36</c:f>
              <c:numCache>
                <c:formatCode>#,##0.0</c:formatCode>
                <c:ptCount val="32"/>
                <c:pt idx="0">
                  <c:v>0.17486870435586824</c:v>
                </c:pt>
                <c:pt idx="1">
                  <c:v>0.16802495618437474</c:v>
                </c:pt>
                <c:pt idx="2">
                  <c:v>0.16647146143521593</c:v>
                </c:pt>
                <c:pt idx="3">
                  <c:v>0.16776886728671644</c:v>
                </c:pt>
                <c:pt idx="4">
                  <c:v>0.17123380147318815</c:v>
                </c:pt>
                <c:pt idx="5">
                  <c:v>0.17784788850002828</c:v>
                </c:pt>
                <c:pt idx="6">
                  <c:v>0.15474222736004781</c:v>
                </c:pt>
                <c:pt idx="7">
                  <c:v>0.1606841887589765</c:v>
                </c:pt>
                <c:pt idx="8">
                  <c:v>0.16287532043738079</c:v>
                </c:pt>
                <c:pt idx="9">
                  <c:v>0.15008461634922687</c:v>
                </c:pt>
                <c:pt idx="10">
                  <c:v>0.15566560192136597</c:v>
                </c:pt>
                <c:pt idx="11">
                  <c:v>0.15342201959521024</c:v>
                </c:pt>
                <c:pt idx="12">
                  <c:v>0.16106900239265376</c:v>
                </c:pt>
                <c:pt idx="13">
                  <c:v>0.16288201663743104</c:v>
                </c:pt>
                <c:pt idx="14">
                  <c:v>0.17856645821263281</c:v>
                </c:pt>
                <c:pt idx="15">
                  <c:v>0.1843543047002687</c:v>
                </c:pt>
                <c:pt idx="16">
                  <c:v>0.16912192522942632</c:v>
                </c:pt>
                <c:pt idx="17">
                  <c:v>0.16947294606177643</c:v>
                </c:pt>
                <c:pt idx="18">
                  <c:v>0.16999467681789315</c:v>
                </c:pt>
                <c:pt idx="19">
                  <c:v>0.17703708287497213</c:v>
                </c:pt>
                <c:pt idx="20">
                  <c:v>0.1650245185207484</c:v>
                </c:pt>
                <c:pt idx="21">
                  <c:v>0.15730983808887186</c:v>
                </c:pt>
                <c:pt idx="22">
                  <c:v>0.14135005046817997</c:v>
                </c:pt>
                <c:pt idx="23">
                  <c:v>0.17274811479382912</c:v>
                </c:pt>
                <c:pt idx="24">
                  <c:v>0.15443164337067591</c:v>
                </c:pt>
                <c:pt idx="25">
                  <c:v>0.17849446201584365</c:v>
                </c:pt>
                <c:pt idx="26">
                  <c:v>0.16737999180826008</c:v>
                </c:pt>
                <c:pt idx="27">
                  <c:v>0.16163986486130955</c:v>
                </c:pt>
                <c:pt idx="28">
                  <c:v>0.17066999348626716</c:v>
                </c:pt>
                <c:pt idx="29">
                  <c:v>0.15656405049563235</c:v>
                </c:pt>
                <c:pt idx="30">
                  <c:v>0.15043766880673398</c:v>
                </c:pt>
                <c:pt idx="31">
                  <c:v>0.15324532225179405</c:v>
                </c:pt>
              </c:numCache>
            </c:numRef>
          </c:val>
          <c:smooth val="0"/>
          <c:extLst>
            <c:ext xmlns:c16="http://schemas.microsoft.com/office/drawing/2014/chart" uri="{C3380CC4-5D6E-409C-BE32-E72D297353CC}">
              <c16:uniqueId val="{0000000C-3573-4F86-A650-A5A448E5E63B}"/>
            </c:ext>
          </c:extLst>
        </c:ser>
        <c:ser>
          <c:idx val="5"/>
          <c:order val="6"/>
          <c:tx>
            <c:strRef>
              <c:f>Process!$C$34</c:f>
              <c:strCache>
                <c:ptCount val="1"/>
                <c:pt idx="0">
                  <c:v>Natural Gas Transmission and Storage</c:v>
                </c:pt>
              </c:strCache>
            </c:strRef>
          </c:tx>
          <c:spPr>
            <a:ln>
              <a:solidFill>
                <a:schemeClr val="accent6">
                  <a:lumMod val="50000"/>
                </a:schemeClr>
              </a:solidFill>
            </a:ln>
          </c:spPr>
          <c:marker>
            <c:symbol val="circle"/>
            <c:size val="5"/>
            <c:spPr>
              <a:solidFill>
                <a:schemeClr val="accent6">
                  <a:lumMod val="60000"/>
                  <a:lumOff val="40000"/>
                </a:schemeClr>
              </a:solidFill>
              <a:ln>
                <a:solidFill>
                  <a:schemeClr val="accent6">
                    <a:lumMod val="50000"/>
                  </a:schemeClr>
                </a:solidFill>
              </a:ln>
            </c:spPr>
          </c:marker>
          <c:cat>
            <c:numRef>
              <c:extLst>
                <c:ext xmlns:c15="http://schemas.microsoft.com/office/drawing/2012/chart" uri="{02D57815-91ED-43cb-92C2-25804820EDAC}">
                  <c15:fullRef>
                    <c15:sqref>Process!$D$10:$AJ$10</c15:sqref>
                  </c15:fullRef>
                </c:ext>
              </c:extLst>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extLst>
                <c:ext xmlns:c15="http://schemas.microsoft.com/office/drawing/2012/chart" uri="{02D57815-91ED-43cb-92C2-25804820EDAC}">
                  <c15:fullRef>
                    <c15:sqref>Process!$D$34:$AJ$34</c15:sqref>
                  </c15:fullRef>
                </c:ext>
              </c:extLst>
              <c:f>Process!$D$34:$AI$34</c:f>
              <c:numCache>
                <c:formatCode>#,##0.0</c:formatCode>
                <c:ptCount val="32"/>
                <c:pt idx="0">
                  <c:v>0.16964798123063266</c:v>
                </c:pt>
                <c:pt idx="1">
                  <c:v>0.16777733487657098</c:v>
                </c:pt>
                <c:pt idx="2">
                  <c:v>0.16778510013841447</c:v>
                </c:pt>
                <c:pt idx="3">
                  <c:v>0.16576515955480578</c:v>
                </c:pt>
                <c:pt idx="4">
                  <c:v>0.16380309172111826</c:v>
                </c:pt>
                <c:pt idx="5">
                  <c:v>0.16173003311471829</c:v>
                </c:pt>
                <c:pt idx="6">
                  <c:v>0.16001422220400752</c:v>
                </c:pt>
                <c:pt idx="7">
                  <c:v>0.15800112861507337</c:v>
                </c:pt>
                <c:pt idx="8">
                  <c:v>0.1560715775332838</c:v>
                </c:pt>
                <c:pt idx="9">
                  <c:v>0.15428253055480623</c:v>
                </c:pt>
                <c:pt idx="10">
                  <c:v>0.15450406319720827</c:v>
                </c:pt>
                <c:pt idx="11">
                  <c:v>0.1530439857474456</c:v>
                </c:pt>
                <c:pt idx="12">
                  <c:v>0.15129719718585574</c:v>
                </c:pt>
                <c:pt idx="13">
                  <c:v>0.14897049077938418</c:v>
                </c:pt>
                <c:pt idx="14">
                  <c:v>0.14770618235682798</c:v>
                </c:pt>
                <c:pt idx="15">
                  <c:v>0.14590990431181422</c:v>
                </c:pt>
                <c:pt idx="16">
                  <c:v>0.14332104875728888</c:v>
                </c:pt>
                <c:pt idx="17">
                  <c:v>0.14200142797967516</c:v>
                </c:pt>
                <c:pt idx="18">
                  <c:v>0.17684517647207851</c:v>
                </c:pt>
                <c:pt idx="19">
                  <c:v>0.17502038504875261</c:v>
                </c:pt>
                <c:pt idx="20">
                  <c:v>0.21029789575919641</c:v>
                </c:pt>
                <c:pt idx="21">
                  <c:v>0.10074999561542974</c:v>
                </c:pt>
                <c:pt idx="22">
                  <c:v>0.10539637362678343</c:v>
                </c:pt>
                <c:pt idx="23">
                  <c:v>0.10546830514342498</c:v>
                </c:pt>
                <c:pt idx="24">
                  <c:v>0.10412279991765183</c:v>
                </c:pt>
                <c:pt idx="25">
                  <c:v>0.13038141862479291</c:v>
                </c:pt>
                <c:pt idx="26">
                  <c:v>0.11397101453861756</c:v>
                </c:pt>
                <c:pt idx="27">
                  <c:v>6.8076234103085762E-2</c:v>
                </c:pt>
                <c:pt idx="28">
                  <c:v>6.5544943736495637E-2</c:v>
                </c:pt>
                <c:pt idx="29">
                  <c:v>7.5421655190406778E-2</c:v>
                </c:pt>
                <c:pt idx="30">
                  <c:v>7.1264623775657482E-2</c:v>
                </c:pt>
                <c:pt idx="31">
                  <c:v>8.8725644248070154E-2</c:v>
                </c:pt>
              </c:numCache>
            </c:numRef>
          </c:val>
          <c:smooth val="0"/>
          <c:extLst>
            <c:ext xmlns:c16="http://schemas.microsoft.com/office/drawing/2014/chart" uri="{C3380CC4-5D6E-409C-BE32-E72D297353CC}">
              <c16:uniqueId val="{0000000B-3573-4F86-A650-A5A448E5E63B}"/>
            </c:ext>
          </c:extLst>
        </c:ser>
        <c:dLbls>
          <c:showLegendKey val="0"/>
          <c:showVal val="0"/>
          <c:showCatName val="0"/>
          <c:showSerName val="0"/>
          <c:showPercent val="0"/>
          <c:showBubbleSize val="0"/>
        </c:dLbls>
        <c:marker val="1"/>
        <c:smooth val="0"/>
        <c:axId val="47274624"/>
        <c:axId val="47292800"/>
      </c:lineChart>
      <c:catAx>
        <c:axId val="47274624"/>
        <c:scaling>
          <c:orientation val="minMax"/>
        </c:scaling>
        <c:delete val="0"/>
        <c:axPos val="b"/>
        <c:numFmt formatCode="General" sourceLinked="1"/>
        <c:majorTickMark val="out"/>
        <c:minorTickMark val="none"/>
        <c:tickLblPos val="nextTo"/>
        <c:spPr>
          <a:ln/>
        </c:spPr>
        <c:txPr>
          <a:bodyPr rot="0" vert="horz"/>
          <a:lstStyle/>
          <a:p>
            <a:pPr>
              <a:defRPr sz="1000" b="1" i="0" u="none" strike="noStrike" baseline="0">
                <a:solidFill>
                  <a:srgbClr val="000000"/>
                </a:solidFill>
                <a:latin typeface="Calibri"/>
                <a:ea typeface="Calibri"/>
                <a:cs typeface="Calibri"/>
              </a:defRPr>
            </a:pPr>
            <a:endParaRPr lang="en-US"/>
          </a:p>
        </c:txPr>
        <c:crossAx val="47292800"/>
        <c:crossesAt val="0"/>
        <c:auto val="1"/>
        <c:lblAlgn val="ctr"/>
        <c:lblOffset val="100"/>
        <c:tickLblSkip val="5"/>
        <c:noMultiLvlLbl val="0"/>
      </c:catAx>
      <c:valAx>
        <c:axId val="47292800"/>
        <c:scaling>
          <c:orientation val="minMax"/>
          <c:max val="4"/>
          <c:min val="0"/>
        </c:scaling>
        <c:delete val="0"/>
        <c:axPos val="l"/>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alibri"/>
                  </a:rPr>
                  <a:t>Million Metric Tons of CO</a:t>
                </a:r>
                <a:r>
                  <a:rPr lang="en-US" sz="1000" b="1" i="0" u="none" strike="noStrike" baseline="-25000">
                    <a:solidFill>
                      <a:srgbClr val="000000"/>
                    </a:solidFill>
                    <a:latin typeface="Calibri"/>
                  </a:rPr>
                  <a:t>2</a:t>
                </a:r>
                <a:r>
                  <a:rPr lang="en-US" sz="1000" b="1" i="0" u="none" strike="noStrike" baseline="0">
                    <a:solidFill>
                      <a:srgbClr val="000000"/>
                    </a:solidFill>
                    <a:latin typeface="Calibri"/>
                  </a:rPr>
                  <a:t> equivalent</a:t>
                </a:r>
              </a:p>
            </c:rich>
          </c:tx>
          <c:layout>
            <c:manualLayout>
              <c:xMode val="edge"/>
              <c:yMode val="edge"/>
              <c:x val="9.6019526221642684E-3"/>
              <c:y val="0.20465475713840856"/>
            </c:manualLayout>
          </c:layout>
          <c:overlay val="0"/>
        </c:title>
        <c:numFmt formatCode="0.0" sourceLinked="0"/>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47274624"/>
        <c:crosses val="autoZero"/>
        <c:crossBetween val="midCat"/>
        <c:majorUnit val="0.5"/>
      </c:valAx>
    </c:plotArea>
    <c:legend>
      <c:legendPos val="r"/>
      <c:layout>
        <c:manualLayout>
          <c:xMode val="edge"/>
          <c:yMode val="edge"/>
          <c:x val="0.67474295148590302"/>
          <c:y val="2.3817812247153312E-2"/>
          <c:w val="0.31265201930403863"/>
          <c:h val="0.96907255014175864"/>
        </c:manualLayout>
      </c:layout>
      <c:overlay val="0"/>
      <c:txPr>
        <a:bodyPr/>
        <a:lstStyle/>
        <a:p>
          <a:pPr>
            <a:defRPr b="1"/>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Massachusetts GHG Emissions  (by Sector)</a:t>
            </a:r>
            <a:endParaRPr lang="en-US">
              <a:effectLst/>
            </a:endParaRPr>
          </a:p>
        </c:rich>
      </c:tx>
      <c:layout>
        <c:manualLayout>
          <c:xMode val="edge"/>
          <c:yMode val="edge"/>
          <c:x val="0.1253030303030303"/>
          <c:y val="3.660566682973701E-2"/>
        </c:manualLayout>
      </c:layout>
      <c:overlay val="0"/>
    </c:title>
    <c:autoTitleDeleted val="0"/>
    <c:plotArea>
      <c:layout>
        <c:manualLayout>
          <c:layoutTarget val="inner"/>
          <c:xMode val="edge"/>
          <c:yMode val="edge"/>
          <c:x val="9.4175968127217152E-2"/>
          <c:y val="0.12749515309003448"/>
          <c:w val="0.57227057981388696"/>
          <c:h val="0.7934140719310524"/>
        </c:manualLayout>
      </c:layout>
      <c:lineChart>
        <c:grouping val="standard"/>
        <c:varyColors val="0"/>
        <c:ser>
          <c:idx val="12"/>
          <c:order val="0"/>
          <c:tx>
            <c:strRef>
              <c:f>Process!$C$24</c:f>
              <c:strCache>
                <c:ptCount val="1"/>
                <c:pt idx="0">
                  <c:v>Transportation CO2e from Fuel Combustion</c:v>
                </c:pt>
              </c:strCache>
            </c:strRef>
          </c:tx>
          <c:spPr>
            <a:ln w="31750">
              <a:solidFill>
                <a:schemeClr val="accent4">
                  <a:lumMod val="75000"/>
                </a:schemeClr>
              </a:solidFill>
              <a:prstDash val="solid"/>
            </a:ln>
          </c:spPr>
          <c:marker>
            <c:symbol val="square"/>
            <c:size val="5"/>
            <c:spPr>
              <a:solidFill>
                <a:schemeClr val="accent4">
                  <a:lumMod val="40000"/>
                  <a:lumOff val="60000"/>
                </a:schemeClr>
              </a:solidFill>
              <a:ln>
                <a:solidFill>
                  <a:schemeClr val="accent4">
                    <a:lumMod val="75000"/>
                  </a:schemeClr>
                </a:solidFill>
              </a:ln>
            </c:spPr>
          </c:marker>
          <c:dPt>
            <c:idx val="23"/>
            <c:marker>
              <c:spPr>
                <a:solidFill>
                  <a:schemeClr val="accent4">
                    <a:lumMod val="40000"/>
                    <a:lumOff val="60000"/>
                  </a:schemeClr>
                </a:solidFill>
                <a:ln>
                  <a:solidFill>
                    <a:schemeClr val="accent4">
                      <a:lumMod val="50000"/>
                    </a:schemeClr>
                  </a:solidFill>
                </a:ln>
              </c:spPr>
            </c:marker>
            <c:bubble3D val="0"/>
            <c:extLst>
              <c:ext xmlns:c16="http://schemas.microsoft.com/office/drawing/2014/chart" uri="{C3380CC4-5D6E-409C-BE32-E72D297353CC}">
                <c16:uniqueId val="{00000007-55D2-432E-A4EF-15BA3554B8F7}"/>
              </c:ext>
            </c:extLst>
          </c:dPt>
          <c:dPt>
            <c:idx val="24"/>
            <c:bubble3D val="0"/>
            <c:extLst>
              <c:ext xmlns:c16="http://schemas.microsoft.com/office/drawing/2014/chart" uri="{C3380CC4-5D6E-409C-BE32-E72D297353CC}">
                <c16:uniqueId val="{00000008-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Process!$D$24:$AI$24</c:f>
              <c:numCache>
                <c:formatCode>#,##0.0</c:formatCode>
                <c:ptCount val="32"/>
                <c:pt idx="0">
                  <c:v>29.581745501205152</c:v>
                </c:pt>
                <c:pt idx="1">
                  <c:v>28.008157894701178</c:v>
                </c:pt>
                <c:pt idx="2">
                  <c:v>27.563413985474689</c:v>
                </c:pt>
                <c:pt idx="3">
                  <c:v>27.772478299795356</c:v>
                </c:pt>
                <c:pt idx="4">
                  <c:v>28.042783422795132</c:v>
                </c:pt>
                <c:pt idx="5">
                  <c:v>28.704985829013353</c:v>
                </c:pt>
                <c:pt idx="6">
                  <c:v>29.563275834798592</c:v>
                </c:pt>
                <c:pt idx="7">
                  <c:v>29.897702983833565</c:v>
                </c:pt>
                <c:pt idx="8">
                  <c:v>30.181109205449104</c:v>
                </c:pt>
                <c:pt idx="9">
                  <c:v>30.790053220998082</c:v>
                </c:pt>
                <c:pt idx="10">
                  <c:v>31.933517863915544</c:v>
                </c:pt>
                <c:pt idx="11">
                  <c:v>31.430585003037418</c:v>
                </c:pt>
                <c:pt idx="12">
                  <c:v>31.574740568992283</c:v>
                </c:pt>
                <c:pt idx="13">
                  <c:v>31.975501264052333</c:v>
                </c:pt>
                <c:pt idx="14">
                  <c:v>33.215146622359377</c:v>
                </c:pt>
                <c:pt idx="15">
                  <c:v>33.175691422999876</c:v>
                </c:pt>
                <c:pt idx="16">
                  <c:v>32.288107111618324</c:v>
                </c:pt>
                <c:pt idx="17">
                  <c:v>32.541825019643213</c:v>
                </c:pt>
                <c:pt idx="18">
                  <c:v>31.54022746940004</c:v>
                </c:pt>
                <c:pt idx="19">
                  <c:v>29.587581784741189</c:v>
                </c:pt>
                <c:pt idx="20">
                  <c:v>29.777333231530921</c:v>
                </c:pt>
                <c:pt idx="21">
                  <c:v>29.714058402593366</c:v>
                </c:pt>
                <c:pt idx="22">
                  <c:v>29.128761594393538</c:v>
                </c:pt>
                <c:pt idx="23">
                  <c:v>30.369155716681494</c:v>
                </c:pt>
                <c:pt idx="24">
                  <c:v>28.526599424836107</c:v>
                </c:pt>
                <c:pt idx="25">
                  <c:v>28.936034779613621</c:v>
                </c:pt>
                <c:pt idx="26">
                  <c:v>29.270928447936527</c:v>
                </c:pt>
                <c:pt idx="27">
                  <c:v>28.685739090034748</c:v>
                </c:pt>
                <c:pt idx="28">
                  <c:v>29.324613555027671</c:v>
                </c:pt>
                <c:pt idx="29">
                  <c:v>29.077598592722559</c:v>
                </c:pt>
                <c:pt idx="30">
                  <c:v>22.943227217729611</c:v>
                </c:pt>
                <c:pt idx="31">
                  <c:v>25.606773851436834</c:v>
                </c:pt>
              </c:numCache>
            </c:numRef>
          </c:val>
          <c:smooth val="0"/>
          <c:extLst>
            <c:ext xmlns:c16="http://schemas.microsoft.com/office/drawing/2014/chart" uri="{C3380CC4-5D6E-409C-BE32-E72D297353CC}">
              <c16:uniqueId val="{00000009-55D2-432E-A4EF-15BA3554B8F7}"/>
            </c:ext>
          </c:extLst>
        </c:ser>
        <c:ser>
          <c:idx val="3"/>
          <c:order val="1"/>
          <c:tx>
            <c:strRef>
              <c:f>Process!$C$27</c:f>
              <c:strCache>
                <c:ptCount val="1"/>
                <c:pt idx="0">
                  <c:v>Electricity Total CO2e from Fuel Combustion</c:v>
                </c:pt>
              </c:strCache>
            </c:strRef>
          </c:tx>
          <c:spPr>
            <a:ln w="31750" cmpd="sng">
              <a:solidFill>
                <a:srgbClr val="FF33CC"/>
              </a:solidFill>
              <a:prstDash val="solid"/>
            </a:ln>
          </c:spPr>
          <c:marker>
            <c:symbol val="square"/>
            <c:size val="5"/>
            <c:spPr>
              <a:solidFill>
                <a:srgbClr val="FFCCFF"/>
              </a:solidFill>
              <a:ln>
                <a:solidFill>
                  <a:srgbClr val="FF33CC"/>
                </a:solidFill>
              </a:ln>
            </c:spPr>
          </c:marker>
          <c:dPt>
            <c:idx val="24"/>
            <c:bubble3D val="0"/>
            <c:extLst>
              <c:ext xmlns:c16="http://schemas.microsoft.com/office/drawing/2014/chart" uri="{C3380CC4-5D6E-409C-BE32-E72D297353CC}">
                <c16:uniqueId val="{0000000A-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Process!$D$27:$AI$27</c:f>
              <c:numCache>
                <c:formatCode>#,##0.0</c:formatCode>
                <c:ptCount val="32"/>
                <c:pt idx="0">
                  <c:v>28.162431330116149</c:v>
                </c:pt>
                <c:pt idx="1">
                  <c:v>28.264086112233116</c:v>
                </c:pt>
                <c:pt idx="2">
                  <c:v>27.083465220071602</c:v>
                </c:pt>
                <c:pt idx="3">
                  <c:v>25.451998026482251</c:v>
                </c:pt>
                <c:pt idx="4">
                  <c:v>25.542371596902726</c:v>
                </c:pt>
                <c:pt idx="5">
                  <c:v>24.730600517332238</c:v>
                </c:pt>
                <c:pt idx="6">
                  <c:v>24.518556551976403</c:v>
                </c:pt>
                <c:pt idx="7">
                  <c:v>28.637910619201154</c:v>
                </c:pt>
                <c:pt idx="8">
                  <c:v>29.274838185751442</c:v>
                </c:pt>
                <c:pt idx="9">
                  <c:v>27.873815490312378</c:v>
                </c:pt>
                <c:pt idx="10">
                  <c:v>27.075557122322671</c:v>
                </c:pt>
                <c:pt idx="11">
                  <c:v>26.559330292919292</c:v>
                </c:pt>
                <c:pt idx="12">
                  <c:v>28.147865293131488</c:v>
                </c:pt>
                <c:pt idx="13">
                  <c:v>29.637442609853473</c:v>
                </c:pt>
                <c:pt idx="14">
                  <c:v>28.528546079837444</c:v>
                </c:pt>
                <c:pt idx="15">
                  <c:v>29.976864897845587</c:v>
                </c:pt>
                <c:pt idx="16">
                  <c:v>26.19038906719242</c:v>
                </c:pt>
                <c:pt idx="17">
                  <c:v>27.844045358831437</c:v>
                </c:pt>
                <c:pt idx="18">
                  <c:v>25.13013733492188</c:v>
                </c:pt>
                <c:pt idx="19">
                  <c:v>22.503797074130041</c:v>
                </c:pt>
                <c:pt idx="20">
                  <c:v>23.211385774661306</c:v>
                </c:pt>
                <c:pt idx="21">
                  <c:v>18.281940039005288</c:v>
                </c:pt>
                <c:pt idx="22">
                  <c:v>15.861730129389429</c:v>
                </c:pt>
                <c:pt idx="23">
                  <c:v>16.451256344134194</c:v>
                </c:pt>
                <c:pt idx="24">
                  <c:v>14.884632747448642</c:v>
                </c:pt>
                <c:pt idx="25">
                  <c:v>15.686193143295164</c:v>
                </c:pt>
                <c:pt idx="26">
                  <c:v>14.734080530776255</c:v>
                </c:pt>
                <c:pt idx="27">
                  <c:v>13.614624372124677</c:v>
                </c:pt>
                <c:pt idx="28">
                  <c:v>12.134257177687315</c:v>
                </c:pt>
                <c:pt idx="29">
                  <c:v>10.722427179823482</c:v>
                </c:pt>
                <c:pt idx="30">
                  <c:v>12.806025117602701</c:v>
                </c:pt>
                <c:pt idx="31">
                  <c:v>12.487183768517799</c:v>
                </c:pt>
              </c:numCache>
            </c:numRef>
          </c:val>
          <c:smooth val="0"/>
          <c:extLst>
            <c:ext xmlns:c16="http://schemas.microsoft.com/office/drawing/2014/chart" uri="{C3380CC4-5D6E-409C-BE32-E72D297353CC}">
              <c16:uniqueId val="{0000000B-55D2-432E-A4EF-15BA3554B8F7}"/>
            </c:ext>
          </c:extLst>
        </c:ser>
        <c:ser>
          <c:idx val="5"/>
          <c:order val="2"/>
          <c:tx>
            <c:strRef>
              <c:f>Process!$C$12</c:f>
              <c:strCache>
                <c:ptCount val="1"/>
                <c:pt idx="0">
                  <c:v>Residential CO2e from Fuel Combustion</c:v>
                </c:pt>
              </c:strCache>
            </c:strRef>
          </c:tx>
          <c:spPr>
            <a:ln w="31750">
              <a:solidFill>
                <a:schemeClr val="accent5">
                  <a:lumMod val="75000"/>
                </a:schemeClr>
              </a:solidFill>
              <a:prstDash val="solid"/>
            </a:ln>
          </c:spPr>
          <c:marker>
            <c:symbol val="square"/>
            <c:size val="5"/>
            <c:spPr>
              <a:solidFill>
                <a:schemeClr val="accent5">
                  <a:lumMod val="40000"/>
                  <a:lumOff val="60000"/>
                </a:schemeClr>
              </a:solidFill>
              <a:ln>
                <a:solidFill>
                  <a:schemeClr val="accent5">
                    <a:lumMod val="75000"/>
                  </a:schemeClr>
                </a:solidFill>
              </a:ln>
            </c:spPr>
          </c:marker>
          <c:dPt>
            <c:idx val="24"/>
            <c:bubble3D val="0"/>
            <c:extLst>
              <c:ext xmlns:c16="http://schemas.microsoft.com/office/drawing/2014/chart" uri="{C3380CC4-5D6E-409C-BE32-E72D297353CC}">
                <c16:uniqueId val="{00000001-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Process!$D$12:$AI$12</c:f>
              <c:numCache>
                <c:formatCode>#,##0.0</c:formatCode>
                <c:ptCount val="32"/>
                <c:pt idx="0">
                  <c:v>15.31365040534536</c:v>
                </c:pt>
                <c:pt idx="1">
                  <c:v>14.518561901071035</c:v>
                </c:pt>
                <c:pt idx="2">
                  <c:v>16.637356745667098</c:v>
                </c:pt>
                <c:pt idx="3">
                  <c:v>16.765001626446431</c:v>
                </c:pt>
                <c:pt idx="4">
                  <c:v>16.5798858667393</c:v>
                </c:pt>
                <c:pt idx="5">
                  <c:v>14.981382499081906</c:v>
                </c:pt>
                <c:pt idx="6">
                  <c:v>14.782858365913285</c:v>
                </c:pt>
                <c:pt idx="7">
                  <c:v>14.564592342096233</c:v>
                </c:pt>
                <c:pt idx="8">
                  <c:v>13.354760517636457</c:v>
                </c:pt>
                <c:pt idx="9">
                  <c:v>14.184525556803141</c:v>
                </c:pt>
                <c:pt idx="10">
                  <c:v>15.873185523164093</c:v>
                </c:pt>
                <c:pt idx="11">
                  <c:v>16.199011137428776</c:v>
                </c:pt>
                <c:pt idx="12">
                  <c:v>16.119805109343375</c:v>
                </c:pt>
                <c:pt idx="13">
                  <c:v>16.601211726566344</c:v>
                </c:pt>
                <c:pt idx="14">
                  <c:v>15.197154479199662</c:v>
                </c:pt>
                <c:pt idx="15">
                  <c:v>15.027210450114723</c:v>
                </c:pt>
                <c:pt idx="16">
                  <c:v>12.930446995074689</c:v>
                </c:pt>
                <c:pt idx="17">
                  <c:v>13.614044734403702</c:v>
                </c:pt>
                <c:pt idx="18">
                  <c:v>14.49159231299309</c:v>
                </c:pt>
                <c:pt idx="19">
                  <c:v>13.995697715436682</c:v>
                </c:pt>
                <c:pt idx="20">
                  <c:v>13.737716464679892</c:v>
                </c:pt>
                <c:pt idx="21">
                  <c:v>13.770209257923048</c:v>
                </c:pt>
                <c:pt idx="22">
                  <c:v>11.921635639998783</c:v>
                </c:pt>
                <c:pt idx="23">
                  <c:v>12.427545793562148</c:v>
                </c:pt>
                <c:pt idx="24">
                  <c:v>13.736544746104025</c:v>
                </c:pt>
                <c:pt idx="25">
                  <c:v>13.636975173626578</c:v>
                </c:pt>
                <c:pt idx="26">
                  <c:v>11.39103932176867</c:v>
                </c:pt>
                <c:pt idx="27">
                  <c:v>12.355017974074329</c:v>
                </c:pt>
                <c:pt idx="28">
                  <c:v>13.40124690910987</c:v>
                </c:pt>
                <c:pt idx="29">
                  <c:v>13.74295509703531</c:v>
                </c:pt>
                <c:pt idx="30">
                  <c:v>12.203532691373011</c:v>
                </c:pt>
                <c:pt idx="31">
                  <c:v>12.587212421548125</c:v>
                </c:pt>
              </c:numCache>
            </c:numRef>
          </c:val>
          <c:smooth val="0"/>
          <c:extLst>
            <c:ext xmlns:c16="http://schemas.microsoft.com/office/drawing/2014/chart" uri="{C3380CC4-5D6E-409C-BE32-E72D297353CC}">
              <c16:uniqueId val="{00000002-55D2-432E-A4EF-15BA3554B8F7}"/>
            </c:ext>
          </c:extLst>
        </c:ser>
        <c:ser>
          <c:idx val="6"/>
          <c:order val="3"/>
          <c:tx>
            <c:strRef>
              <c:f>Process!$C$15</c:f>
              <c:strCache>
                <c:ptCount val="1"/>
                <c:pt idx="0">
                  <c:v>Commercial CO2e from Fuel Combustion</c:v>
                </c:pt>
              </c:strCache>
            </c:strRef>
          </c:tx>
          <c:spPr>
            <a:ln w="31750">
              <a:solidFill>
                <a:schemeClr val="tx2">
                  <a:lumMod val="75000"/>
                </a:schemeClr>
              </a:solidFill>
              <a:prstDash val="solid"/>
            </a:ln>
          </c:spPr>
          <c:marker>
            <c:symbol val="square"/>
            <c:size val="5"/>
            <c:spPr>
              <a:solidFill>
                <a:schemeClr val="accent1">
                  <a:lumMod val="20000"/>
                  <a:lumOff val="80000"/>
                </a:schemeClr>
              </a:solidFill>
              <a:ln>
                <a:solidFill>
                  <a:schemeClr val="tx2">
                    <a:lumMod val="75000"/>
                  </a:schemeClr>
                </a:solidFill>
              </a:ln>
            </c:spPr>
          </c:marker>
          <c:dPt>
            <c:idx val="24"/>
            <c:marker>
              <c:spPr>
                <a:solidFill>
                  <a:schemeClr val="accent1">
                    <a:lumMod val="40000"/>
                    <a:lumOff val="60000"/>
                  </a:schemeClr>
                </a:solidFill>
                <a:ln>
                  <a:solidFill>
                    <a:schemeClr val="tx2">
                      <a:lumMod val="75000"/>
                    </a:schemeClr>
                  </a:solidFill>
                </a:ln>
              </c:spPr>
            </c:marker>
            <c:bubble3D val="0"/>
            <c:extLst>
              <c:ext xmlns:c16="http://schemas.microsoft.com/office/drawing/2014/chart" uri="{C3380CC4-5D6E-409C-BE32-E72D297353CC}">
                <c16:uniqueId val="{00000003-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Process!$D$15:$AI$15</c:f>
              <c:numCache>
                <c:formatCode>#,##0.0</c:formatCode>
                <c:ptCount val="32"/>
                <c:pt idx="0">
                  <c:v>8.4498373292805997</c:v>
                </c:pt>
                <c:pt idx="1">
                  <c:v>9.2327174055964729</c:v>
                </c:pt>
                <c:pt idx="2">
                  <c:v>8.9900720556205993</c:v>
                </c:pt>
                <c:pt idx="3">
                  <c:v>8.0482362214060164</c:v>
                </c:pt>
                <c:pt idx="4">
                  <c:v>8.921629042544625</c:v>
                </c:pt>
                <c:pt idx="5">
                  <c:v>9.018799817873635</c:v>
                </c:pt>
                <c:pt idx="6">
                  <c:v>9.1210152080864475</c:v>
                </c:pt>
                <c:pt idx="7">
                  <c:v>9.5098828363490053</c:v>
                </c:pt>
                <c:pt idx="8">
                  <c:v>8.1251718135853466</c:v>
                </c:pt>
                <c:pt idx="9">
                  <c:v>6.2393751516955165</c:v>
                </c:pt>
                <c:pt idx="10">
                  <c:v>6.8430239750778155</c:v>
                </c:pt>
                <c:pt idx="11">
                  <c:v>5.8080881395792963</c:v>
                </c:pt>
                <c:pt idx="12">
                  <c:v>5.9304040174073975</c:v>
                </c:pt>
                <c:pt idx="13">
                  <c:v>7.1634710881257879</c:v>
                </c:pt>
                <c:pt idx="14">
                  <c:v>6.5866153077796898</c:v>
                </c:pt>
                <c:pt idx="15">
                  <c:v>6.7227130330437754</c:v>
                </c:pt>
                <c:pt idx="16">
                  <c:v>5.043099047620605</c:v>
                </c:pt>
                <c:pt idx="17">
                  <c:v>5.3760371803162688</c:v>
                </c:pt>
                <c:pt idx="18">
                  <c:v>5.6229897228886969</c:v>
                </c:pt>
                <c:pt idx="19">
                  <c:v>5.8286975313890119</c:v>
                </c:pt>
                <c:pt idx="20">
                  <c:v>6.7611009884578097</c:v>
                </c:pt>
                <c:pt idx="21">
                  <c:v>6.3698002623165113</c:v>
                </c:pt>
                <c:pt idx="22">
                  <c:v>5.2680912967014679</c:v>
                </c:pt>
                <c:pt idx="23">
                  <c:v>6.7973406332367121</c:v>
                </c:pt>
                <c:pt idx="24">
                  <c:v>7.1829581238722682</c:v>
                </c:pt>
                <c:pt idx="25">
                  <c:v>7.5869342069335239</c:v>
                </c:pt>
                <c:pt idx="26">
                  <c:v>7.0016349806269655</c:v>
                </c:pt>
                <c:pt idx="27">
                  <c:v>7.3467236414478316</c:v>
                </c:pt>
                <c:pt idx="28">
                  <c:v>7.8866810790388975</c:v>
                </c:pt>
                <c:pt idx="29">
                  <c:v>8.0663493581388526</c:v>
                </c:pt>
                <c:pt idx="30">
                  <c:v>7.2578524526362864</c:v>
                </c:pt>
                <c:pt idx="31">
                  <c:v>7.3896075854042547</c:v>
                </c:pt>
              </c:numCache>
            </c:numRef>
          </c:val>
          <c:smooth val="0"/>
          <c:extLst>
            <c:ext xmlns:c16="http://schemas.microsoft.com/office/drawing/2014/chart" uri="{C3380CC4-5D6E-409C-BE32-E72D297353CC}">
              <c16:uniqueId val="{00000004-55D2-432E-A4EF-15BA3554B8F7}"/>
            </c:ext>
          </c:extLst>
        </c:ser>
        <c:ser>
          <c:idx val="2"/>
          <c:order val="4"/>
          <c:tx>
            <c:strRef>
              <c:f>Process!$C$19</c:f>
              <c:strCache>
                <c:ptCount val="1"/>
                <c:pt idx="0">
                  <c:v>Industrial CO2e from Fuel Combustion</c:v>
                </c:pt>
              </c:strCache>
            </c:strRef>
          </c:tx>
          <c:spPr>
            <a:ln w="31750">
              <a:solidFill>
                <a:schemeClr val="accent2">
                  <a:lumMod val="50000"/>
                </a:schemeClr>
              </a:solidFill>
              <a:prstDash val="solid"/>
            </a:ln>
          </c:spPr>
          <c:marker>
            <c:symbol val="square"/>
            <c:size val="5"/>
            <c:spPr>
              <a:solidFill>
                <a:schemeClr val="accent2">
                  <a:lumMod val="20000"/>
                  <a:lumOff val="80000"/>
                </a:schemeClr>
              </a:solidFill>
              <a:ln>
                <a:solidFill>
                  <a:schemeClr val="accent2">
                    <a:lumMod val="75000"/>
                  </a:schemeClr>
                </a:solidFill>
              </a:ln>
            </c:spPr>
          </c:marker>
          <c:dPt>
            <c:idx val="24"/>
            <c:marker>
              <c:spPr>
                <a:solidFill>
                  <a:schemeClr val="accent2">
                    <a:lumMod val="40000"/>
                    <a:lumOff val="60000"/>
                  </a:schemeClr>
                </a:solidFill>
                <a:ln>
                  <a:solidFill>
                    <a:schemeClr val="accent2">
                      <a:lumMod val="75000"/>
                    </a:schemeClr>
                  </a:solidFill>
                </a:ln>
              </c:spPr>
            </c:marker>
            <c:bubble3D val="0"/>
            <c:extLst>
              <c:ext xmlns:c16="http://schemas.microsoft.com/office/drawing/2014/chart" uri="{C3380CC4-5D6E-409C-BE32-E72D297353CC}">
                <c16:uniqueId val="{00000005-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Process!$D$19:$AI$19</c:f>
              <c:numCache>
                <c:formatCode>#,##0.0</c:formatCode>
                <c:ptCount val="32"/>
                <c:pt idx="0">
                  <c:v>5.6055444375748946</c:v>
                </c:pt>
                <c:pt idx="1">
                  <c:v>4.7328409933051026</c:v>
                </c:pt>
                <c:pt idx="2">
                  <c:v>6.4646976690637183</c:v>
                </c:pt>
                <c:pt idx="3">
                  <c:v>6.6237986733791532</c:v>
                </c:pt>
                <c:pt idx="4">
                  <c:v>5.7387061744089225</c:v>
                </c:pt>
                <c:pt idx="5">
                  <c:v>5.0548236972883327</c:v>
                </c:pt>
                <c:pt idx="6">
                  <c:v>5.0352045973600434</c:v>
                </c:pt>
                <c:pt idx="7">
                  <c:v>5.1365507036797382</c:v>
                </c:pt>
                <c:pt idx="8">
                  <c:v>4.8190196972819219</c:v>
                </c:pt>
                <c:pt idx="9">
                  <c:v>5.5236045450469069</c:v>
                </c:pt>
                <c:pt idx="10">
                  <c:v>5.383699074112787</c:v>
                </c:pt>
                <c:pt idx="11">
                  <c:v>6.5334397169982976</c:v>
                </c:pt>
                <c:pt idx="12">
                  <c:v>6.435345446843038</c:v>
                </c:pt>
                <c:pt idx="13">
                  <c:v>4.3803333150168502</c:v>
                </c:pt>
                <c:pt idx="14">
                  <c:v>4.273330769414045</c:v>
                </c:pt>
                <c:pt idx="15">
                  <c:v>4.5285892741443128</c:v>
                </c:pt>
                <c:pt idx="16">
                  <c:v>4.4025879463596489</c:v>
                </c:pt>
                <c:pt idx="17">
                  <c:v>4.3185592976348302</c:v>
                </c:pt>
                <c:pt idx="18">
                  <c:v>3.9880198797073669</c:v>
                </c:pt>
                <c:pt idx="19">
                  <c:v>3.2829648383483834</c:v>
                </c:pt>
                <c:pt idx="20">
                  <c:v>3.7103454298638465</c:v>
                </c:pt>
                <c:pt idx="21">
                  <c:v>3.8684672038229566</c:v>
                </c:pt>
                <c:pt idx="22">
                  <c:v>3.319348364609743</c:v>
                </c:pt>
                <c:pt idx="23">
                  <c:v>3.5087182553165523</c:v>
                </c:pt>
                <c:pt idx="24">
                  <c:v>3.4326962506983167</c:v>
                </c:pt>
                <c:pt idx="25">
                  <c:v>3.4457475416232417</c:v>
                </c:pt>
                <c:pt idx="26">
                  <c:v>3.2329737262187876</c:v>
                </c:pt>
                <c:pt idx="27">
                  <c:v>3.3143303499774706</c:v>
                </c:pt>
                <c:pt idx="28">
                  <c:v>3.3434035542597087</c:v>
                </c:pt>
                <c:pt idx="29">
                  <c:v>3.4285298090215748</c:v>
                </c:pt>
                <c:pt idx="30">
                  <c:v>3.1773973892722349</c:v>
                </c:pt>
                <c:pt idx="31">
                  <c:v>3.3339873013435537</c:v>
                </c:pt>
              </c:numCache>
            </c:numRef>
          </c:val>
          <c:smooth val="0"/>
          <c:extLst>
            <c:ext xmlns:c16="http://schemas.microsoft.com/office/drawing/2014/chart" uri="{C3380CC4-5D6E-409C-BE32-E72D297353CC}">
              <c16:uniqueId val="{00000006-55D2-432E-A4EF-15BA3554B8F7}"/>
            </c:ext>
          </c:extLst>
        </c:ser>
        <c:ser>
          <c:idx val="1"/>
          <c:order val="5"/>
          <c:tx>
            <c:strRef>
              <c:f>Process!$C$35</c:f>
              <c:strCache>
                <c:ptCount val="1"/>
                <c:pt idx="0">
                  <c:v>Industrial Processes (CO2e)</c:v>
                </c:pt>
              </c:strCache>
            </c:strRef>
          </c:tx>
          <c:spPr>
            <a:ln w="25400">
              <a:solidFill>
                <a:schemeClr val="accent2">
                  <a:lumMod val="50000"/>
                </a:schemeClr>
              </a:solidFill>
            </a:ln>
          </c:spPr>
          <c:marker>
            <c:symbol val="triangle"/>
            <c:size val="7"/>
            <c:spPr>
              <a:solidFill>
                <a:schemeClr val="accent2">
                  <a:lumMod val="40000"/>
                  <a:lumOff val="60000"/>
                </a:schemeClr>
              </a:solidFill>
              <a:ln w="6350">
                <a:solidFill>
                  <a:schemeClr val="accent2">
                    <a:lumMod val="7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Process!$D$35:$AI$35</c:f>
              <c:numCache>
                <c:formatCode>#,##0.0</c:formatCode>
                <c:ptCount val="32"/>
                <c:pt idx="0">
                  <c:v>0.65625199051509786</c:v>
                </c:pt>
                <c:pt idx="1">
                  <c:v>0.63331644452695712</c:v>
                </c:pt>
                <c:pt idx="2">
                  <c:v>0.65299274390212458</c:v>
                </c:pt>
                <c:pt idx="3">
                  <c:v>0.72753199127029544</c:v>
                </c:pt>
                <c:pt idx="4">
                  <c:v>0.87114460853075537</c:v>
                </c:pt>
                <c:pt idx="5">
                  <c:v>1.1874764653811856</c:v>
                </c:pt>
                <c:pt idx="6">
                  <c:v>1.3818297182829506</c:v>
                </c:pt>
                <c:pt idx="7">
                  <c:v>1.5914306750343177</c:v>
                </c:pt>
                <c:pt idx="8">
                  <c:v>1.8072839076805174</c:v>
                </c:pt>
                <c:pt idx="9">
                  <c:v>2.0319751903293111</c:v>
                </c:pt>
                <c:pt idx="10">
                  <c:v>2.1782494890373849</c:v>
                </c:pt>
                <c:pt idx="11">
                  <c:v>2.2546007709387683</c:v>
                </c:pt>
                <c:pt idx="12">
                  <c:v>2.4083019604011335</c:v>
                </c:pt>
                <c:pt idx="13">
                  <c:v>2.4356834976929873</c:v>
                </c:pt>
                <c:pt idx="14">
                  <c:v>2.4599951742250012</c:v>
                </c:pt>
                <c:pt idx="15">
                  <c:v>2.4957903789544686</c:v>
                </c:pt>
                <c:pt idx="16">
                  <c:v>2.57163703562829</c:v>
                </c:pt>
                <c:pt idx="17">
                  <c:v>2.6579478960926655</c:v>
                </c:pt>
                <c:pt idx="18">
                  <c:v>2.8299968705084821</c:v>
                </c:pt>
                <c:pt idx="19">
                  <c:v>2.8897573864573465</c:v>
                </c:pt>
                <c:pt idx="20">
                  <c:v>2.7452187654011122</c:v>
                </c:pt>
                <c:pt idx="21">
                  <c:v>2.9694502142508616</c:v>
                </c:pt>
                <c:pt idx="22">
                  <c:v>3.1868544050475593</c:v>
                </c:pt>
                <c:pt idx="23">
                  <c:v>3.6349955572434878</c:v>
                </c:pt>
                <c:pt idx="24">
                  <c:v>4.0223671955770204</c:v>
                </c:pt>
                <c:pt idx="25">
                  <c:v>3.9056941429484664</c:v>
                </c:pt>
                <c:pt idx="26">
                  <c:v>3.9218385184312834</c:v>
                </c:pt>
                <c:pt idx="27">
                  <c:v>3.4253895318876237</c:v>
                </c:pt>
                <c:pt idx="28">
                  <c:v>3.7961568247384667</c:v>
                </c:pt>
                <c:pt idx="29">
                  <c:v>3.6341921007072808</c:v>
                </c:pt>
                <c:pt idx="30">
                  <c:v>3.9345079101963329</c:v>
                </c:pt>
                <c:pt idx="31">
                  <c:v>4.1022563243660644</c:v>
                </c:pt>
              </c:numCache>
            </c:numRef>
          </c:val>
          <c:smooth val="0"/>
          <c:extLst>
            <c:ext xmlns:c16="http://schemas.microsoft.com/office/drawing/2014/chart" uri="{C3380CC4-5D6E-409C-BE32-E72D297353CC}">
              <c16:uniqueId val="{00000011-55D2-432E-A4EF-15BA3554B8F7}"/>
            </c:ext>
          </c:extLst>
        </c:ser>
        <c:ser>
          <c:idx val="4"/>
          <c:order val="6"/>
          <c:tx>
            <c:strRef>
              <c:f>Process!$C$32</c:f>
              <c:strCache>
                <c:ptCount val="1"/>
                <c:pt idx="0">
                  <c:v>Natural Gas Systems (CO2e)</c:v>
                </c:pt>
              </c:strCache>
            </c:strRef>
          </c:tx>
          <c:spPr>
            <a:ln w="28575">
              <a:solidFill>
                <a:schemeClr val="tx1">
                  <a:lumMod val="65000"/>
                  <a:lumOff val="35000"/>
                </a:schemeClr>
              </a:solidFill>
              <a:prstDash val="solid"/>
            </a:ln>
          </c:spPr>
          <c:marker>
            <c:symbol val="square"/>
            <c:size val="5"/>
            <c:spPr>
              <a:solidFill>
                <a:schemeClr val="bg1">
                  <a:lumMod val="75000"/>
                </a:schemeClr>
              </a:solidFill>
              <a:ln>
                <a:solidFill>
                  <a:schemeClr val="tx1">
                    <a:lumMod val="65000"/>
                    <a:lumOff val="35000"/>
                  </a:schemeClr>
                </a:solidFill>
              </a:ln>
            </c:spPr>
          </c:marker>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Process!$D$32:$AI$32</c:f>
              <c:numCache>
                <c:formatCode>#,##0.0</c:formatCode>
                <c:ptCount val="32"/>
                <c:pt idx="0">
                  <c:v>1.8677651258656023</c:v>
                </c:pt>
                <c:pt idx="1">
                  <c:v>1.8459141852462597</c:v>
                </c:pt>
                <c:pt idx="2">
                  <c:v>1.8328011148242493</c:v>
                </c:pt>
                <c:pt idx="3">
                  <c:v>1.754371218422466</c:v>
                </c:pt>
                <c:pt idx="4">
                  <c:v>1.6979421175482081</c:v>
                </c:pt>
                <c:pt idx="5">
                  <c:v>1.6639970217391518</c:v>
                </c:pt>
                <c:pt idx="6">
                  <c:v>1.5854815983319805</c:v>
                </c:pt>
                <c:pt idx="7">
                  <c:v>1.5341953490807867</c:v>
                </c:pt>
                <c:pt idx="8">
                  <c:v>1.4749217365566851</c:v>
                </c:pt>
                <c:pt idx="9">
                  <c:v>1.4159240794319685</c:v>
                </c:pt>
                <c:pt idx="10">
                  <c:v>1.3779308860348727</c:v>
                </c:pt>
                <c:pt idx="11">
                  <c:v>1.3078896113878109</c:v>
                </c:pt>
                <c:pt idx="12">
                  <c:v>1.2705904514515338</c:v>
                </c:pt>
                <c:pt idx="13">
                  <c:v>1.217910217108797</c:v>
                </c:pt>
                <c:pt idx="14">
                  <c:v>1.2026721581526407</c:v>
                </c:pt>
                <c:pt idx="15">
                  <c:v>1.109795717263852</c:v>
                </c:pt>
                <c:pt idx="16">
                  <c:v>1.0704121650190279</c:v>
                </c:pt>
                <c:pt idx="17">
                  <c:v>1.0271288082702621</c:v>
                </c:pt>
                <c:pt idx="18">
                  <c:v>1.010590335679201</c:v>
                </c:pt>
                <c:pt idx="19">
                  <c:v>0.96019685439515889</c:v>
                </c:pt>
                <c:pt idx="20">
                  <c:v>0.96322373008061823</c:v>
                </c:pt>
                <c:pt idx="21">
                  <c:v>0.79967539204563709</c:v>
                </c:pt>
                <c:pt idx="22">
                  <c:v>0.7993683187669699</c:v>
                </c:pt>
                <c:pt idx="23">
                  <c:v>0.78443741397921429</c:v>
                </c:pt>
                <c:pt idx="24">
                  <c:v>0.7596547163364249</c:v>
                </c:pt>
                <c:pt idx="25">
                  <c:v>0.7888767209069355</c:v>
                </c:pt>
                <c:pt idx="26">
                  <c:v>0.76847695919838299</c:v>
                </c:pt>
                <c:pt idx="27">
                  <c:v>0.73513424394234506</c:v>
                </c:pt>
                <c:pt idx="28">
                  <c:v>0.71995390570325668</c:v>
                </c:pt>
                <c:pt idx="29">
                  <c:v>0.71637272821169318</c:v>
                </c:pt>
                <c:pt idx="30">
                  <c:v>0.74058749016049774</c:v>
                </c:pt>
                <c:pt idx="31">
                  <c:v>0.71541075756581629</c:v>
                </c:pt>
              </c:numCache>
            </c:numRef>
          </c:val>
          <c:smooth val="0"/>
          <c:extLst>
            <c:ext xmlns:c16="http://schemas.microsoft.com/office/drawing/2014/chart" uri="{C3380CC4-5D6E-409C-BE32-E72D297353CC}">
              <c16:uniqueId val="{0000000C-55D2-432E-A4EF-15BA3554B8F7}"/>
            </c:ext>
          </c:extLst>
        </c:ser>
        <c:ser>
          <c:idx val="15"/>
          <c:order val="7"/>
          <c:tx>
            <c:strRef>
              <c:f>Process!$C$39</c:f>
              <c:strCache>
                <c:ptCount val="1"/>
                <c:pt idx="0">
                  <c:v>Waste (CO2e)</c:v>
                </c:pt>
              </c:strCache>
            </c:strRef>
          </c:tx>
          <c:spPr>
            <a:ln w="28575">
              <a:solidFill>
                <a:schemeClr val="bg2">
                  <a:lumMod val="25000"/>
                </a:schemeClr>
              </a:solidFill>
              <a:prstDash val="solid"/>
            </a:ln>
          </c:spPr>
          <c:marker>
            <c:symbol val="square"/>
            <c:size val="5"/>
            <c:spPr>
              <a:solidFill>
                <a:schemeClr val="bg2">
                  <a:lumMod val="50000"/>
                </a:schemeClr>
              </a:solidFill>
              <a:ln>
                <a:solidFill>
                  <a:schemeClr val="bg2">
                    <a:lumMod val="25000"/>
                  </a:schemeClr>
                </a:solidFill>
              </a:ln>
            </c:spPr>
          </c:marker>
          <c:dPt>
            <c:idx val="23"/>
            <c:bubble3D val="0"/>
            <c:extLst>
              <c:ext xmlns:c16="http://schemas.microsoft.com/office/drawing/2014/chart" uri="{C3380CC4-5D6E-409C-BE32-E72D297353CC}">
                <c16:uniqueId val="{0000000D-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Process!$D$39:$AI$39</c:f>
              <c:numCache>
                <c:formatCode>#,##0.0</c:formatCode>
                <c:ptCount val="32"/>
                <c:pt idx="0">
                  <c:v>2.921734225476742</c:v>
                </c:pt>
                <c:pt idx="1">
                  <c:v>2.9659237839785577</c:v>
                </c:pt>
                <c:pt idx="2">
                  <c:v>2.862401582676589</c:v>
                </c:pt>
                <c:pt idx="3">
                  <c:v>2.7443824174725342</c:v>
                </c:pt>
                <c:pt idx="4">
                  <c:v>2.7282481528419806</c:v>
                </c:pt>
                <c:pt idx="5">
                  <c:v>2.7404670425365389</c:v>
                </c:pt>
                <c:pt idx="6">
                  <c:v>2.3611615270182389</c:v>
                </c:pt>
                <c:pt idx="7">
                  <c:v>1.8982744470184132</c:v>
                </c:pt>
                <c:pt idx="8">
                  <c:v>1.8189713480355501</c:v>
                </c:pt>
                <c:pt idx="9">
                  <c:v>1.8304455997009095</c:v>
                </c:pt>
                <c:pt idx="10">
                  <c:v>1.2371687987727549</c:v>
                </c:pt>
                <c:pt idx="11">
                  <c:v>0.89743217109974038</c:v>
                </c:pt>
                <c:pt idx="12">
                  <c:v>1.27497069222323</c:v>
                </c:pt>
                <c:pt idx="13">
                  <c:v>1.7601777880702902</c:v>
                </c:pt>
                <c:pt idx="14">
                  <c:v>1.5207752370939525</c:v>
                </c:pt>
                <c:pt idx="15">
                  <c:v>1.5359182375503033</c:v>
                </c:pt>
                <c:pt idx="16">
                  <c:v>1.4076566810886841</c:v>
                </c:pt>
                <c:pt idx="17">
                  <c:v>1.3183546181258532</c:v>
                </c:pt>
                <c:pt idx="18">
                  <c:v>1.3279645075594892</c:v>
                </c:pt>
                <c:pt idx="19">
                  <c:v>1.3630454187701677</c:v>
                </c:pt>
                <c:pt idx="20">
                  <c:v>0.86249816472906293</c:v>
                </c:pt>
                <c:pt idx="21">
                  <c:v>0.87727465455725784</c:v>
                </c:pt>
                <c:pt idx="22">
                  <c:v>0.92211897945822274</c:v>
                </c:pt>
                <c:pt idx="23">
                  <c:v>0.82485157614183069</c:v>
                </c:pt>
                <c:pt idx="24">
                  <c:v>0.76936372223646177</c:v>
                </c:pt>
                <c:pt idx="25">
                  <c:v>0.7797514032990327</c:v>
                </c:pt>
                <c:pt idx="26">
                  <c:v>0.74798897998549485</c:v>
                </c:pt>
                <c:pt idx="27">
                  <c:v>0.72211531342011004</c:v>
                </c:pt>
                <c:pt idx="28">
                  <c:v>0.72011659953318352</c:v>
                </c:pt>
                <c:pt idx="29">
                  <c:v>0.72173904594467819</c:v>
                </c:pt>
                <c:pt idx="30">
                  <c:v>0.69724852674260518</c:v>
                </c:pt>
                <c:pt idx="31">
                  <c:v>0.59657871753171521</c:v>
                </c:pt>
              </c:numCache>
            </c:numRef>
          </c:val>
          <c:smooth val="0"/>
          <c:extLst>
            <c:ext xmlns:c16="http://schemas.microsoft.com/office/drawing/2014/chart" uri="{C3380CC4-5D6E-409C-BE32-E72D297353CC}">
              <c16:uniqueId val="{0000000E-55D2-432E-A4EF-15BA3554B8F7}"/>
            </c:ext>
          </c:extLst>
        </c:ser>
        <c:ser>
          <c:idx val="0"/>
          <c:order val="8"/>
          <c:tx>
            <c:strRef>
              <c:f>Process!$C$38</c:f>
              <c:strCache>
                <c:ptCount val="1"/>
                <c:pt idx="0">
                  <c:v>Agriculture &amp; Land Use (CO2e)</c:v>
                </c:pt>
              </c:strCache>
            </c:strRef>
          </c:tx>
          <c:spPr>
            <a:ln w="28575">
              <a:solidFill>
                <a:schemeClr val="accent3">
                  <a:lumMod val="50000"/>
                </a:schemeClr>
              </a:solidFill>
              <a:prstDash val="solid"/>
            </a:ln>
          </c:spPr>
          <c:marker>
            <c:symbol val="square"/>
            <c:size val="5"/>
            <c:spPr>
              <a:solidFill>
                <a:schemeClr val="accent3">
                  <a:lumMod val="60000"/>
                  <a:lumOff val="40000"/>
                </a:schemeClr>
              </a:solidFill>
              <a:ln>
                <a:solidFill>
                  <a:schemeClr val="accent3">
                    <a:lumMod val="50000"/>
                  </a:schemeClr>
                </a:solidFill>
              </a:ln>
            </c:spPr>
          </c:marker>
          <c:dPt>
            <c:idx val="23"/>
            <c:bubble3D val="0"/>
            <c:extLst>
              <c:ext xmlns:c16="http://schemas.microsoft.com/office/drawing/2014/chart" uri="{C3380CC4-5D6E-409C-BE32-E72D297353CC}">
                <c16:uniqueId val="{0000000F-55D2-432E-A4EF-15BA3554B8F7}"/>
              </c:ext>
            </c:extLst>
          </c:dPt>
          <c:cat>
            <c:numRef>
              <c:f>Process!$D$10:$AI$10</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Process!$D$38:$AI$38</c:f>
              <c:numCache>
                <c:formatCode>#,##0.0</c:formatCode>
                <c:ptCount val="32"/>
                <c:pt idx="0">
                  <c:v>0.44610076900597256</c:v>
                </c:pt>
                <c:pt idx="1">
                  <c:v>0.39821865849902877</c:v>
                </c:pt>
                <c:pt idx="2">
                  <c:v>0.4024590137738116</c:v>
                </c:pt>
                <c:pt idx="3">
                  <c:v>0.41723952078982274</c:v>
                </c:pt>
                <c:pt idx="4">
                  <c:v>0.38537380629380164</c:v>
                </c:pt>
                <c:pt idx="5">
                  <c:v>0.38959088733546887</c:v>
                </c:pt>
                <c:pt idx="6">
                  <c:v>0.3853494467228562</c:v>
                </c:pt>
                <c:pt idx="7">
                  <c:v>0.37954245865357722</c:v>
                </c:pt>
                <c:pt idx="8">
                  <c:v>0.36089604709262979</c:v>
                </c:pt>
                <c:pt idx="9">
                  <c:v>0.35534423332749382</c:v>
                </c:pt>
                <c:pt idx="10">
                  <c:v>0.35808927940321517</c:v>
                </c:pt>
                <c:pt idx="11">
                  <c:v>0.34835342208127046</c:v>
                </c:pt>
                <c:pt idx="12">
                  <c:v>0.40121522100556378</c:v>
                </c:pt>
                <c:pt idx="13">
                  <c:v>0.35371034819730651</c:v>
                </c:pt>
                <c:pt idx="14">
                  <c:v>0.34502939445979169</c:v>
                </c:pt>
                <c:pt idx="15">
                  <c:v>0.36828267265399622</c:v>
                </c:pt>
                <c:pt idx="16">
                  <c:v>0.46627193708306636</c:v>
                </c:pt>
                <c:pt idx="17">
                  <c:v>0.45487124021948133</c:v>
                </c:pt>
                <c:pt idx="18">
                  <c:v>0.33823094475600562</c:v>
                </c:pt>
                <c:pt idx="19">
                  <c:v>0.31042290716519921</c:v>
                </c:pt>
                <c:pt idx="20">
                  <c:v>0.32504807625862253</c:v>
                </c:pt>
                <c:pt idx="21">
                  <c:v>0.3007991811743016</c:v>
                </c:pt>
                <c:pt idx="22">
                  <c:v>0.29086338314162158</c:v>
                </c:pt>
                <c:pt idx="23">
                  <c:v>0.3021658883193768</c:v>
                </c:pt>
                <c:pt idx="24">
                  <c:v>0.3051908156739303</c:v>
                </c:pt>
                <c:pt idx="25">
                  <c:v>0.28371044472182944</c:v>
                </c:pt>
                <c:pt idx="26">
                  <c:v>0.2298891465170948</c:v>
                </c:pt>
                <c:pt idx="27">
                  <c:v>0.26630917520767899</c:v>
                </c:pt>
                <c:pt idx="28">
                  <c:v>0.25754276630837303</c:v>
                </c:pt>
                <c:pt idx="29">
                  <c:v>0.24873056149142708</c:v>
                </c:pt>
                <c:pt idx="30">
                  <c:v>0.21212335344157099</c:v>
                </c:pt>
                <c:pt idx="31">
                  <c:v>0.19358342282429983</c:v>
                </c:pt>
              </c:numCache>
            </c:numRef>
          </c:val>
          <c:smooth val="0"/>
          <c:extLst>
            <c:ext xmlns:c16="http://schemas.microsoft.com/office/drawing/2014/chart" uri="{C3380CC4-5D6E-409C-BE32-E72D297353CC}">
              <c16:uniqueId val="{00000010-55D2-432E-A4EF-15BA3554B8F7}"/>
            </c:ext>
          </c:extLst>
        </c:ser>
        <c:dLbls>
          <c:showLegendKey val="0"/>
          <c:showVal val="0"/>
          <c:showCatName val="0"/>
          <c:showSerName val="0"/>
          <c:showPercent val="0"/>
          <c:showBubbleSize val="0"/>
        </c:dLbls>
        <c:marker val="1"/>
        <c:smooth val="0"/>
        <c:axId val="48275456"/>
        <c:axId val="48276992"/>
      </c:lineChart>
      <c:catAx>
        <c:axId val="48275456"/>
        <c:scaling>
          <c:orientation val="minMax"/>
        </c:scaling>
        <c:delete val="0"/>
        <c:axPos val="b"/>
        <c:numFmt formatCode="General" sourceLinked="1"/>
        <c:majorTickMark val="out"/>
        <c:minorTickMark val="none"/>
        <c:tickLblPos val="nextTo"/>
        <c:spPr>
          <a:ln/>
        </c:spPr>
        <c:txPr>
          <a:bodyPr rot="0" vert="horz"/>
          <a:lstStyle/>
          <a:p>
            <a:pPr>
              <a:defRPr sz="1200" b="1" i="0" u="none" strike="noStrike" baseline="0">
                <a:solidFill>
                  <a:srgbClr val="000000"/>
                </a:solidFill>
                <a:latin typeface="Calibri"/>
                <a:ea typeface="Calibri"/>
                <a:cs typeface="Calibri"/>
              </a:defRPr>
            </a:pPr>
            <a:endParaRPr lang="en-US"/>
          </a:p>
        </c:txPr>
        <c:crossAx val="48276992"/>
        <c:crossesAt val="0"/>
        <c:auto val="1"/>
        <c:lblAlgn val="ctr"/>
        <c:lblOffset val="100"/>
        <c:tickLblSkip val="5"/>
        <c:noMultiLvlLbl val="0"/>
      </c:catAx>
      <c:valAx>
        <c:axId val="48276992"/>
        <c:scaling>
          <c:orientation val="minMax"/>
          <c:max val="35.5"/>
          <c:min val="0"/>
        </c:scaling>
        <c:delete val="0"/>
        <c:axPos val="l"/>
        <c:majorGridlines/>
        <c:title>
          <c:tx>
            <c:rich>
              <a:bodyPr/>
              <a:lstStyle/>
              <a:p>
                <a:pPr>
                  <a:defRPr sz="1200" b="0" i="0" u="none" strike="noStrike" baseline="0">
                    <a:solidFill>
                      <a:srgbClr val="000000"/>
                    </a:solidFill>
                    <a:latin typeface="Calibri"/>
                    <a:ea typeface="Calibri"/>
                    <a:cs typeface="Calibri"/>
                  </a:defRPr>
                </a:pPr>
                <a:r>
                  <a:rPr lang="en-US" sz="1200" b="1" i="0" u="none" strike="noStrike" baseline="0">
                    <a:solidFill>
                      <a:srgbClr val="000000"/>
                    </a:solidFill>
                    <a:latin typeface="Calibri"/>
                  </a:rPr>
                  <a:t>Million Metric Tons of CO</a:t>
                </a:r>
                <a:r>
                  <a:rPr lang="en-US" sz="1200" b="1" i="0" u="none" strike="noStrike" baseline="-25000">
                    <a:solidFill>
                      <a:srgbClr val="000000"/>
                    </a:solidFill>
                    <a:latin typeface="Calibri"/>
                  </a:rPr>
                  <a:t>2</a:t>
                </a:r>
                <a:r>
                  <a:rPr lang="en-US" sz="1200" b="1" i="0" u="none" strike="noStrike" baseline="0">
                    <a:solidFill>
                      <a:srgbClr val="000000"/>
                    </a:solidFill>
                    <a:latin typeface="Calibri"/>
                  </a:rPr>
                  <a:t> equivalent</a:t>
                </a:r>
              </a:p>
            </c:rich>
          </c:tx>
          <c:overlay val="0"/>
        </c:title>
        <c:numFmt formatCode="0" sourceLinked="0"/>
        <c:majorTickMark val="none"/>
        <c:minorTickMark val="none"/>
        <c:tickLblPos val="nextTo"/>
        <c:txPr>
          <a:bodyPr rot="0" vert="horz"/>
          <a:lstStyle/>
          <a:p>
            <a:pPr>
              <a:defRPr sz="1200" b="1" i="0" u="none" strike="noStrike" baseline="0">
                <a:solidFill>
                  <a:srgbClr val="000000"/>
                </a:solidFill>
                <a:latin typeface="Calibri"/>
                <a:ea typeface="Calibri"/>
                <a:cs typeface="Calibri"/>
              </a:defRPr>
            </a:pPr>
            <a:endParaRPr lang="en-US"/>
          </a:p>
        </c:txPr>
        <c:crossAx val="48275456"/>
        <c:crosses val="autoZero"/>
        <c:crossBetween val="midCat"/>
        <c:majorUnit val="5"/>
      </c:valAx>
    </c:plotArea>
    <c:legend>
      <c:legendPos val="r"/>
      <c:layout>
        <c:manualLayout>
          <c:xMode val="edge"/>
          <c:yMode val="edge"/>
          <c:x val="0.67286984013361961"/>
          <c:y val="3.9523638954403799E-2"/>
          <c:w val="0.32329742304939157"/>
          <c:h val="0.5415849022193725"/>
        </c:manualLayout>
      </c:layout>
      <c:overlay val="0"/>
      <c:txPr>
        <a:bodyPr/>
        <a:lstStyle/>
        <a:p>
          <a:pPr>
            <a:defRPr b="1"/>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orientation="portrait"/>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workbookViewId="0"/>
  </sheetViews>
  <pageMargins left="0.7" right="0.7" top="0.75" bottom="0.75" header="0.3" footer="0.3"/>
  <pageSetup orientation="landscape" r:id="rId1"/>
  <headerFooter alignWithMargins="0">
    <oddFooter>&amp;L&amp;F &amp;A&amp;R Page &amp;P of &amp;N</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18" Type="http://schemas.openxmlformats.org/officeDocument/2006/relationships/chart" Target="../charts/chart33.xml"/><Relationship Id="rId3" Type="http://schemas.openxmlformats.org/officeDocument/2006/relationships/chart" Target="../charts/chart19.xml"/><Relationship Id="rId21" Type="http://schemas.openxmlformats.org/officeDocument/2006/relationships/chart" Target="../charts/chart36.xml"/><Relationship Id="rId7" Type="http://schemas.openxmlformats.org/officeDocument/2006/relationships/chart" Target="../charts/chart23.xml"/><Relationship Id="rId12" Type="http://schemas.openxmlformats.org/officeDocument/2006/relationships/chart" Target="../charts/chart28.xml"/><Relationship Id="rId17" Type="http://schemas.openxmlformats.org/officeDocument/2006/relationships/chart" Target="../charts/chart32.xml"/><Relationship Id="rId2" Type="http://schemas.openxmlformats.org/officeDocument/2006/relationships/chart" Target="../charts/chart18.xml"/><Relationship Id="rId16" Type="http://schemas.openxmlformats.org/officeDocument/2006/relationships/image" Target="../media/image1.jpeg"/><Relationship Id="rId20" Type="http://schemas.openxmlformats.org/officeDocument/2006/relationships/chart" Target="../charts/chart35.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5" Type="http://schemas.openxmlformats.org/officeDocument/2006/relationships/chart" Target="../charts/chart31.xml"/><Relationship Id="rId10" Type="http://schemas.openxmlformats.org/officeDocument/2006/relationships/chart" Target="../charts/chart26.xml"/><Relationship Id="rId19" Type="http://schemas.openxmlformats.org/officeDocument/2006/relationships/chart" Target="../charts/chart34.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chart" Target="../charts/chart43.xml"/><Relationship Id="rId5" Type="http://schemas.openxmlformats.org/officeDocument/2006/relationships/chart" Target="../charts/chart42.xml"/><Relationship Id="rId4" Type="http://schemas.openxmlformats.org/officeDocument/2006/relationships/chart" Target="../charts/chart4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chart" Target="../charts/chart49.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 Id="rId4" Type="http://schemas.openxmlformats.org/officeDocument/2006/relationships/chart" Target="../charts/chart57.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 Id="rId9"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9525</xdr:colOff>
      <xdr:row>22</xdr:row>
      <xdr:rowOff>28575</xdr:rowOff>
    </xdr:from>
    <xdr:to>
      <xdr:col>8</xdr:col>
      <xdr:colOff>0</xdr:colOff>
      <xdr:row>35</xdr:row>
      <xdr:rowOff>104775</xdr:rowOff>
    </xdr:to>
    <xdr:graphicFrame macro="">
      <xdr:nvGraphicFramePr>
        <xdr:cNvPr id="14111528" name="Chart 2">
          <a:extLst>
            <a:ext uri="{FF2B5EF4-FFF2-40B4-BE49-F238E27FC236}">
              <a16:creationId xmlns:a16="http://schemas.microsoft.com/office/drawing/2014/main" id="{00000000-0008-0000-0300-00002853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219075</xdr:colOff>
      <xdr:row>22</xdr:row>
      <xdr:rowOff>28575</xdr:rowOff>
    </xdr:from>
    <xdr:to>
      <xdr:col>23</xdr:col>
      <xdr:colOff>276225</xdr:colOff>
      <xdr:row>35</xdr:row>
      <xdr:rowOff>104775</xdr:rowOff>
    </xdr:to>
    <xdr:graphicFrame macro="">
      <xdr:nvGraphicFramePr>
        <xdr:cNvPr id="14111529" name="Chart 3">
          <a:extLst>
            <a:ext uri="{FF2B5EF4-FFF2-40B4-BE49-F238E27FC236}">
              <a16:creationId xmlns:a16="http://schemas.microsoft.com/office/drawing/2014/main" id="{00000000-0008-0000-0300-00002953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228600</xdr:colOff>
      <xdr:row>0</xdr:row>
      <xdr:rowOff>57150</xdr:rowOff>
    </xdr:from>
    <xdr:to>
      <xdr:col>51</xdr:col>
      <xdr:colOff>257175</xdr:colOff>
      <xdr:row>15</xdr:row>
      <xdr:rowOff>9525</xdr:rowOff>
    </xdr:to>
    <xdr:graphicFrame macro="">
      <xdr:nvGraphicFramePr>
        <xdr:cNvPr id="14111530" name="Chart 3">
          <a:extLst>
            <a:ext uri="{FF2B5EF4-FFF2-40B4-BE49-F238E27FC236}">
              <a16:creationId xmlns:a16="http://schemas.microsoft.com/office/drawing/2014/main" id="{00000000-0008-0000-0300-00002A53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45</xdr:col>
      <xdr:colOff>238125</xdr:colOff>
      <xdr:row>15</xdr:row>
      <xdr:rowOff>19050</xdr:rowOff>
    </xdr:from>
    <xdr:to>
      <xdr:col>51</xdr:col>
      <xdr:colOff>266700</xdr:colOff>
      <xdr:row>35</xdr:row>
      <xdr:rowOff>0</xdr:rowOff>
    </xdr:to>
    <xdr:graphicFrame macro="">
      <xdr:nvGraphicFramePr>
        <xdr:cNvPr id="14111531" name="Chart 4">
          <a:extLst>
            <a:ext uri="{FF2B5EF4-FFF2-40B4-BE49-F238E27FC236}">
              <a16:creationId xmlns:a16="http://schemas.microsoft.com/office/drawing/2014/main" id="{00000000-0008-0000-0300-00002B53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45</xdr:col>
      <xdr:colOff>292100</xdr:colOff>
      <xdr:row>37</xdr:row>
      <xdr:rowOff>31750</xdr:rowOff>
    </xdr:from>
    <xdr:to>
      <xdr:col>52</xdr:col>
      <xdr:colOff>298450</xdr:colOff>
      <xdr:row>52</xdr:row>
      <xdr:rowOff>22225</xdr:rowOff>
    </xdr:to>
    <xdr:graphicFrame macro="">
      <xdr:nvGraphicFramePr>
        <xdr:cNvPr id="6" name="Chart 5">
          <a:extLst>
            <a:ext uri="{FF2B5EF4-FFF2-40B4-BE49-F238E27FC236}">
              <a16:creationId xmlns:a16="http://schemas.microsoft.com/office/drawing/2014/main" id="{89DBE082-019A-4B40-92EB-14E32B7457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76200</xdr:colOff>
      <xdr:row>52</xdr:row>
      <xdr:rowOff>171450</xdr:rowOff>
    </xdr:from>
    <xdr:to>
      <xdr:col>52</xdr:col>
      <xdr:colOff>123825</xdr:colOff>
      <xdr:row>71</xdr:row>
      <xdr:rowOff>152400</xdr:rowOff>
    </xdr:to>
    <xdr:graphicFrame macro="">
      <xdr:nvGraphicFramePr>
        <xdr:cNvPr id="7" name="Chart 6">
          <a:extLst>
            <a:ext uri="{FF2B5EF4-FFF2-40B4-BE49-F238E27FC236}">
              <a16:creationId xmlns:a16="http://schemas.microsoft.com/office/drawing/2014/main" id="{29074A85-B683-4B2D-A87C-D1EE88D9E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33</xdr:col>
      <xdr:colOff>595388</xdr:colOff>
      <xdr:row>80</xdr:row>
      <xdr:rowOff>179009</xdr:rowOff>
    </xdr:from>
    <xdr:to>
      <xdr:col>46</xdr:col>
      <xdr:colOff>423637</xdr:colOff>
      <xdr:row>103</xdr:row>
      <xdr:rowOff>79526</xdr:rowOff>
    </xdr:to>
    <xdr:graphicFrame macro="">
      <xdr:nvGraphicFramePr>
        <xdr:cNvPr id="20464180" name="Chart 1">
          <a:extLst>
            <a:ext uri="{FF2B5EF4-FFF2-40B4-BE49-F238E27FC236}">
              <a16:creationId xmlns:a16="http://schemas.microsoft.com/office/drawing/2014/main" id="{00000000-0008-0000-0400-000034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361950</xdr:colOff>
      <xdr:row>83</xdr:row>
      <xdr:rowOff>104775</xdr:rowOff>
    </xdr:from>
    <xdr:to>
      <xdr:col>12</xdr:col>
      <xdr:colOff>0</xdr:colOff>
      <xdr:row>97</xdr:row>
      <xdr:rowOff>180975</xdr:rowOff>
    </xdr:to>
    <xdr:graphicFrame macro="">
      <xdr:nvGraphicFramePr>
        <xdr:cNvPr id="20464181" name="Chart 2">
          <a:extLst>
            <a:ext uri="{FF2B5EF4-FFF2-40B4-BE49-F238E27FC236}">
              <a16:creationId xmlns:a16="http://schemas.microsoft.com/office/drawing/2014/main" id="{00000000-0008-0000-0400-000035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98</xdr:row>
      <xdr:rowOff>146050</xdr:rowOff>
    </xdr:from>
    <xdr:to>
      <xdr:col>4</xdr:col>
      <xdr:colOff>127000</xdr:colOff>
      <xdr:row>112</xdr:row>
      <xdr:rowOff>152400</xdr:rowOff>
    </xdr:to>
    <xdr:graphicFrame macro="">
      <xdr:nvGraphicFramePr>
        <xdr:cNvPr id="20464182" name="Chart 3">
          <a:extLst>
            <a:ext uri="{FF2B5EF4-FFF2-40B4-BE49-F238E27FC236}">
              <a16:creationId xmlns:a16="http://schemas.microsoft.com/office/drawing/2014/main" id="{00000000-0008-0000-0400-000036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114</xdr:row>
      <xdr:rowOff>57150</xdr:rowOff>
    </xdr:from>
    <xdr:to>
      <xdr:col>4</xdr:col>
      <xdr:colOff>133350</xdr:colOff>
      <xdr:row>128</xdr:row>
      <xdr:rowOff>111125</xdr:rowOff>
    </xdr:to>
    <xdr:graphicFrame macro="">
      <xdr:nvGraphicFramePr>
        <xdr:cNvPr id="20464183" name="Chart 4">
          <a:extLst>
            <a:ext uri="{FF2B5EF4-FFF2-40B4-BE49-F238E27FC236}">
              <a16:creationId xmlns:a16="http://schemas.microsoft.com/office/drawing/2014/main" id="{00000000-0008-0000-0400-000037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309230</xdr:colOff>
      <xdr:row>114</xdr:row>
      <xdr:rowOff>16835</xdr:rowOff>
    </xdr:from>
    <xdr:to>
      <xdr:col>11</xdr:col>
      <xdr:colOff>572755</xdr:colOff>
      <xdr:row>128</xdr:row>
      <xdr:rowOff>77161</xdr:rowOff>
    </xdr:to>
    <xdr:graphicFrame macro="">
      <xdr:nvGraphicFramePr>
        <xdr:cNvPr id="20464184" name="Chart 5">
          <a:extLst>
            <a:ext uri="{FF2B5EF4-FFF2-40B4-BE49-F238E27FC236}">
              <a16:creationId xmlns:a16="http://schemas.microsoft.com/office/drawing/2014/main" id="{00000000-0008-0000-0400-000038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321932</xdr:colOff>
      <xdr:row>98</xdr:row>
      <xdr:rowOff>161925</xdr:rowOff>
    </xdr:from>
    <xdr:to>
      <xdr:col>12</xdr:col>
      <xdr:colOff>48881</xdr:colOff>
      <xdr:row>113</xdr:row>
      <xdr:rowOff>31750</xdr:rowOff>
    </xdr:to>
    <xdr:graphicFrame macro="">
      <xdr:nvGraphicFramePr>
        <xdr:cNvPr id="20464185" name="Chart 6">
          <a:extLst>
            <a:ext uri="{FF2B5EF4-FFF2-40B4-BE49-F238E27FC236}">
              <a16:creationId xmlns:a16="http://schemas.microsoft.com/office/drawing/2014/main" id="{00000000-0008-0000-0400-000039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83</xdr:row>
      <xdr:rowOff>133350</xdr:rowOff>
    </xdr:from>
    <xdr:to>
      <xdr:col>4</xdr:col>
      <xdr:colOff>123825</xdr:colOff>
      <xdr:row>98</xdr:row>
      <xdr:rowOff>19050</xdr:rowOff>
    </xdr:to>
    <xdr:graphicFrame macro="">
      <xdr:nvGraphicFramePr>
        <xdr:cNvPr id="20464186" name="Chart 7">
          <a:extLst>
            <a:ext uri="{FF2B5EF4-FFF2-40B4-BE49-F238E27FC236}">
              <a16:creationId xmlns:a16="http://schemas.microsoft.com/office/drawing/2014/main" id="{00000000-0008-0000-0400-00003A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47</xdr:col>
      <xdr:colOff>201990</xdr:colOff>
      <xdr:row>31</xdr:row>
      <xdr:rowOff>20563</xdr:rowOff>
    </xdr:from>
    <xdr:to>
      <xdr:col>55</xdr:col>
      <xdr:colOff>368299</xdr:colOff>
      <xdr:row>57</xdr:row>
      <xdr:rowOff>25401</xdr:rowOff>
    </xdr:to>
    <xdr:graphicFrame macro="">
      <xdr:nvGraphicFramePr>
        <xdr:cNvPr id="20464187" name="Chart 9">
          <a:extLst>
            <a:ext uri="{FF2B5EF4-FFF2-40B4-BE49-F238E27FC236}">
              <a16:creationId xmlns:a16="http://schemas.microsoft.com/office/drawing/2014/main" id="{00000000-0008-0000-0400-00003B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56</xdr:col>
      <xdr:colOff>173567</xdr:colOff>
      <xdr:row>31</xdr:row>
      <xdr:rowOff>17085</xdr:rowOff>
    </xdr:from>
    <xdr:to>
      <xdr:col>64</xdr:col>
      <xdr:colOff>349250</xdr:colOff>
      <xdr:row>56</xdr:row>
      <xdr:rowOff>152400</xdr:rowOff>
    </xdr:to>
    <xdr:graphicFrame macro="">
      <xdr:nvGraphicFramePr>
        <xdr:cNvPr id="20464188" name="Chart 10">
          <a:extLst>
            <a:ext uri="{FF2B5EF4-FFF2-40B4-BE49-F238E27FC236}">
              <a16:creationId xmlns:a16="http://schemas.microsoft.com/office/drawing/2014/main" id="{00000000-0008-0000-0400-00003C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47</xdr:col>
      <xdr:colOff>234497</xdr:colOff>
      <xdr:row>58</xdr:row>
      <xdr:rowOff>31751</xdr:rowOff>
    </xdr:from>
    <xdr:to>
      <xdr:col>55</xdr:col>
      <xdr:colOff>234950</xdr:colOff>
      <xdr:row>80</xdr:row>
      <xdr:rowOff>177800</xdr:rowOff>
    </xdr:to>
    <xdr:graphicFrame macro="">
      <xdr:nvGraphicFramePr>
        <xdr:cNvPr id="20464189" name="Chart 11">
          <a:extLst>
            <a:ext uri="{FF2B5EF4-FFF2-40B4-BE49-F238E27FC236}">
              <a16:creationId xmlns:a16="http://schemas.microsoft.com/office/drawing/2014/main" id="{00000000-0008-0000-0400-00003D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56</xdr:col>
      <xdr:colOff>122918</xdr:colOff>
      <xdr:row>58</xdr:row>
      <xdr:rowOff>4536</xdr:rowOff>
    </xdr:from>
    <xdr:to>
      <xdr:col>64</xdr:col>
      <xdr:colOff>165100</xdr:colOff>
      <xdr:row>80</xdr:row>
      <xdr:rowOff>133350</xdr:rowOff>
    </xdr:to>
    <xdr:graphicFrame macro="">
      <xdr:nvGraphicFramePr>
        <xdr:cNvPr id="20464190" name="Chart 12">
          <a:extLst>
            <a:ext uri="{FF2B5EF4-FFF2-40B4-BE49-F238E27FC236}">
              <a16:creationId xmlns:a16="http://schemas.microsoft.com/office/drawing/2014/main" id="{00000000-0008-0000-0400-00003E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44</xdr:col>
      <xdr:colOff>423636</xdr:colOff>
      <xdr:row>105</xdr:row>
      <xdr:rowOff>61837</xdr:rowOff>
    </xdr:from>
    <xdr:to>
      <xdr:col>52</xdr:col>
      <xdr:colOff>480787</xdr:colOff>
      <xdr:row>116</xdr:row>
      <xdr:rowOff>30540</xdr:rowOff>
    </xdr:to>
    <xdr:graphicFrame macro="">
      <xdr:nvGraphicFramePr>
        <xdr:cNvPr id="20464191" name="Chart 1">
          <a:extLst>
            <a:ext uri="{FF2B5EF4-FFF2-40B4-BE49-F238E27FC236}">
              <a16:creationId xmlns:a16="http://schemas.microsoft.com/office/drawing/2014/main" id="{00000000-0008-0000-0400-00003F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33</xdr:col>
      <xdr:colOff>609298</xdr:colOff>
      <xdr:row>105</xdr:row>
      <xdr:rowOff>120499</xdr:rowOff>
    </xdr:from>
    <xdr:to>
      <xdr:col>43</xdr:col>
      <xdr:colOff>626686</xdr:colOff>
      <xdr:row>118</xdr:row>
      <xdr:rowOff>107799</xdr:rowOff>
    </xdr:to>
    <xdr:graphicFrame macro="">
      <xdr:nvGraphicFramePr>
        <xdr:cNvPr id="20464192" name="Chart 1">
          <a:extLst>
            <a:ext uri="{FF2B5EF4-FFF2-40B4-BE49-F238E27FC236}">
              <a16:creationId xmlns:a16="http://schemas.microsoft.com/office/drawing/2014/main" id="{00000000-0008-0000-0400-000040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203200</xdr:colOff>
      <xdr:row>81</xdr:row>
      <xdr:rowOff>41275</xdr:rowOff>
    </xdr:from>
    <xdr:to>
      <xdr:col>25</xdr:col>
      <xdr:colOff>171450</xdr:colOff>
      <xdr:row>116</xdr:row>
      <xdr:rowOff>139700</xdr:rowOff>
    </xdr:to>
    <xdr:graphicFrame macro="">
      <xdr:nvGraphicFramePr>
        <xdr:cNvPr id="20464193" name="Chart 10">
          <a:extLst>
            <a:ext uri="{FF2B5EF4-FFF2-40B4-BE49-F238E27FC236}">
              <a16:creationId xmlns:a16="http://schemas.microsoft.com/office/drawing/2014/main" id="{00000000-0008-0000-0400-000041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26</xdr:col>
      <xdr:colOff>206375</xdr:colOff>
      <xdr:row>81</xdr:row>
      <xdr:rowOff>6350</xdr:rowOff>
    </xdr:from>
    <xdr:to>
      <xdr:col>32</xdr:col>
      <xdr:colOff>688975</xdr:colOff>
      <xdr:row>107</xdr:row>
      <xdr:rowOff>101600</xdr:rowOff>
    </xdr:to>
    <xdr:graphicFrame macro="">
      <xdr:nvGraphicFramePr>
        <xdr:cNvPr id="20464194" name="Chart 10">
          <a:extLst>
            <a:ext uri="{FF2B5EF4-FFF2-40B4-BE49-F238E27FC236}">
              <a16:creationId xmlns:a16="http://schemas.microsoft.com/office/drawing/2014/main" id="{00000000-0008-0000-0400-000042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23</xdr:col>
      <xdr:colOff>9525</xdr:colOff>
      <xdr:row>92</xdr:row>
      <xdr:rowOff>111125</xdr:rowOff>
    </xdr:from>
    <xdr:to>
      <xdr:col>25</xdr:col>
      <xdr:colOff>66675</xdr:colOff>
      <xdr:row>115</xdr:row>
      <xdr:rowOff>6351</xdr:rowOff>
    </xdr:to>
    <xdr:pic>
      <xdr:nvPicPr>
        <xdr:cNvPr id="20464195" name="Picture 17">
          <a:extLst>
            <a:ext uri="{FF2B5EF4-FFF2-40B4-BE49-F238E27FC236}">
              <a16:creationId xmlns:a16="http://schemas.microsoft.com/office/drawing/2014/main" id="{00000000-0008-0000-0400-00004342380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6440150" y="18932525"/>
          <a:ext cx="1587500" cy="4089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38</xdr:col>
      <xdr:colOff>88900</xdr:colOff>
      <xdr:row>46</xdr:row>
      <xdr:rowOff>107950</xdr:rowOff>
    </xdr:from>
    <xdr:to>
      <xdr:col>46</xdr:col>
      <xdr:colOff>139699</xdr:colOff>
      <xdr:row>69</xdr:row>
      <xdr:rowOff>25400</xdr:rowOff>
    </xdr:to>
    <xdr:graphicFrame macro="">
      <xdr:nvGraphicFramePr>
        <xdr:cNvPr id="20464197" name="Chart 23">
          <a:extLst>
            <a:ext uri="{FF2B5EF4-FFF2-40B4-BE49-F238E27FC236}">
              <a16:creationId xmlns:a16="http://schemas.microsoft.com/office/drawing/2014/main" id="{00000000-0008-0000-0400-000045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647700</xdr:colOff>
      <xdr:row>2</xdr:row>
      <xdr:rowOff>25400</xdr:rowOff>
    </xdr:from>
    <xdr:to>
      <xdr:col>22</xdr:col>
      <xdr:colOff>25401</xdr:colOff>
      <xdr:row>18</xdr:row>
      <xdr:rowOff>25400</xdr:rowOff>
    </xdr:to>
    <xdr:graphicFrame macro="">
      <xdr:nvGraphicFramePr>
        <xdr:cNvPr id="20" name="Chart 1">
          <a:extLst>
            <a:ext uri="{FF2B5EF4-FFF2-40B4-BE49-F238E27FC236}">
              <a16:creationId xmlns:a16="http://schemas.microsoft.com/office/drawing/2014/main" id="{5B669B60-4F60-2846-920F-973992E97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406400</xdr:colOff>
      <xdr:row>2</xdr:row>
      <xdr:rowOff>0</xdr:rowOff>
    </xdr:from>
    <xdr:to>
      <xdr:col>29</xdr:col>
      <xdr:colOff>292099</xdr:colOff>
      <xdr:row>18</xdr:row>
      <xdr:rowOff>38100</xdr:rowOff>
    </xdr:to>
    <xdr:graphicFrame macro="">
      <xdr:nvGraphicFramePr>
        <xdr:cNvPr id="21" name="Chart 23">
          <a:extLst>
            <a:ext uri="{FF2B5EF4-FFF2-40B4-BE49-F238E27FC236}">
              <a16:creationId xmlns:a16="http://schemas.microsoft.com/office/drawing/2014/main" id="{B7706B96-1C81-C14E-B2DE-BF898A434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29</xdr:col>
      <xdr:colOff>609600</xdr:colOff>
      <xdr:row>2</xdr:row>
      <xdr:rowOff>12700</xdr:rowOff>
    </xdr:from>
    <xdr:to>
      <xdr:col>40</xdr:col>
      <xdr:colOff>355600</xdr:colOff>
      <xdr:row>18</xdr:row>
      <xdr:rowOff>0</xdr:rowOff>
    </xdr:to>
    <xdr:graphicFrame macro="">
      <xdr:nvGraphicFramePr>
        <xdr:cNvPr id="22" name="Chart 3">
          <a:extLst>
            <a:ext uri="{FF2B5EF4-FFF2-40B4-BE49-F238E27FC236}">
              <a16:creationId xmlns:a16="http://schemas.microsoft.com/office/drawing/2014/main" id="{4F75F1AD-9988-8F4B-96C2-D3C9B9318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501650</xdr:colOff>
      <xdr:row>92</xdr:row>
      <xdr:rowOff>165100</xdr:rowOff>
    </xdr:from>
    <xdr:to>
      <xdr:col>22</xdr:col>
      <xdr:colOff>254000</xdr:colOff>
      <xdr:row>108</xdr:row>
      <xdr:rowOff>82550</xdr:rowOff>
    </xdr:to>
    <xdr:graphicFrame macro="">
      <xdr:nvGraphicFramePr>
        <xdr:cNvPr id="23" name="Chart 10">
          <a:extLst>
            <a:ext uri="{FF2B5EF4-FFF2-40B4-BE49-F238E27FC236}">
              <a16:creationId xmlns:a16="http://schemas.microsoft.com/office/drawing/2014/main" id="{5D3FA5DE-ACE8-4C5F-97DB-55B8FE297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531813</xdr:colOff>
      <xdr:row>1</xdr:row>
      <xdr:rowOff>0</xdr:rowOff>
    </xdr:from>
    <xdr:to>
      <xdr:col>33</xdr:col>
      <xdr:colOff>438150</xdr:colOff>
      <xdr:row>8</xdr:row>
      <xdr:rowOff>11112</xdr:rowOff>
    </xdr:to>
    <xdr:graphicFrame macro="">
      <xdr:nvGraphicFramePr>
        <xdr:cNvPr id="1342831" name="Chart 1">
          <a:extLst>
            <a:ext uri="{FF2B5EF4-FFF2-40B4-BE49-F238E27FC236}">
              <a16:creationId xmlns:a16="http://schemas.microsoft.com/office/drawing/2014/main" id="{00000000-0008-0000-0500-00006F7D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282574</xdr:colOff>
      <xdr:row>19</xdr:row>
      <xdr:rowOff>12700</xdr:rowOff>
    </xdr:to>
    <xdr:graphicFrame macro="">
      <xdr:nvGraphicFramePr>
        <xdr:cNvPr id="2" name="Chart 1">
          <a:extLst>
            <a:ext uri="{FF2B5EF4-FFF2-40B4-BE49-F238E27FC236}">
              <a16:creationId xmlns:a16="http://schemas.microsoft.com/office/drawing/2014/main" id="{64AD55D3-E6AD-4A08-9698-2F2D45D5B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20</xdr:row>
      <xdr:rowOff>0</xdr:rowOff>
    </xdr:from>
    <xdr:to>
      <xdr:col>14</xdr:col>
      <xdr:colOff>282574</xdr:colOff>
      <xdr:row>38</xdr:row>
      <xdr:rowOff>12700</xdr:rowOff>
    </xdr:to>
    <xdr:graphicFrame macro="">
      <xdr:nvGraphicFramePr>
        <xdr:cNvPr id="3" name="Chart 2">
          <a:extLst>
            <a:ext uri="{FF2B5EF4-FFF2-40B4-BE49-F238E27FC236}">
              <a16:creationId xmlns:a16="http://schemas.microsoft.com/office/drawing/2014/main" id="{BE0FE057-EC8C-4799-AC55-0768915A5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39</xdr:row>
      <xdr:rowOff>0</xdr:rowOff>
    </xdr:from>
    <xdr:to>
      <xdr:col>14</xdr:col>
      <xdr:colOff>282574</xdr:colOff>
      <xdr:row>57</xdr:row>
      <xdr:rowOff>12700</xdr:rowOff>
    </xdr:to>
    <xdr:graphicFrame macro="">
      <xdr:nvGraphicFramePr>
        <xdr:cNvPr id="4" name="Chart 3">
          <a:extLst>
            <a:ext uri="{FF2B5EF4-FFF2-40B4-BE49-F238E27FC236}">
              <a16:creationId xmlns:a16="http://schemas.microsoft.com/office/drawing/2014/main" id="{91B8BB6C-955F-4FC4-9CCD-6A2E3ACF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58</xdr:row>
      <xdr:rowOff>0</xdr:rowOff>
    </xdr:from>
    <xdr:to>
      <xdr:col>14</xdr:col>
      <xdr:colOff>282574</xdr:colOff>
      <xdr:row>76</xdr:row>
      <xdr:rowOff>12700</xdr:rowOff>
    </xdr:to>
    <xdr:graphicFrame macro="">
      <xdr:nvGraphicFramePr>
        <xdr:cNvPr id="5" name="Chart 4">
          <a:extLst>
            <a:ext uri="{FF2B5EF4-FFF2-40B4-BE49-F238E27FC236}">
              <a16:creationId xmlns:a16="http://schemas.microsoft.com/office/drawing/2014/main" id="{868D38FD-B7F9-42D7-B57B-F1AE112FC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77</xdr:row>
      <xdr:rowOff>0</xdr:rowOff>
    </xdr:from>
    <xdr:to>
      <xdr:col>14</xdr:col>
      <xdr:colOff>282574</xdr:colOff>
      <xdr:row>95</xdr:row>
      <xdr:rowOff>12700</xdr:rowOff>
    </xdr:to>
    <xdr:graphicFrame macro="">
      <xdr:nvGraphicFramePr>
        <xdr:cNvPr id="6" name="Chart 5">
          <a:extLst>
            <a:ext uri="{FF2B5EF4-FFF2-40B4-BE49-F238E27FC236}">
              <a16:creationId xmlns:a16="http://schemas.microsoft.com/office/drawing/2014/main" id="{6AC03CC3-AF13-41DE-8297-0089E7891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96</xdr:row>
      <xdr:rowOff>0</xdr:rowOff>
    </xdr:from>
    <xdr:to>
      <xdr:col>14</xdr:col>
      <xdr:colOff>266700</xdr:colOff>
      <xdr:row>110</xdr:row>
      <xdr:rowOff>165100</xdr:rowOff>
    </xdr:to>
    <xdr:graphicFrame macro="">
      <xdr:nvGraphicFramePr>
        <xdr:cNvPr id="7" name="Chart 6">
          <a:extLst>
            <a:ext uri="{FF2B5EF4-FFF2-40B4-BE49-F238E27FC236}">
              <a16:creationId xmlns:a16="http://schemas.microsoft.com/office/drawing/2014/main" id="{EECBAB73-A9F7-4F5F-A492-6E45AE3BE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142875</xdr:colOff>
      <xdr:row>59</xdr:row>
      <xdr:rowOff>34925</xdr:rowOff>
    </xdr:from>
    <xdr:to>
      <xdr:col>14</xdr:col>
      <xdr:colOff>552450</xdr:colOff>
      <xdr:row>76</xdr:row>
      <xdr:rowOff>25400</xdr:rowOff>
    </xdr:to>
    <xdr:graphicFrame macro="">
      <xdr:nvGraphicFramePr>
        <xdr:cNvPr id="58573" name="Chart 1">
          <a:extLst>
            <a:ext uri="{FF2B5EF4-FFF2-40B4-BE49-F238E27FC236}">
              <a16:creationId xmlns:a16="http://schemas.microsoft.com/office/drawing/2014/main" id="{00000000-0008-0000-0600-0000CDE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0.80303</cdr:x>
      <cdr:y>0.17708</cdr:y>
    </cdr:from>
    <cdr:to>
      <cdr:x>0.95606</cdr:x>
      <cdr:y>0.35417</cdr:y>
    </cdr:to>
    <cdr:sp macro="" textlink="">
      <cdr:nvSpPr>
        <cdr:cNvPr id="2" name="TextBox 1"/>
        <cdr:cNvSpPr txBox="1"/>
      </cdr:nvSpPr>
      <cdr:spPr>
        <a:xfrm xmlns:a="http://schemas.openxmlformats.org/drawingml/2006/main">
          <a:off x="5048250" y="485774"/>
          <a:ext cx="962025" cy="485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0.78333</cdr:x>
      <cdr:y>0.23264</cdr:y>
    </cdr:from>
    <cdr:to>
      <cdr:x>0.81061</cdr:x>
      <cdr:y>0.64931</cdr:y>
    </cdr:to>
    <cdr:cxnSp macro="">
      <cdr:nvCxnSpPr>
        <cdr:cNvPr id="4" name="Straight Arrow Connector 3">
          <a:extLst xmlns:a="http://schemas.openxmlformats.org/drawingml/2006/main">
            <a:ext uri="{FF2B5EF4-FFF2-40B4-BE49-F238E27FC236}">
              <a16:creationId xmlns:a16="http://schemas.microsoft.com/office/drawing/2014/main" id="{9E8B0DEA-61F6-4084-B4D4-B5A5B19D55FC}"/>
            </a:ext>
          </a:extLst>
        </cdr:cNvPr>
        <cdr:cNvCxnSpPr/>
      </cdr:nvCxnSpPr>
      <cdr:spPr bwMode="auto">
        <a:xfrm xmlns:a="http://schemas.openxmlformats.org/drawingml/2006/main" flipH="1">
          <a:off x="4924425" y="638175"/>
          <a:ext cx="171450" cy="1143000"/>
        </a:xfrm>
        <a:prstGeom xmlns:a="http://schemas.openxmlformats.org/drawingml/2006/main" prst="straightConnector1">
          <a:avLst/>
        </a:prstGeom>
        <a:noFill xmlns:a="http://schemas.openxmlformats.org/drawingml/2006/main"/>
        <a:ln xmlns:a="http://schemas.openxmlformats.org/drawingml/2006/main" w="9525" cap="flat" cmpd="sng" algn="ctr">
          <a:noFill/>
          <a:prstDash val="solid"/>
          <a:round/>
          <a:headEnd type="none" w="med" len="med"/>
          <a:tailEnd type="arrow"/>
        </a:ln>
        <a:effectLst xmlns:a="http://schemas.openxmlformats.org/drawingml/2006/main"/>
      </cdr:spPr>
    </cdr:cxnSp>
  </cdr:relSizeAnchor>
</c:userShapes>
</file>

<file path=xl/drawings/drawing17.xml><?xml version="1.0" encoding="utf-8"?>
<xdr:wsDr xmlns:xdr="http://schemas.openxmlformats.org/drawingml/2006/spreadsheetDrawing" xmlns:a="http://schemas.openxmlformats.org/drawingml/2006/main">
  <xdr:twoCellAnchor>
    <xdr:from>
      <xdr:col>0</xdr:col>
      <xdr:colOff>190500</xdr:colOff>
      <xdr:row>133</xdr:row>
      <xdr:rowOff>133350</xdr:rowOff>
    </xdr:from>
    <xdr:to>
      <xdr:col>11</xdr:col>
      <xdr:colOff>714375</xdr:colOff>
      <xdr:row>151</xdr:row>
      <xdr:rowOff>85725</xdr:rowOff>
    </xdr:to>
    <xdr:graphicFrame macro="">
      <xdr:nvGraphicFramePr>
        <xdr:cNvPr id="20914210" name="Chart 1">
          <a:extLst>
            <a:ext uri="{FF2B5EF4-FFF2-40B4-BE49-F238E27FC236}">
              <a16:creationId xmlns:a16="http://schemas.microsoft.com/office/drawing/2014/main" id="{00000000-0008-0000-0800-000022203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84365</xdr:colOff>
      <xdr:row>335</xdr:row>
      <xdr:rowOff>39915</xdr:rowOff>
    </xdr:from>
    <xdr:to>
      <xdr:col>8</xdr:col>
      <xdr:colOff>140073</xdr:colOff>
      <xdr:row>360</xdr:row>
      <xdr:rowOff>103415</xdr:rowOff>
    </xdr:to>
    <xdr:graphicFrame macro="">
      <xdr:nvGraphicFramePr>
        <xdr:cNvPr id="32284" name="Chart 2">
          <a:extLst>
            <a:ext uri="{FF2B5EF4-FFF2-40B4-BE49-F238E27FC236}">
              <a16:creationId xmlns:a16="http://schemas.microsoft.com/office/drawing/2014/main" id="{00000000-0008-0000-0900-00001C7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465124</xdr:colOff>
      <xdr:row>335</xdr:row>
      <xdr:rowOff>17342</xdr:rowOff>
    </xdr:from>
    <xdr:to>
      <xdr:col>21</xdr:col>
      <xdr:colOff>205441</xdr:colOff>
      <xdr:row>360</xdr:row>
      <xdr:rowOff>115767</xdr:rowOff>
    </xdr:to>
    <xdr:graphicFrame macro="">
      <xdr:nvGraphicFramePr>
        <xdr:cNvPr id="32285" name="Chart 3">
          <a:extLst>
            <a:ext uri="{FF2B5EF4-FFF2-40B4-BE49-F238E27FC236}">
              <a16:creationId xmlns:a16="http://schemas.microsoft.com/office/drawing/2014/main" id="{00000000-0008-0000-0900-00001D7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92074</xdr:colOff>
      <xdr:row>361</xdr:row>
      <xdr:rowOff>104774</xdr:rowOff>
    </xdr:from>
    <xdr:to>
      <xdr:col>8</xdr:col>
      <xdr:colOff>171450</xdr:colOff>
      <xdr:row>383</xdr:row>
      <xdr:rowOff>88900</xdr:rowOff>
    </xdr:to>
    <xdr:graphicFrame macro="">
      <xdr:nvGraphicFramePr>
        <xdr:cNvPr id="4" name="Chart 3">
          <a:extLst>
            <a:ext uri="{FF2B5EF4-FFF2-40B4-BE49-F238E27FC236}">
              <a16:creationId xmlns:a16="http://schemas.microsoft.com/office/drawing/2014/main" id="{EE6E31A4-A649-4E60-6627-D4ADDC9326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384</xdr:row>
      <xdr:rowOff>0</xdr:rowOff>
    </xdr:from>
    <xdr:to>
      <xdr:col>8</xdr:col>
      <xdr:colOff>79376</xdr:colOff>
      <xdr:row>405</xdr:row>
      <xdr:rowOff>168276</xdr:rowOff>
    </xdr:to>
    <xdr:graphicFrame macro="">
      <xdr:nvGraphicFramePr>
        <xdr:cNvPr id="2" name="Chart 1">
          <a:extLst>
            <a:ext uri="{FF2B5EF4-FFF2-40B4-BE49-F238E27FC236}">
              <a16:creationId xmlns:a16="http://schemas.microsoft.com/office/drawing/2014/main" id="{59EE716E-0137-47EA-9404-F2C87B2FA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168410</xdr:colOff>
      <xdr:row>306</xdr:row>
      <xdr:rowOff>50249</xdr:rowOff>
    </xdr:from>
    <xdr:to>
      <xdr:col>6</xdr:col>
      <xdr:colOff>579782</xdr:colOff>
      <xdr:row>330</xdr:row>
      <xdr:rowOff>171174</xdr:rowOff>
    </xdr:to>
    <xdr:graphicFrame macro="">
      <xdr:nvGraphicFramePr>
        <xdr:cNvPr id="2" name="Chart 1">
          <a:extLst>
            <a:ext uri="{FF2B5EF4-FFF2-40B4-BE49-F238E27FC236}">
              <a16:creationId xmlns:a16="http://schemas.microsoft.com/office/drawing/2014/main" id="{DF09B044-C2E6-4E30-3F0C-40E46B2E52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115957</xdr:colOff>
      <xdr:row>306</xdr:row>
      <xdr:rowOff>21673</xdr:rowOff>
    </xdr:from>
    <xdr:to>
      <xdr:col>19</xdr:col>
      <xdr:colOff>143980</xdr:colOff>
      <xdr:row>330</xdr:row>
      <xdr:rowOff>148948</xdr:rowOff>
    </xdr:to>
    <xdr:graphicFrame macro="">
      <xdr:nvGraphicFramePr>
        <xdr:cNvPr id="3" name="Chart 2">
          <a:extLst>
            <a:ext uri="{FF2B5EF4-FFF2-40B4-BE49-F238E27FC236}">
              <a16:creationId xmlns:a16="http://schemas.microsoft.com/office/drawing/2014/main" id="{22BFEC6A-6999-4D90-A2A9-B6A8A54E5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0.24807</cdr:x>
      <cdr:y>0.3596</cdr:y>
    </cdr:from>
    <cdr:to>
      <cdr:x>0.39361</cdr:x>
      <cdr:y>0.41717</cdr:y>
    </cdr:to>
    <cdr:sp macro="" textlink="">
      <cdr:nvSpPr>
        <cdr:cNvPr id="4" name="TextBox 3"/>
        <cdr:cNvSpPr txBox="1"/>
      </cdr:nvSpPr>
      <cdr:spPr>
        <a:xfrm xmlns:a="http://schemas.openxmlformats.org/drawingml/2006/main">
          <a:off x="2148633" y="2260600"/>
          <a:ext cx="1260581" cy="361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cdr:txBody>
    </cdr:sp>
  </cdr:relSizeAnchor>
  <cdr:relSizeAnchor xmlns:cdr="http://schemas.openxmlformats.org/drawingml/2006/chartDrawing">
    <cdr:from>
      <cdr:x>0.73061</cdr:x>
      <cdr:y>0.44653</cdr:y>
    </cdr:from>
    <cdr:to>
      <cdr:x>0.83229</cdr:x>
      <cdr:y>0.48699</cdr:y>
    </cdr:to>
    <cdr:sp macro="" textlink="">
      <cdr:nvSpPr>
        <cdr:cNvPr id="6" name="TextBox 5"/>
        <cdr:cNvSpPr txBox="1"/>
      </cdr:nvSpPr>
      <cdr:spPr>
        <a:xfrm xmlns:a="http://schemas.openxmlformats.org/drawingml/2006/main">
          <a:off x="6322787" y="2803071"/>
          <a:ext cx="879927"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t>2020</a:t>
          </a:r>
          <a:r>
            <a:rPr lang="en-US" sz="1200" b="1" baseline="0"/>
            <a:t> Limit</a:t>
          </a:r>
          <a:endParaRPr lang="en-US" sz="1200" b="1"/>
        </a:p>
      </cdr:txBody>
    </cdr:sp>
  </cdr:relSizeAnchor>
  <cdr:relSizeAnchor xmlns:cdr="http://schemas.openxmlformats.org/drawingml/2006/chartDrawing">
    <cdr:from>
      <cdr:x>0.71041</cdr:x>
      <cdr:y>0.7899</cdr:y>
    </cdr:from>
    <cdr:to>
      <cdr:x>0.9129</cdr:x>
      <cdr:y>0.83434</cdr:y>
    </cdr:to>
    <cdr:sp macro="" textlink="">
      <cdr:nvSpPr>
        <cdr:cNvPr id="8" name="TextBox 7"/>
        <cdr:cNvSpPr txBox="1"/>
      </cdr:nvSpPr>
      <cdr:spPr>
        <a:xfrm xmlns:a="http://schemas.openxmlformats.org/drawingml/2006/main">
          <a:off x="6153151" y="4965706"/>
          <a:ext cx="1753842" cy="2793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baseline="0"/>
        </a:p>
      </cdr:txBody>
    </cdr:sp>
  </cdr:relSizeAnchor>
  <cdr:relSizeAnchor xmlns:cdr="http://schemas.openxmlformats.org/drawingml/2006/chartDrawing">
    <cdr:from>
      <cdr:x>0.89458</cdr:x>
      <cdr:y>0.50707</cdr:y>
    </cdr:from>
    <cdr:to>
      <cdr:x>1</cdr:x>
      <cdr:y>0.65253</cdr:y>
    </cdr:to>
    <cdr:cxnSp macro="">
      <cdr:nvCxnSpPr>
        <cdr:cNvPr id="3" name="Straight Connector 2">
          <a:extLst xmlns:a="http://schemas.openxmlformats.org/drawingml/2006/main">
            <a:ext uri="{FF2B5EF4-FFF2-40B4-BE49-F238E27FC236}">
              <a16:creationId xmlns:a16="http://schemas.microsoft.com/office/drawing/2014/main" id="{31B7E51C-6C71-014A-BBBC-69FB3602A63A}"/>
            </a:ext>
          </a:extLst>
        </cdr:cNvPr>
        <cdr:cNvCxnSpPr/>
      </cdr:nvCxnSpPr>
      <cdr:spPr bwMode="auto">
        <a:xfrm xmlns:a="http://schemas.openxmlformats.org/drawingml/2006/main">
          <a:off x="7835900" y="3187700"/>
          <a:ext cx="914400" cy="914400"/>
        </a:xfrm>
        <a:prstGeom xmlns:a="http://schemas.openxmlformats.org/drawingml/2006/main" prst="line">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cxnSp>
  </cdr:relSizeAnchor>
  <cdr:relSizeAnchor xmlns:cdr="http://schemas.openxmlformats.org/drawingml/2006/chartDrawing">
    <cdr:from>
      <cdr:x>0.75729</cdr:x>
      <cdr:y>0.8164</cdr:y>
    </cdr:from>
    <cdr:to>
      <cdr:x>0.88925</cdr:x>
      <cdr:y>0.8568</cdr:y>
    </cdr:to>
    <cdr:sp macro="" textlink="">
      <cdr:nvSpPr>
        <cdr:cNvPr id="2" name="TextBox 1">
          <a:extLst xmlns:a="http://schemas.openxmlformats.org/drawingml/2006/main">
            <a:ext uri="{FF2B5EF4-FFF2-40B4-BE49-F238E27FC236}">
              <a16:creationId xmlns:a16="http://schemas.microsoft.com/office/drawing/2014/main" id="{50DF5D02-1987-B2F3-50B5-6E04D7D87B15}"/>
            </a:ext>
          </a:extLst>
        </cdr:cNvPr>
        <cdr:cNvSpPr txBox="1"/>
      </cdr:nvSpPr>
      <cdr:spPr>
        <a:xfrm xmlns:a="http://schemas.openxmlformats.org/drawingml/2006/main">
          <a:off x="6559176" y="5132294"/>
          <a:ext cx="1143000"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0.82918</cdr:x>
      <cdr:y>0.61717</cdr:y>
    </cdr:from>
    <cdr:to>
      <cdr:x>0.93109</cdr:x>
      <cdr:y>0.67273</cdr:y>
    </cdr:to>
    <cdr:sp macro="" textlink="">
      <cdr:nvSpPr>
        <cdr:cNvPr id="5" name="TextBox 4">
          <a:extLst xmlns:a="http://schemas.openxmlformats.org/drawingml/2006/main">
            <a:ext uri="{FF2B5EF4-FFF2-40B4-BE49-F238E27FC236}">
              <a16:creationId xmlns:a16="http://schemas.microsoft.com/office/drawing/2014/main" id="{714AE076-7242-5425-4FC6-38B0211991D5}"/>
            </a:ext>
          </a:extLst>
        </cdr:cNvPr>
        <cdr:cNvSpPr txBox="1"/>
      </cdr:nvSpPr>
      <cdr:spPr>
        <a:xfrm xmlns:a="http://schemas.openxmlformats.org/drawingml/2006/main">
          <a:off x="7181850" y="3879850"/>
          <a:ext cx="882650"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t>2025 Limit</a:t>
          </a:r>
        </a:p>
      </cdr:txBody>
    </cdr:sp>
  </cdr:relSizeAnchor>
  <cdr:relSizeAnchor xmlns:cdr="http://schemas.openxmlformats.org/drawingml/2006/chartDrawing">
    <cdr:from>
      <cdr:x>0.89443</cdr:x>
      <cdr:y>0.81414</cdr:y>
    </cdr:from>
    <cdr:to>
      <cdr:x>1</cdr:x>
      <cdr:y>0.85556</cdr:y>
    </cdr:to>
    <cdr:sp macro="" textlink="">
      <cdr:nvSpPr>
        <cdr:cNvPr id="7" name="TextBox 6">
          <a:extLst xmlns:a="http://schemas.openxmlformats.org/drawingml/2006/main">
            <a:ext uri="{FF2B5EF4-FFF2-40B4-BE49-F238E27FC236}">
              <a16:creationId xmlns:a16="http://schemas.microsoft.com/office/drawing/2014/main" id="{CE313F1E-7306-808C-7E91-4E8D0A22E516}"/>
            </a:ext>
          </a:extLst>
        </cdr:cNvPr>
        <cdr:cNvSpPr txBox="1"/>
      </cdr:nvSpPr>
      <cdr:spPr>
        <a:xfrm xmlns:a="http://schemas.openxmlformats.org/drawingml/2006/main">
          <a:off x="7747000" y="5118100"/>
          <a:ext cx="914400" cy="260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t>2030 Limit</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600075</xdr:colOff>
      <xdr:row>25</xdr:row>
      <xdr:rowOff>9525</xdr:rowOff>
    </xdr:from>
    <xdr:to>
      <xdr:col>10</xdr:col>
      <xdr:colOff>600075</xdr:colOff>
      <xdr:row>39</xdr:row>
      <xdr:rowOff>142875</xdr:rowOff>
    </xdr:to>
    <xdr:graphicFrame macro="">
      <xdr:nvGraphicFramePr>
        <xdr:cNvPr id="16180377" name="Chart 1">
          <a:extLst>
            <a:ext uri="{FF2B5EF4-FFF2-40B4-BE49-F238E27FC236}">
              <a16:creationId xmlns:a16="http://schemas.microsoft.com/office/drawing/2014/main" id="{00000000-0008-0000-0A00-000099E4F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441324</xdr:colOff>
      <xdr:row>25</xdr:row>
      <xdr:rowOff>0</xdr:rowOff>
    </xdr:from>
    <xdr:to>
      <xdr:col>22</xdr:col>
      <xdr:colOff>196849</xdr:colOff>
      <xdr:row>39</xdr:row>
      <xdr:rowOff>133350</xdr:rowOff>
    </xdr:to>
    <xdr:graphicFrame macro="">
      <xdr:nvGraphicFramePr>
        <xdr:cNvPr id="2" name="Chart 1">
          <a:extLst>
            <a:ext uri="{FF2B5EF4-FFF2-40B4-BE49-F238E27FC236}">
              <a16:creationId xmlns:a16="http://schemas.microsoft.com/office/drawing/2014/main" id="{C1EFD55F-6459-4E23-8E62-4BC4FE1211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123825</xdr:colOff>
      <xdr:row>0</xdr:row>
      <xdr:rowOff>107950</xdr:rowOff>
    </xdr:from>
    <xdr:to>
      <xdr:col>12</xdr:col>
      <xdr:colOff>285750</xdr:colOff>
      <xdr:row>32</xdr:row>
      <xdr:rowOff>76200</xdr:rowOff>
    </xdr:to>
    <xdr:graphicFrame macro="">
      <xdr:nvGraphicFramePr>
        <xdr:cNvPr id="14136926" name="Chart 1">
          <a:extLst>
            <a:ext uri="{FF2B5EF4-FFF2-40B4-BE49-F238E27FC236}">
              <a16:creationId xmlns:a16="http://schemas.microsoft.com/office/drawing/2014/main" id="{00000000-0008-0000-1000-00005EB6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419100</xdr:colOff>
      <xdr:row>0</xdr:row>
      <xdr:rowOff>133350</xdr:rowOff>
    </xdr:from>
    <xdr:to>
      <xdr:col>20</xdr:col>
      <xdr:colOff>276225</xdr:colOff>
      <xdr:row>15</xdr:row>
      <xdr:rowOff>19050</xdr:rowOff>
    </xdr:to>
    <xdr:graphicFrame macro="">
      <xdr:nvGraphicFramePr>
        <xdr:cNvPr id="14136927" name="Chart 2">
          <a:extLst>
            <a:ext uri="{FF2B5EF4-FFF2-40B4-BE49-F238E27FC236}">
              <a16:creationId xmlns:a16="http://schemas.microsoft.com/office/drawing/2014/main" id="{00000000-0008-0000-1000-00005FB6D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387597</xdr:colOff>
      <xdr:row>20</xdr:row>
      <xdr:rowOff>107208</xdr:rowOff>
    </xdr:from>
    <xdr:to>
      <xdr:col>21</xdr:col>
      <xdr:colOff>409039</xdr:colOff>
      <xdr:row>41</xdr:row>
      <xdr:rowOff>5608</xdr:rowOff>
    </xdr:to>
    <xdr:graphicFrame macro="">
      <xdr:nvGraphicFramePr>
        <xdr:cNvPr id="5" name="Chart 9">
          <a:extLst>
            <a:ext uri="{FF2B5EF4-FFF2-40B4-BE49-F238E27FC236}">
              <a16:creationId xmlns:a16="http://schemas.microsoft.com/office/drawing/2014/main" id="{184A7947-1D4D-4817-A6CA-8EF2A3A1E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33</xdr:row>
      <xdr:rowOff>19050</xdr:rowOff>
    </xdr:from>
    <xdr:to>
      <xdr:col>12</xdr:col>
      <xdr:colOff>279400</xdr:colOff>
      <xdr:row>52</xdr:row>
      <xdr:rowOff>139700</xdr:rowOff>
    </xdr:to>
    <xdr:graphicFrame macro="">
      <xdr:nvGraphicFramePr>
        <xdr:cNvPr id="4" name="Chart 3">
          <a:extLst>
            <a:ext uri="{FF2B5EF4-FFF2-40B4-BE49-F238E27FC236}">
              <a16:creationId xmlns:a16="http://schemas.microsoft.com/office/drawing/2014/main" id="{DCBEC126-9246-4AD1-A858-2B002D590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304800</xdr:colOff>
      <xdr:row>1</xdr:row>
      <xdr:rowOff>28575</xdr:rowOff>
    </xdr:from>
    <xdr:to>
      <xdr:col>10</xdr:col>
      <xdr:colOff>190500</xdr:colOff>
      <xdr:row>21</xdr:row>
      <xdr:rowOff>142875</xdr:rowOff>
    </xdr:to>
    <xdr:graphicFrame macro="">
      <xdr:nvGraphicFramePr>
        <xdr:cNvPr id="14103336" name="Chart 1">
          <a:extLst>
            <a:ext uri="{FF2B5EF4-FFF2-40B4-BE49-F238E27FC236}">
              <a16:creationId xmlns:a16="http://schemas.microsoft.com/office/drawing/2014/main" id="{00000000-0008-0000-0000-00002833D7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311150</xdr:colOff>
      <xdr:row>22</xdr:row>
      <xdr:rowOff>146050</xdr:rowOff>
    </xdr:from>
    <xdr:to>
      <xdr:col>10</xdr:col>
      <xdr:colOff>142875</xdr:colOff>
      <xdr:row>43</xdr:row>
      <xdr:rowOff>95250</xdr:rowOff>
    </xdr:to>
    <xdr:graphicFrame macro="">
      <xdr:nvGraphicFramePr>
        <xdr:cNvPr id="14103337" name="Chart 1">
          <a:extLst>
            <a:ext uri="{FF2B5EF4-FFF2-40B4-BE49-F238E27FC236}">
              <a16:creationId xmlns:a16="http://schemas.microsoft.com/office/drawing/2014/main" id="{00000000-0008-0000-0000-00002933D7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288925</xdr:colOff>
      <xdr:row>44</xdr:row>
      <xdr:rowOff>25400</xdr:rowOff>
    </xdr:from>
    <xdr:to>
      <xdr:col>10</xdr:col>
      <xdr:colOff>174625</xdr:colOff>
      <xdr:row>64</xdr:row>
      <xdr:rowOff>142875</xdr:rowOff>
    </xdr:to>
    <xdr:graphicFrame macro="">
      <xdr:nvGraphicFramePr>
        <xdr:cNvPr id="14103338" name="Chart 1">
          <a:extLst>
            <a:ext uri="{FF2B5EF4-FFF2-40B4-BE49-F238E27FC236}">
              <a16:creationId xmlns:a16="http://schemas.microsoft.com/office/drawing/2014/main" id="{00000000-0008-0000-0000-00002A33D7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10</xdr:col>
      <xdr:colOff>498475</xdr:colOff>
      <xdr:row>22</xdr:row>
      <xdr:rowOff>158750</xdr:rowOff>
    </xdr:from>
    <xdr:to>
      <xdr:col>20</xdr:col>
      <xdr:colOff>330200</xdr:colOff>
      <xdr:row>43</xdr:row>
      <xdr:rowOff>107950</xdr:rowOff>
    </xdr:to>
    <xdr:graphicFrame macro="">
      <xdr:nvGraphicFramePr>
        <xdr:cNvPr id="6" name="Chart 1">
          <a:extLst>
            <a:ext uri="{FF2B5EF4-FFF2-40B4-BE49-F238E27FC236}">
              <a16:creationId xmlns:a16="http://schemas.microsoft.com/office/drawing/2014/main" id="{00000000-0008-0000-0000-00000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298450</xdr:colOff>
      <xdr:row>65</xdr:row>
      <xdr:rowOff>165099</xdr:rowOff>
    </xdr:from>
    <xdr:to>
      <xdr:col>10</xdr:col>
      <xdr:colOff>139699</xdr:colOff>
      <xdr:row>86</xdr:row>
      <xdr:rowOff>19050</xdr:rowOff>
    </xdr:to>
    <xdr:graphicFrame macro="">
      <xdr:nvGraphicFramePr>
        <xdr:cNvPr id="7" name="Chart 1">
          <a:extLst>
            <a:ext uri="{FF2B5EF4-FFF2-40B4-BE49-F238E27FC236}">
              <a16:creationId xmlns:a16="http://schemas.microsoft.com/office/drawing/2014/main" id="{59ABE599-3B09-4D90-AB98-9A7E751DA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21</xdr:col>
      <xdr:colOff>3175</xdr:colOff>
      <xdr:row>23</xdr:row>
      <xdr:rowOff>6350</xdr:rowOff>
    </xdr:from>
    <xdr:to>
      <xdr:col>30</xdr:col>
      <xdr:colOff>434975</xdr:colOff>
      <xdr:row>43</xdr:row>
      <xdr:rowOff>139700</xdr:rowOff>
    </xdr:to>
    <xdr:graphicFrame macro="">
      <xdr:nvGraphicFramePr>
        <xdr:cNvPr id="8" name="Chart 1">
          <a:extLst>
            <a:ext uri="{FF2B5EF4-FFF2-40B4-BE49-F238E27FC236}">
              <a16:creationId xmlns:a16="http://schemas.microsoft.com/office/drawing/2014/main" id="{5A1CA2B1-C1C5-4E35-AAAD-EDDA1E07F52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10</xdr:col>
      <xdr:colOff>514350</xdr:colOff>
      <xdr:row>44</xdr:row>
      <xdr:rowOff>82550</xdr:rowOff>
    </xdr:from>
    <xdr:to>
      <xdr:col>23</xdr:col>
      <xdr:colOff>381000</xdr:colOff>
      <xdr:row>65</xdr:row>
      <xdr:rowOff>15875</xdr:rowOff>
    </xdr:to>
    <xdr:graphicFrame macro="">
      <xdr:nvGraphicFramePr>
        <xdr:cNvPr id="9" name="Chart 1">
          <a:extLst>
            <a:ext uri="{FF2B5EF4-FFF2-40B4-BE49-F238E27FC236}">
              <a16:creationId xmlns:a16="http://schemas.microsoft.com/office/drawing/2014/main" id="{F06C9BF9-AD8A-44D5-907A-A0E8C5C4AD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10</xdr:col>
      <xdr:colOff>438150</xdr:colOff>
      <xdr:row>0</xdr:row>
      <xdr:rowOff>177801</xdr:rowOff>
    </xdr:from>
    <xdr:to>
      <xdr:col>24</xdr:col>
      <xdr:colOff>196850</xdr:colOff>
      <xdr:row>21</xdr:row>
      <xdr:rowOff>127000</xdr:rowOff>
    </xdr:to>
    <xdr:graphicFrame macro="">
      <xdr:nvGraphicFramePr>
        <xdr:cNvPr id="10" name="Chart 1">
          <a:extLst>
            <a:ext uri="{FF2B5EF4-FFF2-40B4-BE49-F238E27FC236}">
              <a16:creationId xmlns:a16="http://schemas.microsoft.com/office/drawing/2014/main" id="{DE6851E0-E4ED-44A2-AAF4-03D540F5A78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66</xdr:row>
      <xdr:rowOff>0</xdr:rowOff>
    </xdr:from>
    <xdr:to>
      <xdr:col>23</xdr:col>
      <xdr:colOff>444500</xdr:colOff>
      <xdr:row>85</xdr:row>
      <xdr:rowOff>120650</xdr:rowOff>
    </xdr:to>
    <xdr:graphicFrame macro="">
      <xdr:nvGraphicFramePr>
        <xdr:cNvPr id="2" name="Chart 1">
          <a:extLst>
            <a:ext uri="{FF2B5EF4-FFF2-40B4-BE49-F238E27FC236}">
              <a16:creationId xmlns:a16="http://schemas.microsoft.com/office/drawing/2014/main" id="{FF9A0F03-DA55-4343-ABF7-BA3F134D7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0.24807</cdr:x>
      <cdr:y>0.18447</cdr:y>
    </cdr:from>
    <cdr:to>
      <cdr:x>0.47567</cdr:x>
      <cdr:y>0.26214</cdr:y>
    </cdr:to>
    <cdr:sp macro="" textlink="">
      <cdr:nvSpPr>
        <cdr:cNvPr id="4" name="TextBox 3"/>
        <cdr:cNvSpPr txBox="1"/>
      </cdr:nvSpPr>
      <cdr:spPr>
        <a:xfrm xmlns:a="http://schemas.openxmlformats.org/drawingml/2006/main">
          <a:off x="1483880" y="723901"/>
          <a:ext cx="1361435" cy="3047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b="1"/>
        </a:p>
      </cdr:txBody>
    </cdr:sp>
  </cdr:relSizeAnchor>
  <cdr:relSizeAnchor xmlns:cdr="http://schemas.openxmlformats.org/drawingml/2006/chartDrawing">
    <cdr:from>
      <cdr:x>0.59236</cdr:x>
      <cdr:y>0.14806</cdr:y>
    </cdr:from>
    <cdr:to>
      <cdr:x>0.83917</cdr:x>
      <cdr:y>0.23543</cdr:y>
    </cdr:to>
    <cdr:sp macro="" textlink="">
      <cdr:nvSpPr>
        <cdr:cNvPr id="6" name="TextBox 5"/>
        <cdr:cNvSpPr txBox="1"/>
      </cdr:nvSpPr>
      <cdr:spPr>
        <a:xfrm xmlns:a="http://schemas.openxmlformats.org/drawingml/2006/main">
          <a:off x="3543299" y="581024"/>
          <a:ext cx="1476375" cy="3428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b="1"/>
        </a:p>
      </cdr:txBody>
    </cdr:sp>
  </cdr:relSizeAnchor>
  <cdr:relSizeAnchor xmlns:cdr="http://schemas.openxmlformats.org/drawingml/2006/chartDrawing">
    <cdr:from>
      <cdr:x>0.77416</cdr:x>
      <cdr:y>0.66137</cdr:y>
    </cdr:from>
    <cdr:to>
      <cdr:x>0.92647</cdr:x>
      <cdr:y>0.73495</cdr:y>
    </cdr:to>
    <cdr:sp macro="" textlink="">
      <cdr:nvSpPr>
        <cdr:cNvPr id="8" name="TextBox 7"/>
        <cdr:cNvSpPr txBox="1"/>
      </cdr:nvSpPr>
      <cdr:spPr>
        <a:xfrm xmlns:a="http://schemas.openxmlformats.org/drawingml/2006/main">
          <a:off x="4679950" y="2511420"/>
          <a:ext cx="920746" cy="2794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b="1" baseline="0"/>
        </a:p>
      </cdr:txBody>
    </cdr:sp>
  </cdr:relSizeAnchor>
  <cdr:relSizeAnchor xmlns:cdr="http://schemas.openxmlformats.org/drawingml/2006/chartDrawing">
    <cdr:from>
      <cdr:x>0.84076</cdr:x>
      <cdr:y>0.52184</cdr:y>
    </cdr:from>
    <cdr:to>
      <cdr:x>0.93312</cdr:x>
      <cdr:y>0.61408</cdr:y>
    </cdr:to>
    <cdr:sp macro="" textlink="">
      <cdr:nvSpPr>
        <cdr:cNvPr id="2" name="TextBox 1"/>
        <cdr:cNvSpPr txBox="1"/>
      </cdr:nvSpPr>
      <cdr:spPr>
        <a:xfrm xmlns:a="http://schemas.openxmlformats.org/drawingml/2006/main">
          <a:off x="5029200" y="2047857"/>
          <a:ext cx="552450" cy="3619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0.10599</cdr:x>
      <cdr:y>0.16306</cdr:y>
    </cdr:from>
    <cdr:to>
      <cdr:x>0.30313</cdr:x>
      <cdr:y>0.2396</cdr:y>
    </cdr:to>
    <cdr:sp macro="" textlink="">
      <cdr:nvSpPr>
        <cdr:cNvPr id="3" name="TextBox 2"/>
        <cdr:cNvSpPr txBox="1"/>
      </cdr:nvSpPr>
      <cdr:spPr>
        <a:xfrm xmlns:a="http://schemas.openxmlformats.org/drawingml/2006/main">
          <a:off x="635000" y="622294"/>
          <a:ext cx="1181100" cy="2921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Transportation</a:t>
          </a:r>
        </a:p>
      </cdr:txBody>
    </cdr:sp>
  </cdr:relSizeAnchor>
  <cdr:relSizeAnchor xmlns:cdr="http://schemas.openxmlformats.org/drawingml/2006/chartDrawing">
    <cdr:from>
      <cdr:x>0.31719</cdr:x>
      <cdr:y>0.36606</cdr:y>
    </cdr:from>
    <cdr:to>
      <cdr:x>0.60781</cdr:x>
      <cdr:y>0.43428</cdr:y>
    </cdr:to>
    <cdr:sp macro="" textlink="">
      <cdr:nvSpPr>
        <cdr:cNvPr id="4" name="TextBox 3"/>
        <cdr:cNvSpPr txBox="1"/>
      </cdr:nvSpPr>
      <cdr:spPr>
        <a:xfrm xmlns:a="http://schemas.openxmlformats.org/drawingml/2006/main">
          <a:off x="1900357" y="1397001"/>
          <a:ext cx="1741169" cy="260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Electricity Consumption</a:t>
          </a:r>
        </a:p>
      </cdr:txBody>
    </cdr:sp>
  </cdr:relSizeAnchor>
  <cdr:relSizeAnchor xmlns:cdr="http://schemas.openxmlformats.org/drawingml/2006/chartDrawing">
    <cdr:from>
      <cdr:x>0.10781</cdr:x>
      <cdr:y>0.4426</cdr:y>
    </cdr:from>
    <cdr:to>
      <cdr:x>0.28281</cdr:x>
      <cdr:y>0.51414</cdr:y>
    </cdr:to>
    <cdr:sp macro="" textlink="">
      <cdr:nvSpPr>
        <cdr:cNvPr id="5" name="TextBox 4"/>
        <cdr:cNvSpPr txBox="1"/>
      </cdr:nvSpPr>
      <cdr:spPr>
        <a:xfrm xmlns:a="http://schemas.openxmlformats.org/drawingml/2006/main">
          <a:off x="645914" y="1689101"/>
          <a:ext cx="1048464" cy="2730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Residential</a:t>
          </a:r>
        </a:p>
      </cdr:txBody>
    </cdr:sp>
  </cdr:relSizeAnchor>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dr:relSizeAnchor xmlns:cdr="http://schemas.openxmlformats.org/drawingml/2006/chartDrawing">
    <cdr:from>
      <cdr:x>0.13423</cdr:x>
      <cdr:y>0.59401</cdr:y>
    </cdr:from>
    <cdr:to>
      <cdr:x>0.35469</cdr:x>
      <cdr:y>0.66057</cdr:y>
    </cdr:to>
    <cdr:sp macro="" textlink="">
      <cdr:nvSpPr>
        <cdr:cNvPr id="8" name="TextBox 7"/>
        <cdr:cNvSpPr txBox="1"/>
      </cdr:nvSpPr>
      <cdr:spPr>
        <a:xfrm xmlns:a="http://schemas.openxmlformats.org/drawingml/2006/main">
          <a:off x="804202" y="2266951"/>
          <a:ext cx="1320826"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latin typeface="+mn-lt"/>
              <a:ea typeface="+mn-ea"/>
              <a:cs typeface="+mn-cs"/>
            </a:rPr>
            <a:t>Commercial</a:t>
          </a:r>
          <a:endParaRPr lang="en-US"/>
        </a:p>
        <a:p xmlns:a="http://schemas.openxmlformats.org/drawingml/2006/main">
          <a:endParaRPr lang="en-US" sz="1100"/>
        </a:p>
      </cdr:txBody>
    </cdr:sp>
  </cdr:relSizeAnchor>
  <cdr:relSizeAnchor xmlns:cdr="http://schemas.openxmlformats.org/drawingml/2006/chartDrawing">
    <cdr:from>
      <cdr:x>0.21141</cdr:x>
      <cdr:y>0.76539</cdr:y>
    </cdr:from>
    <cdr:to>
      <cdr:x>0.40469</cdr:x>
      <cdr:y>0.83694</cdr:y>
    </cdr:to>
    <cdr:sp macro="" textlink="">
      <cdr:nvSpPr>
        <cdr:cNvPr id="9" name="TextBox 8"/>
        <cdr:cNvSpPr txBox="1"/>
      </cdr:nvSpPr>
      <cdr:spPr>
        <a:xfrm xmlns:a="http://schemas.openxmlformats.org/drawingml/2006/main">
          <a:off x="1266605" y="2921000"/>
          <a:ext cx="1157984" cy="273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latin typeface="+mn-lt"/>
              <a:ea typeface="+mn-ea"/>
              <a:cs typeface="+mn-cs"/>
            </a:rPr>
            <a:t>Industrial (Fuel)</a:t>
          </a:r>
          <a:endParaRPr lang="en-US" sz="1100"/>
        </a:p>
      </cdr:txBody>
    </cdr:sp>
  </cdr:relSizeAnchor>
  <cdr:relSizeAnchor xmlns:cdr="http://schemas.openxmlformats.org/drawingml/2006/chartDrawing">
    <cdr:from>
      <cdr:x>0.10515</cdr:x>
      <cdr:y>0.88598</cdr:y>
    </cdr:from>
    <cdr:to>
      <cdr:x>0.19016</cdr:x>
      <cdr:y>0.92142</cdr:y>
    </cdr:to>
    <cdr:sp macro="" textlink="">
      <cdr:nvSpPr>
        <cdr:cNvPr id="10" name="TextBox 9"/>
        <cdr:cNvSpPr txBox="1"/>
      </cdr:nvSpPr>
      <cdr:spPr>
        <a:xfrm xmlns:a="http://schemas.openxmlformats.org/drawingml/2006/main">
          <a:off x="895350" y="5476875"/>
          <a:ext cx="723900" cy="2190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0.23266</cdr:x>
      <cdr:y>0.85208</cdr:y>
    </cdr:from>
    <cdr:to>
      <cdr:x>0.46532</cdr:x>
      <cdr:y>0.89831</cdr:y>
    </cdr:to>
    <cdr:sp macro="" textlink="">
      <cdr:nvSpPr>
        <cdr:cNvPr id="11" name="TextBox 10"/>
        <cdr:cNvSpPr txBox="1"/>
      </cdr:nvSpPr>
      <cdr:spPr>
        <a:xfrm xmlns:a="http://schemas.openxmlformats.org/drawingml/2006/main">
          <a:off x="1981201" y="5267325"/>
          <a:ext cx="19812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0.49553</cdr:x>
      <cdr:y>0.88906</cdr:y>
    </cdr:from>
    <cdr:to>
      <cdr:x>0.6689</cdr:x>
      <cdr:y>0.9322</cdr:y>
    </cdr:to>
    <cdr:sp macro="" textlink="">
      <cdr:nvSpPr>
        <cdr:cNvPr id="12" name="TextBox 11"/>
        <cdr:cNvSpPr txBox="1"/>
      </cdr:nvSpPr>
      <cdr:spPr>
        <a:xfrm xmlns:a="http://schemas.openxmlformats.org/drawingml/2006/main">
          <a:off x="4219575" y="5495925"/>
          <a:ext cx="1476375"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0.31263</cdr:x>
      <cdr:y>0.74415</cdr:y>
    </cdr:from>
    <cdr:to>
      <cdr:x>0.54079</cdr:x>
      <cdr:y>0.79532</cdr:y>
    </cdr:to>
    <cdr:sp macro="" textlink="">
      <cdr:nvSpPr>
        <cdr:cNvPr id="4097" name="Text Box 1"/>
        <cdr:cNvSpPr txBox="1">
          <a:spLocks xmlns:a="http://schemas.openxmlformats.org/drawingml/2006/main" noChangeArrowheads="1"/>
        </cdr:cNvSpPr>
      </cdr:nvSpPr>
      <cdr:spPr bwMode="auto">
        <a:xfrm xmlns:a="http://schemas.openxmlformats.org/drawingml/2006/main">
          <a:off x="1889911" y="2828123"/>
          <a:ext cx="1379273" cy="19447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sz="1100" b="1" baseline="0">
              <a:latin typeface="+mn-lt"/>
              <a:ea typeface="+mn-ea"/>
              <a:cs typeface="+mn-cs"/>
            </a:rPr>
            <a:t>Agriculture &amp; Land Use</a:t>
          </a:r>
        </a:p>
        <a:p xmlns:a="http://schemas.openxmlformats.org/drawingml/2006/main">
          <a:pPr algn="l" rtl="0">
            <a:defRPr sz="1000"/>
          </a:pPr>
          <a:endParaRPr lang="en-US" sz="800" b="0" i="0" strike="noStrike">
            <a:solidFill>
              <a:srgbClr val="000000"/>
            </a:solidFill>
            <a:latin typeface="Calibri"/>
          </a:endParaRPr>
        </a:p>
      </cdr:txBody>
    </cdr:sp>
  </cdr:relSizeAnchor>
  <cdr:relSizeAnchor xmlns:cdr="http://schemas.openxmlformats.org/drawingml/2006/chartDrawing">
    <cdr:from>
      <cdr:x>0.48993</cdr:x>
      <cdr:y>0.08321</cdr:y>
    </cdr:from>
    <cdr:to>
      <cdr:x>0.63758</cdr:x>
      <cdr:y>0.13405</cdr:y>
    </cdr:to>
    <cdr:sp macro="" textlink="">
      <cdr:nvSpPr>
        <cdr:cNvPr id="3" name="TextBox 2"/>
        <cdr:cNvSpPr txBox="1"/>
      </cdr:nvSpPr>
      <cdr:spPr>
        <a:xfrm xmlns:a="http://schemas.openxmlformats.org/drawingml/2006/main">
          <a:off x="4171925" y="514351"/>
          <a:ext cx="1257292" cy="314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0.4519</cdr:x>
      <cdr:y>0.21263</cdr:y>
    </cdr:from>
    <cdr:to>
      <cdr:x>0.65884</cdr:x>
      <cdr:y>0.26502</cdr:y>
    </cdr:to>
    <cdr:sp macro="" textlink="">
      <cdr:nvSpPr>
        <cdr:cNvPr id="4" name="TextBox 3"/>
        <cdr:cNvSpPr txBox="1"/>
      </cdr:nvSpPr>
      <cdr:spPr>
        <a:xfrm xmlns:a="http://schemas.openxmlformats.org/drawingml/2006/main">
          <a:off x="3848100" y="1314451"/>
          <a:ext cx="1762124"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0.36465</cdr:x>
      <cdr:y>0.53313</cdr:y>
    </cdr:from>
    <cdr:to>
      <cdr:x>0.49294</cdr:x>
      <cdr:y>0.57781</cdr:y>
    </cdr:to>
    <cdr:sp macro="" textlink="">
      <cdr:nvSpPr>
        <cdr:cNvPr id="5" name="TextBox 4"/>
        <cdr:cNvSpPr txBox="1"/>
      </cdr:nvSpPr>
      <cdr:spPr>
        <a:xfrm xmlns:a="http://schemas.openxmlformats.org/drawingml/2006/main">
          <a:off x="3105122" y="3295650"/>
          <a:ext cx="109243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dr:relSizeAnchor xmlns:cdr="http://schemas.openxmlformats.org/drawingml/2006/chartDrawing">
    <cdr:from>
      <cdr:x>0.13423</cdr:x>
      <cdr:y>0.69954</cdr:y>
    </cdr:from>
    <cdr:to>
      <cdr:x>0.25615</cdr:x>
      <cdr:y>0.74576</cdr:y>
    </cdr:to>
    <cdr:sp macro="" textlink="">
      <cdr:nvSpPr>
        <cdr:cNvPr id="8" name="TextBox 7"/>
        <cdr:cNvSpPr txBox="1"/>
      </cdr:nvSpPr>
      <cdr:spPr>
        <a:xfrm xmlns:a="http://schemas.openxmlformats.org/drawingml/2006/main">
          <a:off x="1143015" y="4324350"/>
          <a:ext cx="1038192"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0.21141</cdr:x>
      <cdr:y>0.15</cdr:y>
    </cdr:from>
    <cdr:to>
      <cdr:x>0.35235</cdr:x>
      <cdr:y>0.23809</cdr:y>
    </cdr:to>
    <cdr:sp macro="" textlink="">
      <cdr:nvSpPr>
        <cdr:cNvPr id="9" name="TextBox 8"/>
        <cdr:cNvSpPr txBox="1"/>
      </cdr:nvSpPr>
      <cdr:spPr>
        <a:xfrm xmlns:a="http://schemas.openxmlformats.org/drawingml/2006/main">
          <a:off x="1286742" y="600074"/>
          <a:ext cx="857827" cy="35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0.09236</cdr:x>
      <cdr:y>0.33751</cdr:y>
    </cdr:from>
    <cdr:to>
      <cdr:x>0.43949</cdr:x>
      <cdr:y>0.40936</cdr:y>
    </cdr:to>
    <cdr:sp macro="" textlink="">
      <cdr:nvSpPr>
        <cdr:cNvPr id="10" name="TextBox 9"/>
        <cdr:cNvSpPr txBox="1"/>
      </cdr:nvSpPr>
      <cdr:spPr>
        <a:xfrm xmlns:a="http://schemas.openxmlformats.org/drawingml/2006/main">
          <a:off x="558335" y="1282700"/>
          <a:ext cx="2098470" cy="273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latin typeface="+mn-lt"/>
              <a:ea typeface="+mn-ea"/>
              <a:cs typeface="+mn-cs"/>
            </a:rPr>
            <a:t>Waste (Landfill &amp; Wastewater)</a:t>
          </a:r>
        </a:p>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1100"/>
        </a:p>
      </cdr:txBody>
    </cdr:sp>
  </cdr:relSizeAnchor>
  <cdr:relSizeAnchor xmlns:cdr="http://schemas.openxmlformats.org/drawingml/2006/chartDrawing">
    <cdr:from>
      <cdr:x>0.10125</cdr:x>
      <cdr:y>0.47285</cdr:y>
    </cdr:from>
    <cdr:to>
      <cdr:x>0.25683</cdr:x>
      <cdr:y>0.58814</cdr:y>
    </cdr:to>
    <cdr:sp macro="" textlink="">
      <cdr:nvSpPr>
        <cdr:cNvPr id="11" name="TextBox 10"/>
        <cdr:cNvSpPr txBox="1"/>
      </cdr:nvSpPr>
      <cdr:spPr>
        <a:xfrm xmlns:a="http://schemas.openxmlformats.org/drawingml/2006/main">
          <a:off x="612077" y="1797050"/>
          <a:ext cx="940512"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latin typeface="+mn-lt"/>
              <a:ea typeface="+mn-ea"/>
              <a:cs typeface="+mn-cs"/>
            </a:rPr>
            <a:t>Natural</a:t>
          </a:r>
          <a:r>
            <a:rPr lang="en-US" sz="1100" b="1" baseline="0">
              <a:latin typeface="+mn-lt"/>
              <a:ea typeface="+mn-ea"/>
              <a:cs typeface="+mn-cs"/>
            </a:rPr>
            <a:t> Gas Systems </a:t>
          </a:r>
        </a:p>
        <a:p xmlns:a="http://schemas.openxmlformats.org/drawingml/2006/main">
          <a:endParaRPr lang="en-US" sz="1100" b="1" baseline="0">
            <a:latin typeface="+mn-lt"/>
            <a:ea typeface="+mn-ea"/>
            <a:cs typeface="+mn-cs"/>
          </a:endParaRPr>
        </a:p>
        <a:p xmlns:a="http://schemas.openxmlformats.org/drawingml/2006/main">
          <a:endParaRPr lang="en-US" sz="1100" b="1">
            <a:latin typeface="+mn-lt"/>
            <a:ea typeface="+mn-ea"/>
            <a:cs typeface="+mn-cs"/>
          </a:endParaRPr>
        </a:p>
      </cdr:txBody>
    </cdr:sp>
  </cdr:relSizeAnchor>
  <cdr:relSizeAnchor xmlns:cdr="http://schemas.openxmlformats.org/drawingml/2006/chartDrawing">
    <cdr:from>
      <cdr:x>0.55255</cdr:x>
      <cdr:y>0.17043</cdr:y>
    </cdr:from>
    <cdr:to>
      <cdr:x>0.78662</cdr:x>
      <cdr:y>0.24728</cdr:y>
    </cdr:to>
    <cdr:sp macro="" textlink="">
      <cdr:nvSpPr>
        <cdr:cNvPr id="12" name="TextBox 11"/>
        <cdr:cNvSpPr txBox="1"/>
      </cdr:nvSpPr>
      <cdr:spPr>
        <a:xfrm xmlns:a="http://schemas.openxmlformats.org/drawingml/2006/main">
          <a:off x="3340275" y="647700"/>
          <a:ext cx="1415000" cy="292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latin typeface="+mn-lt"/>
              <a:ea typeface="+mn-ea"/>
              <a:cs typeface="+mn-cs"/>
            </a:rPr>
            <a:t>Industrial (Process)</a:t>
          </a:r>
        </a:p>
      </cdr:txBody>
    </cdr:sp>
  </cdr:relSizeAnchor>
</c:userShapes>
</file>

<file path=xl/drawings/drawing7.xml><?xml version="1.0" encoding="utf-8"?>
<c:userShapes xmlns:c="http://schemas.openxmlformats.org/drawingml/2006/chart">
  <cdr:relSizeAnchor xmlns:cdr="http://schemas.openxmlformats.org/drawingml/2006/chartDrawing">
    <cdr:from>
      <cdr:x>0.65342</cdr:x>
      <cdr:y>0.16539</cdr:y>
    </cdr:from>
    <cdr:to>
      <cdr:x>0.9682</cdr:x>
      <cdr:y>0.23333</cdr:y>
    </cdr:to>
    <cdr:sp macro="" textlink="">
      <cdr:nvSpPr>
        <cdr:cNvPr id="3" name="TextBox 2"/>
        <cdr:cNvSpPr txBox="1"/>
      </cdr:nvSpPr>
      <cdr:spPr>
        <a:xfrm xmlns:a="http://schemas.openxmlformats.org/drawingml/2006/main">
          <a:off x="3935532" y="619125"/>
          <a:ext cx="1895912" cy="2543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Transportation Consumption</a:t>
          </a:r>
        </a:p>
      </cdr:txBody>
    </cdr:sp>
  </cdr:relSizeAnchor>
  <cdr:relSizeAnchor xmlns:cdr="http://schemas.openxmlformats.org/drawingml/2006/chartDrawing">
    <cdr:from>
      <cdr:x>0.71807</cdr:x>
      <cdr:y>0.45802</cdr:y>
    </cdr:from>
    <cdr:to>
      <cdr:x>0.9788</cdr:x>
      <cdr:y>0.53944</cdr:y>
    </cdr:to>
    <cdr:sp macro="" textlink="">
      <cdr:nvSpPr>
        <cdr:cNvPr id="4" name="TextBox 3"/>
        <cdr:cNvSpPr txBox="1"/>
      </cdr:nvSpPr>
      <cdr:spPr>
        <a:xfrm xmlns:a="http://schemas.openxmlformats.org/drawingml/2006/main">
          <a:off x="4324918" y="1714500"/>
          <a:ext cx="157037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Electricity Consumption</a:t>
          </a:r>
        </a:p>
      </cdr:txBody>
    </cdr:sp>
  </cdr:relSizeAnchor>
  <cdr:relSizeAnchor xmlns:cdr="http://schemas.openxmlformats.org/drawingml/2006/chartDrawing">
    <cdr:from>
      <cdr:x>0.6078</cdr:x>
      <cdr:y>0.27735</cdr:y>
    </cdr:from>
    <cdr:to>
      <cdr:x>1</cdr:x>
      <cdr:y>0.3486</cdr:y>
    </cdr:to>
    <cdr:sp macro="" textlink="">
      <cdr:nvSpPr>
        <cdr:cNvPr id="5" name="TextBox 4"/>
        <cdr:cNvSpPr txBox="1"/>
      </cdr:nvSpPr>
      <cdr:spPr>
        <a:xfrm xmlns:a="http://schemas.openxmlformats.org/drawingml/2006/main">
          <a:off x="3660775" y="1038225"/>
          <a:ext cx="236220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Building </a:t>
          </a:r>
          <a:r>
            <a:rPr lang="en-US" sz="1100" b="1" baseline="0"/>
            <a:t>Consumption</a:t>
          </a:r>
          <a:endParaRPr lang="en-US" sz="1100" b="1"/>
        </a:p>
      </cdr:txBody>
    </cdr:sp>
  </cdr:relSizeAnchor>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dr:relSizeAnchor xmlns:cdr="http://schemas.openxmlformats.org/drawingml/2006/chartDrawing">
    <cdr:from>
      <cdr:x>0.13423</cdr:x>
      <cdr:y>0.61905</cdr:y>
    </cdr:from>
    <cdr:to>
      <cdr:x>0.35469</cdr:x>
      <cdr:y>0.68333</cdr:y>
    </cdr:to>
    <cdr:sp macro="" textlink="">
      <cdr:nvSpPr>
        <cdr:cNvPr id="8" name="TextBox 7"/>
        <cdr:cNvSpPr txBox="1"/>
      </cdr:nvSpPr>
      <cdr:spPr>
        <a:xfrm xmlns:a="http://schemas.openxmlformats.org/drawingml/2006/main">
          <a:off x="818265" y="2476500"/>
          <a:ext cx="1343909" cy="25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a:p>
        <a:p xmlns:a="http://schemas.openxmlformats.org/drawingml/2006/main">
          <a:endParaRPr lang="en-US" sz="1100"/>
        </a:p>
      </cdr:txBody>
    </cdr:sp>
  </cdr:relSizeAnchor>
  <cdr:relSizeAnchor xmlns:cdr="http://schemas.openxmlformats.org/drawingml/2006/chartDrawing">
    <cdr:from>
      <cdr:x>0.21141</cdr:x>
      <cdr:y>0.78019</cdr:y>
    </cdr:from>
    <cdr:to>
      <cdr:x>0.40469</cdr:x>
      <cdr:y>0.84048</cdr:y>
    </cdr:to>
    <cdr:sp macro="" textlink="">
      <cdr:nvSpPr>
        <cdr:cNvPr id="9" name="TextBox 8"/>
        <cdr:cNvSpPr txBox="1"/>
      </cdr:nvSpPr>
      <cdr:spPr>
        <a:xfrm xmlns:a="http://schemas.openxmlformats.org/drawingml/2006/main">
          <a:off x="1254523" y="3076575"/>
          <a:ext cx="1146938" cy="2377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1100"/>
        </a:p>
      </cdr:txBody>
    </cdr:sp>
  </cdr:relSizeAnchor>
  <cdr:relSizeAnchor xmlns:cdr="http://schemas.openxmlformats.org/drawingml/2006/chartDrawing">
    <cdr:from>
      <cdr:x>0.10515</cdr:x>
      <cdr:y>0.88598</cdr:y>
    </cdr:from>
    <cdr:to>
      <cdr:x>0.19016</cdr:x>
      <cdr:y>0.92142</cdr:y>
    </cdr:to>
    <cdr:sp macro="" textlink="">
      <cdr:nvSpPr>
        <cdr:cNvPr id="10" name="TextBox 9"/>
        <cdr:cNvSpPr txBox="1"/>
      </cdr:nvSpPr>
      <cdr:spPr>
        <a:xfrm xmlns:a="http://schemas.openxmlformats.org/drawingml/2006/main">
          <a:off x="895350" y="5476875"/>
          <a:ext cx="723900" cy="2190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0.23266</cdr:x>
      <cdr:y>0.85208</cdr:y>
    </cdr:from>
    <cdr:to>
      <cdr:x>0.46532</cdr:x>
      <cdr:y>0.89831</cdr:y>
    </cdr:to>
    <cdr:sp macro="" textlink="">
      <cdr:nvSpPr>
        <cdr:cNvPr id="11" name="TextBox 10"/>
        <cdr:cNvSpPr txBox="1"/>
      </cdr:nvSpPr>
      <cdr:spPr>
        <a:xfrm xmlns:a="http://schemas.openxmlformats.org/drawingml/2006/main">
          <a:off x="1981201" y="5267325"/>
          <a:ext cx="19812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0.49553</cdr:x>
      <cdr:y>0.88906</cdr:y>
    </cdr:from>
    <cdr:to>
      <cdr:x>0.6689</cdr:x>
      <cdr:y>0.9322</cdr:y>
    </cdr:to>
    <cdr:sp macro="" textlink="">
      <cdr:nvSpPr>
        <cdr:cNvPr id="12" name="TextBox 11"/>
        <cdr:cNvSpPr txBox="1"/>
      </cdr:nvSpPr>
      <cdr:spPr>
        <a:xfrm xmlns:a="http://schemas.openxmlformats.org/drawingml/2006/main">
          <a:off x="4219575" y="5495925"/>
          <a:ext cx="1476375"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userShapes>
</file>

<file path=xl/drawings/drawing8.xml><?xml version="1.0" encoding="utf-8"?>
<c:userShapes xmlns:c="http://schemas.openxmlformats.org/drawingml/2006/chart">
  <cdr:relSizeAnchor xmlns:cdr="http://schemas.openxmlformats.org/drawingml/2006/chartDrawing">
    <cdr:from>
      <cdr:x>0.07949</cdr:x>
      <cdr:y>0.13311</cdr:y>
    </cdr:from>
    <cdr:to>
      <cdr:x>0.4017</cdr:x>
      <cdr:y>0.21464</cdr:y>
    </cdr:to>
    <cdr:sp macro="" textlink="">
      <cdr:nvSpPr>
        <cdr:cNvPr id="3" name="TextBox 2"/>
        <cdr:cNvSpPr txBox="1"/>
      </cdr:nvSpPr>
      <cdr:spPr>
        <a:xfrm xmlns:a="http://schemas.openxmlformats.org/drawingml/2006/main">
          <a:off x="476251" y="508001"/>
          <a:ext cx="1930400" cy="311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Transportation Consumption</a:t>
          </a:r>
        </a:p>
      </cdr:txBody>
    </cdr:sp>
  </cdr:relSizeAnchor>
  <cdr:relSizeAnchor xmlns:cdr="http://schemas.openxmlformats.org/drawingml/2006/chartDrawing">
    <cdr:from>
      <cdr:x>0.34128</cdr:x>
      <cdr:y>0.32779</cdr:y>
    </cdr:from>
    <cdr:to>
      <cdr:x>0.62109</cdr:x>
      <cdr:y>0.39933</cdr:y>
    </cdr:to>
    <cdr:sp macro="" textlink="">
      <cdr:nvSpPr>
        <cdr:cNvPr id="4" name="TextBox 3"/>
        <cdr:cNvSpPr txBox="1"/>
      </cdr:nvSpPr>
      <cdr:spPr>
        <a:xfrm xmlns:a="http://schemas.openxmlformats.org/drawingml/2006/main">
          <a:off x="2044685" y="1250950"/>
          <a:ext cx="1676405" cy="273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Electricity Consumption</a:t>
          </a:r>
        </a:p>
      </cdr:txBody>
    </cdr:sp>
  </cdr:relSizeAnchor>
  <cdr:relSizeAnchor xmlns:cdr="http://schemas.openxmlformats.org/drawingml/2006/chartDrawing">
    <cdr:from>
      <cdr:x>0.26391</cdr:x>
      <cdr:y>0.43428</cdr:y>
    </cdr:from>
    <cdr:to>
      <cdr:x>0.5893</cdr:x>
      <cdr:y>0.50915</cdr:y>
    </cdr:to>
    <cdr:sp macro="" textlink="">
      <cdr:nvSpPr>
        <cdr:cNvPr id="5" name="TextBox 4"/>
        <cdr:cNvSpPr txBox="1"/>
      </cdr:nvSpPr>
      <cdr:spPr>
        <a:xfrm xmlns:a="http://schemas.openxmlformats.org/drawingml/2006/main">
          <a:off x="1581145" y="1657351"/>
          <a:ext cx="1949456"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Residential</a:t>
          </a:r>
          <a:r>
            <a:rPr lang="en-US" sz="1100" b="1" baseline="0"/>
            <a:t> Heating &amp; Cooling</a:t>
          </a:r>
          <a:endParaRPr lang="en-US" sz="1100" b="1"/>
        </a:p>
      </cdr:txBody>
    </cdr:sp>
  </cdr:relSizeAnchor>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dr:relSizeAnchor xmlns:cdr="http://schemas.openxmlformats.org/drawingml/2006/chartDrawing">
    <cdr:from>
      <cdr:x>0.13423</cdr:x>
      <cdr:y>0.61905</cdr:y>
    </cdr:from>
    <cdr:to>
      <cdr:x>0.35469</cdr:x>
      <cdr:y>0.68333</cdr:y>
    </cdr:to>
    <cdr:sp macro="" textlink="">
      <cdr:nvSpPr>
        <cdr:cNvPr id="8" name="TextBox 7"/>
        <cdr:cNvSpPr txBox="1"/>
      </cdr:nvSpPr>
      <cdr:spPr>
        <a:xfrm xmlns:a="http://schemas.openxmlformats.org/drawingml/2006/main">
          <a:off x="818265" y="2476500"/>
          <a:ext cx="1343909" cy="25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a:p>
        <a:p xmlns:a="http://schemas.openxmlformats.org/drawingml/2006/main">
          <a:endParaRPr lang="en-US" sz="1100"/>
        </a:p>
      </cdr:txBody>
    </cdr:sp>
  </cdr:relSizeAnchor>
  <cdr:relSizeAnchor xmlns:cdr="http://schemas.openxmlformats.org/drawingml/2006/chartDrawing">
    <cdr:from>
      <cdr:x>0.21141</cdr:x>
      <cdr:y>0.78019</cdr:y>
    </cdr:from>
    <cdr:to>
      <cdr:x>0.40469</cdr:x>
      <cdr:y>0.84048</cdr:y>
    </cdr:to>
    <cdr:sp macro="" textlink="">
      <cdr:nvSpPr>
        <cdr:cNvPr id="9" name="TextBox 8"/>
        <cdr:cNvSpPr txBox="1"/>
      </cdr:nvSpPr>
      <cdr:spPr>
        <a:xfrm xmlns:a="http://schemas.openxmlformats.org/drawingml/2006/main">
          <a:off x="1254523" y="3076575"/>
          <a:ext cx="1146938" cy="2377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1100"/>
        </a:p>
      </cdr:txBody>
    </cdr:sp>
  </cdr:relSizeAnchor>
  <cdr:relSizeAnchor xmlns:cdr="http://schemas.openxmlformats.org/drawingml/2006/chartDrawing">
    <cdr:from>
      <cdr:x>0.10515</cdr:x>
      <cdr:y>0.88598</cdr:y>
    </cdr:from>
    <cdr:to>
      <cdr:x>0.19016</cdr:x>
      <cdr:y>0.92142</cdr:y>
    </cdr:to>
    <cdr:sp macro="" textlink="">
      <cdr:nvSpPr>
        <cdr:cNvPr id="10" name="TextBox 9"/>
        <cdr:cNvSpPr txBox="1"/>
      </cdr:nvSpPr>
      <cdr:spPr>
        <a:xfrm xmlns:a="http://schemas.openxmlformats.org/drawingml/2006/main">
          <a:off x="895350" y="5476875"/>
          <a:ext cx="723900" cy="2190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0.23266</cdr:x>
      <cdr:y>0.85208</cdr:y>
    </cdr:from>
    <cdr:to>
      <cdr:x>0.46532</cdr:x>
      <cdr:y>0.89831</cdr:y>
    </cdr:to>
    <cdr:sp macro="" textlink="">
      <cdr:nvSpPr>
        <cdr:cNvPr id="11" name="TextBox 10"/>
        <cdr:cNvSpPr txBox="1"/>
      </cdr:nvSpPr>
      <cdr:spPr>
        <a:xfrm xmlns:a="http://schemas.openxmlformats.org/drawingml/2006/main">
          <a:off x="1981201" y="5267325"/>
          <a:ext cx="19812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0.49553</cdr:x>
      <cdr:y>0.88906</cdr:y>
    </cdr:from>
    <cdr:to>
      <cdr:x>0.6689</cdr:x>
      <cdr:y>0.9322</cdr:y>
    </cdr:to>
    <cdr:sp macro="" textlink="">
      <cdr:nvSpPr>
        <cdr:cNvPr id="12" name="TextBox 11"/>
        <cdr:cNvSpPr txBox="1"/>
      </cdr:nvSpPr>
      <cdr:spPr>
        <a:xfrm xmlns:a="http://schemas.openxmlformats.org/drawingml/2006/main">
          <a:off x="4219575" y="5495925"/>
          <a:ext cx="1476375"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0.29147</cdr:x>
      <cdr:y>0.71048</cdr:y>
    </cdr:from>
    <cdr:to>
      <cdr:x>0.59883</cdr:x>
      <cdr:y>0.74043</cdr:y>
    </cdr:to>
    <cdr:sp macro="" textlink="">
      <cdr:nvSpPr>
        <cdr:cNvPr id="2" name="Rectangle 1">
          <a:extLst xmlns:a="http://schemas.openxmlformats.org/drawingml/2006/main">
            <a:ext uri="{FF2B5EF4-FFF2-40B4-BE49-F238E27FC236}">
              <a16:creationId xmlns:a16="http://schemas.microsoft.com/office/drawing/2014/main" id="{FA082717-CE9B-4787-A1B2-7FD2A9AC7D35}"/>
            </a:ext>
          </a:extLst>
        </cdr:cNvPr>
        <cdr:cNvSpPr/>
      </cdr:nvSpPr>
      <cdr:spPr bwMode="auto">
        <a:xfrm xmlns:a="http://schemas.openxmlformats.org/drawingml/2006/main">
          <a:off x="1746250" y="2711450"/>
          <a:ext cx="1841500" cy="114300"/>
        </a:xfrm>
        <a:prstGeom xmlns:a="http://schemas.openxmlformats.org/drawingml/2006/main" prst="rect">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en-US"/>
        </a:p>
      </cdr:txBody>
    </cdr:sp>
  </cdr:relSizeAnchor>
  <cdr:relSizeAnchor xmlns:cdr="http://schemas.openxmlformats.org/drawingml/2006/chartDrawing">
    <cdr:from>
      <cdr:x>0.20668</cdr:x>
      <cdr:y>0.66556</cdr:y>
    </cdr:from>
    <cdr:to>
      <cdr:x>0.67621</cdr:x>
      <cdr:y>0.74875</cdr:y>
    </cdr:to>
    <cdr:sp macro="" textlink="">
      <cdr:nvSpPr>
        <cdr:cNvPr id="7" name="TextBox 6">
          <a:extLst xmlns:a="http://schemas.openxmlformats.org/drawingml/2006/main">
            <a:ext uri="{FF2B5EF4-FFF2-40B4-BE49-F238E27FC236}">
              <a16:creationId xmlns:a16="http://schemas.microsoft.com/office/drawing/2014/main" id="{F53496BA-16B2-419A-B83A-CAD4FD7687E7}"/>
            </a:ext>
          </a:extLst>
        </cdr:cNvPr>
        <cdr:cNvSpPr txBox="1"/>
      </cdr:nvSpPr>
      <cdr:spPr>
        <a:xfrm xmlns:a="http://schemas.openxmlformats.org/drawingml/2006/main">
          <a:off x="1238266" y="2540000"/>
          <a:ext cx="2813060" cy="317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Commercial &amp; Industrial Heating &amp; Cooling</a:t>
          </a:r>
        </a:p>
      </cdr:txBody>
    </cdr:sp>
  </cdr:relSizeAnchor>
</c:userShapes>
</file>

<file path=xl/drawings/drawing9.xml><?xml version="1.0" encoding="utf-8"?>
<c:userShapes xmlns:c="http://schemas.openxmlformats.org/drawingml/2006/chart">
  <cdr:relSizeAnchor xmlns:cdr="http://schemas.openxmlformats.org/drawingml/2006/chartDrawing">
    <cdr:from>
      <cdr:x>0.48993</cdr:x>
      <cdr:y>0.08321</cdr:y>
    </cdr:from>
    <cdr:to>
      <cdr:x>0.63758</cdr:x>
      <cdr:y>0.13405</cdr:y>
    </cdr:to>
    <cdr:sp macro="" textlink="">
      <cdr:nvSpPr>
        <cdr:cNvPr id="3" name="TextBox 2"/>
        <cdr:cNvSpPr txBox="1"/>
      </cdr:nvSpPr>
      <cdr:spPr>
        <a:xfrm xmlns:a="http://schemas.openxmlformats.org/drawingml/2006/main">
          <a:off x="4171925" y="514351"/>
          <a:ext cx="1257292" cy="314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0.36465</cdr:x>
      <cdr:y>0.53313</cdr:y>
    </cdr:from>
    <cdr:to>
      <cdr:x>0.49294</cdr:x>
      <cdr:y>0.57781</cdr:y>
    </cdr:to>
    <cdr:sp macro="" textlink="">
      <cdr:nvSpPr>
        <cdr:cNvPr id="5" name="TextBox 4"/>
        <cdr:cNvSpPr txBox="1"/>
      </cdr:nvSpPr>
      <cdr:spPr>
        <a:xfrm xmlns:a="http://schemas.openxmlformats.org/drawingml/2006/main">
          <a:off x="3105122" y="3295650"/>
          <a:ext cx="109243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0.10827</cdr:x>
      <cdr:y>0.88803</cdr:y>
    </cdr:from>
    <cdr:to>
      <cdr:x>0.30824</cdr:x>
      <cdr:y>0.93468</cdr:y>
    </cdr:to>
    <cdr:sp macro="" textlink="">
      <cdr:nvSpPr>
        <cdr:cNvPr id="6" name="TextBox 5"/>
        <cdr:cNvSpPr txBox="1"/>
      </cdr:nvSpPr>
      <cdr:spPr>
        <a:xfrm xmlns:a="http://schemas.openxmlformats.org/drawingml/2006/main">
          <a:off x="876581" y="5438776"/>
          <a:ext cx="1619007"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a:p xmlns:a="http://schemas.openxmlformats.org/drawingml/2006/main">
          <a:endParaRPr lang="en-US" sz="1000" b="1"/>
        </a:p>
      </cdr:txBody>
    </cdr:sp>
  </cdr:relSizeAnchor>
  <cdr:relSizeAnchor xmlns:cdr="http://schemas.openxmlformats.org/drawingml/2006/chartDrawing">
    <cdr:from>
      <cdr:x>0.13423</cdr:x>
      <cdr:y>0.69954</cdr:y>
    </cdr:from>
    <cdr:to>
      <cdr:x>0.25615</cdr:x>
      <cdr:y>0.74576</cdr:y>
    </cdr:to>
    <cdr:sp macro="" textlink="">
      <cdr:nvSpPr>
        <cdr:cNvPr id="8" name="TextBox 7"/>
        <cdr:cNvSpPr txBox="1"/>
      </cdr:nvSpPr>
      <cdr:spPr>
        <a:xfrm xmlns:a="http://schemas.openxmlformats.org/drawingml/2006/main">
          <a:off x="1143015" y="4324350"/>
          <a:ext cx="1038192"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0.21141</cdr:x>
      <cdr:y>0.15</cdr:y>
    </cdr:from>
    <cdr:to>
      <cdr:x>0.35235</cdr:x>
      <cdr:y>0.23809</cdr:y>
    </cdr:to>
    <cdr:sp macro="" textlink="">
      <cdr:nvSpPr>
        <cdr:cNvPr id="9" name="TextBox 8"/>
        <cdr:cNvSpPr txBox="1"/>
      </cdr:nvSpPr>
      <cdr:spPr>
        <a:xfrm xmlns:a="http://schemas.openxmlformats.org/drawingml/2006/main">
          <a:off x="1286742" y="600074"/>
          <a:ext cx="857827" cy="35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0.09236</cdr:x>
      <cdr:y>0.25397</cdr:y>
    </cdr:from>
    <cdr:to>
      <cdr:x>0.43949</cdr:x>
      <cdr:y>0.3325</cdr:y>
    </cdr:to>
    <cdr:sp macro="" textlink="">
      <cdr:nvSpPr>
        <cdr:cNvPr id="10" name="TextBox 9"/>
        <cdr:cNvSpPr txBox="1"/>
      </cdr:nvSpPr>
      <cdr:spPr>
        <a:xfrm xmlns:a="http://schemas.openxmlformats.org/drawingml/2006/main">
          <a:off x="558335" y="965201"/>
          <a:ext cx="2098470" cy="2984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1100" b="1">
            <a:latin typeface="+mn-lt"/>
            <a:ea typeface="+mn-ea"/>
            <a:cs typeface="+mn-cs"/>
          </a:endParaRPr>
        </a:p>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1100"/>
        </a:p>
      </cdr:txBody>
    </cdr:sp>
  </cdr:relSizeAnchor>
  <cdr:relSizeAnchor xmlns:cdr="http://schemas.openxmlformats.org/drawingml/2006/chartDrawing">
    <cdr:from>
      <cdr:x>0.10125</cdr:x>
      <cdr:y>0.55639</cdr:y>
    </cdr:from>
    <cdr:to>
      <cdr:x>0.25683</cdr:x>
      <cdr:y>0.69173</cdr:y>
    </cdr:to>
    <cdr:sp macro="" textlink="">
      <cdr:nvSpPr>
        <cdr:cNvPr id="11" name="TextBox 10"/>
        <cdr:cNvSpPr txBox="1"/>
      </cdr:nvSpPr>
      <cdr:spPr>
        <a:xfrm xmlns:a="http://schemas.openxmlformats.org/drawingml/2006/main">
          <a:off x="612077" y="2114550"/>
          <a:ext cx="940498"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b="1" baseline="0">
            <a:latin typeface="+mn-lt"/>
            <a:ea typeface="+mn-ea"/>
            <a:cs typeface="+mn-cs"/>
          </a:endParaRPr>
        </a:p>
        <a:p xmlns:a="http://schemas.openxmlformats.org/drawingml/2006/main">
          <a:endParaRPr lang="en-US" sz="1100" b="1" baseline="0">
            <a:latin typeface="+mn-lt"/>
            <a:ea typeface="+mn-ea"/>
            <a:cs typeface="+mn-cs"/>
          </a:endParaRPr>
        </a:p>
        <a:p xmlns:a="http://schemas.openxmlformats.org/drawingml/2006/main">
          <a:endParaRPr lang="en-US" sz="1100" b="1">
            <a:latin typeface="+mn-lt"/>
            <a:ea typeface="+mn-ea"/>
            <a:cs typeface="+mn-cs"/>
          </a:endParaRPr>
        </a:p>
      </cdr:txBody>
    </cdr:sp>
  </cdr:relSizeAnchor>
  <cdr:relSizeAnchor xmlns:cdr="http://schemas.openxmlformats.org/drawingml/2006/chartDrawing">
    <cdr:from>
      <cdr:x>0.55255</cdr:x>
      <cdr:y>0.07853</cdr:y>
    </cdr:from>
    <cdr:to>
      <cdr:x>0.78662</cdr:x>
      <cdr:y>0.15205</cdr:y>
    </cdr:to>
    <cdr:sp macro="" textlink="">
      <cdr:nvSpPr>
        <cdr:cNvPr id="12" name="TextBox 11"/>
        <cdr:cNvSpPr txBox="1"/>
      </cdr:nvSpPr>
      <cdr:spPr>
        <a:xfrm xmlns:a="http://schemas.openxmlformats.org/drawingml/2006/main">
          <a:off x="3340275" y="298451"/>
          <a:ext cx="14150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b="1">
            <a:latin typeface="+mn-lt"/>
            <a:ea typeface="+mn-ea"/>
            <a:cs typeface="+mn-cs"/>
          </a:endParaRPr>
        </a:p>
      </cdr:txBody>
    </cdr:sp>
  </cdr:relSizeAnchor>
  <cdr:relSizeAnchor xmlns:cdr="http://schemas.openxmlformats.org/drawingml/2006/chartDrawing">
    <cdr:from>
      <cdr:x>0.5021</cdr:x>
      <cdr:y>0.56307</cdr:y>
    </cdr:from>
    <cdr:to>
      <cdr:x>0.86029</cdr:x>
      <cdr:y>0.62657</cdr:y>
    </cdr:to>
    <cdr:sp macro="" textlink="">
      <cdr:nvSpPr>
        <cdr:cNvPr id="2" name="TextBox 1">
          <a:extLst xmlns:a="http://schemas.openxmlformats.org/drawingml/2006/main">
            <a:ext uri="{FF2B5EF4-FFF2-40B4-BE49-F238E27FC236}">
              <a16:creationId xmlns:a16="http://schemas.microsoft.com/office/drawing/2014/main" id="{BF7ABA0B-EB9A-41AD-A0EF-D489A4F87005}"/>
            </a:ext>
          </a:extLst>
        </cdr:cNvPr>
        <cdr:cNvSpPr txBox="1"/>
      </cdr:nvSpPr>
      <cdr:spPr>
        <a:xfrm xmlns:a="http://schemas.openxmlformats.org/drawingml/2006/main">
          <a:off x="3035300" y="2139950"/>
          <a:ext cx="2165350" cy="241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AIR\GHG\Emissions%20Inventory\1990%20Baseline%20Update%202015\Wastewater%20Module_11-17-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AIR\GHG\Emissions%20Inventory\1990%20Baseline%20Update%202015\with%202016%20data\Ag%20Module_Jan17_1-17-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ersonal\sue_ann_richardson_mass_gov\Documents\GHG%20Inventory\SGIT%20modules\IP%20Module_10.22.202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Users\SWeber\AppData\Local\Microsoft\Windows\Temporary%20Internet%20Files\Content.Outlook\CZA24UX4\Mobile%20Combustion_NOV18_11.29.18.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massgov.sharepoint.com/sites/DEP-BAW-Shared/Air/GHG/GHG%20Inventory_SAR/2020%20FINAL%20DATA/co2ffc-module_1.31.23_run2.24.23_JFBunk%20removed.xlsm" TargetMode="External"/><Relationship Id="rId1" Type="http://schemas.openxmlformats.org/officeDocument/2006/relationships/externalLinkPath" Target="file:///C:\sites\DEP-BAW-Shared\Air\GHG\GHG%20Inventory_SAR\2020%20FINAL%20DATA\co2ffc-module_1.31.23_run2.24.23_JFBunk%20removed.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AIR\GHG\Emissions%20Inventory\February%202014\Update%20with%202012%20data\CO2FFC%20Module_Feb_2014_with%206-14_SED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IR\GHG\Emissions%20Inventory\February%202014\Update%20with%202012%20data\Stationary%20Combustion%20Module_2-2014_with%206-2014_SED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unicipal WW, CH4"/>
      <sheetName val="Municipal WW, N2O, direct"/>
      <sheetName val="Municipal WW, N2O, effluent"/>
      <sheetName val="Ind WW Fruit"/>
      <sheetName val="Ind WW Meat"/>
      <sheetName val="Ind WW Poultry"/>
      <sheetName val="Ind WW P&amp;P"/>
      <sheetName val="Summary"/>
      <sheetName val="Tracker"/>
      <sheetName val="Uncertainty"/>
      <sheetName val="Population"/>
      <sheetName val="Vegetable Data"/>
      <sheetName val="Red Meat Data"/>
      <sheetName val="Data Sources"/>
      <sheetName val="Lookups"/>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1">
          <cell r="G21">
            <v>3.6666666666666665</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nteric Fermentation"/>
      <sheetName val="CH4 from Manure Management"/>
      <sheetName val="N2O from Manure Management"/>
      <sheetName val="Ag Soils-Plant-Residues&amp;Legumes"/>
      <sheetName val="Ag Soils-Plant-Fertilizers"/>
      <sheetName val="Ag Soils-Animals"/>
      <sheetName val="Rice Cultivation"/>
      <sheetName val="Ag. Residue Burning-CH4"/>
      <sheetName val="Ag. Residue Burning-N2O"/>
      <sheetName val="Summary"/>
      <sheetName val="Default Livestock_Crop Data "/>
      <sheetName val="Summary Figures"/>
      <sheetName val="National Adjustment"/>
      <sheetName val="Uncertainty"/>
      <sheetName val="constants"/>
      <sheetName val="FertilizerData"/>
      <sheetName val="enteric EFsNEW"/>
      <sheetName val="enteric EFs"/>
      <sheetName val="VS-CattleNEW"/>
      <sheetName val="VS-Cattle"/>
      <sheetName val="MCF"/>
      <sheetName val="manure%"/>
      <sheetName val="Documentation"/>
      <sheetName val="Data Sources"/>
      <sheetName val="Notes"/>
      <sheetName val="ListData"/>
      <sheetName val="animal data"/>
      <sheetName val="crop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2">
          <cell r="B12">
            <v>25</v>
          </cell>
        </row>
        <row r="13">
          <cell r="B13">
            <v>298</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ataframe"/>
      <sheetName val="GHGRP Data Input"/>
      <sheetName val="Cement"/>
      <sheetName val="Lime"/>
      <sheetName val="Limestone"/>
      <sheetName val="Soda Ash"/>
      <sheetName val="Aluminum"/>
      <sheetName val="Iron &amp; Steel"/>
      <sheetName val="Ammonia &amp; Urea"/>
      <sheetName val="Nitric"/>
      <sheetName val="Adipic"/>
      <sheetName val="HCFC-22"/>
      <sheetName val="ODS"/>
      <sheetName val="Semiconductor"/>
      <sheetName val="Electric Power"/>
      <sheetName val="Magnesium"/>
      <sheetName val="Summary, MTCE"/>
      <sheetName val="Summary, MTCO2E"/>
      <sheetName val="Tracker"/>
      <sheetName val="Uncertainty"/>
      <sheetName val="Data Sources"/>
      <sheetName val="Data"/>
      <sheetName val="EF"/>
      <sheetName val="ODS subs method"/>
      <sheetName val="Lime Proportion Data"/>
      <sheetName val="Soda Ash Method"/>
      <sheetName val="Industrial Limestone Ratios"/>
      <sheetName val="semiconductors method"/>
      <sheetName val="Electric Power method"/>
      <sheetName val="Iron &amp; Steel Data"/>
      <sheetName val="Ammonia Defaults"/>
      <sheetName val="state population"/>
      <sheetName val="List Data"/>
      <sheetName val="Notes"/>
    </sheetNames>
    <sheetDataSet>
      <sheetData sheetId="0">
        <row r="89">
          <cell r="C89">
            <v>0.27272727272727271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Control"/>
      <sheetName val="Highway1"/>
      <sheetName val="Highway2"/>
      <sheetName val="Highway3"/>
      <sheetName val="LDGV"/>
      <sheetName val="LDGT"/>
      <sheetName val="HDGV"/>
      <sheetName val="LDDV"/>
      <sheetName val="LDDT"/>
      <sheetName val="HDDV"/>
      <sheetName val="MC"/>
      <sheetName val="Highway"/>
      <sheetName val="Summary"/>
      <sheetName val="CO2 Summary"/>
      <sheetName val="Tracker"/>
      <sheetName val="Uncertainty"/>
      <sheetName val="Non-CO2 Emissions"/>
      <sheetName val="Aviation"/>
      <sheetName val="Boats"/>
      <sheetName val="Locomotives"/>
      <sheetName val="Other"/>
      <sheetName val="AFV"/>
      <sheetName val="Highway CO2"/>
      <sheetName val="Non-highway CO2"/>
      <sheetName val="VMT by MY"/>
      <sheetName val="HW Fuel Consumption by Type"/>
      <sheetName val="Fuel Efficiency"/>
      <sheetName val="Ethanol Correction for CO2"/>
      <sheetName val="CO2 Factors"/>
      <sheetName val="Aviation Activity"/>
      <sheetName val="Boat Activity"/>
      <sheetName val="Locomotive Activity"/>
      <sheetName val="Farm Activity"/>
      <sheetName val="Construction Activity"/>
      <sheetName val="Other Activity"/>
      <sheetName val="AFVActivity"/>
      <sheetName val="VMT Correction"/>
      <sheetName val="Non_HW_Calcs"/>
      <sheetName val="VMT"/>
      <sheetName val="AFV Calcs"/>
      <sheetName val="Notes"/>
      <sheetName val="Data Sources"/>
    </sheetNames>
    <sheetDataSet>
      <sheetData sheetId="0">
        <row r="28">
          <cell r="B28">
            <v>0.27272727272727271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taframe"/>
      <sheetName val="Dataframe_Sum"/>
      <sheetName val="Default State Energy Data Table"/>
      <sheetName val="Residential"/>
      <sheetName val="Commercial"/>
      <sheetName val="Transportation"/>
      <sheetName val="Electric Power"/>
      <sheetName val="Bunker Fuels"/>
      <sheetName val="Industrial"/>
      <sheetName val="Summary-MMTCO2E"/>
      <sheetName val="Summary-MMTCE"/>
      <sheetName val="Tracker"/>
      <sheetName val="Uncertainty"/>
      <sheetName val="FF Consumption"/>
      <sheetName val="FF Checker"/>
      <sheetName val="Coal CC"/>
      <sheetName val="Non-Energy Consump."/>
      <sheetName val="Variable CC's"/>
      <sheetName val="SNG"/>
      <sheetName val="Ethanol"/>
      <sheetName val="Code Key"/>
      <sheetName val="Data Sources"/>
      <sheetName val="List Data"/>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F4">
            <v>1990</v>
          </cell>
          <cell r="G4">
            <v>1991</v>
          </cell>
          <cell r="H4">
            <v>1992</v>
          </cell>
          <cell r="I4">
            <v>1993</v>
          </cell>
          <cell r="J4">
            <v>1994</v>
          </cell>
          <cell r="K4">
            <v>1995</v>
          </cell>
          <cell r="L4">
            <v>1996</v>
          </cell>
          <cell r="M4">
            <v>1997</v>
          </cell>
          <cell r="N4">
            <v>1998</v>
          </cell>
          <cell r="O4">
            <v>1999</v>
          </cell>
          <cell r="P4">
            <v>2000</v>
          </cell>
          <cell r="Q4">
            <v>2001</v>
          </cell>
          <cell r="R4">
            <v>2002</v>
          </cell>
          <cell r="S4">
            <v>2003</v>
          </cell>
          <cell r="T4">
            <v>2004</v>
          </cell>
          <cell r="U4">
            <v>2005</v>
          </cell>
          <cell r="V4">
            <v>2006</v>
          </cell>
          <cell r="W4">
            <v>2007</v>
          </cell>
          <cell r="X4">
            <v>2008</v>
          </cell>
          <cell r="Y4">
            <v>2009</v>
          </cell>
          <cell r="Z4">
            <v>2010</v>
          </cell>
          <cell r="AA4">
            <v>2011</v>
          </cell>
          <cell r="AB4">
            <v>2012</v>
          </cell>
          <cell r="AC4">
            <v>2013</v>
          </cell>
          <cell r="AD4">
            <v>2014</v>
          </cell>
          <cell r="AE4">
            <v>2015</v>
          </cell>
          <cell r="AF4">
            <v>2016</v>
          </cell>
          <cell r="AG4">
            <v>2017</v>
          </cell>
          <cell r="AH4">
            <v>2018</v>
          </cell>
          <cell r="AI4">
            <v>2019</v>
          </cell>
          <cell r="AJ4">
            <v>2020</v>
          </cell>
        </row>
        <row r="5">
          <cell r="E5" t="str">
            <v>AK Industrial Aviation Gasoline Blending Components</v>
          </cell>
          <cell r="F5">
            <v>4</v>
          </cell>
          <cell r="G5">
            <v>-1</v>
          </cell>
          <cell r="H5">
            <v>3</v>
          </cell>
          <cell r="I5">
            <v>3</v>
          </cell>
          <cell r="J5">
            <v>107</v>
          </cell>
          <cell r="K5">
            <v>93</v>
          </cell>
          <cell r="L5">
            <v>130</v>
          </cell>
          <cell r="M5">
            <v>165</v>
          </cell>
          <cell r="N5">
            <v>87</v>
          </cell>
          <cell r="O5">
            <v>141</v>
          </cell>
          <cell r="P5">
            <v>84</v>
          </cell>
          <cell r="Q5">
            <v>134</v>
          </cell>
          <cell r="R5">
            <v>164</v>
          </cell>
          <cell r="S5">
            <v>165</v>
          </cell>
          <cell r="T5">
            <v>233</v>
          </cell>
          <cell r="U5">
            <v>189</v>
          </cell>
          <cell r="V5">
            <v>14</v>
          </cell>
          <cell r="W5">
            <v>39</v>
          </cell>
          <cell r="X5">
            <v>2</v>
          </cell>
          <cell r="Y5">
            <v>-14</v>
          </cell>
          <cell r="Z5">
            <v>-4</v>
          </cell>
          <cell r="AA5">
            <v>0</v>
          </cell>
          <cell r="AB5">
            <v>0</v>
          </cell>
          <cell r="AC5">
            <v>-5</v>
          </cell>
          <cell r="AD5">
            <v>-2</v>
          </cell>
          <cell r="AE5">
            <v>-3</v>
          </cell>
          <cell r="AF5">
            <v>-3</v>
          </cell>
          <cell r="AG5">
            <v>-2</v>
          </cell>
          <cell r="AH5">
            <v>-14</v>
          </cell>
          <cell r="AI5">
            <v>-10</v>
          </cell>
          <cell r="AJ5">
            <v>-7</v>
          </cell>
        </row>
        <row r="6">
          <cell r="E6" t="str">
            <v>AL Industrial Aviation Gasoline Blending Components</v>
          </cell>
          <cell r="F6">
            <v>2</v>
          </cell>
          <cell r="G6">
            <v>-1</v>
          </cell>
          <cell r="H6">
            <v>1</v>
          </cell>
          <cell r="I6">
            <v>1</v>
          </cell>
          <cell r="J6">
            <v>49</v>
          </cell>
          <cell r="K6">
            <v>42</v>
          </cell>
          <cell r="L6">
            <v>57</v>
          </cell>
          <cell r="M6">
            <v>76</v>
          </cell>
          <cell r="N6">
            <v>32</v>
          </cell>
          <cell r="O6">
            <v>51</v>
          </cell>
          <cell r="P6">
            <v>30</v>
          </cell>
          <cell r="Q6">
            <v>42</v>
          </cell>
          <cell r="R6">
            <v>59</v>
          </cell>
          <cell r="S6">
            <v>58</v>
          </cell>
          <cell r="T6">
            <v>71</v>
          </cell>
          <cell r="U6">
            <v>69</v>
          </cell>
          <cell r="V6">
            <v>4</v>
          </cell>
          <cell r="W6">
            <v>13</v>
          </cell>
          <cell r="X6">
            <v>1</v>
          </cell>
          <cell r="Y6">
            <v>-6</v>
          </cell>
          <cell r="Z6">
            <v>-2</v>
          </cell>
          <cell r="AA6">
            <v>0</v>
          </cell>
          <cell r="AB6">
            <v>0</v>
          </cell>
          <cell r="AC6">
            <v>-3</v>
          </cell>
          <cell r="AD6">
            <v>-1</v>
          </cell>
          <cell r="AE6">
            <v>-3</v>
          </cell>
          <cell r="AF6">
            <v>-2</v>
          </cell>
          <cell r="AG6">
            <v>-1</v>
          </cell>
          <cell r="AH6">
            <v>-12</v>
          </cell>
          <cell r="AI6">
            <v>-9</v>
          </cell>
          <cell r="AJ6">
            <v>-6</v>
          </cell>
        </row>
        <row r="7">
          <cell r="E7" t="str">
            <v>AR Industrial Aviation Gasoline Blending Components</v>
          </cell>
          <cell r="F7">
            <v>1</v>
          </cell>
          <cell r="G7">
            <v>0</v>
          </cell>
          <cell r="H7">
            <v>1</v>
          </cell>
          <cell r="I7">
            <v>1</v>
          </cell>
          <cell r="J7">
            <v>26</v>
          </cell>
          <cell r="K7">
            <v>22</v>
          </cell>
          <cell r="L7">
            <v>30</v>
          </cell>
          <cell r="M7">
            <v>38</v>
          </cell>
          <cell r="N7">
            <v>16</v>
          </cell>
          <cell r="O7">
            <v>24</v>
          </cell>
          <cell r="P7">
            <v>14</v>
          </cell>
          <cell r="Q7">
            <v>24</v>
          </cell>
          <cell r="R7">
            <v>32</v>
          </cell>
          <cell r="S7">
            <v>31</v>
          </cell>
          <cell r="T7">
            <v>48</v>
          </cell>
          <cell r="U7">
            <v>39</v>
          </cell>
          <cell r="V7">
            <v>3</v>
          </cell>
          <cell r="W7">
            <v>8</v>
          </cell>
          <cell r="X7">
            <v>0</v>
          </cell>
          <cell r="Y7">
            <v>-4</v>
          </cell>
          <cell r="Z7">
            <v>-1</v>
          </cell>
          <cell r="AA7">
            <v>0</v>
          </cell>
          <cell r="AB7">
            <v>0</v>
          </cell>
          <cell r="AC7">
            <v>-2</v>
          </cell>
          <cell r="AD7">
            <v>-1</v>
          </cell>
          <cell r="AE7">
            <v>-2</v>
          </cell>
          <cell r="AF7">
            <v>-1</v>
          </cell>
          <cell r="AG7">
            <v>-1</v>
          </cell>
          <cell r="AH7">
            <v>-8</v>
          </cell>
          <cell r="AI7">
            <v>-6</v>
          </cell>
          <cell r="AJ7">
            <v>-4</v>
          </cell>
        </row>
        <row r="8">
          <cell r="E8" t="str">
            <v>AZ Industrial Aviation Gasoline Blending Components</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row>
        <row r="9">
          <cell r="E9" t="str">
            <v>CA Industrial Aviation Gasoline Blending Components</v>
          </cell>
          <cell r="F9">
            <v>33</v>
          </cell>
          <cell r="G9">
            <v>-10</v>
          </cell>
          <cell r="H9">
            <v>20</v>
          </cell>
          <cell r="I9">
            <v>19</v>
          </cell>
          <cell r="J9">
            <v>769</v>
          </cell>
          <cell r="K9">
            <v>642</v>
          </cell>
          <cell r="L9">
            <v>848</v>
          </cell>
          <cell r="M9">
            <v>1092</v>
          </cell>
          <cell r="N9">
            <v>475</v>
          </cell>
          <cell r="O9">
            <v>747</v>
          </cell>
          <cell r="P9">
            <v>449</v>
          </cell>
          <cell r="Q9">
            <v>739</v>
          </cell>
          <cell r="R9">
            <v>907</v>
          </cell>
          <cell r="S9">
            <v>885</v>
          </cell>
          <cell r="T9">
            <v>1251</v>
          </cell>
          <cell r="U9">
            <v>1016</v>
          </cell>
          <cell r="V9">
            <v>76</v>
          </cell>
          <cell r="W9">
            <v>208</v>
          </cell>
          <cell r="X9">
            <v>11</v>
          </cell>
          <cell r="Y9">
            <v>-87</v>
          </cell>
          <cell r="Z9">
            <v>-27</v>
          </cell>
          <cell r="AA9">
            <v>1</v>
          </cell>
          <cell r="AB9">
            <v>0</v>
          </cell>
          <cell r="AC9">
            <v>-40</v>
          </cell>
          <cell r="AD9">
            <v>-15</v>
          </cell>
          <cell r="AE9">
            <v>-36</v>
          </cell>
          <cell r="AF9">
            <v>-30</v>
          </cell>
          <cell r="AG9">
            <v>-20</v>
          </cell>
          <cell r="AH9">
            <v>-159</v>
          </cell>
          <cell r="AI9">
            <v>-121</v>
          </cell>
          <cell r="AJ9">
            <v>-79</v>
          </cell>
        </row>
        <row r="10">
          <cell r="E10" t="str">
            <v>CO Industrial Aviation Gasoline Blending Components</v>
          </cell>
          <cell r="F10">
            <v>1</v>
          </cell>
          <cell r="G10">
            <v>0</v>
          </cell>
          <cell r="H10">
            <v>1</v>
          </cell>
          <cell r="I10">
            <v>1</v>
          </cell>
          <cell r="J10">
            <v>35</v>
          </cell>
          <cell r="K10">
            <v>30</v>
          </cell>
          <cell r="L10">
            <v>39</v>
          </cell>
          <cell r="M10">
            <v>50</v>
          </cell>
          <cell r="N10">
            <v>21</v>
          </cell>
          <cell r="O10">
            <v>33</v>
          </cell>
          <cell r="P10">
            <v>20</v>
          </cell>
          <cell r="Q10">
            <v>33</v>
          </cell>
          <cell r="R10">
            <v>40</v>
          </cell>
          <cell r="S10">
            <v>39</v>
          </cell>
          <cell r="T10">
            <v>54</v>
          </cell>
          <cell r="U10">
            <v>48</v>
          </cell>
          <cell r="V10">
            <v>4</v>
          </cell>
          <cell r="W10">
            <v>10</v>
          </cell>
          <cell r="X10">
            <v>1</v>
          </cell>
          <cell r="Y10">
            <v>-5</v>
          </cell>
          <cell r="Z10">
            <v>-1</v>
          </cell>
          <cell r="AA10">
            <v>0</v>
          </cell>
          <cell r="AB10">
            <v>0</v>
          </cell>
          <cell r="AC10">
            <v>-2</v>
          </cell>
          <cell r="AD10">
            <v>-1</v>
          </cell>
          <cell r="AE10">
            <v>-2</v>
          </cell>
          <cell r="AF10">
            <v>-2</v>
          </cell>
          <cell r="AG10">
            <v>-1</v>
          </cell>
          <cell r="AH10">
            <v>-9</v>
          </cell>
          <cell r="AI10">
            <v>-7</v>
          </cell>
          <cell r="AJ10">
            <v>-5</v>
          </cell>
        </row>
        <row r="11">
          <cell r="E11" t="str">
            <v>CT Industrial Aviation Gasoline Blending Components</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row>
        <row r="12">
          <cell r="E12" t="str">
            <v>DC Industrial Aviation Gasoline Blending Components</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row>
        <row r="13">
          <cell r="E13" t="str">
            <v>DE Industrial Aviation Gasoline Blending Components</v>
          </cell>
          <cell r="F13">
            <v>2</v>
          </cell>
          <cell r="G13">
            <v>-1</v>
          </cell>
          <cell r="H13">
            <v>1</v>
          </cell>
          <cell r="I13">
            <v>1</v>
          </cell>
          <cell r="J13">
            <v>57</v>
          </cell>
          <cell r="K13">
            <v>49</v>
          </cell>
          <cell r="L13">
            <v>64</v>
          </cell>
          <cell r="M13">
            <v>82</v>
          </cell>
          <cell r="N13">
            <v>39</v>
          </cell>
          <cell r="O13">
            <v>62</v>
          </cell>
          <cell r="P13">
            <v>38</v>
          </cell>
          <cell r="Q13">
            <v>65</v>
          </cell>
          <cell r="R13">
            <v>80</v>
          </cell>
          <cell r="S13">
            <v>78</v>
          </cell>
          <cell r="T13">
            <v>109</v>
          </cell>
          <cell r="U13">
            <v>92</v>
          </cell>
          <cell r="V13">
            <v>7</v>
          </cell>
          <cell r="W13">
            <v>19</v>
          </cell>
          <cell r="X13">
            <v>1</v>
          </cell>
          <cell r="Y13">
            <v>0</v>
          </cell>
          <cell r="Z13">
            <v>0</v>
          </cell>
          <cell r="AA13">
            <v>0</v>
          </cell>
          <cell r="AB13">
            <v>0</v>
          </cell>
          <cell r="AC13">
            <v>-4</v>
          </cell>
          <cell r="AD13">
            <v>-1</v>
          </cell>
          <cell r="AE13">
            <v>-3</v>
          </cell>
          <cell r="AF13">
            <v>-3</v>
          </cell>
          <cell r="AG13">
            <v>-2</v>
          </cell>
          <cell r="AH13">
            <v>-15</v>
          </cell>
          <cell r="AI13">
            <v>-12</v>
          </cell>
          <cell r="AJ13">
            <v>-7</v>
          </cell>
        </row>
        <row r="14">
          <cell r="E14" t="str">
            <v>FL Industrial Aviation Gasoline Blending Components</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row>
        <row r="15">
          <cell r="E15" t="str">
            <v>GA Industrial Aviation Gasoline Blending Components</v>
          </cell>
          <cell r="F15">
            <v>0</v>
          </cell>
          <cell r="G15">
            <v>0</v>
          </cell>
          <cell r="H15">
            <v>0</v>
          </cell>
          <cell r="I15">
            <v>0</v>
          </cell>
          <cell r="J15">
            <v>2</v>
          </cell>
          <cell r="K15">
            <v>2</v>
          </cell>
          <cell r="L15">
            <v>3</v>
          </cell>
          <cell r="M15">
            <v>3</v>
          </cell>
          <cell r="N15">
            <v>1</v>
          </cell>
          <cell r="O15">
            <v>8</v>
          </cell>
          <cell r="P15">
            <v>1</v>
          </cell>
          <cell r="Q15">
            <v>2</v>
          </cell>
          <cell r="R15">
            <v>2</v>
          </cell>
          <cell r="S15">
            <v>2</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row>
        <row r="16">
          <cell r="E16" t="str">
            <v>HI Industrial Aviation Gasoline Blending Components</v>
          </cell>
          <cell r="F16">
            <v>2</v>
          </cell>
          <cell r="G16">
            <v>-1</v>
          </cell>
          <cell r="H16">
            <v>2</v>
          </cell>
          <cell r="I16">
            <v>1</v>
          </cell>
          <cell r="J16">
            <v>60</v>
          </cell>
          <cell r="K16">
            <v>52</v>
          </cell>
          <cell r="L16">
            <v>68</v>
          </cell>
          <cell r="M16">
            <v>86</v>
          </cell>
          <cell r="N16">
            <v>37</v>
          </cell>
          <cell r="O16">
            <v>58</v>
          </cell>
          <cell r="P16">
            <v>34</v>
          </cell>
          <cell r="Q16">
            <v>55</v>
          </cell>
          <cell r="R16">
            <v>67</v>
          </cell>
          <cell r="S16">
            <v>66</v>
          </cell>
          <cell r="T16">
            <v>92</v>
          </cell>
          <cell r="U16">
            <v>75</v>
          </cell>
          <cell r="V16">
            <v>6</v>
          </cell>
          <cell r="W16">
            <v>15</v>
          </cell>
          <cell r="X16">
            <v>1</v>
          </cell>
          <cell r="Y16">
            <v>-7</v>
          </cell>
          <cell r="Z16">
            <v>-2</v>
          </cell>
          <cell r="AA16">
            <v>0</v>
          </cell>
          <cell r="AB16">
            <v>0</v>
          </cell>
          <cell r="AC16">
            <v>-3</v>
          </cell>
          <cell r="AD16">
            <v>-1</v>
          </cell>
          <cell r="AE16">
            <v>-3</v>
          </cell>
          <cell r="AF16">
            <v>-2</v>
          </cell>
          <cell r="AG16">
            <v>-2</v>
          </cell>
          <cell r="AH16">
            <v>-12</v>
          </cell>
          <cell r="AI16">
            <v>-9</v>
          </cell>
          <cell r="AJ16">
            <v>-5</v>
          </cell>
        </row>
        <row r="17">
          <cell r="E17" t="str">
            <v>IA Industrial Aviation Gasoline Blending Components</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row>
        <row r="18">
          <cell r="E18" t="str">
            <v>ID Industrial Aviation Gasoline Blending Components</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row>
        <row r="19">
          <cell r="E19" t="str">
            <v>IL Industrial Aviation Gasoline Blending Components</v>
          </cell>
          <cell r="F19">
            <v>15</v>
          </cell>
          <cell r="G19">
            <v>-5</v>
          </cell>
          <cell r="H19">
            <v>10</v>
          </cell>
          <cell r="I19">
            <v>10</v>
          </cell>
          <cell r="J19">
            <v>405</v>
          </cell>
          <cell r="K19">
            <v>334</v>
          </cell>
          <cell r="L19">
            <v>434</v>
          </cell>
          <cell r="M19">
            <v>570</v>
          </cell>
          <cell r="N19">
            <v>256</v>
          </cell>
          <cell r="O19">
            <v>404</v>
          </cell>
          <cell r="P19">
            <v>238</v>
          </cell>
          <cell r="Q19">
            <v>291</v>
          </cell>
          <cell r="R19">
            <v>400</v>
          </cell>
          <cell r="S19">
            <v>391</v>
          </cell>
          <cell r="T19">
            <v>559</v>
          </cell>
          <cell r="U19">
            <v>458</v>
          </cell>
          <cell r="V19">
            <v>34</v>
          </cell>
          <cell r="W19">
            <v>95</v>
          </cell>
          <cell r="X19">
            <v>5</v>
          </cell>
          <cell r="Y19">
            <v>-43</v>
          </cell>
          <cell r="Z19">
            <v>-13</v>
          </cell>
          <cell r="AA19">
            <v>1</v>
          </cell>
          <cell r="AB19">
            <v>0</v>
          </cell>
          <cell r="AC19">
            <v>-20</v>
          </cell>
          <cell r="AD19">
            <v>-7</v>
          </cell>
          <cell r="AE19">
            <v>-18</v>
          </cell>
          <cell r="AF19">
            <v>-15</v>
          </cell>
          <cell r="AG19">
            <v>-10</v>
          </cell>
          <cell r="AH19">
            <v>-83</v>
          </cell>
          <cell r="AI19">
            <v>-65</v>
          </cell>
          <cell r="AJ19">
            <v>-46</v>
          </cell>
        </row>
        <row r="20">
          <cell r="E20" t="str">
            <v>IN Industrial Aviation Gasoline Blending Components</v>
          </cell>
          <cell r="F20">
            <v>7</v>
          </cell>
          <cell r="G20">
            <v>-2</v>
          </cell>
          <cell r="H20">
            <v>5</v>
          </cell>
          <cell r="I20">
            <v>4</v>
          </cell>
          <cell r="J20">
            <v>176</v>
          </cell>
          <cell r="K20">
            <v>146</v>
          </cell>
          <cell r="L20">
            <v>198</v>
          </cell>
          <cell r="M20">
            <v>252</v>
          </cell>
          <cell r="N20">
            <v>108</v>
          </cell>
          <cell r="O20">
            <v>170</v>
          </cell>
          <cell r="P20">
            <v>101</v>
          </cell>
          <cell r="Q20">
            <v>162</v>
          </cell>
          <cell r="R20">
            <v>197</v>
          </cell>
          <cell r="S20">
            <v>193</v>
          </cell>
          <cell r="T20">
            <v>270</v>
          </cell>
          <cell r="U20">
            <v>219</v>
          </cell>
          <cell r="V20">
            <v>16</v>
          </cell>
          <cell r="W20">
            <v>45</v>
          </cell>
          <cell r="X20">
            <v>2</v>
          </cell>
          <cell r="Y20">
            <v>-20</v>
          </cell>
          <cell r="Z20">
            <v>-6</v>
          </cell>
          <cell r="AA20">
            <v>0</v>
          </cell>
          <cell r="AB20">
            <v>0</v>
          </cell>
          <cell r="AC20">
            <v>-9</v>
          </cell>
          <cell r="AD20">
            <v>-3</v>
          </cell>
          <cell r="AE20">
            <v>-8</v>
          </cell>
          <cell r="AF20">
            <v>-7</v>
          </cell>
          <cell r="AG20">
            <v>-5</v>
          </cell>
          <cell r="AH20">
            <v>-38</v>
          </cell>
          <cell r="AI20">
            <v>-29</v>
          </cell>
          <cell r="AJ20">
            <v>-20</v>
          </cell>
        </row>
        <row r="21">
          <cell r="E21" t="str">
            <v>KS Industrial Aviation Gasoline Blending Components</v>
          </cell>
          <cell r="F21">
            <v>6</v>
          </cell>
          <cell r="G21">
            <v>-2</v>
          </cell>
          <cell r="H21">
            <v>3</v>
          </cell>
          <cell r="I21">
            <v>3</v>
          </cell>
          <cell r="J21">
            <v>119</v>
          </cell>
          <cell r="K21">
            <v>103</v>
          </cell>
          <cell r="L21">
            <v>130</v>
          </cell>
          <cell r="M21">
            <v>166</v>
          </cell>
          <cell r="N21">
            <v>71</v>
          </cell>
          <cell r="O21">
            <v>115</v>
          </cell>
          <cell r="P21">
            <v>69</v>
          </cell>
          <cell r="Q21">
            <v>112</v>
          </cell>
          <cell r="R21">
            <v>135</v>
          </cell>
          <cell r="S21">
            <v>132</v>
          </cell>
          <cell r="T21">
            <v>185</v>
          </cell>
          <cell r="U21">
            <v>152</v>
          </cell>
          <cell r="V21">
            <v>11</v>
          </cell>
          <cell r="W21">
            <v>32</v>
          </cell>
          <cell r="X21">
            <v>2</v>
          </cell>
          <cell r="Y21">
            <v>-16</v>
          </cell>
          <cell r="Z21">
            <v>-5</v>
          </cell>
          <cell r="AA21">
            <v>0</v>
          </cell>
          <cell r="AB21">
            <v>0</v>
          </cell>
          <cell r="AC21">
            <v>-7</v>
          </cell>
          <cell r="AD21">
            <v>-3</v>
          </cell>
          <cell r="AE21">
            <v>-7</v>
          </cell>
          <cell r="AF21">
            <v>-6</v>
          </cell>
          <cell r="AG21">
            <v>-4</v>
          </cell>
          <cell r="AH21">
            <v>-33</v>
          </cell>
          <cell r="AI21">
            <v>-26</v>
          </cell>
          <cell r="AJ21">
            <v>-18</v>
          </cell>
        </row>
        <row r="22">
          <cell r="E22" t="str">
            <v>KY Industrial Aviation Gasoline Blending Components</v>
          </cell>
          <cell r="F22">
            <v>3</v>
          </cell>
          <cell r="G22">
            <v>-1</v>
          </cell>
          <cell r="H22">
            <v>2</v>
          </cell>
          <cell r="I22">
            <v>2</v>
          </cell>
          <cell r="J22">
            <v>89</v>
          </cell>
          <cell r="K22">
            <v>77</v>
          </cell>
          <cell r="L22">
            <v>103</v>
          </cell>
          <cell r="M22">
            <v>131</v>
          </cell>
          <cell r="N22">
            <v>57</v>
          </cell>
          <cell r="O22">
            <v>89</v>
          </cell>
          <cell r="P22">
            <v>53</v>
          </cell>
          <cell r="Q22">
            <v>85</v>
          </cell>
          <cell r="R22">
            <v>104</v>
          </cell>
          <cell r="S22">
            <v>101</v>
          </cell>
          <cell r="T22">
            <v>142</v>
          </cell>
          <cell r="U22">
            <v>115</v>
          </cell>
          <cell r="V22">
            <v>8</v>
          </cell>
          <cell r="W22">
            <v>23</v>
          </cell>
          <cell r="X22">
            <v>1</v>
          </cell>
          <cell r="Y22">
            <v>-10</v>
          </cell>
          <cell r="Z22">
            <v>-3</v>
          </cell>
          <cell r="AA22">
            <v>0</v>
          </cell>
          <cell r="AB22">
            <v>0</v>
          </cell>
          <cell r="AC22">
            <v>-5</v>
          </cell>
          <cell r="AD22">
            <v>-2</v>
          </cell>
          <cell r="AE22">
            <v>-5</v>
          </cell>
          <cell r="AF22">
            <v>-4</v>
          </cell>
          <cell r="AG22">
            <v>-3</v>
          </cell>
          <cell r="AH22">
            <v>-23</v>
          </cell>
          <cell r="AI22">
            <v>-18</v>
          </cell>
          <cell r="AJ22">
            <v>-13</v>
          </cell>
        </row>
        <row r="23">
          <cell r="E23" t="str">
            <v>LA Industrial Aviation Gasoline Blending Components</v>
          </cell>
          <cell r="F23">
            <v>36</v>
          </cell>
          <cell r="G23">
            <v>-12</v>
          </cell>
          <cell r="H23">
            <v>25</v>
          </cell>
          <cell r="I23">
            <v>23</v>
          </cell>
          <cell r="J23">
            <v>953</v>
          </cell>
          <cell r="K23">
            <v>843</v>
          </cell>
          <cell r="L23">
            <v>1114</v>
          </cell>
          <cell r="M23">
            <v>1419</v>
          </cell>
          <cell r="N23">
            <v>648</v>
          </cell>
          <cell r="O23">
            <v>1050</v>
          </cell>
          <cell r="P23">
            <v>625</v>
          </cell>
          <cell r="Q23">
            <v>993</v>
          </cell>
          <cell r="R23">
            <v>1240</v>
          </cell>
          <cell r="S23">
            <v>1227</v>
          </cell>
          <cell r="T23">
            <v>1731</v>
          </cell>
          <cell r="U23">
            <v>1284</v>
          </cell>
          <cell r="V23">
            <v>112</v>
          </cell>
          <cell r="W23">
            <v>305</v>
          </cell>
          <cell r="X23">
            <v>16</v>
          </cell>
          <cell r="Y23">
            <v>-142</v>
          </cell>
          <cell r="Z23">
            <v>-45</v>
          </cell>
          <cell r="AA23">
            <v>2</v>
          </cell>
          <cell r="AB23">
            <v>-1</v>
          </cell>
          <cell r="AC23">
            <v>-70</v>
          </cell>
          <cell r="AD23">
            <v>-26</v>
          </cell>
          <cell r="AE23">
            <v>-64</v>
          </cell>
          <cell r="AF23">
            <v>-53</v>
          </cell>
          <cell r="AG23">
            <v>-34</v>
          </cell>
          <cell r="AH23">
            <v>-276</v>
          </cell>
          <cell r="AI23">
            <v>-214</v>
          </cell>
          <cell r="AJ23">
            <v>-135</v>
          </cell>
        </row>
        <row r="24">
          <cell r="E24" t="str">
            <v>MA Industrial Aviation Gasoline Blending Components</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E25" t="str">
            <v>MD Industrial Aviation Gasoline Blending Components</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E26" t="str">
            <v>ME Industrial Aviation Gasoline Blending Components</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E27" t="str">
            <v>MI Industrial Aviation Gasoline Blending Components</v>
          </cell>
          <cell r="F27">
            <v>2</v>
          </cell>
          <cell r="G27">
            <v>-1</v>
          </cell>
          <cell r="H27">
            <v>1</v>
          </cell>
          <cell r="I27">
            <v>1</v>
          </cell>
          <cell r="J27">
            <v>47</v>
          </cell>
          <cell r="K27">
            <v>42</v>
          </cell>
          <cell r="L27">
            <v>55</v>
          </cell>
          <cell r="M27">
            <v>71</v>
          </cell>
          <cell r="N27">
            <v>31</v>
          </cell>
          <cell r="O27">
            <v>29</v>
          </cell>
          <cell r="P27">
            <v>17</v>
          </cell>
          <cell r="Q27">
            <v>28</v>
          </cell>
          <cell r="R27">
            <v>34</v>
          </cell>
          <cell r="S27">
            <v>33</v>
          </cell>
          <cell r="T27">
            <v>46</v>
          </cell>
          <cell r="U27">
            <v>51</v>
          </cell>
          <cell r="V27">
            <v>4</v>
          </cell>
          <cell r="W27">
            <v>11</v>
          </cell>
          <cell r="X27">
            <v>1</v>
          </cell>
          <cell r="Y27">
            <v>-5</v>
          </cell>
          <cell r="Z27">
            <v>-2</v>
          </cell>
          <cell r="AA27">
            <v>0</v>
          </cell>
          <cell r="AB27">
            <v>0</v>
          </cell>
          <cell r="AC27">
            <v>-3</v>
          </cell>
          <cell r="AD27">
            <v>-1</v>
          </cell>
          <cell r="AE27">
            <v>-3</v>
          </cell>
          <cell r="AF27">
            <v>-2</v>
          </cell>
          <cell r="AG27">
            <v>-1</v>
          </cell>
          <cell r="AH27">
            <v>-12</v>
          </cell>
          <cell r="AI27">
            <v>-9</v>
          </cell>
          <cell r="AJ27">
            <v>-6</v>
          </cell>
        </row>
        <row r="28">
          <cell r="E28" t="str">
            <v>MN Industrial Aviation Gasoline Blending Components</v>
          </cell>
          <cell r="F28">
            <v>4</v>
          </cell>
          <cell r="G28">
            <v>-1</v>
          </cell>
          <cell r="H28">
            <v>3</v>
          </cell>
          <cell r="I28">
            <v>3</v>
          </cell>
          <cell r="J28">
            <v>120</v>
          </cell>
          <cell r="K28">
            <v>104</v>
          </cell>
          <cell r="L28">
            <v>146</v>
          </cell>
          <cell r="M28">
            <v>186</v>
          </cell>
          <cell r="N28">
            <v>82</v>
          </cell>
          <cell r="O28">
            <v>129</v>
          </cell>
          <cell r="P28">
            <v>78</v>
          </cell>
          <cell r="Q28">
            <v>125</v>
          </cell>
          <cell r="R28">
            <v>153</v>
          </cell>
          <cell r="S28">
            <v>149</v>
          </cell>
          <cell r="T28">
            <v>209</v>
          </cell>
          <cell r="U28">
            <v>177</v>
          </cell>
          <cell r="V28">
            <v>13</v>
          </cell>
          <cell r="W28">
            <v>37</v>
          </cell>
          <cell r="X28">
            <v>2</v>
          </cell>
          <cell r="Y28">
            <v>-17</v>
          </cell>
          <cell r="Z28">
            <v>-5</v>
          </cell>
          <cell r="AA28">
            <v>0</v>
          </cell>
          <cell r="AB28">
            <v>0</v>
          </cell>
          <cell r="AC28">
            <v>-8</v>
          </cell>
          <cell r="AD28">
            <v>-3</v>
          </cell>
          <cell r="AE28">
            <v>-7</v>
          </cell>
          <cell r="AF28">
            <v>-6</v>
          </cell>
          <cell r="AG28">
            <v>-4</v>
          </cell>
          <cell r="AH28">
            <v>-35</v>
          </cell>
          <cell r="AI28">
            <v>-28</v>
          </cell>
          <cell r="AJ28">
            <v>-19</v>
          </cell>
        </row>
        <row r="29">
          <cell r="E29" t="str">
            <v>MO Industrial Aviation Gasoline Blending Components</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E30" t="str">
            <v>MS Industrial Aviation Gasoline Blending Components</v>
          </cell>
          <cell r="F30">
            <v>6</v>
          </cell>
          <cell r="G30">
            <v>-2</v>
          </cell>
          <cell r="H30">
            <v>4</v>
          </cell>
          <cell r="I30">
            <v>4</v>
          </cell>
          <cell r="J30">
            <v>135</v>
          </cell>
          <cell r="K30">
            <v>117</v>
          </cell>
          <cell r="L30">
            <v>153</v>
          </cell>
          <cell r="M30">
            <v>195</v>
          </cell>
          <cell r="N30">
            <v>84</v>
          </cell>
          <cell r="O30">
            <v>132</v>
          </cell>
          <cell r="P30">
            <v>78</v>
          </cell>
          <cell r="Q30">
            <v>125</v>
          </cell>
          <cell r="R30">
            <v>166</v>
          </cell>
          <cell r="S30">
            <v>163</v>
          </cell>
          <cell r="T30">
            <v>228</v>
          </cell>
          <cell r="U30">
            <v>185</v>
          </cell>
          <cell r="V30">
            <v>14</v>
          </cell>
          <cell r="W30">
            <v>38</v>
          </cell>
          <cell r="X30">
            <v>2</v>
          </cell>
          <cell r="Y30">
            <v>-17</v>
          </cell>
          <cell r="Z30">
            <v>-5</v>
          </cell>
          <cell r="AA30">
            <v>0</v>
          </cell>
          <cell r="AB30">
            <v>0</v>
          </cell>
          <cell r="AC30">
            <v>-8</v>
          </cell>
          <cell r="AD30">
            <v>-3</v>
          </cell>
          <cell r="AE30">
            <v>-7</v>
          </cell>
          <cell r="AF30">
            <v>-6</v>
          </cell>
          <cell r="AG30">
            <v>-4</v>
          </cell>
          <cell r="AH30">
            <v>-33</v>
          </cell>
          <cell r="AI30">
            <v>-25</v>
          </cell>
          <cell r="AJ30">
            <v>-17</v>
          </cell>
        </row>
        <row r="31">
          <cell r="E31" t="str">
            <v>MT Industrial Aviation Gasoline Blending Components</v>
          </cell>
          <cell r="F31">
            <v>2</v>
          </cell>
          <cell r="G31">
            <v>-1</v>
          </cell>
          <cell r="H31">
            <v>1</v>
          </cell>
          <cell r="I31">
            <v>1</v>
          </cell>
          <cell r="J31">
            <v>57</v>
          </cell>
          <cell r="K31">
            <v>50</v>
          </cell>
          <cell r="L31">
            <v>67</v>
          </cell>
          <cell r="M31">
            <v>86</v>
          </cell>
          <cell r="N31">
            <v>38</v>
          </cell>
          <cell r="O31">
            <v>64</v>
          </cell>
          <cell r="P31">
            <v>39</v>
          </cell>
          <cell r="Q31">
            <v>67</v>
          </cell>
          <cell r="R31">
            <v>82</v>
          </cell>
          <cell r="S31">
            <v>81</v>
          </cell>
          <cell r="T31">
            <v>113</v>
          </cell>
          <cell r="U31">
            <v>92</v>
          </cell>
          <cell r="V31">
            <v>7</v>
          </cell>
          <cell r="W31">
            <v>19</v>
          </cell>
          <cell r="X31">
            <v>1</v>
          </cell>
          <cell r="Y31">
            <v>-9</v>
          </cell>
          <cell r="Z31">
            <v>-3</v>
          </cell>
          <cell r="AA31">
            <v>0</v>
          </cell>
          <cell r="AB31">
            <v>0</v>
          </cell>
          <cell r="AC31">
            <v>-4</v>
          </cell>
          <cell r="AD31">
            <v>-1</v>
          </cell>
          <cell r="AE31">
            <v>-4</v>
          </cell>
          <cell r="AF31">
            <v>-3</v>
          </cell>
          <cell r="AG31">
            <v>-2</v>
          </cell>
          <cell r="AH31">
            <v>-17</v>
          </cell>
          <cell r="AI31">
            <v>-14</v>
          </cell>
          <cell r="AJ31">
            <v>-9</v>
          </cell>
        </row>
        <row r="32">
          <cell r="E32" t="str">
            <v>NC Industrial Aviation Gasoline Blending Components</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row>
        <row r="33">
          <cell r="E33" t="str">
            <v>ND Industrial Aviation Gasoline Blending Components</v>
          </cell>
          <cell r="F33">
            <v>1</v>
          </cell>
          <cell r="G33">
            <v>0</v>
          </cell>
          <cell r="H33">
            <v>1</v>
          </cell>
          <cell r="I33">
            <v>1</v>
          </cell>
          <cell r="J33">
            <v>23</v>
          </cell>
          <cell r="K33">
            <v>20</v>
          </cell>
          <cell r="L33">
            <v>27</v>
          </cell>
          <cell r="M33">
            <v>34</v>
          </cell>
          <cell r="N33">
            <v>14</v>
          </cell>
          <cell r="O33">
            <v>23</v>
          </cell>
          <cell r="P33">
            <v>14</v>
          </cell>
          <cell r="Q33">
            <v>22</v>
          </cell>
          <cell r="R33">
            <v>26</v>
          </cell>
          <cell r="S33">
            <v>26</v>
          </cell>
          <cell r="T33">
            <v>36</v>
          </cell>
          <cell r="U33">
            <v>29</v>
          </cell>
          <cell r="V33">
            <v>2</v>
          </cell>
          <cell r="W33">
            <v>6</v>
          </cell>
          <cell r="X33">
            <v>0</v>
          </cell>
          <cell r="Y33">
            <v>-3</v>
          </cell>
          <cell r="Z33">
            <v>-1</v>
          </cell>
          <cell r="AA33">
            <v>0</v>
          </cell>
          <cell r="AB33">
            <v>0</v>
          </cell>
          <cell r="AC33">
            <v>-1</v>
          </cell>
          <cell r="AD33">
            <v>-1</v>
          </cell>
          <cell r="AE33">
            <v>-2</v>
          </cell>
          <cell r="AF33">
            <v>-1</v>
          </cell>
          <cell r="AG33">
            <v>-1</v>
          </cell>
          <cell r="AH33">
            <v>-7</v>
          </cell>
          <cell r="AI33">
            <v>-6</v>
          </cell>
          <cell r="AJ33">
            <v>-3</v>
          </cell>
        </row>
        <row r="34">
          <cell r="E34" t="str">
            <v>NE Industrial Aviation Gasoline Blending Components</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row>
        <row r="35">
          <cell r="E35" t="str">
            <v>NH Industrial Aviation Gasoline Blending Components</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row>
        <row r="36">
          <cell r="E36" t="str">
            <v>NJ Industrial Aviation Gasoline Blending Components</v>
          </cell>
          <cell r="F36">
            <v>5</v>
          </cell>
          <cell r="G36">
            <v>-2</v>
          </cell>
          <cell r="H36">
            <v>4</v>
          </cell>
          <cell r="I36">
            <v>4</v>
          </cell>
          <cell r="J36">
            <v>205</v>
          </cell>
          <cell r="K36">
            <v>170</v>
          </cell>
          <cell r="L36">
            <v>259</v>
          </cell>
          <cell r="M36">
            <v>330</v>
          </cell>
          <cell r="N36">
            <v>135</v>
          </cell>
          <cell r="O36">
            <v>231</v>
          </cell>
          <cell r="P36">
            <v>128</v>
          </cell>
          <cell r="Q36">
            <v>209</v>
          </cell>
          <cell r="R36">
            <v>252</v>
          </cell>
          <cell r="S36">
            <v>288</v>
          </cell>
          <cell r="T36">
            <v>384</v>
          </cell>
          <cell r="U36">
            <v>332</v>
          </cell>
          <cell r="V36">
            <v>23</v>
          </cell>
          <cell r="W36">
            <v>64</v>
          </cell>
          <cell r="X36">
            <v>3</v>
          </cell>
          <cell r="Y36">
            <v>-19</v>
          </cell>
          <cell r="Z36">
            <v>-6</v>
          </cell>
          <cell r="AA36">
            <v>0</v>
          </cell>
          <cell r="AB36">
            <v>0</v>
          </cell>
          <cell r="AC36">
            <v>-10</v>
          </cell>
          <cell r="AD36">
            <v>-4</v>
          </cell>
          <cell r="AE36">
            <v>-9</v>
          </cell>
          <cell r="AF36">
            <v>-8</v>
          </cell>
          <cell r="AG36">
            <v>-4</v>
          </cell>
          <cell r="AH36">
            <v>-35</v>
          </cell>
          <cell r="AI36">
            <v>-27</v>
          </cell>
          <cell r="AJ36">
            <v>-16</v>
          </cell>
        </row>
        <row r="37">
          <cell r="E37" t="str">
            <v>NM Industrial Aviation Gasoline Blending Components</v>
          </cell>
          <cell r="F37">
            <v>1</v>
          </cell>
          <cell r="G37">
            <v>-1</v>
          </cell>
          <cell r="H37">
            <v>1</v>
          </cell>
          <cell r="I37">
            <v>1</v>
          </cell>
          <cell r="J37">
            <v>38</v>
          </cell>
          <cell r="K37">
            <v>33</v>
          </cell>
          <cell r="L37">
            <v>43</v>
          </cell>
          <cell r="M37">
            <v>55</v>
          </cell>
          <cell r="N37">
            <v>24</v>
          </cell>
          <cell r="O37">
            <v>37</v>
          </cell>
          <cell r="P37">
            <v>22</v>
          </cell>
          <cell r="Q37">
            <v>36</v>
          </cell>
          <cell r="R37">
            <v>44</v>
          </cell>
          <cell r="S37">
            <v>43</v>
          </cell>
          <cell r="T37">
            <v>70</v>
          </cell>
          <cell r="U37">
            <v>57</v>
          </cell>
          <cell r="V37">
            <v>5</v>
          </cell>
          <cell r="W37">
            <v>13</v>
          </cell>
          <cell r="X37">
            <v>1</v>
          </cell>
          <cell r="Y37">
            <v>-6</v>
          </cell>
          <cell r="Z37">
            <v>-2</v>
          </cell>
          <cell r="AA37">
            <v>0</v>
          </cell>
          <cell r="AB37">
            <v>0</v>
          </cell>
          <cell r="AC37">
            <v>-3</v>
          </cell>
          <cell r="AD37">
            <v>-1</v>
          </cell>
          <cell r="AE37">
            <v>-2</v>
          </cell>
          <cell r="AF37">
            <v>-2</v>
          </cell>
          <cell r="AG37">
            <v>-1</v>
          </cell>
          <cell r="AH37">
            <v>-11</v>
          </cell>
          <cell r="AI37">
            <v>-9</v>
          </cell>
          <cell r="AJ37">
            <v>-5</v>
          </cell>
        </row>
        <row r="38">
          <cell r="E38" t="str">
            <v>NV Industrial Aviation Gasoline Blending Components</v>
          </cell>
          <cell r="F38">
            <v>0</v>
          </cell>
          <cell r="G38">
            <v>0</v>
          </cell>
          <cell r="H38">
            <v>0</v>
          </cell>
          <cell r="I38">
            <v>0</v>
          </cell>
          <cell r="J38">
            <v>3</v>
          </cell>
          <cell r="K38">
            <v>2</v>
          </cell>
          <cell r="L38">
            <v>3</v>
          </cell>
          <cell r="M38">
            <v>4</v>
          </cell>
          <cell r="N38">
            <v>2</v>
          </cell>
          <cell r="O38">
            <v>2</v>
          </cell>
          <cell r="P38">
            <v>1</v>
          </cell>
          <cell r="Q38">
            <v>2</v>
          </cell>
          <cell r="R38">
            <v>2</v>
          </cell>
          <cell r="S38">
            <v>1</v>
          </cell>
          <cell r="T38">
            <v>1</v>
          </cell>
          <cell r="U38">
            <v>1</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E39" t="str">
            <v>NY Industrial Aviation Gasoline Blending Components</v>
          </cell>
          <cell r="F39">
            <v>1</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E40" t="str">
            <v>OH Industrial Aviation Gasoline Blending Components</v>
          </cell>
          <cell r="F40">
            <v>7</v>
          </cell>
          <cell r="G40">
            <v>-2</v>
          </cell>
          <cell r="H40">
            <v>5</v>
          </cell>
          <cell r="I40">
            <v>5</v>
          </cell>
          <cell r="J40">
            <v>197</v>
          </cell>
          <cell r="K40">
            <v>171</v>
          </cell>
          <cell r="L40">
            <v>233</v>
          </cell>
          <cell r="M40">
            <v>296</v>
          </cell>
          <cell r="N40">
            <v>130</v>
          </cell>
          <cell r="O40">
            <v>206</v>
          </cell>
          <cell r="P40">
            <v>123</v>
          </cell>
          <cell r="Q40">
            <v>196</v>
          </cell>
          <cell r="R40">
            <v>242</v>
          </cell>
          <cell r="S40">
            <v>238</v>
          </cell>
          <cell r="T40">
            <v>344</v>
          </cell>
          <cell r="U40">
            <v>259</v>
          </cell>
          <cell r="V40">
            <v>19</v>
          </cell>
          <cell r="W40">
            <v>53</v>
          </cell>
          <cell r="X40">
            <v>3</v>
          </cell>
          <cell r="Y40">
            <v>-24</v>
          </cell>
          <cell r="Z40">
            <v>-8</v>
          </cell>
          <cell r="AA40">
            <v>0</v>
          </cell>
          <cell r="AB40">
            <v>0</v>
          </cell>
          <cell r="AC40">
            <v>-11</v>
          </cell>
          <cell r="AD40">
            <v>-4</v>
          </cell>
          <cell r="AE40">
            <v>-11</v>
          </cell>
          <cell r="AF40">
            <v>-9</v>
          </cell>
          <cell r="AG40">
            <v>-6</v>
          </cell>
          <cell r="AH40">
            <v>-50</v>
          </cell>
          <cell r="AI40">
            <v>-38</v>
          </cell>
          <cell r="AJ40">
            <v>-26</v>
          </cell>
        </row>
        <row r="41">
          <cell r="E41" t="str">
            <v>OK Industrial Aviation Gasoline Blending Components</v>
          </cell>
          <cell r="F41">
            <v>6</v>
          </cell>
          <cell r="G41">
            <v>-2</v>
          </cell>
          <cell r="H41">
            <v>4</v>
          </cell>
          <cell r="I41">
            <v>4</v>
          </cell>
          <cell r="J41">
            <v>162</v>
          </cell>
          <cell r="K41">
            <v>144</v>
          </cell>
          <cell r="L41">
            <v>187</v>
          </cell>
          <cell r="M41">
            <v>243</v>
          </cell>
          <cell r="N41">
            <v>109</v>
          </cell>
          <cell r="O41">
            <v>178</v>
          </cell>
          <cell r="P41">
            <v>110</v>
          </cell>
          <cell r="Q41">
            <v>180</v>
          </cell>
          <cell r="R41">
            <v>215</v>
          </cell>
          <cell r="S41">
            <v>212</v>
          </cell>
          <cell r="T41">
            <v>303</v>
          </cell>
          <cell r="U41">
            <v>247</v>
          </cell>
          <cell r="V41">
            <v>19</v>
          </cell>
          <cell r="W41">
            <v>54</v>
          </cell>
          <cell r="X41">
            <v>3</v>
          </cell>
          <cell r="Y41">
            <v>-24</v>
          </cell>
          <cell r="Z41">
            <v>-7</v>
          </cell>
          <cell r="AA41">
            <v>0</v>
          </cell>
          <cell r="AB41">
            <v>0</v>
          </cell>
          <cell r="AC41">
            <v>-11</v>
          </cell>
          <cell r="AD41">
            <v>-4</v>
          </cell>
          <cell r="AE41">
            <v>-10</v>
          </cell>
          <cell r="AF41">
            <v>-8</v>
          </cell>
          <cell r="AG41">
            <v>-5</v>
          </cell>
          <cell r="AH41">
            <v>-43</v>
          </cell>
          <cell r="AI41">
            <v>-33</v>
          </cell>
          <cell r="AJ41">
            <v>-23</v>
          </cell>
        </row>
        <row r="42">
          <cell r="E42" t="str">
            <v>OR Industrial Aviation Gasoline Blending Components</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row>
        <row r="43">
          <cell r="E43" t="str">
            <v>PA Industrial Aviation Gasoline Blending Components</v>
          </cell>
          <cell r="F43">
            <v>12</v>
          </cell>
          <cell r="G43">
            <v>-4</v>
          </cell>
          <cell r="H43">
            <v>8</v>
          </cell>
          <cell r="I43">
            <v>7</v>
          </cell>
          <cell r="J43">
            <v>271</v>
          </cell>
          <cell r="K43">
            <v>262</v>
          </cell>
          <cell r="L43">
            <v>264</v>
          </cell>
          <cell r="M43">
            <v>440</v>
          </cell>
          <cell r="N43">
            <v>191</v>
          </cell>
          <cell r="O43">
            <v>303</v>
          </cell>
          <cell r="P43">
            <v>178</v>
          </cell>
          <cell r="Q43">
            <v>284</v>
          </cell>
          <cell r="R43">
            <v>347</v>
          </cell>
          <cell r="S43">
            <v>339</v>
          </cell>
          <cell r="T43">
            <v>481</v>
          </cell>
          <cell r="U43">
            <v>390</v>
          </cell>
          <cell r="V43">
            <v>29</v>
          </cell>
          <cell r="W43">
            <v>80</v>
          </cell>
          <cell r="X43">
            <v>4</v>
          </cell>
          <cell r="Y43">
            <v>-36</v>
          </cell>
          <cell r="Z43">
            <v>-11</v>
          </cell>
          <cell r="AA43">
            <v>0</v>
          </cell>
          <cell r="AB43">
            <v>0</v>
          </cell>
          <cell r="AC43">
            <v>-13</v>
          </cell>
          <cell r="AD43">
            <v>-5</v>
          </cell>
          <cell r="AE43">
            <v>-12</v>
          </cell>
          <cell r="AF43">
            <v>-9</v>
          </cell>
          <cell r="AG43">
            <v>-6</v>
          </cell>
          <cell r="AH43">
            <v>-50</v>
          </cell>
          <cell r="AI43">
            <v>-28</v>
          </cell>
          <cell r="AJ43">
            <v>-12</v>
          </cell>
        </row>
        <row r="44">
          <cell r="E44" t="str">
            <v>RI Industrial Aviation Gasoline Blending Components</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row>
        <row r="45">
          <cell r="E45" t="str">
            <v>SC Industrial Aviation Gasoline Blending Components</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E46" t="str">
            <v>SD Industrial Aviation Gasoline Blending Components</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E47" t="str">
            <v>TN Industrial Aviation Gasoline Blending Components</v>
          </cell>
          <cell r="F47">
            <v>1</v>
          </cell>
          <cell r="G47">
            <v>0</v>
          </cell>
          <cell r="H47">
            <v>1</v>
          </cell>
          <cell r="I47">
            <v>1</v>
          </cell>
          <cell r="J47">
            <v>36</v>
          </cell>
          <cell r="K47">
            <v>31</v>
          </cell>
          <cell r="L47">
            <v>48</v>
          </cell>
          <cell r="M47">
            <v>61</v>
          </cell>
          <cell r="N47">
            <v>35</v>
          </cell>
          <cell r="O47">
            <v>63</v>
          </cell>
          <cell r="P47">
            <v>40</v>
          </cell>
          <cell r="Q47">
            <v>67</v>
          </cell>
          <cell r="R47">
            <v>82</v>
          </cell>
          <cell r="S47">
            <v>80</v>
          </cell>
          <cell r="T47">
            <v>112</v>
          </cell>
          <cell r="U47">
            <v>91</v>
          </cell>
          <cell r="V47">
            <v>7</v>
          </cell>
          <cell r="W47">
            <v>19</v>
          </cell>
          <cell r="X47">
            <v>1</v>
          </cell>
          <cell r="Y47">
            <v>-8</v>
          </cell>
          <cell r="Z47">
            <v>-3</v>
          </cell>
          <cell r="AA47">
            <v>0</v>
          </cell>
          <cell r="AB47">
            <v>0</v>
          </cell>
          <cell r="AC47">
            <v>-4</v>
          </cell>
          <cell r="AD47">
            <v>-1</v>
          </cell>
          <cell r="AE47">
            <v>-4</v>
          </cell>
          <cell r="AF47">
            <v>-3</v>
          </cell>
          <cell r="AG47">
            <v>-2</v>
          </cell>
          <cell r="AH47">
            <v>-15</v>
          </cell>
          <cell r="AI47">
            <v>-11</v>
          </cell>
          <cell r="AJ47">
            <v>-8</v>
          </cell>
        </row>
        <row r="48">
          <cell r="E48" t="str">
            <v>TX Industrial Aviation Gasoline Blending Components</v>
          </cell>
          <cell r="F48">
            <v>61</v>
          </cell>
          <cell r="G48">
            <v>-21</v>
          </cell>
          <cell r="H48">
            <v>40</v>
          </cell>
          <cell r="I48">
            <v>37</v>
          </cell>
          <cell r="J48">
            <v>1582</v>
          </cell>
          <cell r="K48">
            <v>1373</v>
          </cell>
          <cell r="L48">
            <v>1805</v>
          </cell>
          <cell r="M48">
            <v>2363</v>
          </cell>
          <cell r="N48">
            <v>1036</v>
          </cell>
          <cell r="O48">
            <v>1665</v>
          </cell>
          <cell r="P48">
            <v>997</v>
          </cell>
          <cell r="Q48">
            <v>1614</v>
          </cell>
          <cell r="R48">
            <v>1974</v>
          </cell>
          <cell r="S48">
            <v>1992</v>
          </cell>
          <cell r="T48">
            <v>2889</v>
          </cell>
          <cell r="U48">
            <v>2150</v>
          </cell>
          <cell r="V48">
            <v>164</v>
          </cell>
          <cell r="W48">
            <v>466</v>
          </cell>
          <cell r="X48">
            <v>26</v>
          </cell>
          <cell r="Y48">
            <v>-220</v>
          </cell>
          <cell r="Z48">
            <v>-67</v>
          </cell>
          <cell r="AA48">
            <v>3</v>
          </cell>
          <cell r="AB48">
            <v>-1</v>
          </cell>
          <cell r="AC48">
            <v>-110</v>
          </cell>
          <cell r="AD48">
            <v>-41</v>
          </cell>
          <cell r="AE48">
            <v>-104</v>
          </cell>
          <cell r="AF48">
            <v>-89</v>
          </cell>
          <cell r="AG48">
            <v>-59</v>
          </cell>
          <cell r="AH48">
            <v>-478</v>
          </cell>
          <cell r="AI48">
            <v>-371</v>
          </cell>
          <cell r="AJ48">
            <v>-254</v>
          </cell>
        </row>
        <row r="49">
          <cell r="E49" t="str">
            <v>US Industrial Aviation Gasoline Blending Components</v>
          </cell>
          <cell r="F49">
            <v>237</v>
          </cell>
          <cell r="G49">
            <v>-81</v>
          </cell>
          <cell r="H49">
            <v>156</v>
          </cell>
          <cell r="I49">
            <v>146</v>
          </cell>
          <cell r="J49">
            <v>6098</v>
          </cell>
          <cell r="K49">
            <v>5290</v>
          </cell>
          <cell r="L49">
            <v>6951</v>
          </cell>
          <cell r="M49">
            <v>9056</v>
          </cell>
          <cell r="N49">
            <v>4003</v>
          </cell>
          <cell r="O49">
            <v>6396</v>
          </cell>
          <cell r="P49">
            <v>3816</v>
          </cell>
          <cell r="Q49">
            <v>6073</v>
          </cell>
          <cell r="R49">
            <v>7516</v>
          </cell>
          <cell r="S49">
            <v>7471</v>
          </cell>
          <cell r="T49">
            <v>10616</v>
          </cell>
          <cell r="U49">
            <v>8324</v>
          </cell>
          <cell r="V49">
            <v>641</v>
          </cell>
          <cell r="W49">
            <v>1782</v>
          </cell>
          <cell r="X49">
            <v>96</v>
          </cell>
          <cell r="Y49">
            <v>-793</v>
          </cell>
          <cell r="Z49">
            <v>-242</v>
          </cell>
          <cell r="AA49">
            <v>10</v>
          </cell>
          <cell r="AB49">
            <v>-5</v>
          </cell>
          <cell r="AC49">
            <v>-379</v>
          </cell>
          <cell r="AD49">
            <v>-141</v>
          </cell>
          <cell r="AE49">
            <v>-348</v>
          </cell>
          <cell r="AF49">
            <v>-293</v>
          </cell>
          <cell r="AG49">
            <v>-192</v>
          </cell>
          <cell r="AH49">
            <v>-1555</v>
          </cell>
          <cell r="AI49">
            <v>-1191</v>
          </cell>
          <cell r="AJ49">
            <v>-787</v>
          </cell>
        </row>
        <row r="50">
          <cell r="E50" t="str">
            <v>UT Industrial Aviation Gasoline Blending Components</v>
          </cell>
          <cell r="F50">
            <v>2</v>
          </cell>
          <cell r="G50">
            <v>-1</v>
          </cell>
          <cell r="H50">
            <v>2</v>
          </cell>
          <cell r="I50">
            <v>2</v>
          </cell>
          <cell r="J50">
            <v>61</v>
          </cell>
          <cell r="K50">
            <v>53</v>
          </cell>
          <cell r="L50">
            <v>73</v>
          </cell>
          <cell r="M50">
            <v>92</v>
          </cell>
          <cell r="N50">
            <v>39</v>
          </cell>
          <cell r="O50">
            <v>60</v>
          </cell>
          <cell r="P50">
            <v>36</v>
          </cell>
          <cell r="Q50">
            <v>59</v>
          </cell>
          <cell r="R50">
            <v>74</v>
          </cell>
          <cell r="S50">
            <v>72</v>
          </cell>
          <cell r="T50">
            <v>104</v>
          </cell>
          <cell r="U50">
            <v>85</v>
          </cell>
          <cell r="V50">
            <v>6</v>
          </cell>
          <cell r="W50">
            <v>17</v>
          </cell>
          <cell r="X50">
            <v>1</v>
          </cell>
          <cell r="Y50">
            <v>-7</v>
          </cell>
          <cell r="Z50">
            <v>-2</v>
          </cell>
          <cell r="AA50">
            <v>0</v>
          </cell>
          <cell r="AB50">
            <v>0</v>
          </cell>
          <cell r="AC50">
            <v>-4</v>
          </cell>
          <cell r="AD50">
            <v>-1</v>
          </cell>
          <cell r="AE50">
            <v>-3</v>
          </cell>
          <cell r="AF50">
            <v>-3</v>
          </cell>
          <cell r="AG50">
            <v>-2</v>
          </cell>
          <cell r="AH50">
            <v>-17</v>
          </cell>
          <cell r="AI50">
            <v>-13</v>
          </cell>
          <cell r="AJ50">
            <v>-9</v>
          </cell>
        </row>
        <row r="51">
          <cell r="E51" t="str">
            <v>VA Industrial Aviation Gasoline Blending Components</v>
          </cell>
          <cell r="F51">
            <v>1</v>
          </cell>
          <cell r="G51">
            <v>0</v>
          </cell>
          <cell r="H51">
            <v>1</v>
          </cell>
          <cell r="I51">
            <v>1</v>
          </cell>
          <cell r="J51">
            <v>21</v>
          </cell>
          <cell r="K51">
            <v>20</v>
          </cell>
          <cell r="L51">
            <v>26</v>
          </cell>
          <cell r="M51">
            <v>33</v>
          </cell>
          <cell r="N51">
            <v>15</v>
          </cell>
          <cell r="O51">
            <v>23</v>
          </cell>
          <cell r="P51">
            <v>14</v>
          </cell>
          <cell r="Q51">
            <v>22</v>
          </cell>
          <cell r="R51">
            <v>27</v>
          </cell>
          <cell r="S51">
            <v>26</v>
          </cell>
          <cell r="T51">
            <v>37</v>
          </cell>
          <cell r="U51">
            <v>0</v>
          </cell>
          <cell r="V51">
            <v>2</v>
          </cell>
          <cell r="W51">
            <v>7</v>
          </cell>
          <cell r="X51">
            <v>0</v>
          </cell>
          <cell r="Y51">
            <v>-3</v>
          </cell>
          <cell r="Z51">
            <v>0</v>
          </cell>
          <cell r="AA51">
            <v>0</v>
          </cell>
          <cell r="AB51">
            <v>0</v>
          </cell>
          <cell r="AC51">
            <v>0</v>
          </cell>
          <cell r="AD51">
            <v>0</v>
          </cell>
          <cell r="AE51">
            <v>0</v>
          </cell>
          <cell r="AF51">
            <v>0</v>
          </cell>
          <cell r="AG51">
            <v>0</v>
          </cell>
          <cell r="AH51">
            <v>0</v>
          </cell>
          <cell r="AI51">
            <v>0</v>
          </cell>
          <cell r="AJ51">
            <v>0</v>
          </cell>
        </row>
        <row r="52">
          <cell r="E52" t="str">
            <v>VT Industrial Aviation Gasoline Blending Components</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row>
        <row r="53">
          <cell r="E53" t="str">
            <v>WA Industrial Aviation Gasoline Blending Components</v>
          </cell>
          <cell r="F53">
            <v>8</v>
          </cell>
          <cell r="G53">
            <v>-3</v>
          </cell>
          <cell r="H53">
            <v>6</v>
          </cell>
          <cell r="I53">
            <v>5</v>
          </cell>
          <cell r="J53">
            <v>224</v>
          </cell>
          <cell r="K53">
            <v>199</v>
          </cell>
          <cell r="L53">
            <v>262</v>
          </cell>
          <cell r="M53">
            <v>333</v>
          </cell>
          <cell r="N53">
            <v>145</v>
          </cell>
          <cell r="O53">
            <v>232</v>
          </cell>
          <cell r="P53">
            <v>140</v>
          </cell>
          <cell r="Q53">
            <v>225</v>
          </cell>
          <cell r="R53">
            <v>277</v>
          </cell>
          <cell r="S53">
            <v>269</v>
          </cell>
          <cell r="T53">
            <v>385</v>
          </cell>
          <cell r="U53">
            <v>316</v>
          </cell>
          <cell r="V53">
            <v>24</v>
          </cell>
          <cell r="W53">
            <v>65</v>
          </cell>
          <cell r="X53">
            <v>3</v>
          </cell>
          <cell r="Y53">
            <v>-30</v>
          </cell>
          <cell r="Z53">
            <v>-9</v>
          </cell>
          <cell r="AA53">
            <v>0</v>
          </cell>
          <cell r="AB53">
            <v>0</v>
          </cell>
          <cell r="AC53">
            <v>-13</v>
          </cell>
          <cell r="AD53">
            <v>-5</v>
          </cell>
          <cell r="AE53">
            <v>-12</v>
          </cell>
          <cell r="AF53">
            <v>-10</v>
          </cell>
          <cell r="AG53">
            <v>-7</v>
          </cell>
          <cell r="AH53">
            <v>-54</v>
          </cell>
          <cell r="AI53">
            <v>-41</v>
          </cell>
          <cell r="AJ53">
            <v>-29</v>
          </cell>
        </row>
        <row r="54">
          <cell r="E54" t="str">
            <v>WI Industrial Aviation Gasoline Blending Components</v>
          </cell>
          <cell r="F54">
            <v>1</v>
          </cell>
          <cell r="G54">
            <v>0</v>
          </cell>
          <cell r="H54">
            <v>0</v>
          </cell>
          <cell r="I54">
            <v>0</v>
          </cell>
          <cell r="J54">
            <v>13</v>
          </cell>
          <cell r="K54">
            <v>12</v>
          </cell>
          <cell r="L54">
            <v>16</v>
          </cell>
          <cell r="M54">
            <v>21</v>
          </cell>
          <cell r="N54">
            <v>8</v>
          </cell>
          <cell r="O54">
            <v>13</v>
          </cell>
          <cell r="P54">
            <v>8</v>
          </cell>
          <cell r="Q54">
            <v>12</v>
          </cell>
          <cell r="R54">
            <v>15</v>
          </cell>
          <cell r="S54">
            <v>15</v>
          </cell>
          <cell r="T54">
            <v>21</v>
          </cell>
          <cell r="U54">
            <v>17</v>
          </cell>
          <cell r="V54">
            <v>1</v>
          </cell>
          <cell r="W54">
            <v>4</v>
          </cell>
          <cell r="X54">
            <v>0</v>
          </cell>
          <cell r="Y54">
            <v>-2</v>
          </cell>
          <cell r="Z54">
            <v>0</v>
          </cell>
          <cell r="AA54">
            <v>0</v>
          </cell>
          <cell r="AB54">
            <v>0</v>
          </cell>
          <cell r="AC54">
            <v>-1</v>
          </cell>
          <cell r="AD54">
            <v>0</v>
          </cell>
          <cell r="AE54">
            <v>-1</v>
          </cell>
          <cell r="AF54">
            <v>-1</v>
          </cell>
          <cell r="AG54">
            <v>0</v>
          </cell>
          <cell r="AH54">
            <v>-1</v>
          </cell>
          <cell r="AI54">
            <v>0</v>
          </cell>
          <cell r="AJ54">
            <v>0</v>
          </cell>
        </row>
        <row r="55">
          <cell r="E55" t="str">
            <v>WV Industrial Aviation Gasoline Blending Components</v>
          </cell>
          <cell r="F55">
            <v>0</v>
          </cell>
          <cell r="G55">
            <v>0</v>
          </cell>
          <cell r="H55">
            <v>0</v>
          </cell>
          <cell r="I55">
            <v>0</v>
          </cell>
          <cell r="J55">
            <v>5</v>
          </cell>
          <cell r="K55">
            <v>4</v>
          </cell>
          <cell r="L55">
            <v>5</v>
          </cell>
          <cell r="M55">
            <v>7</v>
          </cell>
          <cell r="N55">
            <v>3</v>
          </cell>
          <cell r="O55">
            <v>5</v>
          </cell>
          <cell r="P55">
            <v>4</v>
          </cell>
          <cell r="Q55">
            <v>7</v>
          </cell>
          <cell r="R55">
            <v>9</v>
          </cell>
          <cell r="S55">
            <v>9</v>
          </cell>
          <cell r="T55">
            <v>12</v>
          </cell>
          <cell r="U55">
            <v>10</v>
          </cell>
          <cell r="V55">
            <v>1</v>
          </cell>
          <cell r="W55">
            <v>2</v>
          </cell>
          <cell r="X55">
            <v>0</v>
          </cell>
          <cell r="Y55">
            <v>-1</v>
          </cell>
          <cell r="Z55">
            <v>0</v>
          </cell>
          <cell r="AA55">
            <v>0</v>
          </cell>
          <cell r="AB55">
            <v>0</v>
          </cell>
          <cell r="AC55">
            <v>0</v>
          </cell>
          <cell r="AD55">
            <v>0</v>
          </cell>
          <cell r="AE55">
            <v>0</v>
          </cell>
          <cell r="AF55">
            <v>0</v>
          </cell>
          <cell r="AG55">
            <v>0</v>
          </cell>
          <cell r="AH55">
            <v>-2</v>
          </cell>
          <cell r="AI55">
            <v>-1</v>
          </cell>
          <cell r="AJ55">
            <v>-1</v>
          </cell>
        </row>
        <row r="56">
          <cell r="E56" t="str">
            <v>WY Industrial Aviation Gasoline Blending Components</v>
          </cell>
          <cell r="F56">
            <v>3</v>
          </cell>
          <cell r="G56">
            <v>-1</v>
          </cell>
          <cell r="H56">
            <v>1</v>
          </cell>
          <cell r="I56">
            <v>1</v>
          </cell>
          <cell r="J56">
            <v>52</v>
          </cell>
          <cell r="K56">
            <v>46</v>
          </cell>
          <cell r="L56">
            <v>59</v>
          </cell>
          <cell r="M56">
            <v>76</v>
          </cell>
          <cell r="N56">
            <v>33</v>
          </cell>
          <cell r="O56">
            <v>52</v>
          </cell>
          <cell r="P56">
            <v>33</v>
          </cell>
          <cell r="Q56">
            <v>53</v>
          </cell>
          <cell r="R56">
            <v>67</v>
          </cell>
          <cell r="S56">
            <v>68</v>
          </cell>
          <cell r="T56">
            <v>95</v>
          </cell>
          <cell r="U56">
            <v>78</v>
          </cell>
          <cell r="V56">
            <v>6</v>
          </cell>
          <cell r="W56">
            <v>16</v>
          </cell>
          <cell r="X56">
            <v>1</v>
          </cell>
          <cell r="Y56">
            <v>-8</v>
          </cell>
          <cell r="Z56">
            <v>-2</v>
          </cell>
          <cell r="AA56">
            <v>0</v>
          </cell>
          <cell r="AB56">
            <v>0</v>
          </cell>
          <cell r="AC56">
            <v>-4</v>
          </cell>
          <cell r="AD56">
            <v>-1</v>
          </cell>
          <cell r="AE56">
            <v>-3</v>
          </cell>
          <cell r="AF56">
            <v>-3</v>
          </cell>
          <cell r="AG56">
            <v>-2</v>
          </cell>
          <cell r="AH56">
            <v>-14</v>
          </cell>
          <cell r="AI56">
            <v>-11</v>
          </cell>
          <cell r="AJ56">
            <v>-7</v>
          </cell>
        </row>
        <row r="57">
          <cell r="E57" t="str">
            <v>AK Industrial Asphalt and Road Oil</v>
          </cell>
          <cell r="F57">
            <v>1782</v>
          </cell>
          <cell r="G57">
            <v>1718</v>
          </cell>
          <cell r="H57">
            <v>1750</v>
          </cell>
          <cell r="I57">
            <v>282</v>
          </cell>
          <cell r="J57">
            <v>439</v>
          </cell>
          <cell r="K57">
            <v>548</v>
          </cell>
          <cell r="L57">
            <v>175</v>
          </cell>
          <cell r="M57">
            <v>367</v>
          </cell>
          <cell r="N57">
            <v>431</v>
          </cell>
          <cell r="O57">
            <v>867</v>
          </cell>
          <cell r="P57">
            <v>2059</v>
          </cell>
          <cell r="Q57">
            <v>10232</v>
          </cell>
          <cell r="R57">
            <v>2404</v>
          </cell>
          <cell r="S57">
            <v>395</v>
          </cell>
          <cell r="T57">
            <v>1778</v>
          </cell>
          <cell r="U57">
            <v>1231</v>
          </cell>
          <cell r="V57">
            <v>329</v>
          </cell>
          <cell r="W57">
            <v>924</v>
          </cell>
          <cell r="X57">
            <v>547</v>
          </cell>
          <cell r="Y57">
            <v>10198</v>
          </cell>
          <cell r="Z57">
            <v>12644</v>
          </cell>
          <cell r="AA57">
            <v>14931</v>
          </cell>
          <cell r="AB57">
            <v>14343</v>
          </cell>
          <cell r="AC57">
            <v>12763</v>
          </cell>
          <cell r="AD57">
            <v>12335</v>
          </cell>
          <cell r="AE57">
            <v>12450</v>
          </cell>
          <cell r="AF57">
            <v>12365</v>
          </cell>
          <cell r="AG57">
            <v>13561</v>
          </cell>
          <cell r="AH57">
            <v>4804</v>
          </cell>
          <cell r="AI57">
            <v>11973</v>
          </cell>
          <cell r="AJ57">
            <v>12391</v>
          </cell>
        </row>
        <row r="58">
          <cell r="E58" t="str">
            <v>AL Industrial Asphalt and Road Oil</v>
          </cell>
          <cell r="F58">
            <v>28677</v>
          </cell>
          <cell r="G58">
            <v>35075</v>
          </cell>
          <cell r="H58">
            <v>32802</v>
          </cell>
          <cell r="I58">
            <v>33071</v>
          </cell>
          <cell r="J58">
            <v>33572</v>
          </cell>
          <cell r="K58">
            <v>33141</v>
          </cell>
          <cell r="L58">
            <v>37851</v>
          </cell>
          <cell r="M58">
            <v>36277</v>
          </cell>
          <cell r="N58">
            <v>29565</v>
          </cell>
          <cell r="O58">
            <v>30506</v>
          </cell>
          <cell r="P58">
            <v>34036</v>
          </cell>
          <cell r="Q58">
            <v>28769</v>
          </cell>
          <cell r="R58">
            <v>30127</v>
          </cell>
          <cell r="S58">
            <v>30814</v>
          </cell>
          <cell r="T58">
            <v>44625</v>
          </cell>
          <cell r="U58">
            <v>46502</v>
          </cell>
          <cell r="V58">
            <v>42896</v>
          </cell>
          <cell r="W58">
            <v>35061</v>
          </cell>
          <cell r="X58">
            <v>35132</v>
          </cell>
          <cell r="Y58">
            <v>17692</v>
          </cell>
          <cell r="Z58">
            <v>17634</v>
          </cell>
          <cell r="AA58">
            <v>18178</v>
          </cell>
          <cell r="AB58">
            <v>17721</v>
          </cell>
          <cell r="AC58">
            <v>16970</v>
          </cell>
          <cell r="AD58">
            <v>16483</v>
          </cell>
          <cell r="AE58">
            <v>16010</v>
          </cell>
          <cell r="AF58">
            <v>16365</v>
          </cell>
          <cell r="AG58">
            <v>14901</v>
          </cell>
          <cell r="AH58">
            <v>12965</v>
          </cell>
          <cell r="AI58">
            <v>12470</v>
          </cell>
          <cell r="AJ58">
            <v>13807</v>
          </cell>
        </row>
        <row r="59">
          <cell r="E59" t="str">
            <v>AR Industrial Asphalt and Road Oil</v>
          </cell>
          <cell r="F59">
            <v>3288</v>
          </cell>
          <cell r="G59">
            <v>3540</v>
          </cell>
          <cell r="H59">
            <v>7793</v>
          </cell>
          <cell r="I59">
            <v>9642</v>
          </cell>
          <cell r="J59">
            <v>7072</v>
          </cell>
          <cell r="K59">
            <v>8266</v>
          </cell>
          <cell r="L59">
            <v>6470</v>
          </cell>
          <cell r="M59">
            <v>6716</v>
          </cell>
          <cell r="N59">
            <v>5702</v>
          </cell>
          <cell r="O59">
            <v>6787</v>
          </cell>
          <cell r="P59">
            <v>6747</v>
          </cell>
          <cell r="Q59">
            <v>5893</v>
          </cell>
          <cell r="R59">
            <v>17304</v>
          </cell>
          <cell r="S59">
            <v>12009</v>
          </cell>
          <cell r="T59">
            <v>5868</v>
          </cell>
          <cell r="U59">
            <v>3153</v>
          </cell>
          <cell r="V59">
            <v>8852</v>
          </cell>
          <cell r="W59">
            <v>8188</v>
          </cell>
          <cell r="X59">
            <v>2318</v>
          </cell>
          <cell r="Y59">
            <v>7984</v>
          </cell>
          <cell r="Z59">
            <v>10974</v>
          </cell>
          <cell r="AA59">
            <v>14494</v>
          </cell>
          <cell r="AB59">
            <v>10746</v>
          </cell>
          <cell r="AC59">
            <v>10293</v>
          </cell>
          <cell r="AD59">
            <v>12504</v>
          </cell>
          <cell r="AE59">
            <v>7719</v>
          </cell>
          <cell r="AF59">
            <v>14355</v>
          </cell>
          <cell r="AG59">
            <v>14901</v>
          </cell>
          <cell r="AH59">
            <v>12446</v>
          </cell>
          <cell r="AI59">
            <v>13234</v>
          </cell>
          <cell r="AJ59">
            <v>13546</v>
          </cell>
        </row>
        <row r="60">
          <cell r="E60" t="str">
            <v>AZ Industrial Asphalt and Road Oil</v>
          </cell>
          <cell r="F60">
            <v>15705</v>
          </cell>
          <cell r="G60">
            <v>14472</v>
          </cell>
          <cell r="H60">
            <v>19801</v>
          </cell>
          <cell r="I60">
            <v>15447</v>
          </cell>
          <cell r="J60">
            <v>17083</v>
          </cell>
          <cell r="K60">
            <v>20823</v>
          </cell>
          <cell r="L60">
            <v>16324</v>
          </cell>
          <cell r="M60">
            <v>17945</v>
          </cell>
          <cell r="N60">
            <v>26355</v>
          </cell>
          <cell r="O60">
            <v>25312</v>
          </cell>
          <cell r="P60">
            <v>22752</v>
          </cell>
          <cell r="Q60">
            <v>17039</v>
          </cell>
          <cell r="R60">
            <v>23431</v>
          </cell>
          <cell r="S60">
            <v>23017</v>
          </cell>
          <cell r="T60">
            <v>31934</v>
          </cell>
          <cell r="U60">
            <v>30780</v>
          </cell>
          <cell r="V60">
            <v>27373</v>
          </cell>
          <cell r="W60">
            <v>27034</v>
          </cell>
          <cell r="X60">
            <v>23059</v>
          </cell>
          <cell r="Y60">
            <v>19000</v>
          </cell>
          <cell r="Z60">
            <v>20002</v>
          </cell>
          <cell r="AA60">
            <v>20563</v>
          </cell>
          <cell r="AB60">
            <v>18436</v>
          </cell>
          <cell r="AC60">
            <v>16386</v>
          </cell>
          <cell r="AD60">
            <v>16284</v>
          </cell>
          <cell r="AE60">
            <v>17082</v>
          </cell>
          <cell r="AF60">
            <v>18776</v>
          </cell>
          <cell r="AG60">
            <v>16588</v>
          </cell>
          <cell r="AH60">
            <v>17373</v>
          </cell>
          <cell r="AI60">
            <v>19342</v>
          </cell>
          <cell r="AJ60">
            <v>17975</v>
          </cell>
        </row>
        <row r="61">
          <cell r="E61" t="str">
            <v>CA Industrial Asphalt and Road Oil</v>
          </cell>
          <cell r="F61">
            <v>98621</v>
          </cell>
          <cell r="G61">
            <v>94570</v>
          </cell>
          <cell r="H61">
            <v>89971</v>
          </cell>
          <cell r="I61">
            <v>82504</v>
          </cell>
          <cell r="J61">
            <v>81208</v>
          </cell>
          <cell r="K61">
            <v>81036</v>
          </cell>
          <cell r="L61">
            <v>82280</v>
          </cell>
          <cell r="M61">
            <v>76391</v>
          </cell>
          <cell r="N61">
            <v>103334</v>
          </cell>
          <cell r="O61">
            <v>135150</v>
          </cell>
          <cell r="P61">
            <v>135104</v>
          </cell>
          <cell r="Q61">
            <v>125555</v>
          </cell>
          <cell r="R61">
            <v>118493</v>
          </cell>
          <cell r="S61">
            <v>90544</v>
          </cell>
          <cell r="T61">
            <v>91630</v>
          </cell>
          <cell r="U61">
            <v>87110</v>
          </cell>
          <cell r="V61">
            <v>80492</v>
          </cell>
          <cell r="W61">
            <v>99922</v>
          </cell>
          <cell r="X61">
            <v>82941</v>
          </cell>
          <cell r="Y61">
            <v>52437</v>
          </cell>
          <cell r="Z61">
            <v>33127</v>
          </cell>
          <cell r="AA61">
            <v>60093</v>
          </cell>
          <cell r="AB61">
            <v>53841</v>
          </cell>
          <cell r="AC61">
            <v>60091</v>
          </cell>
          <cell r="AD61">
            <v>57377</v>
          </cell>
          <cell r="AE61">
            <v>61494</v>
          </cell>
          <cell r="AF61">
            <v>61153</v>
          </cell>
          <cell r="AG61">
            <v>59885</v>
          </cell>
          <cell r="AH61">
            <v>60415</v>
          </cell>
          <cell r="AI61">
            <v>55481</v>
          </cell>
          <cell r="AJ61">
            <v>56008</v>
          </cell>
        </row>
        <row r="62">
          <cell r="E62" t="str">
            <v>CO Industrial Asphalt and Road Oil</v>
          </cell>
          <cell r="F62">
            <v>21614</v>
          </cell>
          <cell r="G62">
            <v>20620</v>
          </cell>
          <cell r="H62">
            <v>21172</v>
          </cell>
          <cell r="I62">
            <v>22647</v>
          </cell>
          <cell r="J62">
            <v>27794</v>
          </cell>
          <cell r="K62">
            <v>24689</v>
          </cell>
          <cell r="L62">
            <v>25906</v>
          </cell>
          <cell r="M62">
            <v>17078</v>
          </cell>
          <cell r="N62">
            <v>31518</v>
          </cell>
          <cell r="O62">
            <v>14179</v>
          </cell>
          <cell r="P62">
            <v>25681</v>
          </cell>
          <cell r="Q62">
            <v>17030</v>
          </cell>
          <cell r="R62">
            <v>8093</v>
          </cell>
          <cell r="S62">
            <v>32680</v>
          </cell>
          <cell r="T62">
            <v>25650</v>
          </cell>
          <cell r="U62">
            <v>17548</v>
          </cell>
          <cell r="V62">
            <v>17518</v>
          </cell>
          <cell r="W62">
            <v>21964</v>
          </cell>
          <cell r="X62">
            <v>13881</v>
          </cell>
          <cell r="Y62">
            <v>18220</v>
          </cell>
          <cell r="Z62">
            <v>25153</v>
          </cell>
          <cell r="AA62">
            <v>14259</v>
          </cell>
          <cell r="AB62">
            <v>13146</v>
          </cell>
          <cell r="AC62">
            <v>14188</v>
          </cell>
          <cell r="AD62">
            <v>15914</v>
          </cell>
          <cell r="AE62">
            <v>16581</v>
          </cell>
          <cell r="AF62">
            <v>16365</v>
          </cell>
          <cell r="AG62">
            <v>11527</v>
          </cell>
          <cell r="AH62">
            <v>16076</v>
          </cell>
          <cell r="AI62">
            <v>17815</v>
          </cell>
          <cell r="AJ62">
            <v>19017</v>
          </cell>
        </row>
        <row r="63">
          <cell r="E63" t="str">
            <v>CT Industrial Asphalt and Road Oil</v>
          </cell>
          <cell r="F63">
            <v>10521</v>
          </cell>
          <cell r="G63">
            <v>13116</v>
          </cell>
          <cell r="H63">
            <v>11137</v>
          </cell>
          <cell r="I63">
            <v>10467</v>
          </cell>
          <cell r="J63">
            <v>11125</v>
          </cell>
          <cell r="K63">
            <v>12679</v>
          </cell>
          <cell r="L63">
            <v>10430</v>
          </cell>
          <cell r="M63">
            <v>8078</v>
          </cell>
          <cell r="N63">
            <v>3666</v>
          </cell>
          <cell r="O63">
            <v>4420</v>
          </cell>
          <cell r="P63">
            <v>4456</v>
          </cell>
          <cell r="Q63">
            <v>4665</v>
          </cell>
          <cell r="R63">
            <v>4490</v>
          </cell>
          <cell r="S63">
            <v>11025</v>
          </cell>
          <cell r="T63">
            <v>11619</v>
          </cell>
          <cell r="U63">
            <v>13822</v>
          </cell>
          <cell r="V63">
            <v>11060</v>
          </cell>
          <cell r="W63">
            <v>6502</v>
          </cell>
          <cell r="X63">
            <v>430</v>
          </cell>
          <cell r="Y63">
            <v>12290</v>
          </cell>
          <cell r="Z63">
            <v>12337</v>
          </cell>
          <cell r="AA63">
            <v>10870</v>
          </cell>
          <cell r="AB63">
            <v>8955</v>
          </cell>
          <cell r="AC63">
            <v>11061</v>
          </cell>
          <cell r="AD63">
            <v>10486</v>
          </cell>
          <cell r="AE63">
            <v>7246</v>
          </cell>
          <cell r="AF63">
            <v>10192</v>
          </cell>
          <cell r="AG63">
            <v>11246</v>
          </cell>
          <cell r="AH63">
            <v>10631</v>
          </cell>
          <cell r="AI63">
            <v>10180</v>
          </cell>
          <cell r="AJ63">
            <v>10548</v>
          </cell>
        </row>
        <row r="64">
          <cell r="E64" t="str">
            <v>DC Industrial Asphalt and Road Oil</v>
          </cell>
          <cell r="F64">
            <v>201</v>
          </cell>
          <cell r="G64">
            <v>148</v>
          </cell>
          <cell r="H64">
            <v>141</v>
          </cell>
          <cell r="I64">
            <v>188</v>
          </cell>
          <cell r="J64">
            <v>175</v>
          </cell>
          <cell r="K64">
            <v>170</v>
          </cell>
          <cell r="L64">
            <v>145</v>
          </cell>
          <cell r="M64">
            <v>225</v>
          </cell>
          <cell r="N64">
            <v>187</v>
          </cell>
          <cell r="O64">
            <v>175</v>
          </cell>
          <cell r="P64">
            <v>188</v>
          </cell>
          <cell r="Q64">
            <v>173</v>
          </cell>
          <cell r="R64">
            <v>183</v>
          </cell>
          <cell r="S64">
            <v>138</v>
          </cell>
          <cell r="T64">
            <v>127</v>
          </cell>
          <cell r="U64">
            <v>119</v>
          </cell>
          <cell r="V64">
            <v>118</v>
          </cell>
          <cell r="W64">
            <v>169</v>
          </cell>
          <cell r="X64">
            <v>153</v>
          </cell>
          <cell r="Y64">
            <v>3988</v>
          </cell>
          <cell r="Z64">
            <v>4426</v>
          </cell>
          <cell r="AA64">
            <v>4034</v>
          </cell>
          <cell r="AB64">
            <v>4270</v>
          </cell>
          <cell r="AC64">
            <v>4342</v>
          </cell>
          <cell r="AD64">
            <v>4222</v>
          </cell>
          <cell r="AE64">
            <v>4035</v>
          </cell>
          <cell r="AF64">
            <v>3285</v>
          </cell>
          <cell r="AG64">
            <v>3428</v>
          </cell>
          <cell r="AH64">
            <v>3209</v>
          </cell>
          <cell r="AI64">
            <v>2698</v>
          </cell>
          <cell r="AJ64">
            <v>2625</v>
          </cell>
        </row>
        <row r="65">
          <cell r="E65" t="str">
            <v>DE Industrial Asphalt and Road Oil</v>
          </cell>
          <cell r="F65">
            <v>3560</v>
          </cell>
          <cell r="G65">
            <v>941</v>
          </cell>
          <cell r="H65">
            <v>518</v>
          </cell>
          <cell r="I65">
            <v>741</v>
          </cell>
          <cell r="J65">
            <v>1084</v>
          </cell>
          <cell r="K65">
            <v>1166</v>
          </cell>
          <cell r="L65">
            <v>1975</v>
          </cell>
          <cell r="M65">
            <v>946</v>
          </cell>
          <cell r="N65">
            <v>1112</v>
          </cell>
          <cell r="O65">
            <v>1191</v>
          </cell>
          <cell r="P65">
            <v>3409</v>
          </cell>
          <cell r="Q65">
            <v>4987</v>
          </cell>
          <cell r="R65">
            <v>6881</v>
          </cell>
          <cell r="S65">
            <v>4771</v>
          </cell>
          <cell r="T65">
            <v>4316</v>
          </cell>
          <cell r="U65">
            <v>4360</v>
          </cell>
          <cell r="V65">
            <v>4257</v>
          </cell>
          <cell r="W65">
            <v>3289</v>
          </cell>
          <cell r="X65">
            <v>4411</v>
          </cell>
          <cell r="Y65">
            <v>1848</v>
          </cell>
          <cell r="Z65">
            <v>1542</v>
          </cell>
          <cell r="AA65">
            <v>4919</v>
          </cell>
          <cell r="AB65">
            <v>4501</v>
          </cell>
          <cell r="AC65">
            <v>2675</v>
          </cell>
          <cell r="AD65">
            <v>2815</v>
          </cell>
          <cell r="AE65">
            <v>3544</v>
          </cell>
          <cell r="AF65">
            <v>3370</v>
          </cell>
          <cell r="AG65">
            <v>3383</v>
          </cell>
          <cell r="AH65">
            <v>3035</v>
          </cell>
          <cell r="AI65">
            <v>2373</v>
          </cell>
          <cell r="AJ65">
            <v>2555</v>
          </cell>
        </row>
        <row r="66">
          <cell r="E66" t="str">
            <v>FL Industrial Asphalt and Road Oil</v>
          </cell>
          <cell r="F66">
            <v>45148</v>
          </cell>
          <cell r="G66">
            <v>48510</v>
          </cell>
          <cell r="H66">
            <v>46006</v>
          </cell>
          <cell r="I66">
            <v>55359</v>
          </cell>
          <cell r="J66">
            <v>48467</v>
          </cell>
          <cell r="K66">
            <v>43998</v>
          </cell>
          <cell r="L66">
            <v>39286</v>
          </cell>
          <cell r="M66">
            <v>23340</v>
          </cell>
          <cell r="N66">
            <v>25391</v>
          </cell>
          <cell r="O66">
            <v>24364</v>
          </cell>
          <cell r="P66">
            <v>26697</v>
          </cell>
          <cell r="Q66">
            <v>35533</v>
          </cell>
          <cell r="R66">
            <v>37485</v>
          </cell>
          <cell r="S66">
            <v>33275</v>
          </cell>
          <cell r="T66">
            <v>44488</v>
          </cell>
          <cell r="U66">
            <v>39224</v>
          </cell>
          <cell r="V66">
            <v>50899</v>
          </cell>
          <cell r="W66">
            <v>48821</v>
          </cell>
          <cell r="X66">
            <v>43322</v>
          </cell>
          <cell r="Y66">
            <v>32481</v>
          </cell>
          <cell r="Z66">
            <v>29382</v>
          </cell>
          <cell r="AA66">
            <v>27344</v>
          </cell>
          <cell r="AB66">
            <v>25747</v>
          </cell>
          <cell r="AC66">
            <v>23091</v>
          </cell>
          <cell r="AD66">
            <v>25576</v>
          </cell>
          <cell r="AE66">
            <v>27416</v>
          </cell>
          <cell r="AF66">
            <v>29284</v>
          </cell>
          <cell r="AG66">
            <v>30083</v>
          </cell>
          <cell r="AH66">
            <v>30078</v>
          </cell>
          <cell r="AI66">
            <v>28249</v>
          </cell>
          <cell r="AJ66">
            <v>29176</v>
          </cell>
        </row>
        <row r="67">
          <cell r="E67" t="str">
            <v>GA Industrial Asphalt and Road Oil</v>
          </cell>
          <cell r="F67">
            <v>42459</v>
          </cell>
          <cell r="G67">
            <v>34451</v>
          </cell>
          <cell r="H67">
            <v>32496</v>
          </cell>
          <cell r="I67">
            <v>35332</v>
          </cell>
          <cell r="J67">
            <v>34848</v>
          </cell>
          <cell r="K67">
            <v>36671</v>
          </cell>
          <cell r="L67">
            <v>36020</v>
          </cell>
          <cell r="M67">
            <v>32447</v>
          </cell>
          <cell r="N67">
            <v>36477</v>
          </cell>
          <cell r="O67">
            <v>49295</v>
          </cell>
          <cell r="P67">
            <v>37447</v>
          </cell>
          <cell r="Q67">
            <v>39444</v>
          </cell>
          <cell r="R67">
            <v>37339</v>
          </cell>
          <cell r="S67">
            <v>35913</v>
          </cell>
          <cell r="T67">
            <v>43956</v>
          </cell>
          <cell r="U67">
            <v>42612</v>
          </cell>
          <cell r="V67">
            <v>44366</v>
          </cell>
          <cell r="W67">
            <v>44422</v>
          </cell>
          <cell r="X67">
            <v>33034</v>
          </cell>
          <cell r="Y67">
            <v>30494</v>
          </cell>
          <cell r="Z67">
            <v>26982</v>
          </cell>
          <cell r="AA67">
            <v>21183</v>
          </cell>
          <cell r="AB67">
            <v>17445</v>
          </cell>
          <cell r="AC67">
            <v>14327</v>
          </cell>
          <cell r="AD67">
            <v>10231</v>
          </cell>
          <cell r="AE67">
            <v>11849</v>
          </cell>
          <cell r="AF67">
            <v>20958</v>
          </cell>
          <cell r="AG67">
            <v>31770</v>
          </cell>
          <cell r="AH67">
            <v>27485</v>
          </cell>
          <cell r="AI67">
            <v>32450</v>
          </cell>
          <cell r="AJ67">
            <v>25529</v>
          </cell>
        </row>
        <row r="68">
          <cell r="E68" t="str">
            <v>HI Industrial Asphalt and Road Oil</v>
          </cell>
          <cell r="F68">
            <v>2530</v>
          </cell>
          <cell r="G68">
            <v>2543</v>
          </cell>
          <cell r="H68">
            <v>2858</v>
          </cell>
          <cell r="I68">
            <v>2946</v>
          </cell>
          <cell r="J68">
            <v>2699</v>
          </cell>
          <cell r="K68">
            <v>2907</v>
          </cell>
          <cell r="L68">
            <v>2663</v>
          </cell>
          <cell r="M68">
            <v>2630</v>
          </cell>
          <cell r="N68">
            <v>2138</v>
          </cell>
          <cell r="O68">
            <v>2340</v>
          </cell>
          <cell r="P68">
            <v>4009</v>
          </cell>
          <cell r="Q68">
            <v>2271</v>
          </cell>
          <cell r="R68">
            <v>710</v>
          </cell>
          <cell r="S68">
            <v>732</v>
          </cell>
          <cell r="T68">
            <v>799</v>
          </cell>
          <cell r="U68">
            <v>1319</v>
          </cell>
          <cell r="V68">
            <v>21</v>
          </cell>
          <cell r="W68">
            <v>19</v>
          </cell>
          <cell r="X68">
            <v>16</v>
          </cell>
          <cell r="Y68">
            <v>4545</v>
          </cell>
          <cell r="Z68">
            <v>5127</v>
          </cell>
          <cell r="AA68">
            <v>4659</v>
          </cell>
          <cell r="AB68">
            <v>2927</v>
          </cell>
          <cell r="AC68">
            <v>4781</v>
          </cell>
          <cell r="AD68">
            <v>4495</v>
          </cell>
          <cell r="AE68">
            <v>4232</v>
          </cell>
          <cell r="AF68">
            <v>2739</v>
          </cell>
          <cell r="AG68">
            <v>2530</v>
          </cell>
          <cell r="AH68">
            <v>2074</v>
          </cell>
          <cell r="AI68">
            <v>1781</v>
          </cell>
          <cell r="AJ68">
            <v>1682</v>
          </cell>
        </row>
        <row r="69">
          <cell r="E69" t="str">
            <v>IA Industrial Asphalt and Road Oil</v>
          </cell>
          <cell r="F69">
            <v>10197</v>
          </cell>
          <cell r="G69">
            <v>10374</v>
          </cell>
          <cell r="H69">
            <v>9328</v>
          </cell>
          <cell r="I69">
            <v>8986</v>
          </cell>
          <cell r="J69">
            <v>13034</v>
          </cell>
          <cell r="K69">
            <v>10857</v>
          </cell>
          <cell r="L69">
            <v>13620</v>
          </cell>
          <cell r="M69">
            <v>17407</v>
          </cell>
          <cell r="N69">
            <v>14316</v>
          </cell>
          <cell r="O69">
            <v>19524</v>
          </cell>
          <cell r="P69">
            <v>16396</v>
          </cell>
          <cell r="Q69">
            <v>12780</v>
          </cell>
          <cell r="R69">
            <v>15945</v>
          </cell>
          <cell r="S69">
            <v>15280</v>
          </cell>
          <cell r="T69">
            <v>20041</v>
          </cell>
          <cell r="U69">
            <v>21202</v>
          </cell>
          <cell r="V69">
            <v>17273</v>
          </cell>
          <cell r="W69">
            <v>13787</v>
          </cell>
          <cell r="X69">
            <v>13808</v>
          </cell>
          <cell r="Y69">
            <v>12181</v>
          </cell>
          <cell r="Z69">
            <v>8452</v>
          </cell>
          <cell r="AA69">
            <v>8186</v>
          </cell>
          <cell r="AB69">
            <v>10249</v>
          </cell>
          <cell r="AC69">
            <v>9681</v>
          </cell>
          <cell r="AD69">
            <v>8810</v>
          </cell>
          <cell r="AE69">
            <v>8862</v>
          </cell>
          <cell r="AF69">
            <v>9532</v>
          </cell>
          <cell r="AG69">
            <v>9840</v>
          </cell>
          <cell r="AH69">
            <v>8038</v>
          </cell>
          <cell r="AI69">
            <v>7635</v>
          </cell>
          <cell r="AJ69">
            <v>11202</v>
          </cell>
        </row>
        <row r="70">
          <cell r="E70" t="str">
            <v>ID Industrial Asphalt and Road Oil</v>
          </cell>
          <cell r="F70">
            <v>8503</v>
          </cell>
          <cell r="G70">
            <v>6556</v>
          </cell>
          <cell r="H70">
            <v>9723</v>
          </cell>
          <cell r="I70">
            <v>10176</v>
          </cell>
          <cell r="J70">
            <v>11933</v>
          </cell>
          <cell r="K70">
            <v>13364</v>
          </cell>
          <cell r="L70">
            <v>13499</v>
          </cell>
          <cell r="M70">
            <v>13803</v>
          </cell>
          <cell r="N70">
            <v>20234</v>
          </cell>
          <cell r="O70">
            <v>20251</v>
          </cell>
          <cell r="P70">
            <v>20446</v>
          </cell>
          <cell r="Q70">
            <v>12270</v>
          </cell>
          <cell r="R70">
            <v>17560</v>
          </cell>
          <cell r="S70">
            <v>4999</v>
          </cell>
          <cell r="T70">
            <v>11539</v>
          </cell>
          <cell r="U70">
            <v>11422</v>
          </cell>
          <cell r="V70">
            <v>13453</v>
          </cell>
          <cell r="W70">
            <v>10208</v>
          </cell>
          <cell r="X70">
            <v>13315</v>
          </cell>
          <cell r="Y70">
            <v>8161</v>
          </cell>
          <cell r="Z70">
            <v>8182</v>
          </cell>
          <cell r="AA70">
            <v>7663</v>
          </cell>
          <cell r="AB70">
            <v>7138</v>
          </cell>
          <cell r="AC70">
            <v>6343</v>
          </cell>
          <cell r="AD70">
            <v>6423</v>
          </cell>
          <cell r="AE70">
            <v>9377</v>
          </cell>
          <cell r="AF70">
            <v>5972</v>
          </cell>
          <cell r="AG70">
            <v>5623</v>
          </cell>
          <cell r="AH70">
            <v>5445</v>
          </cell>
          <cell r="AI70">
            <v>5344</v>
          </cell>
          <cell r="AJ70">
            <v>5471</v>
          </cell>
        </row>
        <row r="71">
          <cell r="E71" t="str">
            <v>IL Industrial Asphalt and Road Oil</v>
          </cell>
          <cell r="F71">
            <v>55336</v>
          </cell>
          <cell r="G71">
            <v>52538</v>
          </cell>
          <cell r="H71">
            <v>61671</v>
          </cell>
          <cell r="I71">
            <v>41876</v>
          </cell>
          <cell r="J71">
            <v>51750</v>
          </cell>
          <cell r="K71">
            <v>49484</v>
          </cell>
          <cell r="L71">
            <v>60568</v>
          </cell>
          <cell r="M71">
            <v>55408</v>
          </cell>
          <cell r="N71">
            <v>65424</v>
          </cell>
          <cell r="O71">
            <v>74869</v>
          </cell>
          <cell r="P71">
            <v>60038</v>
          </cell>
          <cell r="Q71">
            <v>60547</v>
          </cell>
          <cell r="R71">
            <v>65572</v>
          </cell>
          <cell r="S71">
            <v>69874</v>
          </cell>
          <cell r="T71">
            <v>63273</v>
          </cell>
          <cell r="U71">
            <v>64201</v>
          </cell>
          <cell r="V71">
            <v>55312</v>
          </cell>
          <cell r="W71">
            <v>50473</v>
          </cell>
          <cell r="X71">
            <v>63736</v>
          </cell>
          <cell r="Y71">
            <v>46174</v>
          </cell>
          <cell r="Z71">
            <v>41758</v>
          </cell>
          <cell r="AA71">
            <v>33835</v>
          </cell>
          <cell r="AB71">
            <v>26942</v>
          </cell>
          <cell r="AC71">
            <v>26986</v>
          </cell>
          <cell r="AD71">
            <v>28418</v>
          </cell>
          <cell r="AE71">
            <v>33734</v>
          </cell>
          <cell r="AF71">
            <v>31007</v>
          </cell>
          <cell r="AG71">
            <v>27272</v>
          </cell>
          <cell r="AH71">
            <v>23336</v>
          </cell>
          <cell r="AI71">
            <v>26722</v>
          </cell>
          <cell r="AJ71">
            <v>27874</v>
          </cell>
        </row>
        <row r="72">
          <cell r="E72" t="str">
            <v>IN Industrial Asphalt and Road Oil</v>
          </cell>
          <cell r="F72">
            <v>56749</v>
          </cell>
          <cell r="G72">
            <v>46835</v>
          </cell>
          <cell r="H72">
            <v>41207</v>
          </cell>
          <cell r="I72">
            <v>63052</v>
          </cell>
          <cell r="J72">
            <v>67811</v>
          </cell>
          <cell r="K72">
            <v>47017</v>
          </cell>
          <cell r="L72">
            <v>56593</v>
          </cell>
          <cell r="M72">
            <v>61271</v>
          </cell>
          <cell r="N72">
            <v>47692</v>
          </cell>
          <cell r="O72">
            <v>49504</v>
          </cell>
          <cell r="P72">
            <v>40132</v>
          </cell>
          <cell r="Q72">
            <v>36577</v>
          </cell>
          <cell r="R72">
            <v>40065</v>
          </cell>
          <cell r="S72">
            <v>43518</v>
          </cell>
          <cell r="T72">
            <v>46661</v>
          </cell>
          <cell r="U72">
            <v>43055</v>
          </cell>
          <cell r="V72">
            <v>35517</v>
          </cell>
          <cell r="W72">
            <v>31464</v>
          </cell>
          <cell r="X72">
            <v>23388</v>
          </cell>
          <cell r="Y72">
            <v>21503</v>
          </cell>
          <cell r="Z72">
            <v>17749</v>
          </cell>
          <cell r="AA72">
            <v>20321</v>
          </cell>
          <cell r="AB72">
            <v>21974</v>
          </cell>
          <cell r="AC72">
            <v>18361</v>
          </cell>
          <cell r="AD72">
            <v>18472</v>
          </cell>
          <cell r="AE72">
            <v>21727</v>
          </cell>
          <cell r="AF72">
            <v>22394</v>
          </cell>
          <cell r="AG72">
            <v>25866</v>
          </cell>
          <cell r="AH72">
            <v>24633</v>
          </cell>
          <cell r="AI72">
            <v>26213</v>
          </cell>
          <cell r="AJ72">
            <v>25790</v>
          </cell>
        </row>
        <row r="73">
          <cell r="E73" t="str">
            <v>KS Industrial Asphalt and Road Oil</v>
          </cell>
          <cell r="F73">
            <v>25713</v>
          </cell>
          <cell r="G73">
            <v>24695</v>
          </cell>
          <cell r="H73">
            <v>24652</v>
          </cell>
          <cell r="I73">
            <v>24120</v>
          </cell>
          <cell r="J73">
            <v>31459</v>
          </cell>
          <cell r="K73">
            <v>25953</v>
          </cell>
          <cell r="L73">
            <v>23765</v>
          </cell>
          <cell r="M73">
            <v>14032</v>
          </cell>
          <cell r="N73">
            <v>17913</v>
          </cell>
          <cell r="O73">
            <v>15648</v>
          </cell>
          <cell r="P73">
            <v>16392</v>
          </cell>
          <cell r="Q73">
            <v>27588</v>
          </cell>
          <cell r="R73">
            <v>24996</v>
          </cell>
          <cell r="S73">
            <v>20416</v>
          </cell>
          <cell r="T73">
            <v>23702</v>
          </cell>
          <cell r="U73">
            <v>15257</v>
          </cell>
          <cell r="V73">
            <v>15336</v>
          </cell>
          <cell r="W73">
            <v>13055</v>
          </cell>
          <cell r="X73">
            <v>9115</v>
          </cell>
          <cell r="Y73">
            <v>9963</v>
          </cell>
          <cell r="Z73">
            <v>16750</v>
          </cell>
          <cell r="AA73">
            <v>9272</v>
          </cell>
          <cell r="AB73">
            <v>10245</v>
          </cell>
          <cell r="AC73">
            <v>9459</v>
          </cell>
          <cell r="AD73">
            <v>8810</v>
          </cell>
          <cell r="AE73">
            <v>9434</v>
          </cell>
          <cell r="AF73">
            <v>8039</v>
          </cell>
          <cell r="AG73">
            <v>4498</v>
          </cell>
          <cell r="AH73">
            <v>5186</v>
          </cell>
          <cell r="AI73">
            <v>5624</v>
          </cell>
          <cell r="AJ73">
            <v>6773</v>
          </cell>
        </row>
        <row r="74">
          <cell r="E74" t="str">
            <v>KY Industrial Asphalt and Road Oil</v>
          </cell>
          <cell r="F74">
            <v>20119</v>
          </cell>
          <cell r="G74">
            <v>18587</v>
          </cell>
          <cell r="H74">
            <v>16836</v>
          </cell>
          <cell r="I74">
            <v>16919</v>
          </cell>
          <cell r="J74">
            <v>18863</v>
          </cell>
          <cell r="K74">
            <v>18432</v>
          </cell>
          <cell r="L74">
            <v>18012</v>
          </cell>
          <cell r="M74">
            <v>22677</v>
          </cell>
          <cell r="N74">
            <v>21227</v>
          </cell>
          <cell r="O74">
            <v>27810</v>
          </cell>
          <cell r="P74">
            <v>26369</v>
          </cell>
          <cell r="Q74">
            <v>22122</v>
          </cell>
          <cell r="R74">
            <v>23161</v>
          </cell>
          <cell r="S74">
            <v>25332</v>
          </cell>
          <cell r="T74">
            <v>22073</v>
          </cell>
          <cell r="U74">
            <v>25731</v>
          </cell>
          <cell r="V74">
            <v>22719</v>
          </cell>
          <cell r="W74">
            <v>23068</v>
          </cell>
          <cell r="X74">
            <v>16916</v>
          </cell>
          <cell r="Y74">
            <v>18539</v>
          </cell>
          <cell r="Z74">
            <v>18817</v>
          </cell>
          <cell r="AA74">
            <v>18367</v>
          </cell>
          <cell r="AB74">
            <v>22963</v>
          </cell>
          <cell r="AC74">
            <v>16692</v>
          </cell>
          <cell r="AD74">
            <v>22166</v>
          </cell>
          <cell r="AE74">
            <v>15724</v>
          </cell>
          <cell r="AF74">
            <v>17226</v>
          </cell>
          <cell r="AG74">
            <v>9278</v>
          </cell>
          <cell r="AH74">
            <v>12705</v>
          </cell>
          <cell r="AI74">
            <v>12979</v>
          </cell>
          <cell r="AJ74">
            <v>8597</v>
          </cell>
        </row>
        <row r="75">
          <cell r="E75" t="str">
            <v>LA Industrial Asphalt and Road Oil</v>
          </cell>
          <cell r="F75">
            <v>11094</v>
          </cell>
          <cell r="G75">
            <v>9938</v>
          </cell>
          <cell r="H75">
            <v>11208</v>
          </cell>
          <cell r="I75">
            <v>12341</v>
          </cell>
          <cell r="J75">
            <v>11161</v>
          </cell>
          <cell r="K75">
            <v>10962</v>
          </cell>
          <cell r="L75">
            <v>11412</v>
          </cell>
          <cell r="M75">
            <v>35096</v>
          </cell>
          <cell r="N75">
            <v>11260</v>
          </cell>
          <cell r="O75">
            <v>10087</v>
          </cell>
          <cell r="P75">
            <v>9226</v>
          </cell>
          <cell r="Q75">
            <v>10300</v>
          </cell>
          <cell r="R75">
            <v>11986</v>
          </cell>
          <cell r="S75">
            <v>13016</v>
          </cell>
          <cell r="T75">
            <v>7818</v>
          </cell>
          <cell r="U75">
            <v>15428</v>
          </cell>
          <cell r="V75">
            <v>17110</v>
          </cell>
          <cell r="W75">
            <v>16910</v>
          </cell>
          <cell r="X75">
            <v>16092</v>
          </cell>
          <cell r="Y75">
            <v>14377</v>
          </cell>
          <cell r="Z75">
            <v>14604</v>
          </cell>
          <cell r="AA75">
            <v>14101</v>
          </cell>
          <cell r="AB75">
            <v>12754</v>
          </cell>
          <cell r="AC75">
            <v>13632</v>
          </cell>
          <cell r="AD75">
            <v>13739</v>
          </cell>
          <cell r="AE75">
            <v>9220</v>
          </cell>
          <cell r="AF75">
            <v>6173</v>
          </cell>
          <cell r="AG75">
            <v>17150</v>
          </cell>
          <cell r="AH75">
            <v>15039</v>
          </cell>
          <cell r="AI75">
            <v>13488</v>
          </cell>
          <cell r="AJ75">
            <v>16151</v>
          </cell>
        </row>
        <row r="76">
          <cell r="E76" t="str">
            <v>MA Industrial Asphalt and Road Oil</v>
          </cell>
          <cell r="F76">
            <v>8883</v>
          </cell>
          <cell r="G76">
            <v>13116</v>
          </cell>
          <cell r="H76">
            <v>10402</v>
          </cell>
          <cell r="I76">
            <v>9649</v>
          </cell>
          <cell r="J76">
            <v>5882</v>
          </cell>
          <cell r="K76">
            <v>8291</v>
          </cell>
          <cell r="L76">
            <v>8426</v>
          </cell>
          <cell r="M76">
            <v>6079</v>
          </cell>
          <cell r="N76">
            <v>5562</v>
          </cell>
          <cell r="O76">
            <v>6420</v>
          </cell>
          <cell r="P76">
            <v>11900</v>
          </cell>
          <cell r="Q76">
            <v>12066</v>
          </cell>
          <cell r="R76">
            <v>12510</v>
          </cell>
          <cell r="S76">
            <v>9323</v>
          </cell>
          <cell r="T76">
            <v>9608</v>
          </cell>
          <cell r="U76">
            <v>8733</v>
          </cell>
          <cell r="V76">
            <v>10432</v>
          </cell>
          <cell r="W76">
            <v>6162</v>
          </cell>
          <cell r="X76">
            <v>1461</v>
          </cell>
          <cell r="Y76">
            <v>14985</v>
          </cell>
          <cell r="Z76">
            <v>15282</v>
          </cell>
          <cell r="AA76">
            <v>15392</v>
          </cell>
          <cell r="AB76">
            <v>14392</v>
          </cell>
          <cell r="AC76">
            <v>13910</v>
          </cell>
          <cell r="AD76">
            <v>15346</v>
          </cell>
          <cell r="AE76">
            <v>14580</v>
          </cell>
          <cell r="AF76">
            <v>15216</v>
          </cell>
          <cell r="AG76">
            <v>15463</v>
          </cell>
          <cell r="AH76">
            <v>14261</v>
          </cell>
          <cell r="AI76">
            <v>13743</v>
          </cell>
          <cell r="AJ76">
            <v>14328</v>
          </cell>
        </row>
        <row r="77">
          <cell r="E77" t="str">
            <v>MD Industrial Asphalt and Road Oil</v>
          </cell>
          <cell r="F77">
            <v>33233</v>
          </cell>
          <cell r="G77">
            <v>24573</v>
          </cell>
          <cell r="H77">
            <v>23288</v>
          </cell>
          <cell r="I77">
            <v>31086</v>
          </cell>
          <cell r="J77">
            <v>28950</v>
          </cell>
          <cell r="K77">
            <v>28109</v>
          </cell>
          <cell r="L77">
            <v>23953</v>
          </cell>
          <cell r="M77">
            <v>37285</v>
          </cell>
          <cell r="N77">
            <v>31053</v>
          </cell>
          <cell r="O77">
            <v>29030</v>
          </cell>
          <cell r="P77">
            <v>31195</v>
          </cell>
          <cell r="Q77">
            <v>28631</v>
          </cell>
          <cell r="R77">
            <v>30265</v>
          </cell>
          <cell r="S77">
            <v>22929</v>
          </cell>
          <cell r="T77">
            <v>21005</v>
          </cell>
          <cell r="U77">
            <v>19765</v>
          </cell>
          <cell r="V77">
            <v>19576</v>
          </cell>
          <cell r="W77">
            <v>28066</v>
          </cell>
          <cell r="X77">
            <v>25417</v>
          </cell>
          <cell r="Y77">
            <v>16941</v>
          </cell>
          <cell r="Z77">
            <v>15112</v>
          </cell>
          <cell r="AA77">
            <v>14193</v>
          </cell>
          <cell r="AB77">
            <v>14485</v>
          </cell>
          <cell r="AC77">
            <v>12519</v>
          </cell>
          <cell r="AD77">
            <v>15346</v>
          </cell>
          <cell r="AE77">
            <v>16581</v>
          </cell>
          <cell r="AF77">
            <v>15791</v>
          </cell>
          <cell r="AG77">
            <v>16869</v>
          </cell>
          <cell r="AH77">
            <v>12965</v>
          </cell>
          <cell r="AI77">
            <v>12470</v>
          </cell>
          <cell r="AJ77">
            <v>11723</v>
          </cell>
        </row>
        <row r="78">
          <cell r="E78" t="str">
            <v>ME Industrial Asphalt and Road Oil</v>
          </cell>
          <cell r="F78">
            <v>4282</v>
          </cell>
          <cell r="G78">
            <v>6558</v>
          </cell>
          <cell r="H78">
            <v>7062</v>
          </cell>
          <cell r="I78">
            <v>7186</v>
          </cell>
          <cell r="J78">
            <v>3187</v>
          </cell>
          <cell r="K78">
            <v>3199</v>
          </cell>
          <cell r="L78">
            <v>2517</v>
          </cell>
          <cell r="M78">
            <v>3697</v>
          </cell>
          <cell r="N78">
            <v>1971</v>
          </cell>
          <cell r="O78">
            <v>2150</v>
          </cell>
          <cell r="P78">
            <v>2222</v>
          </cell>
          <cell r="Q78">
            <v>3680</v>
          </cell>
          <cell r="R78">
            <v>3082</v>
          </cell>
          <cell r="S78">
            <v>3275</v>
          </cell>
          <cell r="T78">
            <v>4868</v>
          </cell>
          <cell r="U78">
            <v>2526</v>
          </cell>
          <cell r="V78">
            <v>167</v>
          </cell>
          <cell r="W78">
            <v>2224</v>
          </cell>
          <cell r="X78">
            <v>199</v>
          </cell>
          <cell r="Y78">
            <v>4544</v>
          </cell>
          <cell r="Z78">
            <v>5171</v>
          </cell>
          <cell r="AA78">
            <v>4702</v>
          </cell>
          <cell r="AB78">
            <v>5733</v>
          </cell>
          <cell r="AC78">
            <v>4479</v>
          </cell>
          <cell r="AD78">
            <v>4746</v>
          </cell>
          <cell r="AE78">
            <v>5417</v>
          </cell>
          <cell r="AF78">
            <v>3704</v>
          </cell>
          <cell r="AG78">
            <v>3936</v>
          </cell>
          <cell r="AH78">
            <v>3353</v>
          </cell>
          <cell r="AI78">
            <v>2093</v>
          </cell>
          <cell r="AJ78">
            <v>5731</v>
          </cell>
        </row>
        <row r="79">
          <cell r="E79" t="str">
            <v>MI Industrial Asphalt and Road Oil</v>
          </cell>
          <cell r="F79">
            <v>26212</v>
          </cell>
          <cell r="G79">
            <v>22989</v>
          </cell>
          <cell r="H79">
            <v>23530</v>
          </cell>
          <cell r="I79">
            <v>29553</v>
          </cell>
          <cell r="J79">
            <v>23864</v>
          </cell>
          <cell r="K79">
            <v>32883</v>
          </cell>
          <cell r="L79">
            <v>24572</v>
          </cell>
          <cell r="M79">
            <v>51610</v>
          </cell>
          <cell r="N79">
            <v>43057</v>
          </cell>
          <cell r="O79">
            <v>44258</v>
          </cell>
          <cell r="P79">
            <v>38925</v>
          </cell>
          <cell r="Q79">
            <v>37351</v>
          </cell>
          <cell r="R79">
            <v>35254</v>
          </cell>
          <cell r="S79">
            <v>35591</v>
          </cell>
          <cell r="T79">
            <v>40163</v>
          </cell>
          <cell r="U79">
            <v>40216</v>
          </cell>
          <cell r="V79">
            <v>34407</v>
          </cell>
          <cell r="W79">
            <v>30291</v>
          </cell>
          <cell r="X79">
            <v>22279</v>
          </cell>
          <cell r="Y79">
            <v>24435</v>
          </cell>
          <cell r="Z79">
            <v>22364</v>
          </cell>
          <cell r="AA79">
            <v>18528</v>
          </cell>
          <cell r="AB79">
            <v>18924</v>
          </cell>
          <cell r="AC79">
            <v>19474</v>
          </cell>
          <cell r="AD79">
            <v>21882</v>
          </cell>
          <cell r="AE79">
            <v>24586</v>
          </cell>
          <cell r="AF79">
            <v>27275</v>
          </cell>
          <cell r="AG79">
            <v>27834</v>
          </cell>
          <cell r="AH79">
            <v>26448</v>
          </cell>
          <cell r="AI79">
            <v>27486</v>
          </cell>
          <cell r="AJ79">
            <v>28395</v>
          </cell>
        </row>
        <row r="80">
          <cell r="E80" t="str">
            <v>MN Industrial Asphalt and Road Oil</v>
          </cell>
          <cell r="F80">
            <v>40077</v>
          </cell>
          <cell r="G80">
            <v>33447</v>
          </cell>
          <cell r="H80">
            <v>35459</v>
          </cell>
          <cell r="I80">
            <v>31808</v>
          </cell>
          <cell r="J80">
            <v>31490</v>
          </cell>
          <cell r="K80">
            <v>42491</v>
          </cell>
          <cell r="L80">
            <v>44291</v>
          </cell>
          <cell r="M80">
            <v>44267</v>
          </cell>
          <cell r="N80">
            <v>45679</v>
          </cell>
          <cell r="O80">
            <v>51404</v>
          </cell>
          <cell r="P80">
            <v>49238</v>
          </cell>
          <cell r="Q80">
            <v>43205</v>
          </cell>
          <cell r="R80">
            <v>37116</v>
          </cell>
          <cell r="S80">
            <v>41416</v>
          </cell>
          <cell r="T80">
            <v>43995</v>
          </cell>
          <cell r="U80">
            <v>49311</v>
          </cell>
          <cell r="V80">
            <v>46143</v>
          </cell>
          <cell r="W80">
            <v>45219</v>
          </cell>
          <cell r="X80">
            <v>36152</v>
          </cell>
          <cell r="Y80">
            <v>30588</v>
          </cell>
          <cell r="Z80">
            <v>31472</v>
          </cell>
          <cell r="AA80">
            <v>29069</v>
          </cell>
          <cell r="AB80">
            <v>29629</v>
          </cell>
          <cell r="AC80">
            <v>29768</v>
          </cell>
          <cell r="AD80">
            <v>28134</v>
          </cell>
          <cell r="AE80">
            <v>30018</v>
          </cell>
          <cell r="AF80">
            <v>29571</v>
          </cell>
          <cell r="AG80">
            <v>15744</v>
          </cell>
          <cell r="AH80">
            <v>19447</v>
          </cell>
          <cell r="AI80">
            <v>21378</v>
          </cell>
          <cell r="AJ80">
            <v>23966</v>
          </cell>
        </row>
        <row r="81">
          <cell r="E81" t="str">
            <v>MO Industrial Asphalt and Road Oil</v>
          </cell>
          <cell r="F81">
            <v>29647</v>
          </cell>
          <cell r="G81">
            <v>26953</v>
          </cell>
          <cell r="H81">
            <v>25428</v>
          </cell>
          <cell r="I81">
            <v>26909</v>
          </cell>
          <cell r="J81">
            <v>37843</v>
          </cell>
          <cell r="K81">
            <v>35142</v>
          </cell>
          <cell r="L81">
            <v>35737</v>
          </cell>
          <cell r="M81">
            <v>27481</v>
          </cell>
          <cell r="N81">
            <v>25922</v>
          </cell>
          <cell r="O81">
            <v>33027</v>
          </cell>
          <cell r="P81">
            <v>27651</v>
          </cell>
          <cell r="Q81">
            <v>35861</v>
          </cell>
          <cell r="R81">
            <v>31452</v>
          </cell>
          <cell r="S81">
            <v>32066</v>
          </cell>
          <cell r="T81">
            <v>39633</v>
          </cell>
          <cell r="U81">
            <v>38083</v>
          </cell>
          <cell r="V81">
            <v>34546</v>
          </cell>
          <cell r="W81">
            <v>27136</v>
          </cell>
          <cell r="X81">
            <v>19086</v>
          </cell>
          <cell r="Y81">
            <v>18291</v>
          </cell>
          <cell r="Z81">
            <v>12210</v>
          </cell>
          <cell r="AA81">
            <v>18702</v>
          </cell>
          <cell r="AB81">
            <v>14299</v>
          </cell>
          <cell r="AC81">
            <v>13910</v>
          </cell>
          <cell r="AD81">
            <v>13925</v>
          </cell>
          <cell r="AE81">
            <v>13151</v>
          </cell>
          <cell r="AF81">
            <v>13781</v>
          </cell>
          <cell r="AG81">
            <v>14058</v>
          </cell>
          <cell r="AH81">
            <v>13224</v>
          </cell>
          <cell r="AI81">
            <v>12725</v>
          </cell>
          <cell r="AJ81">
            <v>20580</v>
          </cell>
        </row>
        <row r="82">
          <cell r="E82" t="str">
            <v>MS Industrial Asphalt and Road Oil</v>
          </cell>
          <cell r="F82">
            <v>16652</v>
          </cell>
          <cell r="G82">
            <v>16794</v>
          </cell>
          <cell r="H82">
            <v>14406</v>
          </cell>
          <cell r="I82">
            <v>12906</v>
          </cell>
          <cell r="J82">
            <v>14005</v>
          </cell>
          <cell r="K82">
            <v>16126</v>
          </cell>
          <cell r="L82">
            <v>17305</v>
          </cell>
          <cell r="M82">
            <v>20178</v>
          </cell>
          <cell r="N82">
            <v>21387</v>
          </cell>
          <cell r="O82">
            <v>21949</v>
          </cell>
          <cell r="P82">
            <v>19148</v>
          </cell>
          <cell r="Q82">
            <v>12806</v>
          </cell>
          <cell r="R82">
            <v>13282</v>
          </cell>
          <cell r="S82">
            <v>19508</v>
          </cell>
          <cell r="T82">
            <v>20922</v>
          </cell>
          <cell r="U82">
            <v>22096</v>
          </cell>
          <cell r="V82">
            <v>27695</v>
          </cell>
          <cell r="W82">
            <v>28508</v>
          </cell>
          <cell r="X82">
            <v>18757</v>
          </cell>
          <cell r="Y82">
            <v>11251</v>
          </cell>
          <cell r="Z82">
            <v>11761</v>
          </cell>
          <cell r="AA82">
            <v>14165</v>
          </cell>
          <cell r="AB82">
            <v>9250</v>
          </cell>
          <cell r="AC82">
            <v>9181</v>
          </cell>
          <cell r="AD82">
            <v>8241</v>
          </cell>
          <cell r="AE82">
            <v>10578</v>
          </cell>
          <cell r="AF82">
            <v>10967</v>
          </cell>
          <cell r="AG82">
            <v>10965</v>
          </cell>
          <cell r="AH82">
            <v>11409</v>
          </cell>
          <cell r="AI82">
            <v>5599</v>
          </cell>
          <cell r="AJ82">
            <v>8857</v>
          </cell>
        </row>
        <row r="83">
          <cell r="E83" t="str">
            <v>MT Industrial Asphalt and Road Oil</v>
          </cell>
          <cell r="F83">
            <v>9869</v>
          </cell>
          <cell r="G83">
            <v>8955</v>
          </cell>
          <cell r="H83">
            <v>8685</v>
          </cell>
          <cell r="I83">
            <v>11327</v>
          </cell>
          <cell r="J83">
            <v>13035</v>
          </cell>
          <cell r="K83">
            <v>8580</v>
          </cell>
          <cell r="L83">
            <v>11292</v>
          </cell>
          <cell r="M83">
            <v>9606</v>
          </cell>
          <cell r="N83">
            <v>10577</v>
          </cell>
          <cell r="O83">
            <v>17422</v>
          </cell>
          <cell r="P83">
            <v>14271</v>
          </cell>
          <cell r="Q83">
            <v>5992</v>
          </cell>
          <cell r="R83">
            <v>6900</v>
          </cell>
          <cell r="S83">
            <v>2117</v>
          </cell>
          <cell r="T83">
            <v>6164</v>
          </cell>
          <cell r="U83">
            <v>4842</v>
          </cell>
          <cell r="V83">
            <v>9862</v>
          </cell>
          <cell r="W83">
            <v>6217</v>
          </cell>
          <cell r="X83">
            <v>5429</v>
          </cell>
          <cell r="Y83">
            <v>10204</v>
          </cell>
          <cell r="Z83">
            <v>10888</v>
          </cell>
          <cell r="AA83">
            <v>12937</v>
          </cell>
          <cell r="AB83">
            <v>12375</v>
          </cell>
          <cell r="AC83">
            <v>10210</v>
          </cell>
          <cell r="AD83">
            <v>10119</v>
          </cell>
          <cell r="AE83">
            <v>10186</v>
          </cell>
          <cell r="AF83">
            <v>9897</v>
          </cell>
          <cell r="AG83">
            <v>10732</v>
          </cell>
          <cell r="AH83">
            <v>9544</v>
          </cell>
          <cell r="AI83">
            <v>9296</v>
          </cell>
          <cell r="AJ83">
            <v>9472</v>
          </cell>
        </row>
        <row r="84">
          <cell r="E84" t="str">
            <v>NC Industrial Asphalt and Road Oil</v>
          </cell>
          <cell r="F84">
            <v>27920</v>
          </cell>
          <cell r="G84">
            <v>25357</v>
          </cell>
          <cell r="H84">
            <v>28206</v>
          </cell>
          <cell r="I84">
            <v>30827</v>
          </cell>
          <cell r="J84">
            <v>32012</v>
          </cell>
          <cell r="K84">
            <v>42642</v>
          </cell>
          <cell r="L84">
            <v>26848</v>
          </cell>
          <cell r="M84">
            <v>27627</v>
          </cell>
          <cell r="N84">
            <v>29344</v>
          </cell>
          <cell r="O84">
            <v>30437</v>
          </cell>
          <cell r="P84">
            <v>32674</v>
          </cell>
          <cell r="Q84">
            <v>34917</v>
          </cell>
          <cell r="R84">
            <v>33682</v>
          </cell>
          <cell r="S84">
            <v>34855</v>
          </cell>
          <cell r="T84">
            <v>40140</v>
          </cell>
          <cell r="U84">
            <v>37853</v>
          </cell>
          <cell r="V84">
            <v>36033</v>
          </cell>
          <cell r="W84">
            <v>37462</v>
          </cell>
          <cell r="X84">
            <v>29779</v>
          </cell>
          <cell r="Y84">
            <v>21778</v>
          </cell>
          <cell r="Z84">
            <v>28065</v>
          </cell>
          <cell r="AA84">
            <v>24010</v>
          </cell>
          <cell r="AB84">
            <v>31518</v>
          </cell>
          <cell r="AC84">
            <v>25038</v>
          </cell>
          <cell r="AD84">
            <v>25292</v>
          </cell>
          <cell r="AE84">
            <v>23157</v>
          </cell>
          <cell r="AF84">
            <v>33304</v>
          </cell>
          <cell r="AG84">
            <v>37112</v>
          </cell>
          <cell r="AH84">
            <v>38116</v>
          </cell>
          <cell r="AI84">
            <v>29013</v>
          </cell>
          <cell r="AJ84">
            <v>21622</v>
          </cell>
        </row>
        <row r="85">
          <cell r="E85" t="str">
            <v>ND Industrial Asphalt and Road Oil</v>
          </cell>
          <cell r="F85">
            <v>5402</v>
          </cell>
          <cell r="G85">
            <v>5163</v>
          </cell>
          <cell r="H85">
            <v>9724</v>
          </cell>
          <cell r="I85">
            <v>6070</v>
          </cell>
          <cell r="J85">
            <v>8311</v>
          </cell>
          <cell r="K85">
            <v>5250</v>
          </cell>
          <cell r="L85">
            <v>6045</v>
          </cell>
          <cell r="M85">
            <v>8237</v>
          </cell>
          <cell r="N85">
            <v>9556</v>
          </cell>
          <cell r="O85">
            <v>13916</v>
          </cell>
          <cell r="P85">
            <v>7352</v>
          </cell>
          <cell r="Q85">
            <v>8832</v>
          </cell>
          <cell r="R85">
            <v>7373</v>
          </cell>
          <cell r="S85">
            <v>4410</v>
          </cell>
          <cell r="T85">
            <v>6803</v>
          </cell>
          <cell r="U85">
            <v>9066</v>
          </cell>
          <cell r="V85">
            <v>12134</v>
          </cell>
          <cell r="W85">
            <v>3763</v>
          </cell>
          <cell r="X85">
            <v>3492</v>
          </cell>
          <cell r="Y85">
            <v>6263</v>
          </cell>
          <cell r="Z85">
            <v>6608</v>
          </cell>
          <cell r="AA85">
            <v>9957</v>
          </cell>
          <cell r="AB85">
            <v>6991</v>
          </cell>
          <cell r="AC85">
            <v>11462</v>
          </cell>
          <cell r="AD85">
            <v>11119</v>
          </cell>
          <cell r="AE85">
            <v>7075</v>
          </cell>
          <cell r="AF85">
            <v>4962</v>
          </cell>
          <cell r="AG85">
            <v>6748</v>
          </cell>
          <cell r="AH85">
            <v>6166</v>
          </cell>
          <cell r="AI85">
            <v>4923</v>
          </cell>
          <cell r="AJ85">
            <v>5614</v>
          </cell>
        </row>
        <row r="86">
          <cell r="E86" t="str">
            <v>NE Industrial Asphalt and Road Oil</v>
          </cell>
          <cell r="F86">
            <v>9213</v>
          </cell>
          <cell r="G86">
            <v>9410</v>
          </cell>
          <cell r="H86">
            <v>5960</v>
          </cell>
          <cell r="I86">
            <v>5291</v>
          </cell>
          <cell r="J86">
            <v>6841</v>
          </cell>
          <cell r="K86">
            <v>6164</v>
          </cell>
          <cell r="L86">
            <v>11755</v>
          </cell>
          <cell r="M86">
            <v>9623</v>
          </cell>
          <cell r="N86">
            <v>9288</v>
          </cell>
          <cell r="O86">
            <v>12387</v>
          </cell>
          <cell r="P86">
            <v>6217</v>
          </cell>
          <cell r="Q86">
            <v>5682</v>
          </cell>
          <cell r="R86">
            <v>5331</v>
          </cell>
          <cell r="S86">
            <v>8868</v>
          </cell>
          <cell r="T86">
            <v>8636</v>
          </cell>
          <cell r="U86">
            <v>8068</v>
          </cell>
          <cell r="V86">
            <v>6985</v>
          </cell>
          <cell r="W86">
            <v>5996</v>
          </cell>
          <cell r="X86">
            <v>5378</v>
          </cell>
          <cell r="Y86">
            <v>7274</v>
          </cell>
          <cell r="Z86">
            <v>7570</v>
          </cell>
          <cell r="AA86">
            <v>6746</v>
          </cell>
          <cell r="AB86">
            <v>7560</v>
          </cell>
          <cell r="AC86">
            <v>6120</v>
          </cell>
          <cell r="AD86">
            <v>6167</v>
          </cell>
          <cell r="AE86">
            <v>6325</v>
          </cell>
          <cell r="AF86">
            <v>5803</v>
          </cell>
          <cell r="AG86">
            <v>6466</v>
          </cell>
          <cell r="AH86">
            <v>5704</v>
          </cell>
          <cell r="AI86">
            <v>5123</v>
          </cell>
          <cell r="AJ86">
            <v>6252</v>
          </cell>
        </row>
        <row r="87">
          <cell r="E87" t="str">
            <v>NH Industrial Asphalt and Road Oil</v>
          </cell>
          <cell r="F87">
            <v>7953</v>
          </cell>
          <cell r="G87">
            <v>4372</v>
          </cell>
          <cell r="H87">
            <v>5246</v>
          </cell>
          <cell r="I87">
            <v>2125</v>
          </cell>
          <cell r="J87">
            <v>2527</v>
          </cell>
          <cell r="K87">
            <v>2425</v>
          </cell>
          <cell r="L87">
            <v>4158</v>
          </cell>
          <cell r="M87">
            <v>2731</v>
          </cell>
          <cell r="N87">
            <v>1782</v>
          </cell>
          <cell r="O87">
            <v>1909</v>
          </cell>
          <cell r="P87">
            <v>2210</v>
          </cell>
          <cell r="Q87">
            <v>1546</v>
          </cell>
          <cell r="R87">
            <v>2698</v>
          </cell>
          <cell r="S87">
            <v>5915</v>
          </cell>
          <cell r="T87">
            <v>5653</v>
          </cell>
          <cell r="U87">
            <v>6927</v>
          </cell>
          <cell r="V87">
            <v>4329</v>
          </cell>
          <cell r="W87">
            <v>4975</v>
          </cell>
          <cell r="X87">
            <v>6573</v>
          </cell>
          <cell r="Y87">
            <v>4622</v>
          </cell>
          <cell r="Z87">
            <v>4697</v>
          </cell>
          <cell r="AA87">
            <v>4385</v>
          </cell>
          <cell r="AB87">
            <v>4708</v>
          </cell>
          <cell r="AC87">
            <v>4284</v>
          </cell>
          <cell r="AD87">
            <v>4348</v>
          </cell>
          <cell r="AE87">
            <v>4203</v>
          </cell>
          <cell r="AF87">
            <v>3244</v>
          </cell>
          <cell r="AG87">
            <v>6466</v>
          </cell>
          <cell r="AH87">
            <v>3630</v>
          </cell>
          <cell r="AI87">
            <v>2693</v>
          </cell>
          <cell r="AJ87">
            <v>3387</v>
          </cell>
        </row>
        <row r="88">
          <cell r="E88" t="str">
            <v>NJ Industrial Asphalt and Road Oil</v>
          </cell>
          <cell r="F88">
            <v>23794</v>
          </cell>
          <cell r="G88">
            <v>20816</v>
          </cell>
          <cell r="H88">
            <v>22419</v>
          </cell>
          <cell r="I88">
            <v>55021</v>
          </cell>
          <cell r="J88">
            <v>34640</v>
          </cell>
          <cell r="K88">
            <v>40820</v>
          </cell>
          <cell r="L88">
            <v>35658</v>
          </cell>
          <cell r="M88">
            <v>54508</v>
          </cell>
          <cell r="N88">
            <v>50570</v>
          </cell>
          <cell r="O88">
            <v>71276</v>
          </cell>
          <cell r="P88">
            <v>58486</v>
          </cell>
          <cell r="Q88">
            <v>66254</v>
          </cell>
          <cell r="R88">
            <v>73064</v>
          </cell>
          <cell r="S88">
            <v>39298</v>
          </cell>
          <cell r="T88">
            <v>34286</v>
          </cell>
          <cell r="U88">
            <v>33946</v>
          </cell>
          <cell r="V88">
            <v>32828</v>
          </cell>
          <cell r="W88">
            <v>44661</v>
          </cell>
          <cell r="X88">
            <v>28999</v>
          </cell>
          <cell r="Y88">
            <v>25991</v>
          </cell>
          <cell r="Z88">
            <v>22448</v>
          </cell>
          <cell r="AA88">
            <v>21120</v>
          </cell>
          <cell r="AB88">
            <v>19433</v>
          </cell>
          <cell r="AC88">
            <v>20114</v>
          </cell>
          <cell r="AD88">
            <v>11652</v>
          </cell>
          <cell r="AE88">
            <v>20946</v>
          </cell>
          <cell r="AF88">
            <v>10336</v>
          </cell>
          <cell r="AG88">
            <v>23054</v>
          </cell>
          <cell r="AH88">
            <v>21781</v>
          </cell>
          <cell r="AI88">
            <v>23923</v>
          </cell>
          <cell r="AJ88">
            <v>21361</v>
          </cell>
        </row>
        <row r="89">
          <cell r="E89" t="str">
            <v>NM Industrial Asphalt and Road Oil</v>
          </cell>
          <cell r="F89">
            <v>9626</v>
          </cell>
          <cell r="G89">
            <v>10117</v>
          </cell>
          <cell r="H89">
            <v>12434</v>
          </cell>
          <cell r="I89">
            <v>16179</v>
          </cell>
          <cell r="J89">
            <v>14031</v>
          </cell>
          <cell r="K89">
            <v>12337</v>
          </cell>
          <cell r="L89">
            <v>10936</v>
          </cell>
          <cell r="M89">
            <v>8180</v>
          </cell>
          <cell r="N89">
            <v>13593</v>
          </cell>
          <cell r="O89">
            <v>12625</v>
          </cell>
          <cell r="P89">
            <v>11778</v>
          </cell>
          <cell r="Q89">
            <v>5250</v>
          </cell>
          <cell r="R89">
            <v>13234</v>
          </cell>
          <cell r="S89">
            <v>13126</v>
          </cell>
          <cell r="T89">
            <v>13206</v>
          </cell>
          <cell r="U89">
            <v>11943</v>
          </cell>
          <cell r="V89">
            <v>12826</v>
          </cell>
          <cell r="W89">
            <v>15602</v>
          </cell>
          <cell r="X89">
            <v>11727</v>
          </cell>
          <cell r="Y89">
            <v>9282</v>
          </cell>
          <cell r="Z89">
            <v>9405</v>
          </cell>
          <cell r="AA89">
            <v>10541</v>
          </cell>
          <cell r="AB89">
            <v>10257</v>
          </cell>
          <cell r="AC89">
            <v>8710</v>
          </cell>
          <cell r="AD89">
            <v>8472</v>
          </cell>
          <cell r="AE89">
            <v>8145</v>
          </cell>
          <cell r="AF89">
            <v>7666</v>
          </cell>
          <cell r="AG89">
            <v>6748</v>
          </cell>
          <cell r="AH89">
            <v>8038</v>
          </cell>
          <cell r="AI89">
            <v>7588</v>
          </cell>
          <cell r="AJ89">
            <v>8230</v>
          </cell>
        </row>
        <row r="90">
          <cell r="E90" t="str">
            <v>NV Industrial Asphalt and Road Oil</v>
          </cell>
          <cell r="F90">
            <v>7189</v>
          </cell>
          <cell r="G90">
            <v>7112</v>
          </cell>
          <cell r="H90">
            <v>5581</v>
          </cell>
          <cell r="I90">
            <v>7610</v>
          </cell>
          <cell r="J90">
            <v>8350</v>
          </cell>
          <cell r="K90">
            <v>9861</v>
          </cell>
          <cell r="L90">
            <v>9505</v>
          </cell>
          <cell r="M90">
            <v>2953</v>
          </cell>
          <cell r="N90">
            <v>9211</v>
          </cell>
          <cell r="O90">
            <v>5360</v>
          </cell>
          <cell r="P90">
            <v>5274</v>
          </cell>
          <cell r="Q90">
            <v>6749</v>
          </cell>
          <cell r="R90">
            <v>6359</v>
          </cell>
          <cell r="S90">
            <v>12153</v>
          </cell>
          <cell r="T90">
            <v>12686</v>
          </cell>
          <cell r="U90">
            <v>14379</v>
          </cell>
          <cell r="V90">
            <v>14013</v>
          </cell>
          <cell r="W90">
            <v>8727</v>
          </cell>
          <cell r="X90">
            <v>8865</v>
          </cell>
          <cell r="Y90">
            <v>8530</v>
          </cell>
          <cell r="Z90">
            <v>9777</v>
          </cell>
          <cell r="AA90">
            <v>11001</v>
          </cell>
          <cell r="AB90">
            <v>10561</v>
          </cell>
          <cell r="AC90">
            <v>9069</v>
          </cell>
          <cell r="AD90">
            <v>8668</v>
          </cell>
          <cell r="AE90">
            <v>8673</v>
          </cell>
          <cell r="AF90">
            <v>7407</v>
          </cell>
          <cell r="AG90">
            <v>8435</v>
          </cell>
          <cell r="AH90">
            <v>7845</v>
          </cell>
          <cell r="AI90">
            <v>7197</v>
          </cell>
          <cell r="AJ90">
            <v>7555</v>
          </cell>
        </row>
        <row r="91">
          <cell r="E91" t="str">
            <v>NY Industrial Asphalt and Road Oil</v>
          </cell>
          <cell r="F91">
            <v>36657</v>
          </cell>
          <cell r="G91">
            <v>42305</v>
          </cell>
          <cell r="H91">
            <v>45812</v>
          </cell>
          <cell r="I91">
            <v>53538</v>
          </cell>
          <cell r="J91">
            <v>49363</v>
          </cell>
          <cell r="K91">
            <v>46933</v>
          </cell>
          <cell r="L91">
            <v>41036</v>
          </cell>
          <cell r="M91">
            <v>41988</v>
          </cell>
          <cell r="N91">
            <v>43957</v>
          </cell>
          <cell r="O91">
            <v>41634</v>
          </cell>
          <cell r="P91">
            <v>39065</v>
          </cell>
          <cell r="Q91">
            <v>39279</v>
          </cell>
          <cell r="R91">
            <v>34163</v>
          </cell>
          <cell r="S91">
            <v>35799</v>
          </cell>
          <cell r="T91">
            <v>50885</v>
          </cell>
          <cell r="U91">
            <v>45592</v>
          </cell>
          <cell r="V91">
            <v>42584</v>
          </cell>
          <cell r="W91">
            <v>37379</v>
          </cell>
          <cell r="X91">
            <v>36571</v>
          </cell>
          <cell r="Y91">
            <v>42072</v>
          </cell>
          <cell r="Z91">
            <v>42333</v>
          </cell>
          <cell r="AA91">
            <v>39789</v>
          </cell>
          <cell r="AB91">
            <v>35797</v>
          </cell>
          <cell r="AC91">
            <v>38670</v>
          </cell>
          <cell r="AD91">
            <v>40070</v>
          </cell>
          <cell r="AE91">
            <v>40310</v>
          </cell>
          <cell r="AF91">
            <v>40768</v>
          </cell>
          <cell r="AG91">
            <v>38799</v>
          </cell>
          <cell r="AH91">
            <v>36560</v>
          </cell>
          <cell r="AI91">
            <v>36902</v>
          </cell>
          <cell r="AJ91">
            <v>37513</v>
          </cell>
        </row>
        <row r="92">
          <cell r="E92" t="str">
            <v>OH Industrial Asphalt and Road Oil</v>
          </cell>
          <cell r="F92">
            <v>65564</v>
          </cell>
          <cell r="G92">
            <v>59677</v>
          </cell>
          <cell r="H92">
            <v>65763</v>
          </cell>
          <cell r="I92">
            <v>50980</v>
          </cell>
          <cell r="J92">
            <v>58709</v>
          </cell>
          <cell r="K92">
            <v>59547</v>
          </cell>
          <cell r="L92">
            <v>74711</v>
          </cell>
          <cell r="M92">
            <v>95399</v>
          </cell>
          <cell r="N92">
            <v>83864</v>
          </cell>
          <cell r="O92">
            <v>93509</v>
          </cell>
          <cell r="P92">
            <v>87401</v>
          </cell>
          <cell r="Q92">
            <v>78367</v>
          </cell>
          <cell r="R92">
            <v>71433</v>
          </cell>
          <cell r="S92">
            <v>65413</v>
          </cell>
          <cell r="T92">
            <v>69465</v>
          </cell>
          <cell r="U92">
            <v>66058</v>
          </cell>
          <cell r="V92">
            <v>66732</v>
          </cell>
          <cell r="W92">
            <v>57905</v>
          </cell>
          <cell r="X92">
            <v>55191</v>
          </cell>
          <cell r="Y92">
            <v>32446</v>
          </cell>
          <cell r="Z92">
            <v>34093</v>
          </cell>
          <cell r="AA92">
            <v>31546</v>
          </cell>
          <cell r="AB92">
            <v>35349</v>
          </cell>
          <cell r="AC92">
            <v>29211</v>
          </cell>
          <cell r="AD92">
            <v>30408</v>
          </cell>
          <cell r="AE92">
            <v>36022</v>
          </cell>
          <cell r="AF92">
            <v>39620</v>
          </cell>
          <cell r="AG92">
            <v>30083</v>
          </cell>
          <cell r="AH92">
            <v>31634</v>
          </cell>
          <cell r="AI92">
            <v>33339</v>
          </cell>
          <cell r="AJ92">
            <v>33605</v>
          </cell>
        </row>
        <row r="93">
          <cell r="E93" t="str">
            <v>OK Industrial Asphalt and Road Oil</v>
          </cell>
          <cell r="F93">
            <v>23279</v>
          </cell>
          <cell r="G93">
            <v>22779</v>
          </cell>
          <cell r="H93">
            <v>19444</v>
          </cell>
          <cell r="I93">
            <v>24696</v>
          </cell>
          <cell r="J93">
            <v>23507</v>
          </cell>
          <cell r="K93">
            <v>21110</v>
          </cell>
          <cell r="L93">
            <v>18326</v>
          </cell>
          <cell r="M93">
            <v>9462</v>
          </cell>
          <cell r="N93">
            <v>17137</v>
          </cell>
          <cell r="O93">
            <v>11410</v>
          </cell>
          <cell r="P93">
            <v>13035</v>
          </cell>
          <cell r="Q93">
            <v>29164</v>
          </cell>
          <cell r="R93">
            <v>25827</v>
          </cell>
          <cell r="S93">
            <v>20418</v>
          </cell>
          <cell r="T93">
            <v>27085</v>
          </cell>
          <cell r="U93">
            <v>24967</v>
          </cell>
          <cell r="V93">
            <v>21721</v>
          </cell>
          <cell r="W93">
            <v>28245</v>
          </cell>
          <cell r="X93">
            <v>16658</v>
          </cell>
          <cell r="Y93">
            <v>14734</v>
          </cell>
          <cell r="Z93">
            <v>15374</v>
          </cell>
          <cell r="AA93">
            <v>12362</v>
          </cell>
          <cell r="AB93">
            <v>16222</v>
          </cell>
          <cell r="AC93">
            <v>13409</v>
          </cell>
          <cell r="AD93">
            <v>10799</v>
          </cell>
          <cell r="AE93">
            <v>14523</v>
          </cell>
          <cell r="AF93">
            <v>12374</v>
          </cell>
          <cell r="AG93">
            <v>11527</v>
          </cell>
          <cell r="AH93">
            <v>10112</v>
          </cell>
          <cell r="AI93">
            <v>11198</v>
          </cell>
          <cell r="AJ93">
            <v>10681</v>
          </cell>
        </row>
        <row r="94">
          <cell r="E94" t="str">
            <v>OR Industrial Asphalt and Road Oil</v>
          </cell>
          <cell r="F94">
            <v>20083</v>
          </cell>
          <cell r="G94">
            <v>17633</v>
          </cell>
          <cell r="H94">
            <v>21881</v>
          </cell>
          <cell r="I94">
            <v>22091</v>
          </cell>
          <cell r="J94">
            <v>22711</v>
          </cell>
          <cell r="K94">
            <v>18305</v>
          </cell>
          <cell r="L94">
            <v>18219</v>
          </cell>
          <cell r="M94">
            <v>19674</v>
          </cell>
          <cell r="N94">
            <v>27782</v>
          </cell>
          <cell r="O94">
            <v>24212</v>
          </cell>
          <cell r="P94">
            <v>21534</v>
          </cell>
          <cell r="Q94">
            <v>14514</v>
          </cell>
          <cell r="R94">
            <v>21450</v>
          </cell>
          <cell r="S94">
            <v>21960</v>
          </cell>
          <cell r="T94">
            <v>23886</v>
          </cell>
          <cell r="U94">
            <v>24300</v>
          </cell>
          <cell r="V94">
            <v>24327</v>
          </cell>
          <cell r="W94">
            <v>18484</v>
          </cell>
          <cell r="X94">
            <v>17346</v>
          </cell>
          <cell r="Y94">
            <v>11309</v>
          </cell>
          <cell r="Z94">
            <v>10601</v>
          </cell>
          <cell r="AA94">
            <v>10810</v>
          </cell>
          <cell r="AB94">
            <v>11054</v>
          </cell>
          <cell r="AC94">
            <v>9876</v>
          </cell>
          <cell r="AD94">
            <v>9918</v>
          </cell>
          <cell r="AE94">
            <v>10149</v>
          </cell>
          <cell r="AF94">
            <v>12058</v>
          </cell>
          <cell r="AG94">
            <v>12371</v>
          </cell>
          <cell r="AH94">
            <v>9853</v>
          </cell>
          <cell r="AI94">
            <v>9925</v>
          </cell>
          <cell r="AJ94">
            <v>9899</v>
          </cell>
        </row>
        <row r="95">
          <cell r="E95" t="str">
            <v>PA Industrial Asphalt and Road Oil</v>
          </cell>
          <cell r="F95">
            <v>49541</v>
          </cell>
          <cell r="G95">
            <v>41093</v>
          </cell>
          <cell r="H95">
            <v>40052</v>
          </cell>
          <cell r="I95">
            <v>40391</v>
          </cell>
          <cell r="J95">
            <v>50502</v>
          </cell>
          <cell r="K95">
            <v>51814</v>
          </cell>
          <cell r="L95">
            <v>49583</v>
          </cell>
          <cell r="M95">
            <v>46200</v>
          </cell>
          <cell r="N95">
            <v>52358</v>
          </cell>
          <cell r="O95">
            <v>33153</v>
          </cell>
          <cell r="P95">
            <v>48874</v>
          </cell>
          <cell r="Q95">
            <v>57696</v>
          </cell>
          <cell r="R95">
            <v>45661</v>
          </cell>
          <cell r="S95">
            <v>51908</v>
          </cell>
          <cell r="T95">
            <v>58282</v>
          </cell>
          <cell r="U95">
            <v>60964</v>
          </cell>
          <cell r="V95">
            <v>58308</v>
          </cell>
          <cell r="W95">
            <v>52365</v>
          </cell>
          <cell r="X95">
            <v>46844</v>
          </cell>
          <cell r="Y95">
            <v>44282</v>
          </cell>
          <cell r="Z95">
            <v>46840</v>
          </cell>
          <cell r="AA95">
            <v>40761</v>
          </cell>
          <cell r="AB95">
            <v>38137</v>
          </cell>
          <cell r="AC95">
            <v>35053</v>
          </cell>
          <cell r="AD95">
            <v>42343</v>
          </cell>
          <cell r="AE95">
            <v>47228</v>
          </cell>
          <cell r="AF95">
            <v>46510</v>
          </cell>
          <cell r="AG95">
            <v>47515</v>
          </cell>
          <cell r="AH95">
            <v>43561</v>
          </cell>
          <cell r="AI95">
            <v>45301</v>
          </cell>
          <cell r="AJ95">
            <v>37252</v>
          </cell>
        </row>
        <row r="96">
          <cell r="E96" t="str">
            <v>RI Industrial Asphalt and Road Oil</v>
          </cell>
          <cell r="F96">
            <v>10843</v>
          </cell>
          <cell r="G96">
            <v>3060</v>
          </cell>
          <cell r="H96">
            <v>9968</v>
          </cell>
          <cell r="I96">
            <v>5432</v>
          </cell>
          <cell r="J96">
            <v>8335</v>
          </cell>
          <cell r="K96">
            <v>6570</v>
          </cell>
          <cell r="L96">
            <v>2237</v>
          </cell>
          <cell r="M96">
            <v>1818</v>
          </cell>
          <cell r="N96">
            <v>1869</v>
          </cell>
          <cell r="O96">
            <v>2002</v>
          </cell>
          <cell r="P96">
            <v>1348</v>
          </cell>
          <cell r="Q96">
            <v>1308</v>
          </cell>
          <cell r="R96">
            <v>1188</v>
          </cell>
          <cell r="S96">
            <v>2178</v>
          </cell>
          <cell r="T96">
            <v>1172</v>
          </cell>
          <cell r="U96">
            <v>2223</v>
          </cell>
          <cell r="V96">
            <v>2031</v>
          </cell>
          <cell r="W96">
            <v>0</v>
          </cell>
          <cell r="X96">
            <v>8355</v>
          </cell>
          <cell r="Y96">
            <v>5376</v>
          </cell>
          <cell r="Z96">
            <v>6192</v>
          </cell>
          <cell r="AA96">
            <v>4591</v>
          </cell>
          <cell r="AB96">
            <v>5223</v>
          </cell>
          <cell r="AC96">
            <v>6712</v>
          </cell>
          <cell r="AD96">
            <v>6804</v>
          </cell>
          <cell r="AE96">
            <v>6414</v>
          </cell>
          <cell r="AF96">
            <v>5372</v>
          </cell>
          <cell r="AG96">
            <v>5558</v>
          </cell>
          <cell r="AH96">
            <v>5360</v>
          </cell>
          <cell r="AI96">
            <v>4756</v>
          </cell>
          <cell r="AJ96">
            <v>5649</v>
          </cell>
        </row>
        <row r="97">
          <cell r="E97" t="str">
            <v>SC Industrial Asphalt and Road Oil</v>
          </cell>
          <cell r="F97">
            <v>13158</v>
          </cell>
          <cell r="G97">
            <v>12881</v>
          </cell>
          <cell r="H97">
            <v>13717</v>
          </cell>
          <cell r="I97">
            <v>15646</v>
          </cell>
          <cell r="J97">
            <v>13228</v>
          </cell>
          <cell r="K97">
            <v>17527</v>
          </cell>
          <cell r="L97">
            <v>15976</v>
          </cell>
          <cell r="M97">
            <v>24743</v>
          </cell>
          <cell r="N97">
            <v>16830</v>
          </cell>
          <cell r="O97">
            <v>14777</v>
          </cell>
          <cell r="P97">
            <v>21443</v>
          </cell>
          <cell r="Q97">
            <v>16746</v>
          </cell>
          <cell r="R97">
            <v>14890</v>
          </cell>
          <cell r="S97">
            <v>16812</v>
          </cell>
          <cell r="T97">
            <v>21211</v>
          </cell>
          <cell r="U97">
            <v>21962</v>
          </cell>
          <cell r="V97">
            <v>20771</v>
          </cell>
          <cell r="W97">
            <v>17210</v>
          </cell>
          <cell r="X97">
            <v>13569</v>
          </cell>
          <cell r="Y97">
            <v>15126</v>
          </cell>
          <cell r="Z97">
            <v>14535</v>
          </cell>
          <cell r="AA97">
            <v>13564</v>
          </cell>
          <cell r="AB97">
            <v>11186</v>
          </cell>
          <cell r="AC97">
            <v>11406</v>
          </cell>
          <cell r="AD97">
            <v>11055</v>
          </cell>
          <cell r="AE97">
            <v>12722</v>
          </cell>
          <cell r="AF97">
            <v>14355</v>
          </cell>
          <cell r="AG97">
            <v>16869</v>
          </cell>
          <cell r="AH97">
            <v>15039</v>
          </cell>
          <cell r="AI97">
            <v>17560</v>
          </cell>
          <cell r="AJ97">
            <v>14588</v>
          </cell>
        </row>
        <row r="98">
          <cell r="E98" t="str">
            <v>SD Industrial Asphalt and Road Oil</v>
          </cell>
          <cell r="F98">
            <v>5244</v>
          </cell>
          <cell r="G98">
            <v>5098</v>
          </cell>
          <cell r="H98">
            <v>5888</v>
          </cell>
          <cell r="I98">
            <v>4270</v>
          </cell>
          <cell r="J98">
            <v>4176</v>
          </cell>
          <cell r="K98">
            <v>5447</v>
          </cell>
          <cell r="L98">
            <v>7540</v>
          </cell>
          <cell r="M98">
            <v>8986</v>
          </cell>
          <cell r="N98">
            <v>8590</v>
          </cell>
          <cell r="O98">
            <v>12470</v>
          </cell>
          <cell r="P98">
            <v>11498</v>
          </cell>
          <cell r="Q98">
            <v>7024</v>
          </cell>
          <cell r="R98">
            <v>6860</v>
          </cell>
          <cell r="S98">
            <v>8802</v>
          </cell>
          <cell r="T98">
            <v>7705</v>
          </cell>
          <cell r="U98">
            <v>12015</v>
          </cell>
          <cell r="V98">
            <v>11025</v>
          </cell>
          <cell r="W98">
            <v>6917</v>
          </cell>
          <cell r="X98">
            <v>7848</v>
          </cell>
          <cell r="Y98">
            <v>6996</v>
          </cell>
          <cell r="Z98">
            <v>8223</v>
          </cell>
          <cell r="AA98">
            <v>5149</v>
          </cell>
          <cell r="AB98">
            <v>7939</v>
          </cell>
          <cell r="AC98">
            <v>4738</v>
          </cell>
          <cell r="AD98">
            <v>4574</v>
          </cell>
          <cell r="AE98">
            <v>4690</v>
          </cell>
          <cell r="AF98">
            <v>3720</v>
          </cell>
          <cell r="AG98">
            <v>4815</v>
          </cell>
          <cell r="AH98">
            <v>4593</v>
          </cell>
          <cell r="AI98">
            <v>5258</v>
          </cell>
          <cell r="AJ98">
            <v>6207</v>
          </cell>
        </row>
        <row r="99">
          <cell r="E99" t="str">
            <v>TN Industrial Asphalt and Road Oil</v>
          </cell>
          <cell r="F99">
            <v>38473</v>
          </cell>
          <cell r="G99">
            <v>35497</v>
          </cell>
          <cell r="H99">
            <v>35043</v>
          </cell>
          <cell r="I99">
            <v>32660</v>
          </cell>
          <cell r="J99">
            <v>36150</v>
          </cell>
          <cell r="K99">
            <v>36060</v>
          </cell>
          <cell r="L99">
            <v>34312</v>
          </cell>
          <cell r="M99">
            <v>32628</v>
          </cell>
          <cell r="N99">
            <v>39341</v>
          </cell>
          <cell r="O99">
            <v>39278</v>
          </cell>
          <cell r="P99">
            <v>40261</v>
          </cell>
          <cell r="Q99">
            <v>38213</v>
          </cell>
          <cell r="R99">
            <v>34245</v>
          </cell>
          <cell r="S99">
            <v>34624</v>
          </cell>
          <cell r="T99">
            <v>31823</v>
          </cell>
          <cell r="U99">
            <v>44492</v>
          </cell>
          <cell r="V99">
            <v>36596</v>
          </cell>
          <cell r="W99">
            <v>30990</v>
          </cell>
          <cell r="X99">
            <v>27868</v>
          </cell>
          <cell r="Y99">
            <v>18581</v>
          </cell>
          <cell r="Z99">
            <v>19347</v>
          </cell>
          <cell r="AA99">
            <v>22332</v>
          </cell>
          <cell r="AB99">
            <v>18203</v>
          </cell>
          <cell r="AC99">
            <v>17721</v>
          </cell>
          <cell r="AD99">
            <v>18074</v>
          </cell>
          <cell r="AE99">
            <v>17039</v>
          </cell>
          <cell r="AF99">
            <v>18776</v>
          </cell>
          <cell r="AG99">
            <v>19962</v>
          </cell>
          <cell r="AH99">
            <v>18928</v>
          </cell>
          <cell r="AI99">
            <v>19596</v>
          </cell>
          <cell r="AJ99">
            <v>18756</v>
          </cell>
        </row>
        <row r="100">
          <cell r="E100" t="str">
            <v>TX Industrial Asphalt and Road Oil</v>
          </cell>
          <cell r="F100">
            <v>92991</v>
          </cell>
          <cell r="G100">
            <v>62183</v>
          </cell>
          <cell r="H100">
            <v>78307</v>
          </cell>
          <cell r="I100">
            <v>84504</v>
          </cell>
          <cell r="J100">
            <v>72643</v>
          </cell>
          <cell r="K100">
            <v>78263</v>
          </cell>
          <cell r="L100">
            <v>79380</v>
          </cell>
          <cell r="M100">
            <v>69739</v>
          </cell>
          <cell r="N100">
            <v>74330</v>
          </cell>
          <cell r="O100">
            <v>55993</v>
          </cell>
          <cell r="P100">
            <v>52804</v>
          </cell>
          <cell r="Q100">
            <v>77777</v>
          </cell>
          <cell r="R100">
            <v>87617</v>
          </cell>
          <cell r="S100">
            <v>92344</v>
          </cell>
          <cell r="T100">
            <v>86175</v>
          </cell>
          <cell r="U100">
            <v>114068</v>
          </cell>
          <cell r="V100">
            <v>104458</v>
          </cell>
          <cell r="W100">
            <v>100465</v>
          </cell>
          <cell r="X100">
            <v>71107</v>
          </cell>
          <cell r="Y100">
            <v>38051</v>
          </cell>
          <cell r="Z100">
            <v>44093</v>
          </cell>
          <cell r="AA100">
            <v>34084</v>
          </cell>
          <cell r="AB100">
            <v>38102</v>
          </cell>
          <cell r="AC100">
            <v>40617</v>
          </cell>
          <cell r="AD100">
            <v>43196</v>
          </cell>
          <cell r="AE100">
            <v>50030</v>
          </cell>
          <cell r="AF100">
            <v>59717</v>
          </cell>
          <cell r="AG100">
            <v>47796</v>
          </cell>
          <cell r="AH100">
            <v>37079</v>
          </cell>
          <cell r="AI100">
            <v>85512</v>
          </cell>
          <cell r="AJ100">
            <v>74244</v>
          </cell>
        </row>
        <row r="101">
          <cell r="E101" t="str">
            <v>US Industrial Asphalt and Road Oil</v>
          </cell>
          <cell r="F101">
            <v>1170192</v>
          </cell>
          <cell r="G101">
            <v>1076538</v>
          </cell>
          <cell r="H101">
            <v>1102220</v>
          </cell>
          <cell r="I101">
            <v>1149017</v>
          </cell>
          <cell r="J101">
            <v>1172920</v>
          </cell>
          <cell r="K101">
            <v>1178175</v>
          </cell>
          <cell r="L101">
            <v>1175932</v>
          </cell>
          <cell r="M101">
            <v>1223566</v>
          </cell>
          <cell r="N101">
            <v>1262552</v>
          </cell>
          <cell r="O101">
            <v>1324413</v>
          </cell>
          <cell r="P101">
            <v>1275678</v>
          </cell>
          <cell r="Q101">
            <v>1256865</v>
          </cell>
          <cell r="R101">
            <v>1239950</v>
          </cell>
          <cell r="S101">
            <v>1219538</v>
          </cell>
          <cell r="T101">
            <v>1303848</v>
          </cell>
          <cell r="U101">
            <v>1323238</v>
          </cell>
          <cell r="V101">
            <v>1261165</v>
          </cell>
          <cell r="W101">
            <v>1197041</v>
          </cell>
          <cell r="X101">
            <v>1011970</v>
          </cell>
          <cell r="Y101">
            <v>873085</v>
          </cell>
          <cell r="Z101">
            <v>877770</v>
          </cell>
          <cell r="AA101">
            <v>859488</v>
          </cell>
          <cell r="AB101">
            <v>826700</v>
          </cell>
          <cell r="AC101">
            <v>783347</v>
          </cell>
          <cell r="AD101">
            <v>792637</v>
          </cell>
          <cell r="AE101">
            <v>831663</v>
          </cell>
          <cell r="AF101">
            <v>853363</v>
          </cell>
          <cell r="AG101">
            <v>849182</v>
          </cell>
          <cell r="AH101">
            <v>792763</v>
          </cell>
          <cell r="AI101">
            <v>843880</v>
          </cell>
          <cell r="AJ101">
            <v>832274</v>
          </cell>
        </row>
        <row r="102">
          <cell r="E102" t="str">
            <v>UT Industrial Asphalt and Road Oil</v>
          </cell>
          <cell r="F102">
            <v>9145</v>
          </cell>
          <cell r="G102">
            <v>19046</v>
          </cell>
          <cell r="H102">
            <v>10833</v>
          </cell>
          <cell r="I102">
            <v>11482</v>
          </cell>
          <cell r="J102">
            <v>12073</v>
          </cell>
          <cell r="K102">
            <v>14458</v>
          </cell>
          <cell r="L102">
            <v>15668</v>
          </cell>
          <cell r="M102">
            <v>13219</v>
          </cell>
          <cell r="N102">
            <v>16273</v>
          </cell>
          <cell r="O102">
            <v>15791</v>
          </cell>
          <cell r="P102">
            <v>15231</v>
          </cell>
          <cell r="Q102">
            <v>9564</v>
          </cell>
          <cell r="R102">
            <v>4101</v>
          </cell>
          <cell r="S102">
            <v>16824</v>
          </cell>
          <cell r="T102">
            <v>11121</v>
          </cell>
          <cell r="U102">
            <v>9819</v>
          </cell>
          <cell r="V102">
            <v>7364</v>
          </cell>
          <cell r="W102">
            <v>5274</v>
          </cell>
          <cell r="X102">
            <v>7119</v>
          </cell>
          <cell r="Y102">
            <v>7381</v>
          </cell>
          <cell r="Z102">
            <v>7841</v>
          </cell>
          <cell r="AA102">
            <v>8617</v>
          </cell>
          <cell r="AB102">
            <v>9246</v>
          </cell>
          <cell r="AC102">
            <v>7233</v>
          </cell>
          <cell r="AD102">
            <v>6820</v>
          </cell>
          <cell r="AE102">
            <v>7404</v>
          </cell>
          <cell r="AF102">
            <v>7752</v>
          </cell>
          <cell r="AG102">
            <v>8716</v>
          </cell>
          <cell r="AH102">
            <v>7519</v>
          </cell>
          <cell r="AI102">
            <v>7635</v>
          </cell>
          <cell r="AJ102">
            <v>8336</v>
          </cell>
        </row>
        <row r="103">
          <cell r="E103" t="str">
            <v>VA Industrial Asphalt and Road Oil</v>
          </cell>
          <cell r="F103">
            <v>31193</v>
          </cell>
          <cell r="G103">
            <v>24781</v>
          </cell>
          <cell r="H103">
            <v>24944</v>
          </cell>
          <cell r="I103">
            <v>24535</v>
          </cell>
          <cell r="J103">
            <v>26113</v>
          </cell>
          <cell r="K103">
            <v>24147</v>
          </cell>
          <cell r="L103">
            <v>23308</v>
          </cell>
          <cell r="M103">
            <v>23056</v>
          </cell>
          <cell r="N103">
            <v>25805</v>
          </cell>
          <cell r="O103">
            <v>31653</v>
          </cell>
          <cell r="P103">
            <v>25766</v>
          </cell>
          <cell r="Q103">
            <v>28214</v>
          </cell>
          <cell r="R103">
            <v>22440</v>
          </cell>
          <cell r="S103">
            <v>25271</v>
          </cell>
          <cell r="T103">
            <v>28609</v>
          </cell>
          <cell r="U103">
            <v>31994</v>
          </cell>
          <cell r="V103">
            <v>28726</v>
          </cell>
          <cell r="W103">
            <v>26359</v>
          </cell>
          <cell r="X103">
            <v>18810</v>
          </cell>
          <cell r="Y103">
            <v>20832</v>
          </cell>
          <cell r="Z103">
            <v>24734</v>
          </cell>
          <cell r="AA103">
            <v>27957</v>
          </cell>
          <cell r="AB103">
            <v>25369</v>
          </cell>
          <cell r="AC103">
            <v>20309</v>
          </cell>
          <cell r="AD103">
            <v>20319</v>
          </cell>
          <cell r="AE103">
            <v>25444</v>
          </cell>
          <cell r="AF103">
            <v>24691</v>
          </cell>
          <cell r="AG103">
            <v>22773</v>
          </cell>
          <cell r="AH103">
            <v>20743</v>
          </cell>
          <cell r="AI103">
            <v>21887</v>
          </cell>
          <cell r="AJ103">
            <v>19017</v>
          </cell>
        </row>
        <row r="104">
          <cell r="E104" t="str">
            <v>VT Industrial Asphalt and Road Oil</v>
          </cell>
          <cell r="F104">
            <v>177</v>
          </cell>
          <cell r="G104">
            <v>3497</v>
          </cell>
          <cell r="H104">
            <v>2224</v>
          </cell>
          <cell r="I104">
            <v>204</v>
          </cell>
          <cell r="J104">
            <v>1529</v>
          </cell>
          <cell r="K104">
            <v>1682</v>
          </cell>
          <cell r="L104">
            <v>1927</v>
          </cell>
          <cell r="M104">
            <v>5256</v>
          </cell>
          <cell r="N104">
            <v>1077</v>
          </cell>
          <cell r="O104">
            <v>1153</v>
          </cell>
          <cell r="P104">
            <v>1100</v>
          </cell>
          <cell r="Q104">
            <v>1971</v>
          </cell>
          <cell r="R104">
            <v>1161</v>
          </cell>
          <cell r="S104">
            <v>620</v>
          </cell>
          <cell r="T104">
            <v>3082</v>
          </cell>
          <cell r="U104">
            <v>960</v>
          </cell>
          <cell r="V104">
            <v>822</v>
          </cell>
          <cell r="W104">
            <v>2152</v>
          </cell>
          <cell r="X104">
            <v>262</v>
          </cell>
          <cell r="Y104">
            <v>3999</v>
          </cell>
          <cell r="Z104">
            <v>4993</v>
          </cell>
          <cell r="AA104">
            <v>4690</v>
          </cell>
          <cell r="AB104">
            <v>4632</v>
          </cell>
          <cell r="AC104">
            <v>5001</v>
          </cell>
          <cell r="AD104">
            <v>4710</v>
          </cell>
          <cell r="AE104">
            <v>4618</v>
          </cell>
          <cell r="AF104">
            <v>3853</v>
          </cell>
          <cell r="AG104">
            <v>4455</v>
          </cell>
          <cell r="AH104">
            <v>3817</v>
          </cell>
          <cell r="AI104">
            <v>3300</v>
          </cell>
          <cell r="AJ104">
            <v>4136</v>
          </cell>
        </row>
        <row r="105">
          <cell r="E105" t="str">
            <v>WA Industrial Asphalt and Road Oil</v>
          </cell>
          <cell r="F105">
            <v>16462</v>
          </cell>
          <cell r="G105">
            <v>19691</v>
          </cell>
          <cell r="H105">
            <v>20061</v>
          </cell>
          <cell r="I105">
            <v>19516</v>
          </cell>
          <cell r="J105">
            <v>23401</v>
          </cell>
          <cell r="K105">
            <v>23611</v>
          </cell>
          <cell r="L105">
            <v>24527</v>
          </cell>
          <cell r="M105">
            <v>26862</v>
          </cell>
          <cell r="N105">
            <v>27119</v>
          </cell>
          <cell r="O105">
            <v>27233</v>
          </cell>
          <cell r="P105">
            <v>32864</v>
          </cell>
          <cell r="Q105">
            <v>22743</v>
          </cell>
          <cell r="R105">
            <v>24797</v>
          </cell>
          <cell r="S105">
            <v>19096</v>
          </cell>
          <cell r="T105">
            <v>21983</v>
          </cell>
          <cell r="U105">
            <v>22822</v>
          </cell>
          <cell r="V105">
            <v>22522</v>
          </cell>
          <cell r="W105">
            <v>19419</v>
          </cell>
          <cell r="X105">
            <v>19602</v>
          </cell>
          <cell r="Y105">
            <v>13621</v>
          </cell>
          <cell r="Z105">
            <v>14171</v>
          </cell>
          <cell r="AA105">
            <v>10216</v>
          </cell>
          <cell r="AB105">
            <v>10217</v>
          </cell>
          <cell r="AC105">
            <v>9737</v>
          </cell>
          <cell r="AD105">
            <v>10515</v>
          </cell>
          <cell r="AE105">
            <v>11550</v>
          </cell>
          <cell r="AF105">
            <v>12431</v>
          </cell>
          <cell r="AG105">
            <v>13495</v>
          </cell>
          <cell r="AH105">
            <v>11668</v>
          </cell>
          <cell r="AI105">
            <v>12470</v>
          </cell>
          <cell r="AJ105">
            <v>10420</v>
          </cell>
        </row>
        <row r="106">
          <cell r="E106" t="str">
            <v>WI Industrial Asphalt and Road Oil</v>
          </cell>
          <cell r="F106">
            <v>24451</v>
          </cell>
          <cell r="G106">
            <v>22111</v>
          </cell>
          <cell r="H106">
            <v>20607</v>
          </cell>
          <cell r="I106">
            <v>21585</v>
          </cell>
          <cell r="J106">
            <v>23363</v>
          </cell>
          <cell r="K106">
            <v>27565</v>
          </cell>
          <cell r="L106">
            <v>27381</v>
          </cell>
          <cell r="M106">
            <v>34212</v>
          </cell>
          <cell r="N106">
            <v>39897</v>
          </cell>
          <cell r="O106">
            <v>41091</v>
          </cell>
          <cell r="P106">
            <v>38376</v>
          </cell>
          <cell r="Q106">
            <v>39623</v>
          </cell>
          <cell r="R106">
            <v>34950</v>
          </cell>
          <cell r="S106">
            <v>44096</v>
          </cell>
          <cell r="T106">
            <v>43784</v>
          </cell>
          <cell r="U106">
            <v>41709</v>
          </cell>
          <cell r="V106">
            <v>39024</v>
          </cell>
          <cell r="W106">
            <v>35149</v>
          </cell>
          <cell r="X106">
            <v>30787</v>
          </cell>
          <cell r="Y106">
            <v>26027</v>
          </cell>
          <cell r="Z106">
            <v>30057</v>
          </cell>
          <cell r="AA106">
            <v>31384</v>
          </cell>
          <cell r="AB106">
            <v>27461</v>
          </cell>
          <cell r="AC106">
            <v>28377</v>
          </cell>
          <cell r="AD106">
            <v>30098</v>
          </cell>
          <cell r="AE106">
            <v>26301</v>
          </cell>
          <cell r="AF106">
            <v>26987</v>
          </cell>
          <cell r="AG106">
            <v>28396</v>
          </cell>
          <cell r="AH106">
            <v>26707</v>
          </cell>
          <cell r="AI106">
            <v>24177</v>
          </cell>
          <cell r="AJ106">
            <v>24748</v>
          </cell>
        </row>
        <row r="107">
          <cell r="E107" t="str">
            <v>WV Industrial Asphalt and Road Oil</v>
          </cell>
          <cell r="F107">
            <v>4830</v>
          </cell>
          <cell r="G107">
            <v>3503</v>
          </cell>
          <cell r="H107">
            <v>3649</v>
          </cell>
          <cell r="I107">
            <v>2832</v>
          </cell>
          <cell r="J107">
            <v>4589</v>
          </cell>
          <cell r="K107">
            <v>4244</v>
          </cell>
          <cell r="L107">
            <v>6266</v>
          </cell>
          <cell r="M107">
            <v>7679</v>
          </cell>
          <cell r="N107">
            <v>8145</v>
          </cell>
          <cell r="O107">
            <v>5058</v>
          </cell>
          <cell r="P107">
            <v>5218</v>
          </cell>
          <cell r="Q107">
            <v>4793</v>
          </cell>
          <cell r="R107">
            <v>8433</v>
          </cell>
          <cell r="S107">
            <v>4752</v>
          </cell>
          <cell r="T107">
            <v>4124</v>
          </cell>
          <cell r="U107">
            <v>3958</v>
          </cell>
          <cell r="V107">
            <v>5835</v>
          </cell>
          <cell r="W107">
            <v>5837</v>
          </cell>
          <cell r="X107">
            <v>10213</v>
          </cell>
          <cell r="Y107">
            <v>7596</v>
          </cell>
          <cell r="Z107">
            <v>7912</v>
          </cell>
          <cell r="AA107">
            <v>9666</v>
          </cell>
          <cell r="AB107">
            <v>8815</v>
          </cell>
          <cell r="AC107">
            <v>7233</v>
          </cell>
          <cell r="AD107">
            <v>6252</v>
          </cell>
          <cell r="AE107">
            <v>8577</v>
          </cell>
          <cell r="AF107">
            <v>10106</v>
          </cell>
          <cell r="AG107">
            <v>5904</v>
          </cell>
          <cell r="AH107">
            <v>7260</v>
          </cell>
          <cell r="AI107">
            <v>8907</v>
          </cell>
          <cell r="AJ107">
            <v>8336</v>
          </cell>
        </row>
        <row r="108">
          <cell r="E108" t="str">
            <v>WY Industrial Asphalt and Road Oil</v>
          </cell>
          <cell r="F108">
            <v>6334</v>
          </cell>
          <cell r="G108">
            <v>6742</v>
          </cell>
          <cell r="H108">
            <v>5125</v>
          </cell>
          <cell r="I108">
            <v>5014</v>
          </cell>
          <cell r="J108">
            <v>5983</v>
          </cell>
          <cell r="K108">
            <v>4413</v>
          </cell>
          <cell r="L108">
            <v>5542</v>
          </cell>
          <cell r="M108">
            <v>6448</v>
          </cell>
          <cell r="N108">
            <v>5685</v>
          </cell>
          <cell r="O108">
            <v>8144</v>
          </cell>
          <cell r="P108">
            <v>9733</v>
          </cell>
          <cell r="Q108">
            <v>7273</v>
          </cell>
          <cell r="R108">
            <v>2906</v>
          </cell>
          <cell r="S108">
            <v>6022</v>
          </cell>
          <cell r="T108">
            <v>3792</v>
          </cell>
          <cell r="U108">
            <v>3501</v>
          </cell>
          <cell r="V108">
            <v>1443</v>
          </cell>
          <cell r="W108">
            <v>2600</v>
          </cell>
          <cell r="X108">
            <v>4611</v>
          </cell>
          <cell r="Y108">
            <v>7601</v>
          </cell>
          <cell r="Z108">
            <v>7957</v>
          </cell>
          <cell r="AA108">
            <v>9248</v>
          </cell>
          <cell r="AB108">
            <v>9291</v>
          </cell>
          <cell r="AC108">
            <v>7669</v>
          </cell>
          <cell r="AD108">
            <v>7666</v>
          </cell>
          <cell r="AE108">
            <v>7283</v>
          </cell>
          <cell r="AF108">
            <v>5799</v>
          </cell>
          <cell r="AG108">
            <v>6185</v>
          </cell>
          <cell r="AH108">
            <v>5427</v>
          </cell>
          <cell r="AI108">
            <v>4849</v>
          </cell>
          <cell r="AJ108">
            <v>5099</v>
          </cell>
        </row>
        <row r="109">
          <cell r="E109" t="str">
            <v>AK Transportation Aviation Gasoline</v>
          </cell>
          <cell r="F109">
            <v>2480</v>
          </cell>
          <cell r="G109">
            <v>3118</v>
          </cell>
          <cell r="H109">
            <v>2319</v>
          </cell>
          <cell r="I109">
            <v>2070</v>
          </cell>
          <cell r="J109">
            <v>865</v>
          </cell>
          <cell r="K109">
            <v>1965</v>
          </cell>
          <cell r="L109">
            <v>716</v>
          </cell>
          <cell r="M109">
            <v>2053</v>
          </cell>
          <cell r="N109">
            <v>770</v>
          </cell>
          <cell r="O109">
            <v>2671</v>
          </cell>
          <cell r="P109">
            <v>2632</v>
          </cell>
          <cell r="Q109">
            <v>1236</v>
          </cell>
          <cell r="R109">
            <v>905</v>
          </cell>
          <cell r="S109">
            <v>790</v>
          </cell>
          <cell r="T109">
            <v>918</v>
          </cell>
          <cell r="U109">
            <v>1399</v>
          </cell>
          <cell r="V109">
            <v>1263</v>
          </cell>
          <cell r="W109">
            <v>1250</v>
          </cell>
          <cell r="X109">
            <v>1008</v>
          </cell>
          <cell r="Y109">
            <v>1095</v>
          </cell>
          <cell r="Z109">
            <v>854</v>
          </cell>
          <cell r="AA109">
            <v>801</v>
          </cell>
          <cell r="AB109">
            <v>776</v>
          </cell>
          <cell r="AC109">
            <v>701</v>
          </cell>
          <cell r="AD109">
            <v>658</v>
          </cell>
          <cell r="AE109">
            <v>1308</v>
          </cell>
          <cell r="AF109">
            <v>1240</v>
          </cell>
          <cell r="AG109">
            <v>1239</v>
          </cell>
          <cell r="AH109">
            <v>1264</v>
          </cell>
          <cell r="AI109">
            <v>1245</v>
          </cell>
          <cell r="AJ109">
            <v>915</v>
          </cell>
        </row>
        <row r="110">
          <cell r="E110" t="str">
            <v>AL Transportation Aviation Gasoline</v>
          </cell>
          <cell r="F110">
            <v>585</v>
          </cell>
          <cell r="G110">
            <v>552</v>
          </cell>
          <cell r="H110">
            <v>537</v>
          </cell>
          <cell r="I110">
            <v>522</v>
          </cell>
          <cell r="J110">
            <v>556</v>
          </cell>
          <cell r="K110">
            <v>488</v>
          </cell>
          <cell r="L110">
            <v>470</v>
          </cell>
          <cell r="M110">
            <v>522</v>
          </cell>
          <cell r="N110">
            <v>414</v>
          </cell>
          <cell r="O110">
            <v>513</v>
          </cell>
          <cell r="P110">
            <v>417</v>
          </cell>
          <cell r="Q110">
            <v>415</v>
          </cell>
          <cell r="R110">
            <v>273</v>
          </cell>
          <cell r="S110">
            <v>376</v>
          </cell>
          <cell r="T110">
            <v>390</v>
          </cell>
          <cell r="U110">
            <v>388</v>
          </cell>
          <cell r="V110">
            <v>593</v>
          </cell>
          <cell r="W110">
            <v>587</v>
          </cell>
          <cell r="X110">
            <v>306</v>
          </cell>
          <cell r="Y110">
            <v>229</v>
          </cell>
          <cell r="Z110">
            <v>375</v>
          </cell>
          <cell r="AA110">
            <v>352</v>
          </cell>
          <cell r="AB110">
            <v>336</v>
          </cell>
          <cell r="AC110">
            <v>256</v>
          </cell>
          <cell r="AD110">
            <v>284</v>
          </cell>
          <cell r="AE110">
            <v>313</v>
          </cell>
          <cell r="AF110">
            <v>314</v>
          </cell>
          <cell r="AG110">
            <v>317</v>
          </cell>
          <cell r="AH110">
            <v>341</v>
          </cell>
          <cell r="AI110">
            <v>361</v>
          </cell>
          <cell r="AJ110">
            <v>320</v>
          </cell>
        </row>
        <row r="111">
          <cell r="E111" t="str">
            <v>AR Transportation Aviation Gasoline</v>
          </cell>
          <cell r="F111">
            <v>631</v>
          </cell>
          <cell r="G111">
            <v>726</v>
          </cell>
          <cell r="H111">
            <v>768</v>
          </cell>
          <cell r="I111">
            <v>679</v>
          </cell>
          <cell r="J111">
            <v>791</v>
          </cell>
          <cell r="K111">
            <v>723</v>
          </cell>
          <cell r="L111">
            <v>613</v>
          </cell>
          <cell r="M111">
            <v>682</v>
          </cell>
          <cell r="N111">
            <v>617</v>
          </cell>
          <cell r="O111">
            <v>596</v>
          </cell>
          <cell r="P111">
            <v>471</v>
          </cell>
          <cell r="Q111">
            <v>922</v>
          </cell>
          <cell r="R111">
            <v>598</v>
          </cell>
          <cell r="S111">
            <v>522</v>
          </cell>
          <cell r="T111">
            <v>643</v>
          </cell>
          <cell r="U111">
            <v>339</v>
          </cell>
          <cell r="V111">
            <v>559</v>
          </cell>
          <cell r="W111">
            <v>553</v>
          </cell>
          <cell r="X111">
            <v>440</v>
          </cell>
          <cell r="Y111">
            <v>557</v>
          </cell>
          <cell r="Z111">
            <v>434</v>
          </cell>
          <cell r="AA111">
            <v>407</v>
          </cell>
          <cell r="AB111">
            <v>414</v>
          </cell>
          <cell r="AC111">
            <v>354</v>
          </cell>
          <cell r="AD111">
            <v>196</v>
          </cell>
          <cell r="AE111">
            <v>242</v>
          </cell>
          <cell r="AF111">
            <v>242</v>
          </cell>
          <cell r="AG111">
            <v>243</v>
          </cell>
          <cell r="AH111">
            <v>237</v>
          </cell>
          <cell r="AI111">
            <v>244</v>
          </cell>
          <cell r="AJ111">
            <v>225</v>
          </cell>
        </row>
        <row r="112">
          <cell r="E112" t="str">
            <v>AZ Transportation Aviation Gasoline</v>
          </cell>
          <cell r="F112">
            <v>979</v>
          </cell>
          <cell r="G112">
            <v>950</v>
          </cell>
          <cell r="H112">
            <v>798</v>
          </cell>
          <cell r="I112">
            <v>646</v>
          </cell>
          <cell r="J112">
            <v>717</v>
          </cell>
          <cell r="K112">
            <v>703</v>
          </cell>
          <cell r="L112">
            <v>780</v>
          </cell>
          <cell r="M112">
            <v>761</v>
          </cell>
          <cell r="N112">
            <v>965</v>
          </cell>
          <cell r="O112">
            <v>792</v>
          </cell>
          <cell r="P112">
            <v>1028</v>
          </cell>
          <cell r="Q112">
            <v>966</v>
          </cell>
          <cell r="R112">
            <v>925</v>
          </cell>
          <cell r="S112">
            <v>1177</v>
          </cell>
          <cell r="T112">
            <v>827</v>
          </cell>
          <cell r="U112">
            <v>947</v>
          </cell>
          <cell r="V112">
            <v>893</v>
          </cell>
          <cell r="W112">
            <v>732</v>
          </cell>
          <cell r="X112">
            <v>789</v>
          </cell>
          <cell r="Y112">
            <v>640</v>
          </cell>
          <cell r="Z112">
            <v>940</v>
          </cell>
          <cell r="AA112">
            <v>1034</v>
          </cell>
          <cell r="AB112">
            <v>842</v>
          </cell>
          <cell r="AC112">
            <v>701</v>
          </cell>
          <cell r="AD112">
            <v>1036</v>
          </cell>
          <cell r="AE112">
            <v>842</v>
          </cell>
          <cell r="AF112">
            <v>755</v>
          </cell>
          <cell r="AG112">
            <v>841</v>
          </cell>
          <cell r="AH112">
            <v>964</v>
          </cell>
          <cell r="AI112">
            <v>1042</v>
          </cell>
          <cell r="AJ112">
            <v>923</v>
          </cell>
        </row>
        <row r="113">
          <cell r="E113" t="str">
            <v>CA Transportation Aviation Gasoline</v>
          </cell>
          <cell r="F113">
            <v>5581</v>
          </cell>
          <cell r="G113">
            <v>5506</v>
          </cell>
          <cell r="H113">
            <v>5345</v>
          </cell>
          <cell r="I113">
            <v>4134</v>
          </cell>
          <cell r="J113">
            <v>4003</v>
          </cell>
          <cell r="K113">
            <v>4073</v>
          </cell>
          <cell r="L113">
            <v>3881</v>
          </cell>
          <cell r="M113">
            <v>4222</v>
          </cell>
          <cell r="N113">
            <v>2899</v>
          </cell>
          <cell r="O113">
            <v>4167</v>
          </cell>
          <cell r="P113">
            <v>3651</v>
          </cell>
          <cell r="Q113">
            <v>2706</v>
          </cell>
          <cell r="R113">
            <v>3025</v>
          </cell>
          <cell r="S113">
            <v>3033</v>
          </cell>
          <cell r="T113">
            <v>2795</v>
          </cell>
          <cell r="U113">
            <v>2676</v>
          </cell>
          <cell r="V113">
            <v>2326</v>
          </cell>
          <cell r="W113">
            <v>2234</v>
          </cell>
          <cell r="X113">
            <v>2057</v>
          </cell>
          <cell r="Y113">
            <v>1439</v>
          </cell>
          <cell r="Z113">
            <v>1757</v>
          </cell>
          <cell r="AA113">
            <v>1911</v>
          </cell>
          <cell r="AB113">
            <v>1911</v>
          </cell>
          <cell r="AC113">
            <v>1726</v>
          </cell>
          <cell r="AD113">
            <v>2371</v>
          </cell>
          <cell r="AE113">
            <v>2518</v>
          </cell>
          <cell r="AF113">
            <v>2271</v>
          </cell>
          <cell r="AG113">
            <v>2053</v>
          </cell>
          <cell r="AH113">
            <v>2231</v>
          </cell>
          <cell r="AI113">
            <v>2510</v>
          </cell>
          <cell r="AJ113">
            <v>1919</v>
          </cell>
        </row>
        <row r="114">
          <cell r="E114" t="str">
            <v>CO Transportation Aviation Gasoline</v>
          </cell>
          <cell r="F114">
            <v>841</v>
          </cell>
          <cell r="G114">
            <v>781</v>
          </cell>
          <cell r="H114">
            <v>686</v>
          </cell>
          <cell r="I114">
            <v>625</v>
          </cell>
          <cell r="J114">
            <v>644</v>
          </cell>
          <cell r="K114">
            <v>624</v>
          </cell>
          <cell r="L114">
            <v>625</v>
          </cell>
          <cell r="M114">
            <v>720</v>
          </cell>
          <cell r="N114">
            <v>726</v>
          </cell>
          <cell r="O114">
            <v>984</v>
          </cell>
          <cell r="P114">
            <v>790</v>
          </cell>
          <cell r="Q114">
            <v>1365</v>
          </cell>
          <cell r="R114">
            <v>799</v>
          </cell>
          <cell r="S114">
            <v>698</v>
          </cell>
          <cell r="T114">
            <v>612</v>
          </cell>
          <cell r="U114">
            <v>655</v>
          </cell>
          <cell r="V114">
            <v>773</v>
          </cell>
          <cell r="W114">
            <v>518</v>
          </cell>
          <cell r="X114">
            <v>492</v>
          </cell>
          <cell r="Y114">
            <v>418</v>
          </cell>
          <cell r="Z114">
            <v>581</v>
          </cell>
          <cell r="AA114">
            <v>644</v>
          </cell>
          <cell r="AB114">
            <v>442</v>
          </cell>
          <cell r="AC114">
            <v>459</v>
          </cell>
          <cell r="AD114">
            <v>512</v>
          </cell>
          <cell r="AE114">
            <v>422</v>
          </cell>
          <cell r="AF114">
            <v>426</v>
          </cell>
          <cell r="AG114">
            <v>408</v>
          </cell>
          <cell r="AH114">
            <v>488</v>
          </cell>
          <cell r="AI114">
            <v>506</v>
          </cell>
          <cell r="AJ114">
            <v>529</v>
          </cell>
        </row>
        <row r="115">
          <cell r="E115" t="str">
            <v>CT Transportation Aviation Gasoline</v>
          </cell>
          <cell r="F115">
            <v>474</v>
          </cell>
          <cell r="G115">
            <v>143</v>
          </cell>
          <cell r="H115">
            <v>142</v>
          </cell>
          <cell r="I115">
            <v>151</v>
          </cell>
          <cell r="J115">
            <v>140</v>
          </cell>
          <cell r="K115">
            <v>206</v>
          </cell>
          <cell r="L115">
            <v>187</v>
          </cell>
          <cell r="M115">
            <v>115</v>
          </cell>
          <cell r="N115">
            <v>261</v>
          </cell>
          <cell r="O115">
            <v>163</v>
          </cell>
          <cell r="P115">
            <v>150</v>
          </cell>
          <cell r="Q115">
            <v>392</v>
          </cell>
          <cell r="R115">
            <v>261</v>
          </cell>
          <cell r="S115">
            <v>228</v>
          </cell>
          <cell r="T115">
            <v>300</v>
          </cell>
          <cell r="U115">
            <v>944</v>
          </cell>
          <cell r="V115">
            <v>643</v>
          </cell>
          <cell r="W115">
            <v>637</v>
          </cell>
          <cell r="X115">
            <v>494</v>
          </cell>
          <cell r="Y115">
            <v>700</v>
          </cell>
          <cell r="Z115">
            <v>444</v>
          </cell>
          <cell r="AA115">
            <v>417</v>
          </cell>
          <cell r="AB115">
            <v>389</v>
          </cell>
          <cell r="AC115">
            <v>330</v>
          </cell>
          <cell r="AD115">
            <v>132</v>
          </cell>
          <cell r="AE115">
            <v>109</v>
          </cell>
          <cell r="AF115">
            <v>98</v>
          </cell>
          <cell r="AG115">
            <v>93</v>
          </cell>
          <cell r="AH115">
            <v>100</v>
          </cell>
          <cell r="AI115">
            <v>117</v>
          </cell>
          <cell r="AJ115">
            <v>95</v>
          </cell>
        </row>
        <row r="116">
          <cell r="E116" t="str">
            <v>DC Transportation Aviation Gasoline</v>
          </cell>
          <cell r="F116">
            <v>0</v>
          </cell>
          <cell r="G116">
            <v>0</v>
          </cell>
          <cell r="H116">
            <v>0</v>
          </cell>
          <cell r="I116">
            <v>9</v>
          </cell>
          <cell r="J116">
            <v>9</v>
          </cell>
          <cell r="K116">
            <v>19</v>
          </cell>
          <cell r="L116">
            <v>0</v>
          </cell>
          <cell r="M116">
            <v>15</v>
          </cell>
          <cell r="N116">
            <v>13</v>
          </cell>
          <cell r="O116">
            <v>15</v>
          </cell>
          <cell r="P116">
            <v>8</v>
          </cell>
          <cell r="Q116">
            <v>9</v>
          </cell>
          <cell r="R116">
            <v>11</v>
          </cell>
          <cell r="S116">
            <v>10</v>
          </cell>
          <cell r="T116">
            <v>2</v>
          </cell>
          <cell r="U116">
            <v>20</v>
          </cell>
          <cell r="V116">
            <v>32</v>
          </cell>
          <cell r="W116">
            <v>32</v>
          </cell>
          <cell r="X116">
            <v>21</v>
          </cell>
          <cell r="Y116">
            <v>15</v>
          </cell>
          <cell r="Z116">
            <v>5</v>
          </cell>
          <cell r="AA116">
            <v>4</v>
          </cell>
          <cell r="AB116">
            <v>4</v>
          </cell>
          <cell r="AC116">
            <v>3</v>
          </cell>
          <cell r="AD116">
            <v>13</v>
          </cell>
          <cell r="AE116">
            <v>0</v>
          </cell>
          <cell r="AF116">
            <v>0</v>
          </cell>
          <cell r="AG116">
            <v>0</v>
          </cell>
          <cell r="AH116">
            <v>0</v>
          </cell>
          <cell r="AI116">
            <v>0</v>
          </cell>
          <cell r="AJ116">
            <v>0</v>
          </cell>
        </row>
        <row r="117">
          <cell r="E117" t="str">
            <v>DE Transportation Aviation Gasoline</v>
          </cell>
          <cell r="F117">
            <v>391</v>
          </cell>
          <cell r="G117">
            <v>87</v>
          </cell>
          <cell r="H117">
            <v>90</v>
          </cell>
          <cell r="I117">
            <v>257</v>
          </cell>
          <cell r="J117">
            <v>288</v>
          </cell>
          <cell r="K117">
            <v>267</v>
          </cell>
          <cell r="L117">
            <v>263</v>
          </cell>
          <cell r="M117">
            <v>324</v>
          </cell>
          <cell r="N117">
            <v>277</v>
          </cell>
          <cell r="O117">
            <v>74</v>
          </cell>
          <cell r="P117">
            <v>101</v>
          </cell>
          <cell r="Q117">
            <v>313</v>
          </cell>
          <cell r="R117">
            <v>456</v>
          </cell>
          <cell r="S117">
            <v>399</v>
          </cell>
          <cell r="T117">
            <v>376</v>
          </cell>
          <cell r="U117">
            <v>689</v>
          </cell>
          <cell r="V117">
            <v>706</v>
          </cell>
          <cell r="W117">
            <v>699</v>
          </cell>
          <cell r="X117">
            <v>532</v>
          </cell>
          <cell r="Y117">
            <v>493</v>
          </cell>
          <cell r="Z117">
            <v>278</v>
          </cell>
          <cell r="AA117">
            <v>261</v>
          </cell>
          <cell r="AB117">
            <v>244</v>
          </cell>
          <cell r="AC117">
            <v>214</v>
          </cell>
          <cell r="AD117">
            <v>343</v>
          </cell>
          <cell r="AE117">
            <v>41</v>
          </cell>
          <cell r="AF117">
            <v>42</v>
          </cell>
          <cell r="AG117">
            <v>47</v>
          </cell>
          <cell r="AH117">
            <v>50</v>
          </cell>
          <cell r="AI117">
            <v>53</v>
          </cell>
          <cell r="AJ117">
            <v>36</v>
          </cell>
        </row>
        <row r="118">
          <cell r="E118" t="str">
            <v>FL Transportation Aviation Gasoline</v>
          </cell>
          <cell r="F118">
            <v>4081</v>
          </cell>
          <cell r="G118">
            <v>3595</v>
          </cell>
          <cell r="H118">
            <v>2994</v>
          </cell>
          <cell r="I118">
            <v>2659</v>
          </cell>
          <cell r="J118">
            <v>2656</v>
          </cell>
          <cell r="K118">
            <v>3023</v>
          </cell>
          <cell r="L118">
            <v>2620</v>
          </cell>
          <cell r="M118">
            <v>2860</v>
          </cell>
          <cell r="N118">
            <v>2174</v>
          </cell>
          <cell r="O118">
            <v>2984</v>
          </cell>
          <cell r="P118">
            <v>3087</v>
          </cell>
          <cell r="Q118">
            <v>2438</v>
          </cell>
          <cell r="R118">
            <v>2484</v>
          </cell>
          <cell r="S118">
            <v>2011</v>
          </cell>
          <cell r="T118">
            <v>1986</v>
          </cell>
          <cell r="U118">
            <v>2235</v>
          </cell>
          <cell r="V118">
            <v>2109</v>
          </cell>
          <cell r="W118">
            <v>1868</v>
          </cell>
          <cell r="X118">
            <v>1897</v>
          </cell>
          <cell r="Y118">
            <v>1469</v>
          </cell>
          <cell r="Z118">
            <v>2042</v>
          </cell>
          <cell r="AA118">
            <v>2283</v>
          </cell>
          <cell r="AB118">
            <v>2255</v>
          </cell>
          <cell r="AC118">
            <v>2300</v>
          </cell>
          <cell r="AD118">
            <v>2181</v>
          </cell>
          <cell r="AE118">
            <v>2360</v>
          </cell>
          <cell r="AF118">
            <v>2366</v>
          </cell>
          <cell r="AG118">
            <v>2505</v>
          </cell>
          <cell r="AH118">
            <v>2681</v>
          </cell>
          <cell r="AI118">
            <v>2870</v>
          </cell>
          <cell r="AJ118">
            <v>2396</v>
          </cell>
        </row>
        <row r="119">
          <cell r="E119" t="str">
            <v>GA Transportation Aviation Gasoline</v>
          </cell>
          <cell r="F119">
            <v>989</v>
          </cell>
          <cell r="G119">
            <v>917</v>
          </cell>
          <cell r="H119">
            <v>838</v>
          </cell>
          <cell r="I119">
            <v>844</v>
          </cell>
          <cell r="J119">
            <v>809</v>
          </cell>
          <cell r="K119">
            <v>790</v>
          </cell>
          <cell r="L119">
            <v>847</v>
          </cell>
          <cell r="M119">
            <v>793</v>
          </cell>
          <cell r="N119">
            <v>695</v>
          </cell>
          <cell r="O119">
            <v>753</v>
          </cell>
          <cell r="P119">
            <v>537</v>
          </cell>
          <cell r="Q119">
            <v>467</v>
          </cell>
          <cell r="R119">
            <v>577</v>
          </cell>
          <cell r="S119">
            <v>708</v>
          </cell>
          <cell r="T119">
            <v>1055</v>
          </cell>
          <cell r="U119">
            <v>1124</v>
          </cell>
          <cell r="V119">
            <v>929</v>
          </cell>
          <cell r="W119">
            <v>819</v>
          </cell>
          <cell r="X119">
            <v>508</v>
          </cell>
          <cell r="Y119">
            <v>473</v>
          </cell>
          <cell r="Z119">
            <v>720</v>
          </cell>
          <cell r="AA119">
            <v>609</v>
          </cell>
          <cell r="AB119">
            <v>754</v>
          </cell>
          <cell r="AC119">
            <v>587</v>
          </cell>
          <cell r="AD119">
            <v>703</v>
          </cell>
          <cell r="AE119">
            <v>587</v>
          </cell>
          <cell r="AF119">
            <v>603</v>
          </cell>
          <cell r="AG119">
            <v>614</v>
          </cell>
          <cell r="AH119">
            <v>684</v>
          </cell>
          <cell r="AI119">
            <v>743</v>
          </cell>
          <cell r="AJ119">
            <v>636</v>
          </cell>
        </row>
        <row r="120">
          <cell r="E120" t="str">
            <v>HI Transportation Aviation Gasoline</v>
          </cell>
          <cell r="F120">
            <v>1375</v>
          </cell>
          <cell r="G120">
            <v>1320</v>
          </cell>
          <cell r="H120">
            <v>1229</v>
          </cell>
          <cell r="I120">
            <v>1002</v>
          </cell>
          <cell r="J120">
            <v>1061</v>
          </cell>
          <cell r="K120">
            <v>1100</v>
          </cell>
          <cell r="L120">
            <v>833</v>
          </cell>
          <cell r="M120">
            <v>609</v>
          </cell>
          <cell r="N120">
            <v>540</v>
          </cell>
          <cell r="O120">
            <v>294</v>
          </cell>
          <cell r="P120">
            <v>226</v>
          </cell>
          <cell r="Q120">
            <v>244</v>
          </cell>
          <cell r="R120">
            <v>89</v>
          </cell>
          <cell r="S120">
            <v>77</v>
          </cell>
          <cell r="T120">
            <v>197</v>
          </cell>
          <cell r="U120">
            <v>224</v>
          </cell>
          <cell r="V120">
            <v>208</v>
          </cell>
          <cell r="W120">
            <v>206</v>
          </cell>
          <cell r="X120">
            <v>140</v>
          </cell>
          <cell r="Y120">
            <v>149</v>
          </cell>
          <cell r="Z120">
            <v>188</v>
          </cell>
          <cell r="AA120">
            <v>176</v>
          </cell>
          <cell r="AB120">
            <v>155</v>
          </cell>
          <cell r="AC120">
            <v>136</v>
          </cell>
          <cell r="AD120">
            <v>140</v>
          </cell>
          <cell r="AE120">
            <v>47</v>
          </cell>
          <cell r="AF120">
            <v>35</v>
          </cell>
          <cell r="AG120">
            <v>50</v>
          </cell>
          <cell r="AH120">
            <v>109</v>
          </cell>
          <cell r="AI120">
            <v>158</v>
          </cell>
          <cell r="AJ120">
            <v>119</v>
          </cell>
        </row>
        <row r="121">
          <cell r="E121" t="str">
            <v>IA Transportation Aviation Gasoline</v>
          </cell>
          <cell r="F121">
            <v>501</v>
          </cell>
          <cell r="G121">
            <v>415</v>
          </cell>
          <cell r="H121">
            <v>378</v>
          </cell>
          <cell r="I121">
            <v>352</v>
          </cell>
          <cell r="J121">
            <v>349</v>
          </cell>
          <cell r="K121">
            <v>362</v>
          </cell>
          <cell r="L121">
            <v>361</v>
          </cell>
          <cell r="M121">
            <v>395</v>
          </cell>
          <cell r="N121">
            <v>365</v>
          </cell>
          <cell r="O121">
            <v>406</v>
          </cell>
          <cell r="P121">
            <v>396</v>
          </cell>
          <cell r="Q121">
            <v>289</v>
          </cell>
          <cell r="R121">
            <v>549</v>
          </cell>
          <cell r="S121">
            <v>480</v>
          </cell>
          <cell r="T121">
            <v>437</v>
          </cell>
          <cell r="U121">
            <v>699</v>
          </cell>
          <cell r="V121">
            <v>261</v>
          </cell>
          <cell r="W121">
            <v>226</v>
          </cell>
          <cell r="X121">
            <v>388</v>
          </cell>
          <cell r="Y121">
            <v>465</v>
          </cell>
          <cell r="Z121">
            <v>353</v>
          </cell>
          <cell r="AA121">
            <v>331</v>
          </cell>
          <cell r="AB121">
            <v>294</v>
          </cell>
          <cell r="AC121">
            <v>243</v>
          </cell>
          <cell r="AD121">
            <v>251</v>
          </cell>
          <cell r="AE121">
            <v>242</v>
          </cell>
          <cell r="AF121">
            <v>202</v>
          </cell>
          <cell r="AG121">
            <v>212</v>
          </cell>
          <cell r="AH121">
            <v>212</v>
          </cell>
          <cell r="AI121">
            <v>230</v>
          </cell>
          <cell r="AJ121">
            <v>214</v>
          </cell>
        </row>
        <row r="122">
          <cell r="E122" t="str">
            <v>ID Transportation Aviation Gasoline</v>
          </cell>
          <cell r="F122">
            <v>199</v>
          </cell>
          <cell r="G122">
            <v>199</v>
          </cell>
          <cell r="H122">
            <v>3</v>
          </cell>
          <cell r="I122">
            <v>316</v>
          </cell>
          <cell r="J122">
            <v>275</v>
          </cell>
          <cell r="K122">
            <v>241</v>
          </cell>
          <cell r="L122">
            <v>277</v>
          </cell>
          <cell r="M122">
            <v>364</v>
          </cell>
          <cell r="N122">
            <v>310</v>
          </cell>
          <cell r="O122">
            <v>337</v>
          </cell>
          <cell r="P122">
            <v>138</v>
          </cell>
          <cell r="Q122">
            <v>285</v>
          </cell>
          <cell r="R122">
            <v>340</v>
          </cell>
          <cell r="S122">
            <v>288</v>
          </cell>
          <cell r="T122">
            <v>443</v>
          </cell>
          <cell r="U122">
            <v>391</v>
          </cell>
          <cell r="V122">
            <v>388</v>
          </cell>
          <cell r="W122">
            <v>384</v>
          </cell>
          <cell r="X122">
            <v>191</v>
          </cell>
          <cell r="Y122">
            <v>371</v>
          </cell>
          <cell r="Z122">
            <v>377</v>
          </cell>
          <cell r="AA122">
            <v>353</v>
          </cell>
          <cell r="AB122">
            <v>326</v>
          </cell>
          <cell r="AC122">
            <v>290</v>
          </cell>
          <cell r="AD122">
            <v>317</v>
          </cell>
          <cell r="AE122">
            <v>219</v>
          </cell>
          <cell r="AF122">
            <v>224</v>
          </cell>
          <cell r="AG122">
            <v>212</v>
          </cell>
          <cell r="AH122">
            <v>250</v>
          </cell>
          <cell r="AI122">
            <v>270</v>
          </cell>
          <cell r="AJ122">
            <v>264</v>
          </cell>
        </row>
        <row r="123">
          <cell r="E123" t="str">
            <v>IL Transportation Aviation Gasoline</v>
          </cell>
          <cell r="F123">
            <v>826</v>
          </cell>
          <cell r="G123">
            <v>889</v>
          </cell>
          <cell r="H123">
            <v>889</v>
          </cell>
          <cell r="I123">
            <v>1168</v>
          </cell>
          <cell r="J123">
            <v>1030</v>
          </cell>
          <cell r="K123">
            <v>1085</v>
          </cell>
          <cell r="L123">
            <v>1018</v>
          </cell>
          <cell r="M123">
            <v>992</v>
          </cell>
          <cell r="N123">
            <v>846</v>
          </cell>
          <cell r="O123">
            <v>868</v>
          </cell>
          <cell r="P123">
            <v>787</v>
          </cell>
          <cell r="Q123">
            <v>570</v>
          </cell>
          <cell r="R123">
            <v>934</v>
          </cell>
          <cell r="S123">
            <v>815</v>
          </cell>
          <cell r="T123">
            <v>892</v>
          </cell>
          <cell r="U123">
            <v>489</v>
          </cell>
          <cell r="V123">
            <v>418</v>
          </cell>
          <cell r="W123">
            <v>395</v>
          </cell>
          <cell r="X123">
            <v>457</v>
          </cell>
          <cell r="Y123">
            <v>302</v>
          </cell>
          <cell r="Z123">
            <v>532</v>
          </cell>
          <cell r="AA123">
            <v>578</v>
          </cell>
          <cell r="AB123">
            <v>537</v>
          </cell>
          <cell r="AC123">
            <v>424</v>
          </cell>
          <cell r="AD123">
            <v>355</v>
          </cell>
          <cell r="AE123">
            <v>443</v>
          </cell>
          <cell r="AF123">
            <v>399</v>
          </cell>
          <cell r="AG123">
            <v>414</v>
          </cell>
          <cell r="AH123">
            <v>444</v>
          </cell>
          <cell r="AI123">
            <v>438</v>
          </cell>
          <cell r="AJ123">
            <v>403</v>
          </cell>
        </row>
        <row r="124">
          <cell r="E124" t="str">
            <v>IN Transportation Aviation Gasoline</v>
          </cell>
          <cell r="F124">
            <v>1526</v>
          </cell>
          <cell r="G124">
            <v>1525</v>
          </cell>
          <cell r="H124">
            <v>1274</v>
          </cell>
          <cell r="I124">
            <v>1016</v>
          </cell>
          <cell r="J124">
            <v>750</v>
          </cell>
          <cell r="K124">
            <v>728</v>
          </cell>
          <cell r="L124">
            <v>863</v>
          </cell>
          <cell r="M124">
            <v>685</v>
          </cell>
          <cell r="N124">
            <v>571</v>
          </cell>
          <cell r="O124">
            <v>600</v>
          </cell>
          <cell r="P124">
            <v>572</v>
          </cell>
          <cell r="Q124">
            <v>338</v>
          </cell>
          <cell r="R124">
            <v>614</v>
          </cell>
          <cell r="S124">
            <v>536</v>
          </cell>
          <cell r="T124">
            <v>521</v>
          </cell>
          <cell r="U124">
            <v>819</v>
          </cell>
          <cell r="V124">
            <v>587</v>
          </cell>
          <cell r="W124">
            <v>581</v>
          </cell>
          <cell r="X124">
            <v>466</v>
          </cell>
          <cell r="Y124">
            <v>465</v>
          </cell>
          <cell r="Z124">
            <v>515</v>
          </cell>
          <cell r="AA124">
            <v>483</v>
          </cell>
          <cell r="AB124">
            <v>448</v>
          </cell>
          <cell r="AC124">
            <v>372</v>
          </cell>
          <cell r="AD124">
            <v>337</v>
          </cell>
          <cell r="AE124">
            <v>337</v>
          </cell>
          <cell r="AF124">
            <v>325</v>
          </cell>
          <cell r="AG124">
            <v>351</v>
          </cell>
          <cell r="AH124">
            <v>329</v>
          </cell>
          <cell r="AI124">
            <v>364</v>
          </cell>
          <cell r="AJ124">
            <v>309</v>
          </cell>
        </row>
        <row r="125">
          <cell r="E125" t="str">
            <v>KS Transportation Aviation Gasoline</v>
          </cell>
          <cell r="F125">
            <v>689</v>
          </cell>
          <cell r="G125">
            <v>626</v>
          </cell>
          <cell r="H125">
            <v>717</v>
          </cell>
          <cell r="I125">
            <v>762</v>
          </cell>
          <cell r="J125">
            <v>719</v>
          </cell>
          <cell r="K125">
            <v>737</v>
          </cell>
          <cell r="L125">
            <v>892</v>
          </cell>
          <cell r="M125">
            <v>1249</v>
          </cell>
          <cell r="N125">
            <v>1006</v>
          </cell>
          <cell r="O125">
            <v>1212</v>
          </cell>
          <cell r="P125">
            <v>1083</v>
          </cell>
          <cell r="Q125">
            <v>990</v>
          </cell>
          <cell r="R125">
            <v>643</v>
          </cell>
          <cell r="S125">
            <v>517</v>
          </cell>
          <cell r="T125">
            <v>582</v>
          </cell>
          <cell r="U125">
            <v>1080</v>
          </cell>
          <cell r="V125">
            <v>1100</v>
          </cell>
          <cell r="W125">
            <v>832</v>
          </cell>
          <cell r="X125">
            <v>927</v>
          </cell>
          <cell r="Y125">
            <v>676</v>
          </cell>
          <cell r="Z125">
            <v>883</v>
          </cell>
          <cell r="AA125">
            <v>772</v>
          </cell>
          <cell r="AB125">
            <v>364</v>
          </cell>
          <cell r="AC125">
            <v>317</v>
          </cell>
          <cell r="AD125">
            <v>295</v>
          </cell>
          <cell r="AE125">
            <v>323</v>
          </cell>
          <cell r="AF125">
            <v>297</v>
          </cell>
          <cell r="AG125">
            <v>284</v>
          </cell>
          <cell r="AH125">
            <v>302</v>
          </cell>
          <cell r="AI125">
            <v>309</v>
          </cell>
          <cell r="AJ125">
            <v>261</v>
          </cell>
        </row>
        <row r="126">
          <cell r="E126" t="str">
            <v>KY Transportation Aviation Gasoline</v>
          </cell>
          <cell r="F126">
            <v>256</v>
          </cell>
          <cell r="G126">
            <v>258</v>
          </cell>
          <cell r="H126">
            <v>276</v>
          </cell>
          <cell r="I126">
            <v>202</v>
          </cell>
          <cell r="J126">
            <v>230</v>
          </cell>
          <cell r="K126">
            <v>223</v>
          </cell>
          <cell r="L126">
            <v>235</v>
          </cell>
          <cell r="M126">
            <v>143</v>
          </cell>
          <cell r="N126">
            <v>315</v>
          </cell>
          <cell r="O126">
            <v>169</v>
          </cell>
          <cell r="P126">
            <v>159</v>
          </cell>
          <cell r="Q126">
            <v>453</v>
          </cell>
          <cell r="R126">
            <v>350</v>
          </cell>
          <cell r="S126">
            <v>305</v>
          </cell>
          <cell r="T126">
            <v>354</v>
          </cell>
          <cell r="U126">
            <v>353</v>
          </cell>
          <cell r="V126">
            <v>327</v>
          </cell>
          <cell r="W126">
            <v>324</v>
          </cell>
          <cell r="X126">
            <v>244</v>
          </cell>
          <cell r="Y126">
            <v>208</v>
          </cell>
          <cell r="Z126">
            <v>173</v>
          </cell>
          <cell r="AA126">
            <v>163</v>
          </cell>
          <cell r="AB126">
            <v>151</v>
          </cell>
          <cell r="AC126">
            <v>130</v>
          </cell>
          <cell r="AD126">
            <v>150</v>
          </cell>
          <cell r="AE126">
            <v>154</v>
          </cell>
          <cell r="AF126">
            <v>158</v>
          </cell>
          <cell r="AG126">
            <v>176</v>
          </cell>
          <cell r="AH126">
            <v>180</v>
          </cell>
          <cell r="AI126">
            <v>217</v>
          </cell>
          <cell r="AJ126">
            <v>201</v>
          </cell>
        </row>
        <row r="127">
          <cell r="E127" t="str">
            <v>LA Transportation Aviation Gasoline</v>
          </cell>
          <cell r="F127">
            <v>547</v>
          </cell>
          <cell r="G127">
            <v>467</v>
          </cell>
          <cell r="H127">
            <v>440</v>
          </cell>
          <cell r="I127">
            <v>1106</v>
          </cell>
          <cell r="J127">
            <v>666</v>
          </cell>
          <cell r="K127">
            <v>441</v>
          </cell>
          <cell r="L127">
            <v>407</v>
          </cell>
          <cell r="M127">
            <v>494</v>
          </cell>
          <cell r="N127">
            <v>394</v>
          </cell>
          <cell r="O127">
            <v>440</v>
          </cell>
          <cell r="P127">
            <v>423</v>
          </cell>
          <cell r="Q127">
            <v>1444</v>
          </cell>
          <cell r="R127">
            <v>313</v>
          </cell>
          <cell r="S127">
            <v>513</v>
          </cell>
          <cell r="T127">
            <v>278</v>
          </cell>
          <cell r="U127">
            <v>302</v>
          </cell>
          <cell r="V127">
            <v>304</v>
          </cell>
          <cell r="W127">
            <v>127</v>
          </cell>
          <cell r="X127">
            <v>336</v>
          </cell>
          <cell r="Y127">
            <v>312</v>
          </cell>
          <cell r="Z127">
            <v>446</v>
          </cell>
          <cell r="AA127">
            <v>485</v>
          </cell>
          <cell r="AB127">
            <v>503</v>
          </cell>
          <cell r="AC127">
            <v>449</v>
          </cell>
          <cell r="AD127">
            <v>332</v>
          </cell>
          <cell r="AE127">
            <v>329</v>
          </cell>
          <cell r="AF127">
            <v>315</v>
          </cell>
          <cell r="AG127">
            <v>326</v>
          </cell>
          <cell r="AH127">
            <v>342</v>
          </cell>
          <cell r="AI127">
            <v>327</v>
          </cell>
          <cell r="AJ127">
            <v>282</v>
          </cell>
        </row>
        <row r="128">
          <cell r="E128" t="str">
            <v>MA Transportation Aviation Gasoline</v>
          </cell>
          <cell r="F128">
            <v>487</v>
          </cell>
          <cell r="G128">
            <v>226</v>
          </cell>
          <cell r="H128">
            <v>225</v>
          </cell>
          <cell r="I128">
            <v>431</v>
          </cell>
          <cell r="J128">
            <v>368</v>
          </cell>
          <cell r="K128">
            <v>426</v>
          </cell>
          <cell r="L128">
            <v>454</v>
          </cell>
          <cell r="M128">
            <v>439</v>
          </cell>
          <cell r="N128">
            <v>439</v>
          </cell>
          <cell r="O128">
            <v>485</v>
          </cell>
          <cell r="P128">
            <v>584</v>
          </cell>
          <cell r="Q128">
            <v>403</v>
          </cell>
          <cell r="R128">
            <v>390</v>
          </cell>
          <cell r="S128">
            <v>406</v>
          </cell>
          <cell r="T128">
            <v>482</v>
          </cell>
          <cell r="U128">
            <v>591</v>
          </cell>
          <cell r="V128">
            <v>249</v>
          </cell>
          <cell r="W128">
            <v>439</v>
          </cell>
          <cell r="X128">
            <v>252</v>
          </cell>
          <cell r="Y128">
            <v>490</v>
          </cell>
          <cell r="Z128">
            <v>283</v>
          </cell>
          <cell r="AA128">
            <v>265</v>
          </cell>
          <cell r="AB128">
            <v>253</v>
          </cell>
          <cell r="AC128">
            <v>217</v>
          </cell>
          <cell r="AD128">
            <v>375</v>
          </cell>
          <cell r="AE128">
            <v>358</v>
          </cell>
          <cell r="AF128">
            <v>349</v>
          </cell>
          <cell r="AG128">
            <v>338</v>
          </cell>
          <cell r="AH128">
            <v>390</v>
          </cell>
          <cell r="AI128">
            <v>388</v>
          </cell>
          <cell r="AJ128">
            <v>318</v>
          </cell>
        </row>
        <row r="129">
          <cell r="E129" t="str">
            <v>MD Transportation Aviation Gasoline</v>
          </cell>
          <cell r="F129">
            <v>375</v>
          </cell>
          <cell r="G129">
            <v>379</v>
          </cell>
          <cell r="H129">
            <v>485</v>
          </cell>
          <cell r="I129">
            <v>513</v>
          </cell>
          <cell r="J129">
            <v>357</v>
          </cell>
          <cell r="K129">
            <v>240</v>
          </cell>
          <cell r="L129">
            <v>177</v>
          </cell>
          <cell r="M129">
            <v>219</v>
          </cell>
          <cell r="N129">
            <v>281</v>
          </cell>
          <cell r="O129">
            <v>196</v>
          </cell>
          <cell r="P129">
            <v>204</v>
          </cell>
          <cell r="Q129">
            <v>529</v>
          </cell>
          <cell r="R129">
            <v>504</v>
          </cell>
          <cell r="S129">
            <v>442</v>
          </cell>
          <cell r="T129">
            <v>415</v>
          </cell>
          <cell r="U129">
            <v>622</v>
          </cell>
          <cell r="V129">
            <v>544</v>
          </cell>
          <cell r="W129">
            <v>538</v>
          </cell>
          <cell r="X129">
            <v>406</v>
          </cell>
          <cell r="Y129">
            <v>394</v>
          </cell>
          <cell r="Z129">
            <v>225</v>
          </cell>
          <cell r="AA129">
            <v>210</v>
          </cell>
          <cell r="AB129">
            <v>203</v>
          </cell>
          <cell r="AC129">
            <v>175</v>
          </cell>
          <cell r="AD129">
            <v>245</v>
          </cell>
          <cell r="AE129">
            <v>178</v>
          </cell>
          <cell r="AF129">
            <v>186</v>
          </cell>
          <cell r="AG129">
            <v>195</v>
          </cell>
          <cell r="AH129">
            <v>228</v>
          </cell>
          <cell r="AI129">
            <v>230</v>
          </cell>
          <cell r="AJ129">
            <v>210</v>
          </cell>
        </row>
        <row r="130">
          <cell r="E130" t="str">
            <v>ME Transportation Aviation Gasoline</v>
          </cell>
          <cell r="F130">
            <v>312</v>
          </cell>
          <cell r="G130">
            <v>214</v>
          </cell>
          <cell r="H130">
            <v>208</v>
          </cell>
          <cell r="I130">
            <v>187</v>
          </cell>
          <cell r="J130">
            <v>178</v>
          </cell>
          <cell r="K130">
            <v>175</v>
          </cell>
          <cell r="L130">
            <v>143</v>
          </cell>
          <cell r="M130">
            <v>183</v>
          </cell>
          <cell r="N130">
            <v>128</v>
          </cell>
          <cell r="O130">
            <v>173</v>
          </cell>
          <cell r="P130">
            <v>128</v>
          </cell>
          <cell r="Q130">
            <v>292</v>
          </cell>
          <cell r="R130">
            <v>185</v>
          </cell>
          <cell r="S130">
            <v>192</v>
          </cell>
          <cell r="T130">
            <v>166</v>
          </cell>
          <cell r="U130">
            <v>203</v>
          </cell>
          <cell r="V130">
            <v>262</v>
          </cell>
          <cell r="W130">
            <v>260</v>
          </cell>
          <cell r="X130">
            <v>169</v>
          </cell>
          <cell r="Y130">
            <v>179</v>
          </cell>
          <cell r="Z130">
            <v>113</v>
          </cell>
          <cell r="AA130">
            <v>268</v>
          </cell>
          <cell r="AB130">
            <v>90</v>
          </cell>
          <cell r="AC130">
            <v>78</v>
          </cell>
          <cell r="AD130">
            <v>80</v>
          </cell>
          <cell r="AE130">
            <v>119</v>
          </cell>
          <cell r="AF130">
            <v>113</v>
          </cell>
          <cell r="AG130">
            <v>125</v>
          </cell>
          <cell r="AH130">
            <v>118</v>
          </cell>
          <cell r="AI130">
            <v>130</v>
          </cell>
          <cell r="AJ130">
            <v>96</v>
          </cell>
        </row>
        <row r="131">
          <cell r="E131" t="str">
            <v>MI Transportation Aviation Gasoline</v>
          </cell>
          <cell r="F131">
            <v>1085</v>
          </cell>
          <cell r="G131">
            <v>1037</v>
          </cell>
          <cell r="H131">
            <v>917</v>
          </cell>
          <cell r="I131">
            <v>997</v>
          </cell>
          <cell r="J131">
            <v>1199</v>
          </cell>
          <cell r="K131">
            <v>1167</v>
          </cell>
          <cell r="L131">
            <v>1083</v>
          </cell>
          <cell r="M131">
            <v>993</v>
          </cell>
          <cell r="N131">
            <v>841</v>
          </cell>
          <cell r="O131">
            <v>1442</v>
          </cell>
          <cell r="P131">
            <v>1035</v>
          </cell>
          <cell r="Q131">
            <v>401</v>
          </cell>
          <cell r="R131">
            <v>843</v>
          </cell>
          <cell r="S131">
            <v>451</v>
          </cell>
          <cell r="T131">
            <v>405</v>
          </cell>
          <cell r="U131">
            <v>423</v>
          </cell>
          <cell r="V131">
            <v>340</v>
          </cell>
          <cell r="W131">
            <v>381</v>
          </cell>
          <cell r="X131">
            <v>372</v>
          </cell>
          <cell r="Y131">
            <v>315</v>
          </cell>
          <cell r="Z131">
            <v>595</v>
          </cell>
          <cell r="AA131">
            <v>558</v>
          </cell>
          <cell r="AB131">
            <v>517</v>
          </cell>
          <cell r="AC131">
            <v>466</v>
          </cell>
          <cell r="AD131">
            <v>333</v>
          </cell>
          <cell r="AE131">
            <v>375</v>
          </cell>
          <cell r="AF131">
            <v>373</v>
          </cell>
          <cell r="AG131">
            <v>376</v>
          </cell>
          <cell r="AH131">
            <v>422</v>
          </cell>
          <cell r="AI131">
            <v>443</v>
          </cell>
          <cell r="AJ131">
            <v>386</v>
          </cell>
        </row>
        <row r="132">
          <cell r="E132" t="str">
            <v>MN Transportation Aviation Gasoline</v>
          </cell>
          <cell r="F132">
            <v>1078</v>
          </cell>
          <cell r="G132">
            <v>948</v>
          </cell>
          <cell r="H132">
            <v>678</v>
          </cell>
          <cell r="I132">
            <v>667</v>
          </cell>
          <cell r="J132">
            <v>632</v>
          </cell>
          <cell r="K132">
            <v>651</v>
          </cell>
          <cell r="L132">
            <v>626</v>
          </cell>
          <cell r="M132">
            <v>692</v>
          </cell>
          <cell r="N132">
            <v>466</v>
          </cell>
          <cell r="O132">
            <v>711</v>
          </cell>
          <cell r="P132">
            <v>684</v>
          </cell>
          <cell r="Q132">
            <v>480</v>
          </cell>
          <cell r="R132">
            <v>690</v>
          </cell>
          <cell r="S132">
            <v>469</v>
          </cell>
          <cell r="T132">
            <v>463</v>
          </cell>
          <cell r="U132">
            <v>515</v>
          </cell>
          <cell r="V132">
            <v>434</v>
          </cell>
          <cell r="W132">
            <v>438</v>
          </cell>
          <cell r="X132">
            <v>393</v>
          </cell>
          <cell r="Y132">
            <v>711</v>
          </cell>
          <cell r="Z132">
            <v>438</v>
          </cell>
          <cell r="AA132">
            <v>476</v>
          </cell>
          <cell r="AB132">
            <v>476</v>
          </cell>
          <cell r="AC132">
            <v>427</v>
          </cell>
          <cell r="AD132">
            <v>375</v>
          </cell>
          <cell r="AE132">
            <v>422</v>
          </cell>
          <cell r="AF132">
            <v>386</v>
          </cell>
          <cell r="AG132">
            <v>393</v>
          </cell>
          <cell r="AH132">
            <v>393</v>
          </cell>
          <cell r="AI132">
            <v>385</v>
          </cell>
          <cell r="AJ132">
            <v>377</v>
          </cell>
        </row>
        <row r="133">
          <cell r="E133" t="str">
            <v>MO Transportation Aviation Gasoline</v>
          </cell>
          <cell r="F133">
            <v>638</v>
          </cell>
          <cell r="G133">
            <v>590</v>
          </cell>
          <cell r="H133">
            <v>579</v>
          </cell>
          <cell r="I133">
            <v>471</v>
          </cell>
          <cell r="J133">
            <v>568</v>
          </cell>
          <cell r="K133">
            <v>548</v>
          </cell>
          <cell r="L133">
            <v>547</v>
          </cell>
          <cell r="M133">
            <v>806</v>
          </cell>
          <cell r="N133">
            <v>687</v>
          </cell>
          <cell r="O133">
            <v>378</v>
          </cell>
          <cell r="P133">
            <v>496</v>
          </cell>
          <cell r="Q133">
            <v>737</v>
          </cell>
          <cell r="R133">
            <v>601</v>
          </cell>
          <cell r="S133">
            <v>525</v>
          </cell>
          <cell r="T133">
            <v>625</v>
          </cell>
          <cell r="U133">
            <v>949</v>
          </cell>
          <cell r="V133">
            <v>644</v>
          </cell>
          <cell r="W133">
            <v>638</v>
          </cell>
          <cell r="X133">
            <v>489</v>
          </cell>
          <cell r="Y133">
            <v>430</v>
          </cell>
          <cell r="Z133">
            <v>515</v>
          </cell>
          <cell r="AA133">
            <v>483</v>
          </cell>
          <cell r="AB133">
            <v>439</v>
          </cell>
          <cell r="AC133">
            <v>398</v>
          </cell>
          <cell r="AD133">
            <v>343</v>
          </cell>
          <cell r="AE133">
            <v>352</v>
          </cell>
          <cell r="AF133">
            <v>348</v>
          </cell>
          <cell r="AG133">
            <v>366</v>
          </cell>
          <cell r="AH133">
            <v>384</v>
          </cell>
          <cell r="AI133">
            <v>369</v>
          </cell>
          <cell r="AJ133">
            <v>347</v>
          </cell>
        </row>
        <row r="134">
          <cell r="E134" t="str">
            <v>MS Transportation Aviation Gasoline</v>
          </cell>
          <cell r="F134">
            <v>665</v>
          </cell>
          <cell r="G134">
            <v>556</v>
          </cell>
          <cell r="H134">
            <v>475</v>
          </cell>
          <cell r="I134">
            <v>427</v>
          </cell>
          <cell r="J134">
            <v>362</v>
          </cell>
          <cell r="K134">
            <v>504</v>
          </cell>
          <cell r="L134">
            <v>309</v>
          </cell>
          <cell r="M134">
            <v>332</v>
          </cell>
          <cell r="N134">
            <v>499</v>
          </cell>
          <cell r="O134">
            <v>405</v>
          </cell>
          <cell r="P134">
            <v>495</v>
          </cell>
          <cell r="Q134">
            <v>533</v>
          </cell>
          <cell r="R134">
            <v>399</v>
          </cell>
          <cell r="S134">
            <v>348</v>
          </cell>
          <cell r="T134">
            <v>574</v>
          </cell>
          <cell r="U134">
            <v>227</v>
          </cell>
          <cell r="V134">
            <v>551</v>
          </cell>
          <cell r="W134">
            <v>545</v>
          </cell>
          <cell r="X134">
            <v>496</v>
          </cell>
          <cell r="Y134">
            <v>370</v>
          </cell>
          <cell r="Z134">
            <v>371</v>
          </cell>
          <cell r="AA134">
            <v>348</v>
          </cell>
          <cell r="AB134">
            <v>339</v>
          </cell>
          <cell r="AC134">
            <v>314</v>
          </cell>
          <cell r="AD134">
            <v>267</v>
          </cell>
          <cell r="AE134">
            <v>235</v>
          </cell>
          <cell r="AF134">
            <v>217</v>
          </cell>
          <cell r="AG134">
            <v>239</v>
          </cell>
          <cell r="AH134">
            <v>312</v>
          </cell>
          <cell r="AI134">
            <v>219</v>
          </cell>
          <cell r="AJ134">
            <v>264</v>
          </cell>
        </row>
        <row r="135">
          <cell r="E135" t="str">
            <v>MT Transportation Aviation Gasoline</v>
          </cell>
          <cell r="F135">
            <v>560</v>
          </cell>
          <cell r="G135">
            <v>545</v>
          </cell>
          <cell r="H135">
            <v>381</v>
          </cell>
          <cell r="I135">
            <v>322</v>
          </cell>
          <cell r="J135">
            <v>377</v>
          </cell>
          <cell r="K135">
            <v>394</v>
          </cell>
          <cell r="L135">
            <v>501</v>
          </cell>
          <cell r="M135">
            <v>359</v>
          </cell>
          <cell r="N135">
            <v>517</v>
          </cell>
          <cell r="O135">
            <v>612</v>
          </cell>
          <cell r="P135">
            <v>675</v>
          </cell>
          <cell r="Q135">
            <v>548</v>
          </cell>
          <cell r="R135">
            <v>582</v>
          </cell>
          <cell r="S135">
            <v>509</v>
          </cell>
          <cell r="T135">
            <v>213</v>
          </cell>
          <cell r="U135">
            <v>239</v>
          </cell>
          <cell r="V135">
            <v>438</v>
          </cell>
          <cell r="W135">
            <v>351</v>
          </cell>
          <cell r="X135">
            <v>454</v>
          </cell>
          <cell r="Y135">
            <v>378</v>
          </cell>
          <cell r="Z135">
            <v>237</v>
          </cell>
          <cell r="AA135">
            <v>222</v>
          </cell>
          <cell r="AB135">
            <v>206</v>
          </cell>
          <cell r="AC135">
            <v>187</v>
          </cell>
          <cell r="AD135">
            <v>275</v>
          </cell>
          <cell r="AE135">
            <v>290</v>
          </cell>
          <cell r="AF135">
            <v>250</v>
          </cell>
          <cell r="AG135">
            <v>221</v>
          </cell>
          <cell r="AH135">
            <v>250</v>
          </cell>
          <cell r="AI135">
            <v>233</v>
          </cell>
          <cell r="AJ135">
            <v>241</v>
          </cell>
        </row>
        <row r="136">
          <cell r="E136" t="str">
            <v>NC Transportation Aviation Gasoline</v>
          </cell>
          <cell r="F136">
            <v>1074</v>
          </cell>
          <cell r="G136">
            <v>860</v>
          </cell>
          <cell r="H136">
            <v>778</v>
          </cell>
          <cell r="I136">
            <v>596</v>
          </cell>
          <cell r="J136">
            <v>685</v>
          </cell>
          <cell r="K136">
            <v>704</v>
          </cell>
          <cell r="L136">
            <v>747</v>
          </cell>
          <cell r="M136">
            <v>804</v>
          </cell>
          <cell r="N136">
            <v>695</v>
          </cell>
          <cell r="O136">
            <v>942</v>
          </cell>
          <cell r="P136">
            <v>705</v>
          </cell>
          <cell r="Q136">
            <v>764</v>
          </cell>
          <cell r="R136">
            <v>460</v>
          </cell>
          <cell r="S136">
            <v>711</v>
          </cell>
          <cell r="T136">
            <v>546</v>
          </cell>
          <cell r="U136">
            <v>648</v>
          </cell>
          <cell r="V136">
            <v>539</v>
          </cell>
          <cell r="W136">
            <v>485</v>
          </cell>
          <cell r="X136">
            <v>596</v>
          </cell>
          <cell r="Y136">
            <v>344</v>
          </cell>
          <cell r="Z136">
            <v>792</v>
          </cell>
          <cell r="AA136">
            <v>742</v>
          </cell>
          <cell r="AB136">
            <v>715</v>
          </cell>
          <cell r="AC136">
            <v>618</v>
          </cell>
          <cell r="AD136">
            <v>426</v>
          </cell>
          <cell r="AE136">
            <v>452</v>
          </cell>
          <cell r="AF136">
            <v>469</v>
          </cell>
          <cell r="AG136">
            <v>494</v>
          </cell>
          <cell r="AH136">
            <v>513</v>
          </cell>
          <cell r="AI136">
            <v>546</v>
          </cell>
          <cell r="AJ136">
            <v>515</v>
          </cell>
        </row>
        <row r="137">
          <cell r="E137" t="str">
            <v>ND Transportation Aviation Gasoline</v>
          </cell>
          <cell r="F137">
            <v>143</v>
          </cell>
          <cell r="G137">
            <v>142</v>
          </cell>
          <cell r="H137">
            <v>140</v>
          </cell>
          <cell r="I137">
            <v>315</v>
          </cell>
          <cell r="J137">
            <v>219</v>
          </cell>
          <cell r="K137">
            <v>329</v>
          </cell>
          <cell r="L137">
            <v>255</v>
          </cell>
          <cell r="M137">
            <v>165</v>
          </cell>
          <cell r="N137">
            <v>218</v>
          </cell>
          <cell r="O137">
            <v>199</v>
          </cell>
          <cell r="P137">
            <v>173</v>
          </cell>
          <cell r="Q137">
            <v>432</v>
          </cell>
          <cell r="R137">
            <v>294</v>
          </cell>
          <cell r="S137">
            <v>354</v>
          </cell>
          <cell r="T137">
            <v>322</v>
          </cell>
          <cell r="U137">
            <v>333</v>
          </cell>
          <cell r="V137">
            <v>220</v>
          </cell>
          <cell r="W137">
            <v>185</v>
          </cell>
          <cell r="X137">
            <v>192</v>
          </cell>
          <cell r="Y137">
            <v>172</v>
          </cell>
          <cell r="Z137">
            <v>216</v>
          </cell>
          <cell r="AA137">
            <v>241</v>
          </cell>
          <cell r="AB137">
            <v>127</v>
          </cell>
          <cell r="AC137">
            <v>104</v>
          </cell>
          <cell r="AD137">
            <v>213</v>
          </cell>
          <cell r="AE137">
            <v>204</v>
          </cell>
          <cell r="AF137">
            <v>199</v>
          </cell>
          <cell r="AG137">
            <v>206</v>
          </cell>
          <cell r="AH137">
            <v>238</v>
          </cell>
          <cell r="AI137">
            <v>241</v>
          </cell>
          <cell r="AJ137">
            <v>224</v>
          </cell>
        </row>
        <row r="138">
          <cell r="E138" t="str">
            <v>NE Transportation Aviation Gasoline</v>
          </cell>
          <cell r="F138">
            <v>418</v>
          </cell>
          <cell r="G138">
            <v>426</v>
          </cell>
          <cell r="H138">
            <v>409</v>
          </cell>
          <cell r="I138">
            <v>361</v>
          </cell>
          <cell r="J138">
            <v>382</v>
          </cell>
          <cell r="K138">
            <v>386</v>
          </cell>
          <cell r="L138">
            <v>381</v>
          </cell>
          <cell r="M138">
            <v>452</v>
          </cell>
          <cell r="N138">
            <v>319</v>
          </cell>
          <cell r="O138">
            <v>358</v>
          </cell>
          <cell r="P138">
            <v>321</v>
          </cell>
          <cell r="Q138">
            <v>435</v>
          </cell>
          <cell r="R138">
            <v>469</v>
          </cell>
          <cell r="S138">
            <v>409</v>
          </cell>
          <cell r="T138">
            <v>283</v>
          </cell>
          <cell r="U138">
            <v>416</v>
          </cell>
          <cell r="V138">
            <v>405</v>
          </cell>
          <cell r="W138">
            <v>401</v>
          </cell>
          <cell r="X138">
            <v>334</v>
          </cell>
          <cell r="Y138">
            <v>319</v>
          </cell>
          <cell r="Z138">
            <v>249</v>
          </cell>
          <cell r="AA138">
            <v>234</v>
          </cell>
          <cell r="AB138">
            <v>222</v>
          </cell>
          <cell r="AC138">
            <v>174</v>
          </cell>
          <cell r="AD138">
            <v>194</v>
          </cell>
          <cell r="AE138">
            <v>194</v>
          </cell>
          <cell r="AF138">
            <v>190</v>
          </cell>
          <cell r="AG138">
            <v>183</v>
          </cell>
          <cell r="AH138">
            <v>190</v>
          </cell>
          <cell r="AI138">
            <v>187</v>
          </cell>
          <cell r="AJ138">
            <v>179</v>
          </cell>
        </row>
        <row r="139">
          <cell r="E139" t="str">
            <v>NH Transportation Aviation Gasoline</v>
          </cell>
          <cell r="F139">
            <v>104</v>
          </cell>
          <cell r="G139">
            <v>131</v>
          </cell>
          <cell r="H139">
            <v>97</v>
          </cell>
          <cell r="I139">
            <v>217</v>
          </cell>
          <cell r="J139">
            <v>166</v>
          </cell>
          <cell r="K139">
            <v>112</v>
          </cell>
          <cell r="L139">
            <v>99</v>
          </cell>
          <cell r="M139">
            <v>115</v>
          </cell>
          <cell r="N139">
            <v>102</v>
          </cell>
          <cell r="O139">
            <v>140</v>
          </cell>
          <cell r="P139">
            <v>122</v>
          </cell>
          <cell r="Q139">
            <v>321</v>
          </cell>
          <cell r="R139">
            <v>251</v>
          </cell>
          <cell r="S139">
            <v>220</v>
          </cell>
          <cell r="T139">
            <v>326</v>
          </cell>
          <cell r="U139">
            <v>347</v>
          </cell>
          <cell r="V139">
            <v>233</v>
          </cell>
          <cell r="W139">
            <v>230</v>
          </cell>
          <cell r="X139">
            <v>141</v>
          </cell>
          <cell r="Y139">
            <v>238</v>
          </cell>
          <cell r="Z139">
            <v>156</v>
          </cell>
          <cell r="AA139">
            <v>146</v>
          </cell>
          <cell r="AB139">
            <v>127</v>
          </cell>
          <cell r="AC139">
            <v>110</v>
          </cell>
          <cell r="AD139">
            <v>103</v>
          </cell>
          <cell r="AE139">
            <v>92</v>
          </cell>
          <cell r="AF139">
            <v>91</v>
          </cell>
          <cell r="AG139">
            <v>89</v>
          </cell>
          <cell r="AH139">
            <v>112</v>
          </cell>
          <cell r="AI139">
            <v>112</v>
          </cell>
          <cell r="AJ139">
            <v>93</v>
          </cell>
        </row>
        <row r="140">
          <cell r="E140" t="str">
            <v>NJ Transportation Aviation Gasoline</v>
          </cell>
          <cell r="F140">
            <v>603</v>
          </cell>
          <cell r="G140">
            <v>507</v>
          </cell>
          <cell r="H140">
            <v>615</v>
          </cell>
          <cell r="I140">
            <v>610</v>
          </cell>
          <cell r="J140">
            <v>795</v>
          </cell>
          <cell r="K140">
            <v>733</v>
          </cell>
          <cell r="L140">
            <v>573</v>
          </cell>
          <cell r="M140">
            <v>670</v>
          </cell>
          <cell r="N140">
            <v>664</v>
          </cell>
          <cell r="O140">
            <v>533</v>
          </cell>
          <cell r="P140">
            <v>455</v>
          </cell>
          <cell r="Q140">
            <v>306</v>
          </cell>
          <cell r="R140">
            <v>1083</v>
          </cell>
          <cell r="S140">
            <v>1088</v>
          </cell>
          <cell r="T140">
            <v>570</v>
          </cell>
          <cell r="U140">
            <v>549</v>
          </cell>
          <cell r="V140">
            <v>445</v>
          </cell>
          <cell r="W140">
            <v>702</v>
          </cell>
          <cell r="X140">
            <v>411</v>
          </cell>
          <cell r="Y140">
            <v>255</v>
          </cell>
          <cell r="Z140">
            <v>414</v>
          </cell>
          <cell r="AA140">
            <v>389</v>
          </cell>
          <cell r="AB140">
            <v>351</v>
          </cell>
          <cell r="AC140">
            <v>302</v>
          </cell>
          <cell r="AD140">
            <v>426</v>
          </cell>
          <cell r="AE140">
            <v>220</v>
          </cell>
          <cell r="AF140">
            <v>226</v>
          </cell>
          <cell r="AG140">
            <v>232</v>
          </cell>
          <cell r="AH140">
            <v>256</v>
          </cell>
          <cell r="AI140">
            <v>286</v>
          </cell>
          <cell r="AJ140">
            <v>255</v>
          </cell>
        </row>
        <row r="141">
          <cell r="E141" t="str">
            <v>NM Transportation Aviation Gasoline</v>
          </cell>
          <cell r="F141">
            <v>433</v>
          </cell>
          <cell r="G141">
            <v>473</v>
          </cell>
          <cell r="H141">
            <v>473</v>
          </cell>
          <cell r="I141">
            <v>358</v>
          </cell>
          <cell r="J141">
            <v>312</v>
          </cell>
          <cell r="K141">
            <v>269</v>
          </cell>
          <cell r="L141">
            <v>508</v>
          </cell>
          <cell r="M141">
            <v>514</v>
          </cell>
          <cell r="N141">
            <v>308</v>
          </cell>
          <cell r="O141">
            <v>351</v>
          </cell>
          <cell r="P141">
            <v>370</v>
          </cell>
          <cell r="Q141">
            <v>399</v>
          </cell>
          <cell r="R141">
            <v>372</v>
          </cell>
          <cell r="S141">
            <v>325</v>
          </cell>
          <cell r="T141">
            <v>448</v>
          </cell>
          <cell r="U141">
            <v>301</v>
          </cell>
          <cell r="V141">
            <v>245</v>
          </cell>
          <cell r="W141">
            <v>232</v>
          </cell>
          <cell r="X141">
            <v>598</v>
          </cell>
          <cell r="Y141">
            <v>437</v>
          </cell>
          <cell r="Z141">
            <v>242</v>
          </cell>
          <cell r="AA141">
            <v>227</v>
          </cell>
          <cell r="AB141">
            <v>210</v>
          </cell>
          <cell r="AC141">
            <v>188</v>
          </cell>
          <cell r="AD141">
            <v>229</v>
          </cell>
          <cell r="AE141">
            <v>203</v>
          </cell>
          <cell r="AF141">
            <v>211</v>
          </cell>
          <cell r="AG141">
            <v>190</v>
          </cell>
          <cell r="AH141">
            <v>195</v>
          </cell>
          <cell r="AI141">
            <v>202</v>
          </cell>
          <cell r="AJ141">
            <v>173</v>
          </cell>
        </row>
        <row r="142">
          <cell r="E142" t="str">
            <v>NV Transportation Aviation Gasoline</v>
          </cell>
          <cell r="F142">
            <v>559</v>
          </cell>
          <cell r="G142">
            <v>559</v>
          </cell>
          <cell r="H142">
            <v>531</v>
          </cell>
          <cell r="I142">
            <v>573</v>
          </cell>
          <cell r="J142">
            <v>544</v>
          </cell>
          <cell r="K142">
            <v>319</v>
          </cell>
          <cell r="L142">
            <v>468</v>
          </cell>
          <cell r="M142">
            <v>386</v>
          </cell>
          <cell r="N142">
            <v>329</v>
          </cell>
          <cell r="O142">
            <v>395</v>
          </cell>
          <cell r="P142">
            <v>411</v>
          </cell>
          <cell r="Q142">
            <v>443</v>
          </cell>
          <cell r="R142">
            <v>426</v>
          </cell>
          <cell r="S142">
            <v>372</v>
          </cell>
          <cell r="T142">
            <v>421</v>
          </cell>
          <cell r="U142">
            <v>697</v>
          </cell>
          <cell r="V142">
            <v>698</v>
          </cell>
          <cell r="W142">
            <v>691</v>
          </cell>
          <cell r="X142">
            <v>741</v>
          </cell>
          <cell r="Y142">
            <v>594</v>
          </cell>
          <cell r="Z142">
            <v>347</v>
          </cell>
          <cell r="AA142">
            <v>325</v>
          </cell>
          <cell r="AB142">
            <v>287</v>
          </cell>
          <cell r="AC142">
            <v>266</v>
          </cell>
          <cell r="AD142">
            <v>326</v>
          </cell>
          <cell r="AE142">
            <v>195</v>
          </cell>
          <cell r="AF142">
            <v>188</v>
          </cell>
          <cell r="AG142">
            <v>188</v>
          </cell>
          <cell r="AH142">
            <v>221</v>
          </cell>
          <cell r="AI142">
            <v>234</v>
          </cell>
          <cell r="AJ142">
            <v>216</v>
          </cell>
        </row>
        <row r="143">
          <cell r="E143" t="str">
            <v>NY Transportation Aviation Gasoline</v>
          </cell>
          <cell r="F143">
            <v>392</v>
          </cell>
          <cell r="G143">
            <v>328</v>
          </cell>
          <cell r="H143">
            <v>374</v>
          </cell>
          <cell r="I143">
            <v>302</v>
          </cell>
          <cell r="J143">
            <v>498</v>
          </cell>
          <cell r="K143">
            <v>384</v>
          </cell>
          <cell r="L143">
            <v>335</v>
          </cell>
          <cell r="M143">
            <v>342</v>
          </cell>
          <cell r="N143">
            <v>1202</v>
          </cell>
          <cell r="O143">
            <v>425</v>
          </cell>
          <cell r="P143">
            <v>380</v>
          </cell>
          <cell r="Q143">
            <v>1257</v>
          </cell>
          <cell r="R143">
            <v>883</v>
          </cell>
          <cell r="S143">
            <v>93</v>
          </cell>
          <cell r="T143">
            <v>1140</v>
          </cell>
          <cell r="U143">
            <v>1387</v>
          </cell>
          <cell r="V143">
            <v>128</v>
          </cell>
          <cell r="W143">
            <v>935</v>
          </cell>
          <cell r="X143">
            <v>776</v>
          </cell>
          <cell r="Y143">
            <v>151</v>
          </cell>
          <cell r="Z143">
            <v>200</v>
          </cell>
          <cell r="AA143">
            <v>217</v>
          </cell>
          <cell r="AB143">
            <v>209</v>
          </cell>
          <cell r="AC143">
            <v>185</v>
          </cell>
          <cell r="AD143">
            <v>344</v>
          </cell>
          <cell r="AE143">
            <v>373</v>
          </cell>
          <cell r="AF143">
            <v>369</v>
          </cell>
          <cell r="AG143">
            <v>395</v>
          </cell>
          <cell r="AH143">
            <v>415</v>
          </cell>
          <cell r="AI143">
            <v>438</v>
          </cell>
          <cell r="AJ143">
            <v>372</v>
          </cell>
        </row>
        <row r="144">
          <cell r="E144" t="str">
            <v>OH Transportation Aviation Gasoline</v>
          </cell>
          <cell r="F144">
            <v>1205</v>
          </cell>
          <cell r="G144">
            <v>1080</v>
          </cell>
          <cell r="H144">
            <v>1129</v>
          </cell>
          <cell r="I144">
            <v>1044</v>
          </cell>
          <cell r="J144">
            <v>937</v>
          </cell>
          <cell r="K144">
            <v>1184</v>
          </cell>
          <cell r="L144">
            <v>1740</v>
          </cell>
          <cell r="M144">
            <v>1912</v>
          </cell>
          <cell r="N144">
            <v>1843</v>
          </cell>
          <cell r="O144">
            <v>1232</v>
          </cell>
          <cell r="P144">
            <v>1098</v>
          </cell>
          <cell r="Q144">
            <v>743</v>
          </cell>
          <cell r="R144">
            <v>711</v>
          </cell>
          <cell r="S144">
            <v>651</v>
          </cell>
          <cell r="T144">
            <v>596</v>
          </cell>
          <cell r="U144">
            <v>552</v>
          </cell>
          <cell r="V144">
            <v>1670</v>
          </cell>
          <cell r="W144">
            <v>1653</v>
          </cell>
          <cell r="X144">
            <v>954</v>
          </cell>
          <cell r="Y144">
            <v>1094</v>
          </cell>
          <cell r="Z144">
            <v>756</v>
          </cell>
          <cell r="AA144">
            <v>709</v>
          </cell>
          <cell r="AB144">
            <v>628</v>
          </cell>
          <cell r="AC144">
            <v>560</v>
          </cell>
          <cell r="AD144">
            <v>534</v>
          </cell>
          <cell r="AE144">
            <v>399</v>
          </cell>
          <cell r="AF144">
            <v>403</v>
          </cell>
          <cell r="AG144">
            <v>464</v>
          </cell>
          <cell r="AH144">
            <v>428</v>
          </cell>
          <cell r="AI144">
            <v>479</v>
          </cell>
          <cell r="AJ144">
            <v>416</v>
          </cell>
        </row>
        <row r="145">
          <cell r="E145" t="str">
            <v>OK Transportation Aviation Gasoline</v>
          </cell>
          <cell r="F145">
            <v>738</v>
          </cell>
          <cell r="G145">
            <v>559</v>
          </cell>
          <cell r="H145">
            <v>625</v>
          </cell>
          <cell r="I145">
            <v>527</v>
          </cell>
          <cell r="J145">
            <v>423</v>
          </cell>
          <cell r="K145">
            <v>778</v>
          </cell>
          <cell r="L145">
            <v>593</v>
          </cell>
          <cell r="M145">
            <v>404</v>
          </cell>
          <cell r="N145">
            <v>670</v>
          </cell>
          <cell r="O145">
            <v>513</v>
          </cell>
          <cell r="P145">
            <v>546</v>
          </cell>
          <cell r="Q145">
            <v>405</v>
          </cell>
          <cell r="R145">
            <v>610</v>
          </cell>
          <cell r="S145">
            <v>533</v>
          </cell>
          <cell r="T145">
            <v>672</v>
          </cell>
          <cell r="U145">
            <v>324</v>
          </cell>
          <cell r="V145">
            <v>1320</v>
          </cell>
          <cell r="W145">
            <v>259</v>
          </cell>
          <cell r="X145">
            <v>227</v>
          </cell>
          <cell r="Y145">
            <v>1238</v>
          </cell>
          <cell r="Z145">
            <v>1002</v>
          </cell>
          <cell r="AA145">
            <v>940</v>
          </cell>
          <cell r="AB145">
            <v>876</v>
          </cell>
          <cell r="AC145">
            <v>662</v>
          </cell>
          <cell r="AD145">
            <v>266</v>
          </cell>
          <cell r="AE145">
            <v>295</v>
          </cell>
          <cell r="AF145">
            <v>291</v>
          </cell>
          <cell r="AG145">
            <v>304</v>
          </cell>
          <cell r="AH145">
            <v>333</v>
          </cell>
          <cell r="AI145">
            <v>350</v>
          </cell>
          <cell r="AJ145">
            <v>311</v>
          </cell>
        </row>
        <row r="146">
          <cell r="E146" t="str">
            <v>OR Transportation Aviation Gasoline</v>
          </cell>
          <cell r="F146">
            <v>611</v>
          </cell>
          <cell r="G146">
            <v>636</v>
          </cell>
          <cell r="H146">
            <v>652</v>
          </cell>
          <cell r="I146">
            <v>553</v>
          </cell>
          <cell r="J146">
            <v>787</v>
          </cell>
          <cell r="K146">
            <v>721</v>
          </cell>
          <cell r="L146">
            <v>964</v>
          </cell>
          <cell r="M146">
            <v>889</v>
          </cell>
          <cell r="N146">
            <v>758</v>
          </cell>
          <cell r="O146">
            <v>810</v>
          </cell>
          <cell r="P146">
            <v>700</v>
          </cell>
          <cell r="Q146">
            <v>1142</v>
          </cell>
          <cell r="R146">
            <v>784</v>
          </cell>
          <cell r="S146">
            <v>685</v>
          </cell>
          <cell r="T146">
            <v>639</v>
          </cell>
          <cell r="U146">
            <v>728</v>
          </cell>
          <cell r="V146">
            <v>1028</v>
          </cell>
          <cell r="W146">
            <v>1018</v>
          </cell>
          <cell r="X146">
            <v>935</v>
          </cell>
          <cell r="Y146">
            <v>677</v>
          </cell>
          <cell r="Z146">
            <v>696</v>
          </cell>
          <cell r="AA146">
            <v>652</v>
          </cell>
          <cell r="AB146">
            <v>625</v>
          </cell>
          <cell r="AC146">
            <v>506</v>
          </cell>
          <cell r="AD146">
            <v>461</v>
          </cell>
          <cell r="AE146">
            <v>499</v>
          </cell>
          <cell r="AF146">
            <v>508</v>
          </cell>
          <cell r="AG146">
            <v>493</v>
          </cell>
          <cell r="AH146">
            <v>614</v>
          </cell>
          <cell r="AI146">
            <v>550</v>
          </cell>
          <cell r="AJ146">
            <v>375</v>
          </cell>
        </row>
        <row r="147">
          <cell r="E147" t="str">
            <v>PA Transportation Aviation Gasoline</v>
          </cell>
          <cell r="F147">
            <v>730</v>
          </cell>
          <cell r="G147">
            <v>586</v>
          </cell>
          <cell r="H147">
            <v>823</v>
          </cell>
          <cell r="I147">
            <v>757</v>
          </cell>
          <cell r="J147">
            <v>687</v>
          </cell>
          <cell r="K147">
            <v>633</v>
          </cell>
          <cell r="L147">
            <v>613</v>
          </cell>
          <cell r="M147">
            <v>540</v>
          </cell>
          <cell r="N147">
            <v>635</v>
          </cell>
          <cell r="O147">
            <v>1037</v>
          </cell>
          <cell r="P147">
            <v>780</v>
          </cell>
          <cell r="Q147">
            <v>618</v>
          </cell>
          <cell r="R147">
            <v>610</v>
          </cell>
          <cell r="S147">
            <v>479</v>
          </cell>
          <cell r="T147">
            <v>477</v>
          </cell>
          <cell r="U147">
            <v>505</v>
          </cell>
          <cell r="V147">
            <v>1098</v>
          </cell>
          <cell r="W147">
            <v>487</v>
          </cell>
          <cell r="X147">
            <v>504</v>
          </cell>
          <cell r="Y147">
            <v>350</v>
          </cell>
          <cell r="Z147">
            <v>537</v>
          </cell>
          <cell r="AA147">
            <v>584</v>
          </cell>
          <cell r="AB147">
            <v>613</v>
          </cell>
          <cell r="AC147">
            <v>536</v>
          </cell>
          <cell r="AD147">
            <v>491</v>
          </cell>
          <cell r="AE147">
            <v>517</v>
          </cell>
          <cell r="AF147">
            <v>366</v>
          </cell>
          <cell r="AG147">
            <v>368</v>
          </cell>
          <cell r="AH147">
            <v>369</v>
          </cell>
          <cell r="AI147">
            <v>425</v>
          </cell>
          <cell r="AJ147">
            <v>338</v>
          </cell>
        </row>
        <row r="148">
          <cell r="E148" t="str">
            <v>RI Transportation Aviation Gasoline</v>
          </cell>
          <cell r="F148">
            <v>212</v>
          </cell>
          <cell r="G148">
            <v>152</v>
          </cell>
          <cell r="H148">
            <v>151</v>
          </cell>
          <cell r="I148">
            <v>42</v>
          </cell>
          <cell r="J148">
            <v>51</v>
          </cell>
          <cell r="K148">
            <v>112</v>
          </cell>
          <cell r="L148">
            <v>188</v>
          </cell>
          <cell r="M148">
            <v>54</v>
          </cell>
          <cell r="N148">
            <v>46</v>
          </cell>
          <cell r="O148">
            <v>57</v>
          </cell>
          <cell r="P148">
            <v>68</v>
          </cell>
          <cell r="Q148">
            <v>73</v>
          </cell>
          <cell r="R148">
            <v>36</v>
          </cell>
          <cell r="S148">
            <v>36</v>
          </cell>
          <cell r="T148">
            <v>58</v>
          </cell>
          <cell r="U148">
            <v>62</v>
          </cell>
          <cell r="V148">
            <v>111</v>
          </cell>
          <cell r="W148">
            <v>110</v>
          </cell>
          <cell r="X148">
            <v>57</v>
          </cell>
          <cell r="Y148">
            <v>33</v>
          </cell>
          <cell r="Z148">
            <v>25</v>
          </cell>
          <cell r="AA148">
            <v>23</v>
          </cell>
          <cell r="AB148">
            <v>24</v>
          </cell>
          <cell r="AC148">
            <v>19</v>
          </cell>
          <cell r="AD148">
            <v>43</v>
          </cell>
          <cell r="AE148">
            <v>46</v>
          </cell>
          <cell r="AF148">
            <v>45</v>
          </cell>
          <cell r="AG148">
            <v>47</v>
          </cell>
          <cell r="AH148">
            <v>43</v>
          </cell>
          <cell r="AI148">
            <v>41</v>
          </cell>
          <cell r="AJ148">
            <v>33</v>
          </cell>
        </row>
        <row r="149">
          <cell r="E149" t="str">
            <v>SC Transportation Aviation Gasoline</v>
          </cell>
          <cell r="F149">
            <v>511</v>
          </cell>
          <cell r="G149">
            <v>910</v>
          </cell>
          <cell r="H149">
            <v>1141</v>
          </cell>
          <cell r="I149">
            <v>853</v>
          </cell>
          <cell r="J149">
            <v>574</v>
          </cell>
          <cell r="K149">
            <v>618</v>
          </cell>
          <cell r="L149">
            <v>300</v>
          </cell>
          <cell r="M149">
            <v>323</v>
          </cell>
          <cell r="N149">
            <v>279</v>
          </cell>
          <cell r="O149">
            <v>507</v>
          </cell>
          <cell r="P149">
            <v>383</v>
          </cell>
          <cell r="Q149">
            <v>361</v>
          </cell>
          <cell r="R149">
            <v>439</v>
          </cell>
          <cell r="S149">
            <v>470</v>
          </cell>
          <cell r="T149">
            <v>419</v>
          </cell>
          <cell r="U149">
            <v>490</v>
          </cell>
          <cell r="V149">
            <v>550</v>
          </cell>
          <cell r="W149">
            <v>545</v>
          </cell>
          <cell r="X149">
            <v>358</v>
          </cell>
          <cell r="Y149">
            <v>474</v>
          </cell>
          <cell r="Z149">
            <v>406</v>
          </cell>
          <cell r="AA149">
            <v>355</v>
          </cell>
          <cell r="AB149">
            <v>211</v>
          </cell>
          <cell r="AC149">
            <v>188</v>
          </cell>
          <cell r="AD149">
            <v>261</v>
          </cell>
          <cell r="AE149">
            <v>263</v>
          </cell>
          <cell r="AF149">
            <v>266</v>
          </cell>
          <cell r="AG149">
            <v>283</v>
          </cell>
          <cell r="AH149">
            <v>305</v>
          </cell>
          <cell r="AI149">
            <v>336</v>
          </cell>
          <cell r="AJ149">
            <v>292</v>
          </cell>
        </row>
        <row r="150">
          <cell r="E150" t="str">
            <v>SD Transportation Aviation Gasoline</v>
          </cell>
          <cell r="F150">
            <v>470</v>
          </cell>
          <cell r="G150">
            <v>310</v>
          </cell>
          <cell r="H150">
            <v>311</v>
          </cell>
          <cell r="I150">
            <v>266</v>
          </cell>
          <cell r="J150">
            <v>244</v>
          </cell>
          <cell r="K150">
            <v>234</v>
          </cell>
          <cell r="L150">
            <v>266</v>
          </cell>
          <cell r="M150">
            <v>241</v>
          </cell>
          <cell r="N150">
            <v>168</v>
          </cell>
          <cell r="O150">
            <v>297</v>
          </cell>
          <cell r="P150">
            <v>256</v>
          </cell>
          <cell r="Q150">
            <v>210</v>
          </cell>
          <cell r="R150">
            <v>147</v>
          </cell>
          <cell r="S150">
            <v>173</v>
          </cell>
          <cell r="T150">
            <v>193</v>
          </cell>
          <cell r="U150">
            <v>154</v>
          </cell>
          <cell r="V150">
            <v>257</v>
          </cell>
          <cell r="W150">
            <v>255</v>
          </cell>
          <cell r="X150">
            <v>174</v>
          </cell>
          <cell r="Y150">
            <v>108</v>
          </cell>
          <cell r="Z150">
            <v>148</v>
          </cell>
          <cell r="AA150">
            <v>161</v>
          </cell>
          <cell r="AB150">
            <v>163</v>
          </cell>
          <cell r="AC150">
            <v>146</v>
          </cell>
          <cell r="AD150">
            <v>166</v>
          </cell>
          <cell r="AE150">
            <v>128</v>
          </cell>
          <cell r="AF150">
            <v>127</v>
          </cell>
          <cell r="AG150">
            <v>118</v>
          </cell>
          <cell r="AH150">
            <v>126</v>
          </cell>
          <cell r="AI150">
            <v>120</v>
          </cell>
          <cell r="AJ150">
            <v>125</v>
          </cell>
        </row>
        <row r="151">
          <cell r="E151" t="str">
            <v>TN Transportation Aviation Gasoline</v>
          </cell>
          <cell r="F151">
            <v>877</v>
          </cell>
          <cell r="G151">
            <v>733</v>
          </cell>
          <cell r="H151">
            <v>1732</v>
          </cell>
          <cell r="I151">
            <v>1993</v>
          </cell>
          <cell r="J151">
            <v>1979</v>
          </cell>
          <cell r="K151">
            <v>2005</v>
          </cell>
          <cell r="L151">
            <v>1165</v>
          </cell>
          <cell r="M151">
            <v>1576</v>
          </cell>
          <cell r="N151">
            <v>686</v>
          </cell>
          <cell r="O151">
            <v>552</v>
          </cell>
          <cell r="P151">
            <v>625</v>
          </cell>
          <cell r="Q151">
            <v>301</v>
          </cell>
          <cell r="R151">
            <v>757</v>
          </cell>
          <cell r="S151">
            <v>661</v>
          </cell>
          <cell r="T151">
            <v>467</v>
          </cell>
          <cell r="U151">
            <v>515</v>
          </cell>
          <cell r="V151">
            <v>448</v>
          </cell>
          <cell r="W151">
            <v>524</v>
          </cell>
          <cell r="X151">
            <v>601</v>
          </cell>
          <cell r="Y151">
            <v>639</v>
          </cell>
          <cell r="Z151">
            <v>846</v>
          </cell>
          <cell r="AA151">
            <v>575</v>
          </cell>
          <cell r="AB151">
            <v>345</v>
          </cell>
          <cell r="AC151">
            <v>316</v>
          </cell>
          <cell r="AD151">
            <v>314</v>
          </cell>
          <cell r="AE151">
            <v>354</v>
          </cell>
          <cell r="AF151">
            <v>369</v>
          </cell>
          <cell r="AG151">
            <v>384</v>
          </cell>
          <cell r="AH151">
            <v>420</v>
          </cell>
          <cell r="AI151">
            <v>473</v>
          </cell>
          <cell r="AJ151">
            <v>436</v>
          </cell>
        </row>
        <row r="152">
          <cell r="E152" t="str">
            <v>TX Transportation Aviation Gasoline</v>
          </cell>
          <cell r="F152">
            <v>4230</v>
          </cell>
          <cell r="G152">
            <v>3309</v>
          </cell>
          <cell r="H152">
            <v>3955</v>
          </cell>
          <cell r="I152">
            <v>3498</v>
          </cell>
          <cell r="J152">
            <v>3902</v>
          </cell>
          <cell r="K152">
            <v>3255</v>
          </cell>
          <cell r="L152">
            <v>3155</v>
          </cell>
          <cell r="M152">
            <v>3320</v>
          </cell>
          <cell r="N152">
            <v>2799</v>
          </cell>
          <cell r="O152">
            <v>4017</v>
          </cell>
          <cell r="P152">
            <v>3073</v>
          </cell>
          <cell r="Q152">
            <v>2362</v>
          </cell>
          <cell r="R152">
            <v>2690</v>
          </cell>
          <cell r="S152">
            <v>2581</v>
          </cell>
          <cell r="T152">
            <v>2443</v>
          </cell>
          <cell r="U152">
            <v>2579</v>
          </cell>
          <cell r="V152">
            <v>2495</v>
          </cell>
          <cell r="W152">
            <v>2484</v>
          </cell>
          <cell r="X152">
            <v>2112</v>
          </cell>
          <cell r="Y152">
            <v>1753</v>
          </cell>
          <cell r="Z152">
            <v>3138</v>
          </cell>
          <cell r="AA152">
            <v>3413</v>
          </cell>
          <cell r="AB152">
            <v>3498</v>
          </cell>
          <cell r="AC152">
            <v>3288</v>
          </cell>
          <cell r="AD152">
            <v>2277</v>
          </cell>
          <cell r="AE152">
            <v>1937</v>
          </cell>
          <cell r="AF152">
            <v>2054</v>
          </cell>
          <cell r="AG152">
            <v>2334</v>
          </cell>
          <cell r="AH152">
            <v>2153</v>
          </cell>
          <cell r="AI152">
            <v>2097</v>
          </cell>
          <cell r="AJ152">
            <v>1938</v>
          </cell>
        </row>
        <row r="153">
          <cell r="E153" t="str">
            <v>US Transportation Aviation Gasoline</v>
          </cell>
          <cell r="F153">
            <v>44978</v>
          </cell>
          <cell r="G153">
            <v>41722</v>
          </cell>
          <cell r="H153">
            <v>41055</v>
          </cell>
          <cell r="I153">
            <v>38395</v>
          </cell>
          <cell r="J153">
            <v>38138</v>
          </cell>
          <cell r="K153">
            <v>39581</v>
          </cell>
          <cell r="L153">
            <v>37355</v>
          </cell>
          <cell r="M153">
            <v>39697</v>
          </cell>
          <cell r="N153">
            <v>35498</v>
          </cell>
          <cell r="O153">
            <v>39172</v>
          </cell>
          <cell r="P153">
            <v>36285</v>
          </cell>
          <cell r="Q153">
            <v>34937</v>
          </cell>
          <cell r="R153">
            <v>33731</v>
          </cell>
          <cell r="S153">
            <v>30222</v>
          </cell>
          <cell r="T153">
            <v>31242</v>
          </cell>
          <cell r="U153">
            <v>35366</v>
          </cell>
          <cell r="V153">
            <v>33448</v>
          </cell>
          <cell r="W153">
            <v>31590</v>
          </cell>
          <cell r="X153">
            <v>28284</v>
          </cell>
          <cell r="Y153">
            <v>26558</v>
          </cell>
          <cell r="Z153">
            <v>27047</v>
          </cell>
          <cell r="AA153">
            <v>27057</v>
          </cell>
          <cell r="AB153">
            <v>25114</v>
          </cell>
          <cell r="AC153">
            <v>22358</v>
          </cell>
          <cell r="AD153">
            <v>21696</v>
          </cell>
          <cell r="AE153">
            <v>21141</v>
          </cell>
          <cell r="AF153">
            <v>20465</v>
          </cell>
          <cell r="AG153">
            <v>20949</v>
          </cell>
          <cell r="AH153">
            <v>22393</v>
          </cell>
          <cell r="AI153">
            <v>23387</v>
          </cell>
          <cell r="AJ153">
            <v>20202</v>
          </cell>
        </row>
        <row r="154">
          <cell r="E154" t="str">
            <v>UT Transportation Aviation Gasoline</v>
          </cell>
          <cell r="F154">
            <v>537</v>
          </cell>
          <cell r="G154">
            <v>595</v>
          </cell>
          <cell r="H154">
            <v>669</v>
          </cell>
          <cell r="I154">
            <v>574</v>
          </cell>
          <cell r="J154">
            <v>445</v>
          </cell>
          <cell r="K154">
            <v>322</v>
          </cell>
          <cell r="L154">
            <v>264</v>
          </cell>
          <cell r="M154">
            <v>306</v>
          </cell>
          <cell r="N154">
            <v>257</v>
          </cell>
          <cell r="O154">
            <v>369</v>
          </cell>
          <cell r="P154">
            <v>424</v>
          </cell>
          <cell r="Q154">
            <v>382</v>
          </cell>
          <cell r="R154">
            <v>349</v>
          </cell>
          <cell r="S154">
            <v>305</v>
          </cell>
          <cell r="T154">
            <v>395</v>
          </cell>
          <cell r="U154">
            <v>540</v>
          </cell>
          <cell r="V154">
            <v>555</v>
          </cell>
          <cell r="W154">
            <v>392</v>
          </cell>
          <cell r="X154">
            <v>553</v>
          </cell>
          <cell r="Y154">
            <v>696</v>
          </cell>
          <cell r="Z154">
            <v>330</v>
          </cell>
          <cell r="AA154">
            <v>309</v>
          </cell>
          <cell r="AB154">
            <v>286</v>
          </cell>
          <cell r="AC154">
            <v>246</v>
          </cell>
          <cell r="AD154">
            <v>318</v>
          </cell>
          <cell r="AE154">
            <v>304</v>
          </cell>
          <cell r="AF154">
            <v>280</v>
          </cell>
          <cell r="AG154">
            <v>275</v>
          </cell>
          <cell r="AH154">
            <v>296</v>
          </cell>
          <cell r="AI154">
            <v>301</v>
          </cell>
          <cell r="AJ154">
            <v>299</v>
          </cell>
        </row>
        <row r="155">
          <cell r="E155" t="str">
            <v>VA Transportation Aviation Gasoline</v>
          </cell>
          <cell r="F155">
            <v>351</v>
          </cell>
          <cell r="G155">
            <v>586</v>
          </cell>
          <cell r="H155">
            <v>510</v>
          </cell>
          <cell r="I155">
            <v>531</v>
          </cell>
          <cell r="J155">
            <v>511</v>
          </cell>
          <cell r="K155">
            <v>431</v>
          </cell>
          <cell r="L155">
            <v>401</v>
          </cell>
          <cell r="M155">
            <v>254</v>
          </cell>
          <cell r="N155">
            <v>457</v>
          </cell>
          <cell r="O155">
            <v>537</v>
          </cell>
          <cell r="P155">
            <v>490</v>
          </cell>
          <cell r="Q155">
            <v>832</v>
          </cell>
          <cell r="R155">
            <v>674</v>
          </cell>
          <cell r="S155">
            <v>589</v>
          </cell>
          <cell r="T155">
            <v>698</v>
          </cell>
          <cell r="U155">
            <v>1126</v>
          </cell>
          <cell r="V155">
            <v>307</v>
          </cell>
          <cell r="W155">
            <v>993</v>
          </cell>
          <cell r="X155">
            <v>907</v>
          </cell>
          <cell r="Y155">
            <v>1080</v>
          </cell>
          <cell r="Z155">
            <v>471</v>
          </cell>
          <cell r="AA155">
            <v>442</v>
          </cell>
          <cell r="AB155">
            <v>421</v>
          </cell>
          <cell r="AC155">
            <v>367</v>
          </cell>
          <cell r="AD155">
            <v>489</v>
          </cell>
          <cell r="AE155">
            <v>321</v>
          </cell>
          <cell r="AF155">
            <v>356</v>
          </cell>
          <cell r="AG155">
            <v>348</v>
          </cell>
          <cell r="AH155">
            <v>407</v>
          </cell>
          <cell r="AI155">
            <v>432</v>
          </cell>
          <cell r="AJ155">
            <v>346</v>
          </cell>
        </row>
        <row r="156">
          <cell r="E156" t="str">
            <v>VT Transportation Aviation Gasoline</v>
          </cell>
          <cell r="F156">
            <v>75</v>
          </cell>
          <cell r="G156">
            <v>78</v>
          </cell>
          <cell r="H156">
            <v>75</v>
          </cell>
          <cell r="I156">
            <v>61</v>
          </cell>
          <cell r="J156">
            <v>57</v>
          </cell>
          <cell r="K156">
            <v>60</v>
          </cell>
          <cell r="L156">
            <v>51</v>
          </cell>
          <cell r="M156">
            <v>61</v>
          </cell>
          <cell r="N156">
            <v>52</v>
          </cell>
          <cell r="O156">
            <v>61</v>
          </cell>
          <cell r="P156">
            <v>204</v>
          </cell>
          <cell r="Q156">
            <v>221</v>
          </cell>
          <cell r="R156">
            <v>52</v>
          </cell>
          <cell r="S156">
            <v>46</v>
          </cell>
          <cell r="T156">
            <v>106</v>
          </cell>
          <cell r="U156">
            <v>129</v>
          </cell>
          <cell r="V156">
            <v>83</v>
          </cell>
          <cell r="W156">
            <v>82</v>
          </cell>
          <cell r="X156">
            <v>52</v>
          </cell>
          <cell r="Y156">
            <v>57</v>
          </cell>
          <cell r="Z156">
            <v>45</v>
          </cell>
          <cell r="AA156">
            <v>42</v>
          </cell>
          <cell r="AB156">
            <v>42</v>
          </cell>
          <cell r="AC156">
            <v>33</v>
          </cell>
          <cell r="AD156">
            <v>22</v>
          </cell>
          <cell r="AE156">
            <v>37</v>
          </cell>
          <cell r="AF156">
            <v>36</v>
          </cell>
          <cell r="AG156">
            <v>38</v>
          </cell>
          <cell r="AH156">
            <v>46</v>
          </cell>
          <cell r="AI156">
            <v>44</v>
          </cell>
          <cell r="AJ156">
            <v>35</v>
          </cell>
        </row>
        <row r="157">
          <cell r="E157" t="str">
            <v>WA Transportation Aviation Gasoline</v>
          </cell>
          <cell r="F157">
            <v>1579</v>
          </cell>
          <cell r="G157">
            <v>1352</v>
          </cell>
          <cell r="H157">
            <v>1458</v>
          </cell>
          <cell r="I157">
            <v>997</v>
          </cell>
          <cell r="J157">
            <v>1606</v>
          </cell>
          <cell r="K157">
            <v>1158</v>
          </cell>
          <cell r="L157">
            <v>1473</v>
          </cell>
          <cell r="M157">
            <v>1019</v>
          </cell>
          <cell r="N157">
            <v>1795</v>
          </cell>
          <cell r="O157">
            <v>1431</v>
          </cell>
          <cell r="P157">
            <v>1675</v>
          </cell>
          <cell r="Q157">
            <v>747</v>
          </cell>
          <cell r="R157">
            <v>1302</v>
          </cell>
          <cell r="S157">
            <v>1137</v>
          </cell>
          <cell r="T157">
            <v>1020</v>
          </cell>
          <cell r="U157">
            <v>1322</v>
          </cell>
          <cell r="V157">
            <v>928</v>
          </cell>
          <cell r="W157">
            <v>889</v>
          </cell>
          <cell r="X157">
            <v>668</v>
          </cell>
          <cell r="Y157">
            <v>563</v>
          </cell>
          <cell r="Z157">
            <v>809</v>
          </cell>
          <cell r="AA157">
            <v>880</v>
          </cell>
          <cell r="AB157">
            <v>944</v>
          </cell>
          <cell r="AC157">
            <v>827</v>
          </cell>
          <cell r="AD157">
            <v>371</v>
          </cell>
          <cell r="AE157">
            <v>471</v>
          </cell>
          <cell r="AF157">
            <v>440</v>
          </cell>
          <cell r="AG157">
            <v>434</v>
          </cell>
          <cell r="AH157">
            <v>515</v>
          </cell>
          <cell r="AI157">
            <v>573</v>
          </cell>
          <cell r="AJ157">
            <v>495</v>
          </cell>
        </row>
        <row r="158">
          <cell r="E158" t="str">
            <v>WI Transportation Aviation Gasoline</v>
          </cell>
          <cell r="F158">
            <v>615</v>
          </cell>
          <cell r="G158">
            <v>529</v>
          </cell>
          <cell r="H158">
            <v>612</v>
          </cell>
          <cell r="I158">
            <v>602</v>
          </cell>
          <cell r="J158">
            <v>1438</v>
          </cell>
          <cell r="K158">
            <v>1886</v>
          </cell>
          <cell r="L158">
            <v>1853</v>
          </cell>
          <cell r="M158">
            <v>2453</v>
          </cell>
          <cell r="N158">
            <v>2291</v>
          </cell>
          <cell r="O158">
            <v>674</v>
          </cell>
          <cell r="P158">
            <v>566</v>
          </cell>
          <cell r="Q158">
            <v>1189</v>
          </cell>
          <cell r="R158">
            <v>635</v>
          </cell>
          <cell r="S158">
            <v>270</v>
          </cell>
          <cell r="T158">
            <v>818</v>
          </cell>
          <cell r="U158">
            <v>418</v>
          </cell>
          <cell r="V158">
            <v>358</v>
          </cell>
          <cell r="W158">
            <v>306</v>
          </cell>
          <cell r="X158">
            <v>321</v>
          </cell>
          <cell r="Y158">
            <v>222</v>
          </cell>
          <cell r="Z158">
            <v>273</v>
          </cell>
          <cell r="AA158">
            <v>297</v>
          </cell>
          <cell r="AB158">
            <v>288</v>
          </cell>
          <cell r="AC158">
            <v>262</v>
          </cell>
          <cell r="AD158">
            <v>302</v>
          </cell>
          <cell r="AE158">
            <v>313</v>
          </cell>
          <cell r="AF158">
            <v>304</v>
          </cell>
          <cell r="AG158">
            <v>299</v>
          </cell>
          <cell r="AH158">
            <v>323</v>
          </cell>
          <cell r="AI158">
            <v>332</v>
          </cell>
          <cell r="AJ158">
            <v>284</v>
          </cell>
        </row>
        <row r="159">
          <cell r="E159" t="str">
            <v>WV Transportation Aviation Gasoline</v>
          </cell>
          <cell r="F159">
            <v>181</v>
          </cell>
          <cell r="G159">
            <v>167</v>
          </cell>
          <cell r="H159">
            <v>0</v>
          </cell>
          <cell r="I159">
            <v>129</v>
          </cell>
          <cell r="J159">
            <v>131</v>
          </cell>
          <cell r="K159">
            <v>137</v>
          </cell>
          <cell r="L159">
            <v>161</v>
          </cell>
          <cell r="M159">
            <v>112</v>
          </cell>
          <cell r="N159">
            <v>151</v>
          </cell>
          <cell r="O159">
            <v>113</v>
          </cell>
          <cell r="P159">
            <v>102</v>
          </cell>
          <cell r="Q159">
            <v>174</v>
          </cell>
          <cell r="R159">
            <v>137</v>
          </cell>
          <cell r="S159">
            <v>120</v>
          </cell>
          <cell r="T159">
            <v>147</v>
          </cell>
          <cell r="U159">
            <v>451</v>
          </cell>
          <cell r="V159">
            <v>184</v>
          </cell>
          <cell r="W159">
            <v>183</v>
          </cell>
          <cell r="X159">
            <v>108</v>
          </cell>
          <cell r="Y159">
            <v>152</v>
          </cell>
          <cell r="Z159">
            <v>123</v>
          </cell>
          <cell r="AA159">
            <v>116</v>
          </cell>
          <cell r="AB159">
            <v>112</v>
          </cell>
          <cell r="AC159">
            <v>94</v>
          </cell>
          <cell r="AD159">
            <v>66</v>
          </cell>
          <cell r="AE159">
            <v>59</v>
          </cell>
          <cell r="AF159">
            <v>47</v>
          </cell>
          <cell r="AG159">
            <v>57</v>
          </cell>
          <cell r="AH159">
            <v>73</v>
          </cell>
          <cell r="AI159">
            <v>74</v>
          </cell>
          <cell r="AJ159">
            <v>60</v>
          </cell>
        </row>
        <row r="160">
          <cell r="E160" t="str">
            <v>WY Transportation Aviation Gasoline</v>
          </cell>
          <cell r="F160">
            <v>178</v>
          </cell>
          <cell r="G160">
            <v>142</v>
          </cell>
          <cell r="H160">
            <v>126</v>
          </cell>
          <cell r="I160">
            <v>101</v>
          </cell>
          <cell r="J160">
            <v>165</v>
          </cell>
          <cell r="K160">
            <v>904</v>
          </cell>
          <cell r="L160">
            <v>1076</v>
          </cell>
          <cell r="M160">
            <v>764</v>
          </cell>
          <cell r="N160">
            <v>762</v>
          </cell>
          <cell r="O160">
            <v>1179</v>
          </cell>
          <cell r="P160">
            <v>1401</v>
          </cell>
          <cell r="Q160">
            <v>1057</v>
          </cell>
          <cell r="R160">
            <v>1219</v>
          </cell>
          <cell r="S160">
            <v>1089</v>
          </cell>
          <cell r="T160">
            <v>1084</v>
          </cell>
          <cell r="U160">
            <v>1250</v>
          </cell>
          <cell r="V160">
            <v>1262</v>
          </cell>
          <cell r="W160">
            <v>960</v>
          </cell>
          <cell r="X160">
            <v>1243</v>
          </cell>
          <cell r="Y160">
            <v>1166</v>
          </cell>
          <cell r="Z160">
            <v>150</v>
          </cell>
          <cell r="AA160">
            <v>140</v>
          </cell>
          <cell r="AB160">
            <v>122</v>
          </cell>
          <cell r="AC160">
            <v>108</v>
          </cell>
          <cell r="AD160">
            <v>155</v>
          </cell>
          <cell r="AE160">
            <v>100</v>
          </cell>
          <cell r="AF160">
            <v>98</v>
          </cell>
          <cell r="AG160">
            <v>87</v>
          </cell>
          <cell r="AH160">
            <v>98</v>
          </cell>
          <cell r="AI160">
            <v>110</v>
          </cell>
          <cell r="AJ160">
            <v>106</v>
          </cell>
        </row>
        <row r="161">
          <cell r="E161" t="str">
            <v>AK Transportation Coal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row>
        <row r="162">
          <cell r="E162" t="str">
            <v>AL Transportation Coal</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row>
        <row r="163">
          <cell r="E163" t="str">
            <v>AR Transportation Coal</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row>
        <row r="164">
          <cell r="E164" t="str">
            <v>AZ Transportation Coal</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row>
        <row r="165">
          <cell r="E165" t="str">
            <v>CA Transportation Coal</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row>
        <row r="166">
          <cell r="E166" t="str">
            <v>CO Transportation Coal</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row>
        <row r="167">
          <cell r="E167" t="str">
            <v>CT Transportation Coal</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row>
        <row r="168">
          <cell r="E168" t="str">
            <v>DC Transportation Coal</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row>
        <row r="169">
          <cell r="E169" t="str">
            <v>DE Transportation Coal</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row>
        <row r="170">
          <cell r="E170" t="str">
            <v>FL Transportation Coal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row>
        <row r="171">
          <cell r="E171" t="str">
            <v>GA Transportation Coal</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row>
        <row r="172">
          <cell r="E172" t="str">
            <v>HI Transportation Coal</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row>
        <row r="173">
          <cell r="E173" t="str">
            <v>IA Transportation Coal</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row>
        <row r="174">
          <cell r="E174" t="str">
            <v>ID Transportation Coal</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row>
        <row r="175">
          <cell r="E175" t="str">
            <v>IL Transportation Coal</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row>
        <row r="176">
          <cell r="E176" t="str">
            <v>IN Transportation Coal</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row>
        <row r="177">
          <cell r="E177" t="str">
            <v>KS Transportation Coal</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row>
        <row r="178">
          <cell r="E178" t="str">
            <v>KY Transportation Coal</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row>
        <row r="179">
          <cell r="E179" t="str">
            <v>LA Transportation Coal</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row>
        <row r="180">
          <cell r="E180" t="str">
            <v>MA Transportation Coal</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row>
        <row r="181">
          <cell r="E181" t="str">
            <v>MD Transportation Coal</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row>
        <row r="182">
          <cell r="E182" t="str">
            <v>ME Transportation Coal</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row>
        <row r="183">
          <cell r="E183" t="str">
            <v>MI Transportation Coal</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row>
        <row r="184">
          <cell r="E184" t="str">
            <v>MN Transportation Coal</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row>
        <row r="185">
          <cell r="E185" t="str">
            <v>MO Transportation Coal</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row>
        <row r="186">
          <cell r="E186" t="str">
            <v>MS Transportation Coal</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row>
        <row r="187">
          <cell r="E187" t="str">
            <v>MT Transportation Coal</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row>
        <row r="188">
          <cell r="E188" t="str">
            <v>NC Transportation Coal</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row>
        <row r="189">
          <cell r="E189" t="str">
            <v>ND Transportation Coal</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row>
        <row r="190">
          <cell r="E190" t="str">
            <v>NE Transportation Coal</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row>
        <row r="191">
          <cell r="E191" t="str">
            <v>NH Transportation Coal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row>
        <row r="192">
          <cell r="E192" t="str">
            <v>NJ Transportation Coal</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row>
        <row r="193">
          <cell r="E193" t="str">
            <v>NM Transportation Coal</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row>
        <row r="194">
          <cell r="E194" t="str">
            <v>NV Transportation Coal</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row>
        <row r="195">
          <cell r="E195" t="str">
            <v>NY Transportation Coal</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row>
        <row r="196">
          <cell r="E196" t="str">
            <v>OH Transportation Coal</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row>
        <row r="197">
          <cell r="E197" t="str">
            <v>OK Transportation Coal</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row>
        <row r="198">
          <cell r="E198" t="str">
            <v>OR Transportation Coal</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row>
        <row r="199">
          <cell r="E199" t="str">
            <v>PA Transportation Coal</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row>
        <row r="200">
          <cell r="E200" t="str">
            <v>RI Transportation Coal</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row>
        <row r="201">
          <cell r="E201" t="str">
            <v>SC Transportation Coal</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row>
        <row r="202">
          <cell r="E202" t="str">
            <v>SD Transportation Coal</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row>
        <row r="203">
          <cell r="E203" t="str">
            <v>TN Transportation Coal</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row>
        <row r="204">
          <cell r="E204" t="str">
            <v>TX Transportation Coal</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row>
        <row r="205">
          <cell r="E205" t="str">
            <v>US Transportation Coal</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row>
        <row r="206">
          <cell r="E206" t="str">
            <v>UT Transportation Coal</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row>
        <row r="207">
          <cell r="E207" t="str">
            <v>VA Transportation Coal</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row>
        <row r="208">
          <cell r="E208" t="str">
            <v>VT Transportation Coal</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row>
        <row r="209">
          <cell r="E209" t="str">
            <v>WA Transportation Coal</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row>
        <row r="210">
          <cell r="E210" t="str">
            <v>WI Transportation Coal</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row>
        <row r="211">
          <cell r="E211" t="str">
            <v>WV Transportation Coal</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row>
        <row r="212">
          <cell r="E212" t="str">
            <v>WY Transportation Coal</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row>
        <row r="213">
          <cell r="E213" t="str">
            <v>AK Commercial Coal</v>
          </cell>
          <cell r="F213">
            <v>6241</v>
          </cell>
          <cell r="G213">
            <v>6530</v>
          </cell>
          <cell r="H213">
            <v>6665</v>
          </cell>
          <cell r="I213">
            <v>7294</v>
          </cell>
          <cell r="J213">
            <v>6977</v>
          </cell>
          <cell r="K213">
            <v>7187</v>
          </cell>
          <cell r="L213">
            <v>6593</v>
          </cell>
          <cell r="M213">
            <v>7092</v>
          </cell>
          <cell r="N213">
            <v>7411</v>
          </cell>
          <cell r="O213">
            <v>7585</v>
          </cell>
          <cell r="P213">
            <v>7262</v>
          </cell>
          <cell r="Q213">
            <v>6569</v>
          </cell>
          <cell r="R213">
            <v>6464</v>
          </cell>
          <cell r="S213">
            <v>6081</v>
          </cell>
          <cell r="T213">
            <v>6980</v>
          </cell>
          <cell r="U213">
            <v>7252</v>
          </cell>
          <cell r="V213">
            <v>7920</v>
          </cell>
          <cell r="W213">
            <v>6649</v>
          </cell>
          <cell r="X213">
            <v>8527</v>
          </cell>
          <cell r="Y213">
            <v>8098</v>
          </cell>
          <cell r="Z213">
            <v>8533</v>
          </cell>
          <cell r="AA213">
            <v>9432</v>
          </cell>
          <cell r="AB213">
            <v>9201</v>
          </cell>
          <cell r="AC213">
            <v>8939</v>
          </cell>
          <cell r="AD213">
            <v>8316</v>
          </cell>
          <cell r="AE213">
            <v>8486</v>
          </cell>
          <cell r="AF213">
            <v>6952</v>
          </cell>
          <cell r="AG213">
            <v>7144</v>
          </cell>
          <cell r="AH213">
            <v>6931</v>
          </cell>
          <cell r="AI213">
            <v>6568</v>
          </cell>
          <cell r="AJ213">
            <v>7108</v>
          </cell>
        </row>
        <row r="214">
          <cell r="E214" t="str">
            <v>AL Commercial Coal</v>
          </cell>
          <cell r="F214">
            <v>2059</v>
          </cell>
          <cell r="G214">
            <v>336</v>
          </cell>
          <cell r="H214">
            <v>1759</v>
          </cell>
          <cell r="I214">
            <v>796</v>
          </cell>
          <cell r="J214">
            <v>221</v>
          </cell>
          <cell r="K214">
            <v>154</v>
          </cell>
          <cell r="L214">
            <v>954</v>
          </cell>
          <cell r="M214">
            <v>1596</v>
          </cell>
          <cell r="N214">
            <v>204</v>
          </cell>
          <cell r="O214">
            <v>524</v>
          </cell>
          <cell r="P214">
            <v>1194</v>
          </cell>
          <cell r="Q214">
            <v>273</v>
          </cell>
          <cell r="R214">
            <v>81</v>
          </cell>
          <cell r="S214">
            <v>61</v>
          </cell>
          <cell r="T214">
            <v>10</v>
          </cell>
          <cell r="U214">
            <v>42</v>
          </cell>
          <cell r="V214">
            <v>570</v>
          </cell>
          <cell r="W214">
            <v>19</v>
          </cell>
          <cell r="X214">
            <v>0</v>
          </cell>
          <cell r="Y214">
            <v>0</v>
          </cell>
          <cell r="Z214">
            <v>0</v>
          </cell>
          <cell r="AA214">
            <v>0</v>
          </cell>
          <cell r="AB214">
            <v>0</v>
          </cell>
          <cell r="AC214">
            <v>0</v>
          </cell>
          <cell r="AD214">
            <v>0</v>
          </cell>
          <cell r="AE214">
            <v>0</v>
          </cell>
          <cell r="AF214">
            <v>0</v>
          </cell>
          <cell r="AG214">
            <v>0</v>
          </cell>
          <cell r="AH214">
            <v>0</v>
          </cell>
          <cell r="AI214">
            <v>0</v>
          </cell>
          <cell r="AJ214">
            <v>0</v>
          </cell>
        </row>
        <row r="215">
          <cell r="E215" t="str">
            <v>AR Commercial Coal</v>
          </cell>
          <cell r="F215">
            <v>4</v>
          </cell>
          <cell r="G215">
            <v>9</v>
          </cell>
          <cell r="H215">
            <v>42</v>
          </cell>
          <cell r="I215">
            <v>16</v>
          </cell>
          <cell r="J215">
            <v>7</v>
          </cell>
          <cell r="K215">
            <v>0</v>
          </cell>
          <cell r="L215">
            <v>0</v>
          </cell>
          <cell r="M215">
            <v>1</v>
          </cell>
          <cell r="N215">
            <v>1</v>
          </cell>
          <cell r="O215">
            <v>1</v>
          </cell>
          <cell r="P215">
            <v>0</v>
          </cell>
          <cell r="Q215">
            <v>0</v>
          </cell>
          <cell r="R215">
            <v>1</v>
          </cell>
          <cell r="S215">
            <v>0</v>
          </cell>
          <cell r="T215">
            <v>1</v>
          </cell>
          <cell r="U215">
            <v>0</v>
          </cell>
          <cell r="V215">
            <v>1</v>
          </cell>
          <cell r="W215">
            <v>24</v>
          </cell>
          <cell r="X215">
            <v>0</v>
          </cell>
          <cell r="Y215">
            <v>0</v>
          </cell>
          <cell r="Z215">
            <v>0</v>
          </cell>
          <cell r="AA215">
            <v>0</v>
          </cell>
          <cell r="AB215">
            <v>0</v>
          </cell>
          <cell r="AC215">
            <v>0</v>
          </cell>
          <cell r="AD215">
            <v>0</v>
          </cell>
          <cell r="AE215">
            <v>0</v>
          </cell>
          <cell r="AF215">
            <v>0</v>
          </cell>
          <cell r="AG215">
            <v>0</v>
          </cell>
          <cell r="AH215">
            <v>0</v>
          </cell>
          <cell r="AI215">
            <v>0</v>
          </cell>
          <cell r="AJ215">
            <v>0</v>
          </cell>
        </row>
        <row r="216">
          <cell r="E216" t="str">
            <v>AZ Commercial Coal</v>
          </cell>
          <cell r="F216">
            <v>2</v>
          </cell>
          <cell r="G216">
            <v>5</v>
          </cell>
          <cell r="H216">
            <v>65</v>
          </cell>
          <cell r="I216">
            <v>17</v>
          </cell>
          <cell r="J216">
            <v>2</v>
          </cell>
          <cell r="K216">
            <v>96</v>
          </cell>
          <cell r="L216">
            <v>3</v>
          </cell>
          <cell r="M216">
            <v>3</v>
          </cell>
          <cell r="N216">
            <v>7</v>
          </cell>
          <cell r="O216">
            <v>1</v>
          </cell>
          <cell r="P216">
            <v>1</v>
          </cell>
          <cell r="Q216">
            <v>11</v>
          </cell>
          <cell r="R216">
            <v>13</v>
          </cell>
          <cell r="S216">
            <v>13</v>
          </cell>
          <cell r="T216">
            <v>16</v>
          </cell>
          <cell r="U216">
            <v>24</v>
          </cell>
          <cell r="V216">
            <v>14</v>
          </cell>
          <cell r="W216">
            <v>13</v>
          </cell>
          <cell r="X216">
            <v>0</v>
          </cell>
          <cell r="Y216">
            <v>0</v>
          </cell>
          <cell r="Z216">
            <v>0</v>
          </cell>
          <cell r="AA216">
            <v>0</v>
          </cell>
          <cell r="AB216">
            <v>0</v>
          </cell>
          <cell r="AC216">
            <v>0</v>
          </cell>
          <cell r="AD216">
            <v>0</v>
          </cell>
          <cell r="AE216">
            <v>0</v>
          </cell>
          <cell r="AF216">
            <v>0</v>
          </cell>
          <cell r="AG216">
            <v>0</v>
          </cell>
          <cell r="AH216">
            <v>0</v>
          </cell>
          <cell r="AI216">
            <v>0</v>
          </cell>
          <cell r="AJ216">
            <v>0</v>
          </cell>
        </row>
        <row r="217">
          <cell r="E217" t="str">
            <v>CA Commercial Coal</v>
          </cell>
          <cell r="F217">
            <v>465</v>
          </cell>
          <cell r="G217">
            <v>841</v>
          </cell>
          <cell r="H217">
            <v>4</v>
          </cell>
          <cell r="I217">
            <v>2700</v>
          </cell>
          <cell r="J217">
            <v>3282</v>
          </cell>
          <cell r="K217">
            <v>2693</v>
          </cell>
          <cell r="L217">
            <v>3628</v>
          </cell>
          <cell r="M217">
            <v>2232</v>
          </cell>
          <cell r="N217">
            <v>2426</v>
          </cell>
          <cell r="O217">
            <v>576</v>
          </cell>
          <cell r="P217">
            <v>500</v>
          </cell>
          <cell r="Q217">
            <v>1</v>
          </cell>
          <cell r="R217">
            <v>1</v>
          </cell>
          <cell r="S217">
            <v>5</v>
          </cell>
          <cell r="T217">
            <v>168</v>
          </cell>
          <cell r="U217">
            <v>410</v>
          </cell>
          <cell r="V217">
            <v>30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row>
        <row r="218">
          <cell r="E218" t="str">
            <v>CO Commercial Coal</v>
          </cell>
          <cell r="F218">
            <v>992</v>
          </cell>
          <cell r="G218">
            <v>1143</v>
          </cell>
          <cell r="H218">
            <v>1004</v>
          </cell>
          <cell r="I218">
            <v>675</v>
          </cell>
          <cell r="J218">
            <v>430</v>
          </cell>
          <cell r="K218">
            <v>379</v>
          </cell>
          <cell r="L218">
            <v>259</v>
          </cell>
          <cell r="M218">
            <v>1076</v>
          </cell>
          <cell r="N218">
            <v>352</v>
          </cell>
          <cell r="O218">
            <v>2024</v>
          </cell>
          <cell r="P218">
            <v>1546</v>
          </cell>
          <cell r="Q218">
            <v>5810</v>
          </cell>
          <cell r="R218">
            <v>4513</v>
          </cell>
          <cell r="S218">
            <v>5404</v>
          </cell>
          <cell r="T218">
            <v>4489</v>
          </cell>
          <cell r="U218">
            <v>2720</v>
          </cell>
          <cell r="V218">
            <v>1348</v>
          </cell>
          <cell r="W218">
            <v>260</v>
          </cell>
          <cell r="X218">
            <v>6970</v>
          </cell>
          <cell r="Y218">
            <v>6530</v>
          </cell>
          <cell r="Z218">
            <v>6055</v>
          </cell>
          <cell r="AA218">
            <v>3179</v>
          </cell>
          <cell r="AB218">
            <v>240</v>
          </cell>
          <cell r="AC218">
            <v>118</v>
          </cell>
          <cell r="AD218">
            <v>151</v>
          </cell>
          <cell r="AE218">
            <v>76</v>
          </cell>
          <cell r="AF218">
            <v>34</v>
          </cell>
          <cell r="AG218">
            <v>8</v>
          </cell>
          <cell r="AH218">
            <v>0</v>
          </cell>
          <cell r="AI218">
            <v>0</v>
          </cell>
          <cell r="AJ218">
            <v>32</v>
          </cell>
        </row>
        <row r="219">
          <cell r="E219" t="str">
            <v>CT Commercial Coal</v>
          </cell>
          <cell r="F219">
            <v>242</v>
          </cell>
          <cell r="G219">
            <v>269</v>
          </cell>
          <cell r="H219">
            <v>407</v>
          </cell>
          <cell r="I219">
            <v>257</v>
          </cell>
          <cell r="J219">
            <v>256</v>
          </cell>
          <cell r="K219">
            <v>518</v>
          </cell>
          <cell r="L219">
            <v>121</v>
          </cell>
          <cell r="M219">
            <v>160</v>
          </cell>
          <cell r="N219">
            <v>154</v>
          </cell>
          <cell r="O219">
            <v>123</v>
          </cell>
          <cell r="P219">
            <v>88</v>
          </cell>
          <cell r="Q219">
            <v>90</v>
          </cell>
          <cell r="R219">
            <v>89</v>
          </cell>
          <cell r="S219">
            <v>88</v>
          </cell>
          <cell r="T219">
            <v>91</v>
          </cell>
          <cell r="U219">
            <v>116</v>
          </cell>
          <cell r="V219">
            <v>84</v>
          </cell>
          <cell r="W219">
            <v>76</v>
          </cell>
          <cell r="X219">
            <v>0</v>
          </cell>
          <cell r="Y219">
            <v>0</v>
          </cell>
          <cell r="Z219">
            <v>0</v>
          </cell>
          <cell r="AA219">
            <v>0</v>
          </cell>
          <cell r="AB219">
            <v>0</v>
          </cell>
          <cell r="AC219">
            <v>0</v>
          </cell>
          <cell r="AD219">
            <v>0</v>
          </cell>
          <cell r="AE219">
            <v>0</v>
          </cell>
          <cell r="AF219">
            <v>0</v>
          </cell>
          <cell r="AG219">
            <v>0</v>
          </cell>
          <cell r="AH219">
            <v>0</v>
          </cell>
          <cell r="AI219">
            <v>0</v>
          </cell>
          <cell r="AJ219">
            <v>0</v>
          </cell>
        </row>
        <row r="220">
          <cell r="E220" t="str">
            <v>DC Commercial Coal</v>
          </cell>
          <cell r="F220">
            <v>1387</v>
          </cell>
          <cell r="G220">
            <v>1356</v>
          </cell>
          <cell r="H220">
            <v>1029</v>
          </cell>
          <cell r="I220">
            <v>1049</v>
          </cell>
          <cell r="J220">
            <v>994</v>
          </cell>
          <cell r="K220">
            <v>124</v>
          </cell>
          <cell r="L220">
            <v>506</v>
          </cell>
          <cell r="M220">
            <v>875</v>
          </cell>
          <cell r="N220">
            <v>138</v>
          </cell>
          <cell r="O220">
            <v>133</v>
          </cell>
          <cell r="P220">
            <v>158</v>
          </cell>
          <cell r="Q220">
            <v>659</v>
          </cell>
          <cell r="R220">
            <v>87</v>
          </cell>
          <cell r="S220">
            <v>150</v>
          </cell>
          <cell r="T220">
            <v>667</v>
          </cell>
          <cell r="U220">
            <v>864</v>
          </cell>
          <cell r="V220">
            <v>0</v>
          </cell>
          <cell r="W220">
            <v>452</v>
          </cell>
          <cell r="X220">
            <v>391</v>
          </cell>
          <cell r="Y220">
            <v>331</v>
          </cell>
          <cell r="Z220">
            <v>71</v>
          </cell>
          <cell r="AA220">
            <v>48</v>
          </cell>
          <cell r="AB220">
            <v>77</v>
          </cell>
          <cell r="AC220">
            <v>4</v>
          </cell>
          <cell r="AD220">
            <v>48</v>
          </cell>
          <cell r="AE220">
            <v>44</v>
          </cell>
          <cell r="AF220">
            <v>34</v>
          </cell>
          <cell r="AG220">
            <v>30</v>
          </cell>
          <cell r="AH220">
            <v>37</v>
          </cell>
          <cell r="AI220">
            <v>5</v>
          </cell>
          <cell r="AJ220">
            <v>0</v>
          </cell>
        </row>
        <row r="221">
          <cell r="E221" t="str">
            <v>DE Commercial Coal</v>
          </cell>
          <cell r="F221">
            <v>437</v>
          </cell>
          <cell r="G221">
            <v>410</v>
          </cell>
          <cell r="H221">
            <v>6</v>
          </cell>
          <cell r="I221">
            <v>958</v>
          </cell>
          <cell r="J221">
            <v>608</v>
          </cell>
          <cell r="K221">
            <v>21</v>
          </cell>
          <cell r="L221">
            <v>110</v>
          </cell>
          <cell r="M221">
            <v>134</v>
          </cell>
          <cell r="N221">
            <v>168</v>
          </cell>
          <cell r="O221">
            <v>23</v>
          </cell>
          <cell r="P221">
            <v>23</v>
          </cell>
          <cell r="Q221">
            <v>22</v>
          </cell>
          <cell r="R221">
            <v>0</v>
          </cell>
          <cell r="S221">
            <v>0</v>
          </cell>
          <cell r="T221">
            <v>0</v>
          </cell>
          <cell r="U221">
            <v>0</v>
          </cell>
          <cell r="V221">
            <v>9</v>
          </cell>
          <cell r="W221">
            <v>12</v>
          </cell>
          <cell r="X221">
            <v>0</v>
          </cell>
          <cell r="Y221">
            <v>0</v>
          </cell>
          <cell r="Z221">
            <v>0</v>
          </cell>
          <cell r="AA221">
            <v>0</v>
          </cell>
          <cell r="AB221">
            <v>0</v>
          </cell>
          <cell r="AC221">
            <v>0</v>
          </cell>
          <cell r="AD221">
            <v>0</v>
          </cell>
          <cell r="AE221">
            <v>0</v>
          </cell>
          <cell r="AF221">
            <v>0</v>
          </cell>
          <cell r="AG221">
            <v>0</v>
          </cell>
          <cell r="AH221">
            <v>0</v>
          </cell>
          <cell r="AI221">
            <v>0</v>
          </cell>
          <cell r="AJ221">
            <v>0</v>
          </cell>
        </row>
        <row r="222">
          <cell r="E222" t="str">
            <v>FL Commercial Coal</v>
          </cell>
          <cell r="F222">
            <v>92</v>
          </cell>
          <cell r="G222">
            <v>4</v>
          </cell>
          <cell r="H222">
            <v>315</v>
          </cell>
          <cell r="I222">
            <v>324</v>
          </cell>
          <cell r="J222">
            <v>428</v>
          </cell>
          <cell r="K222">
            <v>28</v>
          </cell>
          <cell r="L222">
            <v>22</v>
          </cell>
          <cell r="M222">
            <v>0</v>
          </cell>
          <cell r="N222">
            <v>130</v>
          </cell>
          <cell r="O222">
            <v>148</v>
          </cell>
          <cell r="P222">
            <v>213</v>
          </cell>
          <cell r="Q222">
            <v>1245</v>
          </cell>
          <cell r="R222">
            <v>212</v>
          </cell>
          <cell r="S222">
            <v>167</v>
          </cell>
          <cell r="T222">
            <v>0</v>
          </cell>
          <cell r="U222">
            <v>7</v>
          </cell>
          <cell r="V222">
            <v>11</v>
          </cell>
          <cell r="W222">
            <v>12</v>
          </cell>
          <cell r="X222">
            <v>0</v>
          </cell>
          <cell r="Y222">
            <v>0</v>
          </cell>
          <cell r="Z222">
            <v>0</v>
          </cell>
          <cell r="AA222">
            <v>0</v>
          </cell>
          <cell r="AB222">
            <v>0</v>
          </cell>
          <cell r="AC222">
            <v>0</v>
          </cell>
          <cell r="AD222">
            <v>0</v>
          </cell>
          <cell r="AE222">
            <v>0</v>
          </cell>
          <cell r="AF222">
            <v>0</v>
          </cell>
          <cell r="AG222">
            <v>0</v>
          </cell>
          <cell r="AH222">
            <v>0</v>
          </cell>
          <cell r="AI222">
            <v>0</v>
          </cell>
          <cell r="AJ222">
            <v>0</v>
          </cell>
        </row>
        <row r="223">
          <cell r="E223" t="str">
            <v>GA Commercial Coal</v>
          </cell>
          <cell r="F223">
            <v>448</v>
          </cell>
          <cell r="G223">
            <v>163</v>
          </cell>
          <cell r="H223">
            <v>793</v>
          </cell>
          <cell r="I223">
            <v>452</v>
          </cell>
          <cell r="J223">
            <v>612</v>
          </cell>
          <cell r="K223">
            <v>1290</v>
          </cell>
          <cell r="L223">
            <v>67</v>
          </cell>
          <cell r="M223">
            <v>378</v>
          </cell>
          <cell r="N223">
            <v>249</v>
          </cell>
          <cell r="O223">
            <v>376</v>
          </cell>
          <cell r="P223">
            <v>196</v>
          </cell>
          <cell r="Q223">
            <v>256</v>
          </cell>
          <cell r="R223">
            <v>117</v>
          </cell>
          <cell r="S223">
            <v>0</v>
          </cell>
          <cell r="T223">
            <v>157</v>
          </cell>
          <cell r="U223">
            <v>1120</v>
          </cell>
          <cell r="V223">
            <v>0</v>
          </cell>
          <cell r="W223">
            <v>46</v>
          </cell>
          <cell r="X223">
            <v>331</v>
          </cell>
          <cell r="Y223">
            <v>182</v>
          </cell>
          <cell r="Z223">
            <v>189</v>
          </cell>
          <cell r="AA223">
            <v>223</v>
          </cell>
          <cell r="AB223">
            <v>189</v>
          </cell>
          <cell r="AC223">
            <v>152</v>
          </cell>
          <cell r="AD223">
            <v>99</v>
          </cell>
          <cell r="AE223">
            <v>60</v>
          </cell>
          <cell r="AF223">
            <v>0</v>
          </cell>
          <cell r="AG223">
            <v>0</v>
          </cell>
          <cell r="AH223">
            <v>0</v>
          </cell>
          <cell r="AI223">
            <v>0</v>
          </cell>
          <cell r="AJ223">
            <v>0</v>
          </cell>
        </row>
        <row r="224">
          <cell r="E224" t="str">
            <v>HI Commercial Coal</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row>
        <row r="225">
          <cell r="E225" t="str">
            <v>IA Commercial Coal</v>
          </cell>
          <cell r="F225">
            <v>4703</v>
          </cell>
          <cell r="G225">
            <v>4401</v>
          </cell>
          <cell r="H225">
            <v>1245</v>
          </cell>
          <cell r="I225">
            <v>1351</v>
          </cell>
          <cell r="J225">
            <v>813</v>
          </cell>
          <cell r="K225">
            <v>1904</v>
          </cell>
          <cell r="L225">
            <v>4791</v>
          </cell>
          <cell r="M225">
            <v>7836</v>
          </cell>
          <cell r="N225">
            <v>6067</v>
          </cell>
          <cell r="O225">
            <v>8895</v>
          </cell>
          <cell r="P225">
            <v>6064</v>
          </cell>
          <cell r="Q225">
            <v>5926</v>
          </cell>
          <cell r="R225">
            <v>6658</v>
          </cell>
          <cell r="S225">
            <v>6058</v>
          </cell>
          <cell r="T225">
            <v>3729</v>
          </cell>
          <cell r="U225">
            <v>5942</v>
          </cell>
          <cell r="V225">
            <v>6465</v>
          </cell>
          <cell r="W225">
            <v>6797</v>
          </cell>
          <cell r="X225">
            <v>5942</v>
          </cell>
          <cell r="Y225">
            <v>6106</v>
          </cell>
          <cell r="Z225">
            <v>6127</v>
          </cell>
          <cell r="AA225">
            <v>5691</v>
          </cell>
          <cell r="AB225">
            <v>4910</v>
          </cell>
          <cell r="AC225">
            <v>4798</v>
          </cell>
          <cell r="AD225">
            <v>4778</v>
          </cell>
          <cell r="AE225">
            <v>3943</v>
          </cell>
          <cell r="AF225">
            <v>2979</v>
          </cell>
          <cell r="AG225">
            <v>2783</v>
          </cell>
          <cell r="AH225">
            <v>2404</v>
          </cell>
          <cell r="AI225">
            <v>2237</v>
          </cell>
          <cell r="AJ225">
            <v>1702</v>
          </cell>
        </row>
        <row r="226">
          <cell r="E226" t="str">
            <v>ID Commercial Coal</v>
          </cell>
          <cell r="F226">
            <v>1089</v>
          </cell>
          <cell r="G226">
            <v>1262</v>
          </cell>
          <cell r="H226">
            <v>935</v>
          </cell>
          <cell r="I226">
            <v>789</v>
          </cell>
          <cell r="J226">
            <v>767</v>
          </cell>
          <cell r="K226">
            <v>733</v>
          </cell>
          <cell r="L226">
            <v>538</v>
          </cell>
          <cell r="M226">
            <v>609</v>
          </cell>
          <cell r="N226">
            <v>1010</v>
          </cell>
          <cell r="O226">
            <v>1017</v>
          </cell>
          <cell r="P226">
            <v>383</v>
          </cell>
          <cell r="Q226">
            <v>376</v>
          </cell>
          <cell r="R226">
            <v>360</v>
          </cell>
          <cell r="S226">
            <v>255</v>
          </cell>
          <cell r="T226">
            <v>112</v>
          </cell>
          <cell r="U226">
            <v>245</v>
          </cell>
          <cell r="V226">
            <v>237</v>
          </cell>
          <cell r="W226">
            <v>927</v>
          </cell>
          <cell r="X226">
            <v>211</v>
          </cell>
          <cell r="Y226">
            <v>182</v>
          </cell>
          <cell r="Z226">
            <v>199</v>
          </cell>
          <cell r="AA226">
            <v>159</v>
          </cell>
          <cell r="AB226">
            <v>120</v>
          </cell>
          <cell r="AC226">
            <v>84</v>
          </cell>
          <cell r="AD226">
            <v>45</v>
          </cell>
          <cell r="AE226">
            <v>0</v>
          </cell>
          <cell r="AF226">
            <v>0</v>
          </cell>
          <cell r="AG226">
            <v>0</v>
          </cell>
          <cell r="AH226">
            <v>0</v>
          </cell>
          <cell r="AI226">
            <v>0</v>
          </cell>
          <cell r="AJ226">
            <v>0</v>
          </cell>
        </row>
        <row r="227">
          <cell r="E227" t="str">
            <v>IL Commercial Coal</v>
          </cell>
          <cell r="F227">
            <v>4760</v>
          </cell>
          <cell r="G227">
            <v>4761</v>
          </cell>
          <cell r="H227">
            <v>5296</v>
          </cell>
          <cell r="I227">
            <v>4840</v>
          </cell>
          <cell r="J227">
            <v>4891</v>
          </cell>
          <cell r="K227">
            <v>4368</v>
          </cell>
          <cell r="L227">
            <v>3733</v>
          </cell>
          <cell r="M227">
            <v>5988</v>
          </cell>
          <cell r="N227">
            <v>4632</v>
          </cell>
          <cell r="O227">
            <v>3498</v>
          </cell>
          <cell r="P227">
            <v>4495</v>
          </cell>
          <cell r="Q227">
            <v>4688</v>
          </cell>
          <cell r="R227">
            <v>3510</v>
          </cell>
          <cell r="S227">
            <v>5306</v>
          </cell>
          <cell r="T227">
            <v>5146</v>
          </cell>
          <cell r="U227">
            <v>3076</v>
          </cell>
          <cell r="V227">
            <v>2793</v>
          </cell>
          <cell r="W227">
            <v>3332</v>
          </cell>
          <cell r="X227">
            <v>4640</v>
          </cell>
          <cell r="Y227">
            <v>3932</v>
          </cell>
          <cell r="Z227">
            <v>3807</v>
          </cell>
          <cell r="AA227">
            <v>3354</v>
          </cell>
          <cell r="AB227">
            <v>2881</v>
          </cell>
          <cell r="AC227">
            <v>2968</v>
          </cell>
          <cell r="AD227">
            <v>2752</v>
          </cell>
          <cell r="AE227">
            <v>2160</v>
          </cell>
          <cell r="AF227">
            <v>2362</v>
          </cell>
          <cell r="AG227">
            <v>2327</v>
          </cell>
          <cell r="AH227">
            <v>2555</v>
          </cell>
          <cell r="AI227">
            <v>2007</v>
          </cell>
          <cell r="AJ227">
            <v>1825</v>
          </cell>
        </row>
        <row r="228">
          <cell r="E228" t="str">
            <v>IN Commercial Coal</v>
          </cell>
          <cell r="F228">
            <v>9898</v>
          </cell>
          <cell r="G228">
            <v>7968</v>
          </cell>
          <cell r="H228">
            <v>7572</v>
          </cell>
          <cell r="I228">
            <v>6286</v>
          </cell>
          <cell r="J228">
            <v>6853</v>
          </cell>
          <cell r="K228">
            <v>5559</v>
          </cell>
          <cell r="L228">
            <v>6972</v>
          </cell>
          <cell r="M228">
            <v>7812</v>
          </cell>
          <cell r="N228">
            <v>7512</v>
          </cell>
          <cell r="O228">
            <v>7546</v>
          </cell>
          <cell r="P228">
            <v>5759</v>
          </cell>
          <cell r="Q228">
            <v>4976</v>
          </cell>
          <cell r="R228">
            <v>6478</v>
          </cell>
          <cell r="S228">
            <v>6953</v>
          </cell>
          <cell r="T228">
            <v>8634</v>
          </cell>
          <cell r="U228">
            <v>5304</v>
          </cell>
          <cell r="V228">
            <v>1168</v>
          </cell>
          <cell r="W228">
            <v>3527</v>
          </cell>
          <cell r="X228">
            <v>7867</v>
          </cell>
          <cell r="Y228">
            <v>7460</v>
          </cell>
          <cell r="Z228">
            <v>7850</v>
          </cell>
          <cell r="AA228">
            <v>6914</v>
          </cell>
          <cell r="AB228">
            <v>4417</v>
          </cell>
          <cell r="AC228">
            <v>3007</v>
          </cell>
          <cell r="AD228">
            <v>3138</v>
          </cell>
          <cell r="AE228">
            <v>1382</v>
          </cell>
          <cell r="AF228">
            <v>1518</v>
          </cell>
          <cell r="AG228">
            <v>1289</v>
          </cell>
          <cell r="AH228">
            <v>1422</v>
          </cell>
          <cell r="AI228">
            <v>1397</v>
          </cell>
          <cell r="AJ228">
            <v>779</v>
          </cell>
        </row>
        <row r="229">
          <cell r="E229" t="str">
            <v>KS Commercial Coal</v>
          </cell>
          <cell r="F229">
            <v>7</v>
          </cell>
          <cell r="G229">
            <v>7</v>
          </cell>
          <cell r="H229">
            <v>4</v>
          </cell>
          <cell r="I229">
            <v>429</v>
          </cell>
          <cell r="J229">
            <v>675</v>
          </cell>
          <cell r="K229">
            <v>786</v>
          </cell>
          <cell r="L229">
            <v>1658</v>
          </cell>
          <cell r="M229">
            <v>47</v>
          </cell>
          <cell r="N229">
            <v>1</v>
          </cell>
          <cell r="O229">
            <v>145</v>
          </cell>
          <cell r="P229">
            <v>237</v>
          </cell>
          <cell r="Q229">
            <v>8</v>
          </cell>
          <cell r="R229">
            <v>8</v>
          </cell>
          <cell r="S229">
            <v>2</v>
          </cell>
          <cell r="T229">
            <v>0</v>
          </cell>
          <cell r="U229">
            <v>0</v>
          </cell>
          <cell r="V229">
            <v>1</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row>
        <row r="230">
          <cell r="E230" t="str">
            <v>KY Commercial Coal</v>
          </cell>
          <cell r="F230">
            <v>2950</v>
          </cell>
          <cell r="G230">
            <v>3789</v>
          </cell>
          <cell r="H230">
            <v>4309</v>
          </cell>
          <cell r="I230">
            <v>5425</v>
          </cell>
          <cell r="J230">
            <v>6032</v>
          </cell>
          <cell r="K230">
            <v>2819</v>
          </cell>
          <cell r="L230">
            <v>2508</v>
          </cell>
          <cell r="M230">
            <v>7331</v>
          </cell>
          <cell r="N230">
            <v>5259</v>
          </cell>
          <cell r="O230">
            <v>9259</v>
          </cell>
          <cell r="P230">
            <v>4490</v>
          </cell>
          <cell r="Q230">
            <v>4822</v>
          </cell>
          <cell r="R230">
            <v>5483</v>
          </cell>
          <cell r="S230">
            <v>4303</v>
          </cell>
          <cell r="T230">
            <v>5950</v>
          </cell>
          <cell r="U230">
            <v>6404</v>
          </cell>
          <cell r="V230">
            <v>2816</v>
          </cell>
          <cell r="W230">
            <v>2896</v>
          </cell>
          <cell r="X230">
            <v>1490</v>
          </cell>
          <cell r="Y230">
            <v>1309</v>
          </cell>
          <cell r="Z230">
            <v>1197</v>
          </cell>
          <cell r="AA230">
            <v>1238</v>
          </cell>
          <cell r="AB230">
            <v>858</v>
          </cell>
          <cell r="AC230">
            <v>416</v>
          </cell>
          <cell r="AD230">
            <v>490</v>
          </cell>
          <cell r="AE230">
            <v>391</v>
          </cell>
          <cell r="AF230">
            <v>363</v>
          </cell>
          <cell r="AG230">
            <v>358</v>
          </cell>
          <cell r="AH230">
            <v>142</v>
          </cell>
          <cell r="AI230">
            <v>157</v>
          </cell>
          <cell r="AJ230">
            <v>68</v>
          </cell>
        </row>
        <row r="231">
          <cell r="E231" t="str">
            <v>LA Commercial Coal</v>
          </cell>
          <cell r="F231">
            <v>0</v>
          </cell>
          <cell r="G231">
            <v>2</v>
          </cell>
          <cell r="H231">
            <v>0</v>
          </cell>
          <cell r="I231">
            <v>20</v>
          </cell>
          <cell r="J231">
            <v>0</v>
          </cell>
          <cell r="K231">
            <v>109</v>
          </cell>
          <cell r="L231">
            <v>0</v>
          </cell>
          <cell r="M231">
            <v>1</v>
          </cell>
          <cell r="N231">
            <v>0</v>
          </cell>
          <cell r="O231">
            <v>0</v>
          </cell>
          <cell r="P231">
            <v>0</v>
          </cell>
          <cell r="Q231">
            <v>0</v>
          </cell>
          <cell r="R231">
            <v>0</v>
          </cell>
          <cell r="S231">
            <v>0</v>
          </cell>
          <cell r="T231">
            <v>0</v>
          </cell>
          <cell r="U231">
            <v>0</v>
          </cell>
          <cell r="V231">
            <v>0</v>
          </cell>
          <cell r="W231">
            <v>2</v>
          </cell>
          <cell r="X231">
            <v>0</v>
          </cell>
          <cell r="Y231">
            <v>0</v>
          </cell>
          <cell r="Z231">
            <v>0</v>
          </cell>
          <cell r="AA231">
            <v>0</v>
          </cell>
          <cell r="AB231">
            <v>0</v>
          </cell>
          <cell r="AC231">
            <v>0</v>
          </cell>
          <cell r="AD231">
            <v>0</v>
          </cell>
          <cell r="AE231">
            <v>0</v>
          </cell>
          <cell r="AF231">
            <v>0</v>
          </cell>
          <cell r="AG231">
            <v>0</v>
          </cell>
          <cell r="AH231">
            <v>0</v>
          </cell>
          <cell r="AI231">
            <v>0</v>
          </cell>
          <cell r="AJ231">
            <v>0</v>
          </cell>
        </row>
        <row r="232">
          <cell r="E232" t="str">
            <v>MA Commercial Coal</v>
          </cell>
          <cell r="F232">
            <v>1264</v>
          </cell>
          <cell r="G232">
            <v>548</v>
          </cell>
          <cell r="H232">
            <v>1182</v>
          </cell>
          <cell r="I232">
            <v>881</v>
          </cell>
          <cell r="J232">
            <v>468</v>
          </cell>
          <cell r="K232">
            <v>583</v>
          </cell>
          <cell r="L232">
            <v>720</v>
          </cell>
          <cell r="M232">
            <v>638</v>
          </cell>
          <cell r="N232">
            <v>633</v>
          </cell>
          <cell r="O232">
            <v>897</v>
          </cell>
          <cell r="P232">
            <v>386</v>
          </cell>
          <cell r="Q232">
            <v>362</v>
          </cell>
          <cell r="R232">
            <v>1908</v>
          </cell>
          <cell r="S232">
            <v>1109</v>
          </cell>
          <cell r="T232">
            <v>771</v>
          </cell>
          <cell r="U232">
            <v>988</v>
          </cell>
          <cell r="V232">
            <v>365</v>
          </cell>
          <cell r="W232">
            <v>523</v>
          </cell>
          <cell r="X232">
            <v>0</v>
          </cell>
          <cell r="Y232">
            <v>0</v>
          </cell>
          <cell r="Z232">
            <v>0</v>
          </cell>
          <cell r="AA232">
            <v>0</v>
          </cell>
          <cell r="AB232">
            <v>0</v>
          </cell>
          <cell r="AC232">
            <v>0</v>
          </cell>
          <cell r="AD232">
            <v>0</v>
          </cell>
          <cell r="AE232">
            <v>0</v>
          </cell>
          <cell r="AF232">
            <v>0</v>
          </cell>
          <cell r="AG232">
            <v>0</v>
          </cell>
          <cell r="AH232">
            <v>0</v>
          </cell>
          <cell r="AI232">
            <v>0</v>
          </cell>
          <cell r="AJ232">
            <v>0</v>
          </cell>
        </row>
        <row r="233">
          <cell r="E233" t="str">
            <v>MD Commercial Coal</v>
          </cell>
          <cell r="F233">
            <v>963</v>
          </cell>
          <cell r="G233">
            <v>867</v>
          </cell>
          <cell r="H233">
            <v>274</v>
          </cell>
          <cell r="I233">
            <v>307</v>
          </cell>
          <cell r="J233">
            <v>773</v>
          </cell>
          <cell r="K233">
            <v>6418</v>
          </cell>
          <cell r="L233">
            <v>905</v>
          </cell>
          <cell r="M233">
            <v>1231</v>
          </cell>
          <cell r="N233">
            <v>1194</v>
          </cell>
          <cell r="O233">
            <v>1026</v>
          </cell>
          <cell r="P233">
            <v>1864</v>
          </cell>
          <cell r="Q233">
            <v>1676</v>
          </cell>
          <cell r="R233">
            <v>67</v>
          </cell>
          <cell r="S233">
            <v>122</v>
          </cell>
          <cell r="T233">
            <v>1249</v>
          </cell>
          <cell r="U233">
            <v>718</v>
          </cell>
          <cell r="V233">
            <v>951</v>
          </cell>
          <cell r="W233">
            <v>809</v>
          </cell>
          <cell r="X233">
            <v>900</v>
          </cell>
          <cell r="Y233">
            <v>704</v>
          </cell>
          <cell r="Z233">
            <v>474</v>
          </cell>
          <cell r="AA233">
            <v>617</v>
          </cell>
          <cell r="AB233">
            <v>519</v>
          </cell>
          <cell r="AC233">
            <v>238</v>
          </cell>
          <cell r="AD233">
            <v>198</v>
          </cell>
          <cell r="AE233">
            <v>12</v>
          </cell>
          <cell r="AF233">
            <v>0</v>
          </cell>
          <cell r="AG233">
            <v>0</v>
          </cell>
          <cell r="AH233">
            <v>0</v>
          </cell>
          <cell r="AI233">
            <v>0</v>
          </cell>
          <cell r="AJ233">
            <v>0</v>
          </cell>
        </row>
        <row r="234">
          <cell r="E234" t="str">
            <v>ME Commercial Coal</v>
          </cell>
          <cell r="F234">
            <v>858</v>
          </cell>
          <cell r="G234">
            <v>269</v>
          </cell>
          <cell r="H234">
            <v>737</v>
          </cell>
          <cell r="I234">
            <v>526</v>
          </cell>
          <cell r="J234">
            <v>128</v>
          </cell>
          <cell r="K234">
            <v>64</v>
          </cell>
          <cell r="L234">
            <v>87</v>
          </cell>
          <cell r="M234">
            <v>87</v>
          </cell>
          <cell r="N234">
            <v>70</v>
          </cell>
          <cell r="O234">
            <v>69</v>
          </cell>
          <cell r="P234">
            <v>69</v>
          </cell>
          <cell r="Q234">
            <v>67</v>
          </cell>
          <cell r="R234">
            <v>44</v>
          </cell>
          <cell r="S234">
            <v>44</v>
          </cell>
          <cell r="T234">
            <v>45</v>
          </cell>
          <cell r="U234">
            <v>70</v>
          </cell>
          <cell r="V234">
            <v>65</v>
          </cell>
          <cell r="W234">
            <v>57</v>
          </cell>
          <cell r="X234">
            <v>0</v>
          </cell>
          <cell r="Y234">
            <v>0</v>
          </cell>
          <cell r="Z234">
            <v>0</v>
          </cell>
          <cell r="AA234">
            <v>0</v>
          </cell>
          <cell r="AB234">
            <v>0</v>
          </cell>
          <cell r="AC234">
            <v>0</v>
          </cell>
          <cell r="AD234">
            <v>0</v>
          </cell>
          <cell r="AE234">
            <v>0</v>
          </cell>
          <cell r="AF234">
            <v>0</v>
          </cell>
          <cell r="AG234">
            <v>0</v>
          </cell>
          <cell r="AH234">
            <v>0</v>
          </cell>
          <cell r="AI234">
            <v>0</v>
          </cell>
          <cell r="AJ234">
            <v>0</v>
          </cell>
        </row>
        <row r="235">
          <cell r="E235" t="str">
            <v>MI Commercial Coal</v>
          </cell>
          <cell r="F235">
            <v>5314</v>
          </cell>
          <cell r="G235">
            <v>5387</v>
          </cell>
          <cell r="H235">
            <v>3861</v>
          </cell>
          <cell r="I235">
            <v>4801</v>
          </cell>
          <cell r="J235">
            <v>6041</v>
          </cell>
          <cell r="K235">
            <v>5450</v>
          </cell>
          <cell r="L235">
            <v>5905</v>
          </cell>
          <cell r="M235">
            <v>4116</v>
          </cell>
          <cell r="N235">
            <v>3201</v>
          </cell>
          <cell r="O235">
            <v>442</v>
          </cell>
          <cell r="P235">
            <v>305</v>
          </cell>
          <cell r="Q235">
            <v>187</v>
          </cell>
          <cell r="R235">
            <v>5527</v>
          </cell>
          <cell r="S235">
            <v>664</v>
          </cell>
          <cell r="T235">
            <v>3948</v>
          </cell>
          <cell r="U235">
            <v>3431</v>
          </cell>
          <cell r="V235">
            <v>190</v>
          </cell>
          <cell r="W235">
            <v>3800</v>
          </cell>
          <cell r="X235">
            <v>4854</v>
          </cell>
          <cell r="Y235">
            <v>6388</v>
          </cell>
          <cell r="Z235">
            <v>4587</v>
          </cell>
          <cell r="AA235">
            <v>4060</v>
          </cell>
          <cell r="AB235">
            <v>2132</v>
          </cell>
          <cell r="AC235">
            <v>1728</v>
          </cell>
          <cell r="AD235">
            <v>1589</v>
          </cell>
          <cell r="AE235">
            <v>1166</v>
          </cell>
          <cell r="AF235">
            <v>345</v>
          </cell>
          <cell r="AG235">
            <v>0</v>
          </cell>
          <cell r="AH235">
            <v>0</v>
          </cell>
          <cell r="AI235">
            <v>0</v>
          </cell>
          <cell r="AJ235">
            <v>0</v>
          </cell>
        </row>
        <row r="236">
          <cell r="E236" t="str">
            <v>MN Commercial Coal</v>
          </cell>
          <cell r="F236">
            <v>2557</v>
          </cell>
          <cell r="G236">
            <v>1369</v>
          </cell>
          <cell r="H236">
            <v>361</v>
          </cell>
          <cell r="I236">
            <v>1616</v>
          </cell>
          <cell r="J236">
            <v>3811</v>
          </cell>
          <cell r="K236">
            <v>4645</v>
          </cell>
          <cell r="L236">
            <v>2406</v>
          </cell>
          <cell r="M236">
            <v>1726</v>
          </cell>
          <cell r="N236">
            <v>714</v>
          </cell>
          <cell r="O236">
            <v>247</v>
          </cell>
          <cell r="P236">
            <v>91</v>
          </cell>
          <cell r="Q236">
            <v>35</v>
          </cell>
          <cell r="R236">
            <v>1618</v>
          </cell>
          <cell r="S236">
            <v>18</v>
          </cell>
          <cell r="T236">
            <v>3</v>
          </cell>
          <cell r="U236">
            <v>1295</v>
          </cell>
          <cell r="V236">
            <v>1471</v>
          </cell>
          <cell r="W236">
            <v>1105</v>
          </cell>
          <cell r="X236">
            <v>1074</v>
          </cell>
          <cell r="Y236">
            <v>968</v>
          </cell>
          <cell r="Z236">
            <v>757</v>
          </cell>
          <cell r="AA236">
            <v>648</v>
          </cell>
          <cell r="AB236">
            <v>63</v>
          </cell>
          <cell r="AC236">
            <v>115</v>
          </cell>
          <cell r="AD236">
            <v>189</v>
          </cell>
          <cell r="AE236">
            <v>152</v>
          </cell>
          <cell r="AF236">
            <v>183</v>
          </cell>
          <cell r="AG236">
            <v>142</v>
          </cell>
          <cell r="AH236">
            <v>120</v>
          </cell>
          <cell r="AI236">
            <v>87</v>
          </cell>
          <cell r="AJ236">
            <v>73</v>
          </cell>
        </row>
        <row r="237">
          <cell r="E237" t="str">
            <v>MO Commercial Coal</v>
          </cell>
          <cell r="F237">
            <v>4984</v>
          </cell>
          <cell r="G237">
            <v>4536</v>
          </cell>
          <cell r="H237">
            <v>4098</v>
          </cell>
          <cell r="I237">
            <v>4772</v>
          </cell>
          <cell r="J237">
            <v>4249</v>
          </cell>
          <cell r="K237">
            <v>4146</v>
          </cell>
          <cell r="L237">
            <v>4076</v>
          </cell>
          <cell r="M237">
            <v>5405</v>
          </cell>
          <cell r="N237">
            <v>3250</v>
          </cell>
          <cell r="O237">
            <v>4460</v>
          </cell>
          <cell r="P237">
            <v>3451</v>
          </cell>
          <cell r="Q237">
            <v>4340</v>
          </cell>
          <cell r="R237">
            <v>3819</v>
          </cell>
          <cell r="S237">
            <v>3890</v>
          </cell>
          <cell r="T237">
            <v>4029</v>
          </cell>
          <cell r="U237">
            <v>4590</v>
          </cell>
          <cell r="V237">
            <v>4571</v>
          </cell>
          <cell r="W237">
            <v>4064</v>
          </cell>
          <cell r="X237">
            <v>4490</v>
          </cell>
          <cell r="Y237">
            <v>3421</v>
          </cell>
          <cell r="Z237">
            <v>3576</v>
          </cell>
          <cell r="AA237">
            <v>2782</v>
          </cell>
          <cell r="AB237">
            <v>2056</v>
          </cell>
          <cell r="AC237">
            <v>2276</v>
          </cell>
          <cell r="AD237">
            <v>2152</v>
          </cell>
          <cell r="AE237">
            <v>1516</v>
          </cell>
          <cell r="AF237">
            <v>1256</v>
          </cell>
          <cell r="AG237">
            <v>570</v>
          </cell>
          <cell r="AH237">
            <v>276</v>
          </cell>
          <cell r="AI237">
            <v>205</v>
          </cell>
          <cell r="AJ237">
            <v>139</v>
          </cell>
        </row>
        <row r="238">
          <cell r="E238" t="str">
            <v>MS Commercial Coal</v>
          </cell>
          <cell r="F238">
            <v>2</v>
          </cell>
          <cell r="G238">
            <v>2</v>
          </cell>
          <cell r="H238">
            <v>6</v>
          </cell>
          <cell r="I238">
            <v>0</v>
          </cell>
          <cell r="J238">
            <v>0</v>
          </cell>
          <cell r="K238">
            <v>0</v>
          </cell>
          <cell r="L238">
            <v>0</v>
          </cell>
          <cell r="M238">
            <v>1</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row>
        <row r="239">
          <cell r="E239" t="str">
            <v>MT Commercial Coal</v>
          </cell>
          <cell r="F239">
            <v>856</v>
          </cell>
          <cell r="G239">
            <v>665</v>
          </cell>
          <cell r="H239">
            <v>313</v>
          </cell>
          <cell r="I239">
            <v>170</v>
          </cell>
          <cell r="J239">
            <v>61</v>
          </cell>
          <cell r="K239">
            <v>185</v>
          </cell>
          <cell r="L239">
            <v>72</v>
          </cell>
          <cell r="M239">
            <v>1320</v>
          </cell>
          <cell r="N239">
            <v>91</v>
          </cell>
          <cell r="O239">
            <v>45</v>
          </cell>
          <cell r="P239">
            <v>43</v>
          </cell>
          <cell r="Q239">
            <v>49</v>
          </cell>
          <cell r="R239">
            <v>49</v>
          </cell>
          <cell r="S239">
            <v>32</v>
          </cell>
          <cell r="T239">
            <v>1761</v>
          </cell>
          <cell r="U239">
            <v>2419</v>
          </cell>
          <cell r="V239">
            <v>2302</v>
          </cell>
          <cell r="W239">
            <v>30</v>
          </cell>
          <cell r="X239">
            <v>283</v>
          </cell>
          <cell r="Y239">
            <v>243</v>
          </cell>
          <cell r="Z239">
            <v>183</v>
          </cell>
          <cell r="AA239">
            <v>238</v>
          </cell>
          <cell r="AB239">
            <v>120</v>
          </cell>
          <cell r="AC239">
            <v>30</v>
          </cell>
          <cell r="AD239">
            <v>23</v>
          </cell>
          <cell r="AE239">
            <v>53</v>
          </cell>
          <cell r="AF239">
            <v>34</v>
          </cell>
          <cell r="AG239">
            <v>47</v>
          </cell>
          <cell r="AH239">
            <v>66</v>
          </cell>
          <cell r="AI239">
            <v>40</v>
          </cell>
          <cell r="AJ239">
            <v>15</v>
          </cell>
        </row>
        <row r="240">
          <cell r="E240" t="str">
            <v>NC Commercial Coal</v>
          </cell>
          <cell r="F240">
            <v>3150</v>
          </cell>
          <cell r="G240">
            <v>2017</v>
          </cell>
          <cell r="H240">
            <v>4179</v>
          </cell>
          <cell r="I240">
            <v>4697</v>
          </cell>
          <cell r="J240">
            <v>5579</v>
          </cell>
          <cell r="K240">
            <v>4898</v>
          </cell>
          <cell r="L240">
            <v>4494</v>
          </cell>
          <cell r="M240">
            <v>4273</v>
          </cell>
          <cell r="N240">
            <v>4761</v>
          </cell>
          <cell r="O240">
            <v>3565</v>
          </cell>
          <cell r="P240">
            <v>2722</v>
          </cell>
          <cell r="Q240">
            <v>2850</v>
          </cell>
          <cell r="R240">
            <v>2881</v>
          </cell>
          <cell r="S240">
            <v>2867</v>
          </cell>
          <cell r="T240">
            <v>7853</v>
          </cell>
          <cell r="U240">
            <v>3482</v>
          </cell>
          <cell r="V240">
            <v>2663</v>
          </cell>
          <cell r="W240">
            <v>1024</v>
          </cell>
          <cell r="X240">
            <v>6692</v>
          </cell>
          <cell r="Y240">
            <v>5527</v>
          </cell>
          <cell r="Z240">
            <v>5070</v>
          </cell>
          <cell r="AA240">
            <v>4349</v>
          </cell>
          <cell r="AB240">
            <v>3343</v>
          </cell>
          <cell r="AC240">
            <v>3569</v>
          </cell>
          <cell r="AD240">
            <v>3954</v>
          </cell>
          <cell r="AE240">
            <v>3875</v>
          </cell>
          <cell r="AF240">
            <v>3134</v>
          </cell>
          <cell r="AG240">
            <v>2754</v>
          </cell>
          <cell r="AH240">
            <v>2009</v>
          </cell>
          <cell r="AI240">
            <v>1492</v>
          </cell>
          <cell r="AJ240">
            <v>1259</v>
          </cell>
        </row>
        <row r="241">
          <cell r="E241" t="str">
            <v>ND Commercial Coal</v>
          </cell>
          <cell r="F241">
            <v>1500</v>
          </cell>
          <cell r="G241">
            <v>1546</v>
          </cell>
          <cell r="H241">
            <v>1444</v>
          </cell>
          <cell r="I241">
            <v>1659</v>
          </cell>
          <cell r="J241">
            <v>1763</v>
          </cell>
          <cell r="K241">
            <v>1485</v>
          </cell>
          <cell r="L241">
            <v>1931</v>
          </cell>
          <cell r="M241">
            <v>1862</v>
          </cell>
          <cell r="N241">
            <v>1499</v>
          </cell>
          <cell r="O241">
            <v>1607</v>
          </cell>
          <cell r="P241">
            <v>1697</v>
          </cell>
          <cell r="Q241">
            <v>1909</v>
          </cell>
          <cell r="R241">
            <v>2070</v>
          </cell>
          <cell r="S241">
            <v>2409</v>
          </cell>
          <cell r="T241">
            <v>3837</v>
          </cell>
          <cell r="U241">
            <v>4332</v>
          </cell>
          <cell r="V241">
            <v>1684</v>
          </cell>
          <cell r="W241">
            <v>3750</v>
          </cell>
          <cell r="X241">
            <v>1776</v>
          </cell>
          <cell r="Y241">
            <v>1668</v>
          </cell>
          <cell r="Z241">
            <v>1577</v>
          </cell>
          <cell r="AA241">
            <v>1521</v>
          </cell>
          <cell r="AB241">
            <v>1266</v>
          </cell>
          <cell r="AC241">
            <v>1515</v>
          </cell>
          <cell r="AD241">
            <v>1279</v>
          </cell>
          <cell r="AE241">
            <v>1238</v>
          </cell>
          <cell r="AF241">
            <v>998</v>
          </cell>
          <cell r="AG241">
            <v>934</v>
          </cell>
          <cell r="AH241">
            <v>1005</v>
          </cell>
          <cell r="AI241">
            <v>934</v>
          </cell>
          <cell r="AJ241">
            <v>541</v>
          </cell>
        </row>
        <row r="242">
          <cell r="E242" t="str">
            <v>NE Commercial Coal</v>
          </cell>
          <cell r="F242">
            <v>68</v>
          </cell>
          <cell r="G242">
            <v>204</v>
          </cell>
          <cell r="H242">
            <v>106</v>
          </cell>
          <cell r="I242">
            <v>89</v>
          </cell>
          <cell r="J242">
            <v>130</v>
          </cell>
          <cell r="K242">
            <v>159</v>
          </cell>
          <cell r="L242">
            <v>22</v>
          </cell>
          <cell r="M242">
            <v>1821</v>
          </cell>
          <cell r="N242">
            <v>0</v>
          </cell>
          <cell r="O242">
            <v>0</v>
          </cell>
          <cell r="P242">
            <v>0</v>
          </cell>
          <cell r="Q242">
            <v>110</v>
          </cell>
          <cell r="R242">
            <v>128</v>
          </cell>
          <cell r="S242">
            <v>104</v>
          </cell>
          <cell r="T242">
            <v>65</v>
          </cell>
          <cell r="U242">
            <v>74</v>
          </cell>
          <cell r="V242">
            <v>109</v>
          </cell>
          <cell r="W242">
            <v>104</v>
          </cell>
          <cell r="X242">
            <v>0</v>
          </cell>
          <cell r="Y242">
            <v>0</v>
          </cell>
          <cell r="Z242">
            <v>0</v>
          </cell>
          <cell r="AA242">
            <v>0</v>
          </cell>
          <cell r="AB242">
            <v>0</v>
          </cell>
          <cell r="AC242">
            <v>0</v>
          </cell>
          <cell r="AD242">
            <v>0</v>
          </cell>
          <cell r="AE242">
            <v>0</v>
          </cell>
          <cell r="AF242">
            <v>0</v>
          </cell>
          <cell r="AG242">
            <v>0</v>
          </cell>
          <cell r="AH242">
            <v>0</v>
          </cell>
          <cell r="AI242">
            <v>0</v>
          </cell>
          <cell r="AJ242">
            <v>0</v>
          </cell>
        </row>
        <row r="243">
          <cell r="E243" t="str">
            <v>NH Commercial Coal</v>
          </cell>
          <cell r="F243">
            <v>242</v>
          </cell>
          <cell r="G243">
            <v>456</v>
          </cell>
          <cell r="H243">
            <v>325</v>
          </cell>
          <cell r="I243">
            <v>198</v>
          </cell>
          <cell r="J243">
            <v>170</v>
          </cell>
          <cell r="K243">
            <v>173</v>
          </cell>
          <cell r="L243">
            <v>172</v>
          </cell>
          <cell r="M243">
            <v>127</v>
          </cell>
          <cell r="N243">
            <v>104</v>
          </cell>
          <cell r="O243">
            <v>73</v>
          </cell>
          <cell r="P243">
            <v>92</v>
          </cell>
          <cell r="Q243">
            <v>90</v>
          </cell>
          <cell r="R243">
            <v>89</v>
          </cell>
          <cell r="S243">
            <v>44</v>
          </cell>
          <cell r="T243">
            <v>45</v>
          </cell>
          <cell r="U243">
            <v>93</v>
          </cell>
          <cell r="V243">
            <v>94</v>
          </cell>
          <cell r="W243">
            <v>78</v>
          </cell>
          <cell r="X243">
            <v>0</v>
          </cell>
          <cell r="Y243">
            <v>0</v>
          </cell>
          <cell r="Z243">
            <v>0</v>
          </cell>
          <cell r="AA243">
            <v>0</v>
          </cell>
          <cell r="AB243">
            <v>0</v>
          </cell>
          <cell r="AC243">
            <v>0</v>
          </cell>
          <cell r="AD243">
            <v>0</v>
          </cell>
          <cell r="AE243">
            <v>0</v>
          </cell>
          <cell r="AF243">
            <v>0</v>
          </cell>
          <cell r="AG243">
            <v>0</v>
          </cell>
          <cell r="AH243">
            <v>0</v>
          </cell>
          <cell r="AI243">
            <v>0</v>
          </cell>
          <cell r="AJ243">
            <v>0</v>
          </cell>
        </row>
        <row r="244">
          <cell r="E244" t="str">
            <v>NJ Commercial Coal</v>
          </cell>
          <cell r="F244">
            <v>262</v>
          </cell>
          <cell r="G244">
            <v>228</v>
          </cell>
          <cell r="H244">
            <v>304</v>
          </cell>
          <cell r="I244">
            <v>158</v>
          </cell>
          <cell r="J244">
            <v>213</v>
          </cell>
          <cell r="K244">
            <v>150</v>
          </cell>
          <cell r="L244">
            <v>173</v>
          </cell>
          <cell r="M244">
            <v>131</v>
          </cell>
          <cell r="N244">
            <v>112</v>
          </cell>
          <cell r="O244">
            <v>111</v>
          </cell>
          <cell r="P244">
            <v>113</v>
          </cell>
          <cell r="Q244">
            <v>90</v>
          </cell>
          <cell r="R244">
            <v>89</v>
          </cell>
          <cell r="S244">
            <v>88</v>
          </cell>
          <cell r="T244">
            <v>113</v>
          </cell>
          <cell r="U244">
            <v>70</v>
          </cell>
          <cell r="V244">
            <v>49</v>
          </cell>
          <cell r="W244">
            <v>57</v>
          </cell>
          <cell r="X244">
            <v>0</v>
          </cell>
          <cell r="Y244">
            <v>0</v>
          </cell>
          <cell r="Z244">
            <v>0</v>
          </cell>
          <cell r="AA244">
            <v>0</v>
          </cell>
          <cell r="AB244">
            <v>0</v>
          </cell>
          <cell r="AC244">
            <v>0</v>
          </cell>
          <cell r="AD244">
            <v>0</v>
          </cell>
          <cell r="AE244">
            <v>0</v>
          </cell>
          <cell r="AF244">
            <v>0</v>
          </cell>
          <cell r="AG244">
            <v>0</v>
          </cell>
          <cell r="AH244">
            <v>0</v>
          </cell>
          <cell r="AI244">
            <v>0</v>
          </cell>
          <cell r="AJ244">
            <v>0</v>
          </cell>
        </row>
        <row r="245">
          <cell r="E245" t="str">
            <v>NM Commercial Coal</v>
          </cell>
          <cell r="F245">
            <v>75</v>
          </cell>
          <cell r="G245">
            <v>122</v>
          </cell>
          <cell r="H245">
            <v>146</v>
          </cell>
          <cell r="I245">
            <v>159</v>
          </cell>
          <cell r="J245">
            <v>150</v>
          </cell>
          <cell r="K245">
            <v>134</v>
          </cell>
          <cell r="L245">
            <v>136</v>
          </cell>
          <cell r="M245">
            <v>135</v>
          </cell>
          <cell r="N245">
            <v>198</v>
          </cell>
          <cell r="O245">
            <v>133</v>
          </cell>
          <cell r="P245">
            <v>135</v>
          </cell>
          <cell r="Q245">
            <v>84</v>
          </cell>
          <cell r="R245">
            <v>83</v>
          </cell>
          <cell r="S245">
            <v>66</v>
          </cell>
          <cell r="T245">
            <v>69</v>
          </cell>
          <cell r="U245">
            <v>69</v>
          </cell>
          <cell r="V245">
            <v>71</v>
          </cell>
          <cell r="W245">
            <v>65</v>
          </cell>
          <cell r="X245">
            <v>0</v>
          </cell>
          <cell r="Y245">
            <v>0</v>
          </cell>
          <cell r="Z245">
            <v>0</v>
          </cell>
          <cell r="AA245">
            <v>0</v>
          </cell>
          <cell r="AB245">
            <v>0</v>
          </cell>
          <cell r="AC245">
            <v>0</v>
          </cell>
          <cell r="AD245">
            <v>0</v>
          </cell>
          <cell r="AE245">
            <v>0</v>
          </cell>
          <cell r="AF245">
            <v>0</v>
          </cell>
          <cell r="AG245">
            <v>0</v>
          </cell>
          <cell r="AH245">
            <v>0</v>
          </cell>
          <cell r="AI245">
            <v>0</v>
          </cell>
          <cell r="AJ245">
            <v>0</v>
          </cell>
        </row>
        <row r="246">
          <cell r="E246" t="str">
            <v>NV Commercial Coal</v>
          </cell>
          <cell r="F246">
            <v>58</v>
          </cell>
          <cell r="G246">
            <v>38</v>
          </cell>
          <cell r="H246">
            <v>19</v>
          </cell>
          <cell r="I246">
            <v>38</v>
          </cell>
          <cell r="J246">
            <v>20</v>
          </cell>
          <cell r="K246">
            <v>20</v>
          </cell>
          <cell r="L246">
            <v>20</v>
          </cell>
          <cell r="M246">
            <v>21</v>
          </cell>
          <cell r="N246">
            <v>20</v>
          </cell>
          <cell r="O246">
            <v>4</v>
          </cell>
          <cell r="P246">
            <v>0</v>
          </cell>
          <cell r="Q246">
            <v>17</v>
          </cell>
          <cell r="R246">
            <v>16</v>
          </cell>
          <cell r="S246">
            <v>16</v>
          </cell>
          <cell r="T246">
            <v>16</v>
          </cell>
          <cell r="U246">
            <v>17</v>
          </cell>
          <cell r="V246">
            <v>37</v>
          </cell>
          <cell r="W246">
            <v>4</v>
          </cell>
          <cell r="X246">
            <v>0</v>
          </cell>
          <cell r="Y246">
            <v>0</v>
          </cell>
          <cell r="Z246">
            <v>0</v>
          </cell>
          <cell r="AA246">
            <v>0</v>
          </cell>
          <cell r="AB246">
            <v>0</v>
          </cell>
          <cell r="AC246">
            <v>0</v>
          </cell>
          <cell r="AD246">
            <v>0</v>
          </cell>
          <cell r="AE246">
            <v>0</v>
          </cell>
          <cell r="AF246">
            <v>0</v>
          </cell>
          <cell r="AG246">
            <v>0</v>
          </cell>
          <cell r="AH246">
            <v>0</v>
          </cell>
          <cell r="AI246">
            <v>0</v>
          </cell>
          <cell r="AJ246">
            <v>0</v>
          </cell>
        </row>
        <row r="247">
          <cell r="E247" t="str">
            <v>NY Commercial Coal</v>
          </cell>
          <cell r="F247">
            <v>5429</v>
          </cell>
          <cell r="G247">
            <v>5717</v>
          </cell>
          <cell r="H247">
            <v>5579</v>
          </cell>
          <cell r="I247">
            <v>4639</v>
          </cell>
          <cell r="J247">
            <v>3939</v>
          </cell>
          <cell r="K247">
            <v>4777</v>
          </cell>
          <cell r="L247">
            <v>6184</v>
          </cell>
          <cell r="M247">
            <v>5616</v>
          </cell>
          <cell r="N247">
            <v>3330</v>
          </cell>
          <cell r="O247">
            <v>4041</v>
          </cell>
          <cell r="P247">
            <v>2286</v>
          </cell>
          <cell r="Q247">
            <v>2524</v>
          </cell>
          <cell r="R247">
            <v>994</v>
          </cell>
          <cell r="S247">
            <v>1847</v>
          </cell>
          <cell r="T247">
            <v>3619</v>
          </cell>
          <cell r="U247">
            <v>3681</v>
          </cell>
          <cell r="V247">
            <v>3163</v>
          </cell>
          <cell r="W247">
            <v>2967</v>
          </cell>
          <cell r="X247">
            <v>1710</v>
          </cell>
          <cell r="Y247">
            <v>552</v>
          </cell>
          <cell r="Z247">
            <v>77</v>
          </cell>
          <cell r="AA247">
            <v>109</v>
          </cell>
          <cell r="AB247">
            <v>0</v>
          </cell>
          <cell r="AC247">
            <v>0</v>
          </cell>
          <cell r="AD247">
            <v>0</v>
          </cell>
          <cell r="AE247">
            <v>0</v>
          </cell>
          <cell r="AF247">
            <v>0</v>
          </cell>
          <cell r="AG247">
            <v>0</v>
          </cell>
          <cell r="AH247">
            <v>0</v>
          </cell>
          <cell r="AI247">
            <v>0</v>
          </cell>
          <cell r="AJ247">
            <v>0</v>
          </cell>
        </row>
        <row r="248">
          <cell r="E248" t="str">
            <v>OH Commercial Coal</v>
          </cell>
          <cell r="F248">
            <v>12632</v>
          </cell>
          <cell r="G248">
            <v>9703</v>
          </cell>
          <cell r="H248">
            <v>11753</v>
          </cell>
          <cell r="I248">
            <v>11641</v>
          </cell>
          <cell r="J248">
            <v>10308</v>
          </cell>
          <cell r="K248">
            <v>8692</v>
          </cell>
          <cell r="L248">
            <v>13735</v>
          </cell>
          <cell r="M248">
            <v>6991</v>
          </cell>
          <cell r="N248">
            <v>8787</v>
          </cell>
          <cell r="O248">
            <v>4610</v>
          </cell>
          <cell r="P248">
            <v>4621</v>
          </cell>
          <cell r="Q248">
            <v>4933</v>
          </cell>
          <cell r="R248">
            <v>7597</v>
          </cell>
          <cell r="S248">
            <v>4258</v>
          </cell>
          <cell r="T248">
            <v>8758</v>
          </cell>
          <cell r="U248">
            <v>7356</v>
          </cell>
          <cell r="V248">
            <v>2411</v>
          </cell>
          <cell r="W248">
            <v>3073</v>
          </cell>
          <cell r="X248">
            <v>6451</v>
          </cell>
          <cell r="Y248">
            <v>5832</v>
          </cell>
          <cell r="Z248">
            <v>6019</v>
          </cell>
          <cell r="AA248">
            <v>5146</v>
          </cell>
          <cell r="AB248">
            <v>3492</v>
          </cell>
          <cell r="AC248">
            <v>3883</v>
          </cell>
          <cell r="AD248">
            <v>3538</v>
          </cell>
          <cell r="AE248">
            <v>2195</v>
          </cell>
          <cell r="AF248">
            <v>1207</v>
          </cell>
          <cell r="AG248">
            <v>20</v>
          </cell>
          <cell r="AH248">
            <v>0</v>
          </cell>
          <cell r="AI248">
            <v>0</v>
          </cell>
          <cell r="AJ248">
            <v>0</v>
          </cell>
        </row>
        <row r="249">
          <cell r="E249" t="str">
            <v>OK Commercial Coal</v>
          </cell>
          <cell r="F249">
            <v>2</v>
          </cell>
          <cell r="G249">
            <v>21</v>
          </cell>
          <cell r="H249">
            <v>20</v>
          </cell>
          <cell r="I249">
            <v>8</v>
          </cell>
          <cell r="J249">
            <v>22</v>
          </cell>
          <cell r="K249">
            <v>248</v>
          </cell>
          <cell r="L249">
            <v>23</v>
          </cell>
          <cell r="M249">
            <v>4495</v>
          </cell>
          <cell r="N249">
            <v>18</v>
          </cell>
          <cell r="O249">
            <v>35</v>
          </cell>
          <cell r="P249">
            <v>0</v>
          </cell>
          <cell r="Q249">
            <v>14</v>
          </cell>
          <cell r="R249">
            <v>21</v>
          </cell>
          <cell r="S249">
            <v>21</v>
          </cell>
          <cell r="T249">
            <v>0</v>
          </cell>
          <cell r="U249">
            <v>19</v>
          </cell>
          <cell r="V249">
            <v>61</v>
          </cell>
          <cell r="W249">
            <v>2</v>
          </cell>
          <cell r="X249">
            <v>0</v>
          </cell>
          <cell r="Y249">
            <v>0</v>
          </cell>
          <cell r="Z249">
            <v>0</v>
          </cell>
          <cell r="AA249">
            <v>0</v>
          </cell>
          <cell r="AB249">
            <v>0</v>
          </cell>
          <cell r="AC249">
            <v>0</v>
          </cell>
          <cell r="AD249">
            <v>0</v>
          </cell>
          <cell r="AE249">
            <v>0</v>
          </cell>
          <cell r="AF249">
            <v>0</v>
          </cell>
          <cell r="AG249">
            <v>0</v>
          </cell>
          <cell r="AH249">
            <v>0</v>
          </cell>
          <cell r="AI249">
            <v>0</v>
          </cell>
          <cell r="AJ249">
            <v>0</v>
          </cell>
        </row>
        <row r="250">
          <cell r="E250" t="str">
            <v>OR Commercial Coal</v>
          </cell>
          <cell r="F250">
            <v>37</v>
          </cell>
          <cell r="G250">
            <v>19</v>
          </cell>
          <cell r="H250">
            <v>19</v>
          </cell>
          <cell r="I250">
            <v>39</v>
          </cell>
          <cell r="J250">
            <v>20</v>
          </cell>
          <cell r="K250">
            <v>20</v>
          </cell>
          <cell r="L250">
            <v>0</v>
          </cell>
          <cell r="M250">
            <v>21</v>
          </cell>
          <cell r="N250">
            <v>0</v>
          </cell>
          <cell r="O250">
            <v>4</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row>
        <row r="251">
          <cell r="E251" t="str">
            <v>PA Commercial Coal</v>
          </cell>
          <cell r="F251">
            <v>26279</v>
          </cell>
          <cell r="G251">
            <v>29068</v>
          </cell>
          <cell r="H251">
            <v>33164</v>
          </cell>
          <cell r="I251">
            <v>25206</v>
          </cell>
          <cell r="J251">
            <v>24629</v>
          </cell>
          <cell r="K251">
            <v>25669</v>
          </cell>
          <cell r="L251">
            <v>21628</v>
          </cell>
          <cell r="M251">
            <v>27303</v>
          </cell>
          <cell r="N251">
            <v>18912</v>
          </cell>
          <cell r="O251">
            <v>15450</v>
          </cell>
          <cell r="P251">
            <v>17427</v>
          </cell>
          <cell r="Q251">
            <v>17557</v>
          </cell>
          <cell r="R251">
            <v>12961</v>
          </cell>
          <cell r="S251">
            <v>15294</v>
          </cell>
          <cell r="T251">
            <v>15376</v>
          </cell>
          <cell r="U251">
            <v>14407</v>
          </cell>
          <cell r="V251">
            <v>14269</v>
          </cell>
          <cell r="W251">
            <v>16210</v>
          </cell>
          <cell r="X251">
            <v>5224</v>
          </cell>
          <cell r="Y251">
            <v>5026</v>
          </cell>
          <cell r="Z251">
            <v>4729</v>
          </cell>
          <cell r="AA251">
            <v>4343</v>
          </cell>
          <cell r="AB251">
            <v>3286</v>
          </cell>
          <cell r="AC251">
            <v>3073</v>
          </cell>
          <cell r="AD251">
            <v>3082</v>
          </cell>
          <cell r="AE251">
            <v>1963</v>
          </cell>
          <cell r="AF251">
            <v>1031</v>
          </cell>
          <cell r="AG251">
            <v>645</v>
          </cell>
          <cell r="AH251">
            <v>362</v>
          </cell>
          <cell r="AI251">
            <v>311</v>
          </cell>
          <cell r="AJ251">
            <v>224</v>
          </cell>
        </row>
        <row r="252">
          <cell r="E252" t="str">
            <v>RI Commercial Coal</v>
          </cell>
          <cell r="F252">
            <v>101</v>
          </cell>
          <cell r="G252">
            <v>83</v>
          </cell>
          <cell r="H252">
            <v>101</v>
          </cell>
          <cell r="I252">
            <v>59</v>
          </cell>
          <cell r="J252">
            <v>64</v>
          </cell>
          <cell r="K252">
            <v>64</v>
          </cell>
          <cell r="L252">
            <v>71</v>
          </cell>
          <cell r="M252">
            <v>63</v>
          </cell>
          <cell r="N252">
            <v>53</v>
          </cell>
          <cell r="O252">
            <v>36</v>
          </cell>
          <cell r="P252">
            <v>46</v>
          </cell>
          <cell r="Q252">
            <v>45</v>
          </cell>
          <cell r="R252">
            <v>67</v>
          </cell>
          <cell r="S252">
            <v>88</v>
          </cell>
          <cell r="T252">
            <v>68</v>
          </cell>
          <cell r="U252">
            <v>70</v>
          </cell>
          <cell r="V252">
            <v>44</v>
          </cell>
          <cell r="W252">
            <v>35</v>
          </cell>
          <cell r="X252">
            <v>0</v>
          </cell>
          <cell r="Y252">
            <v>0</v>
          </cell>
          <cell r="Z252">
            <v>0</v>
          </cell>
          <cell r="AA252">
            <v>0</v>
          </cell>
          <cell r="AB252">
            <v>0</v>
          </cell>
          <cell r="AC252">
            <v>0</v>
          </cell>
          <cell r="AD252">
            <v>0</v>
          </cell>
          <cell r="AE252">
            <v>0</v>
          </cell>
          <cell r="AF252">
            <v>0</v>
          </cell>
          <cell r="AG252">
            <v>0</v>
          </cell>
          <cell r="AH252">
            <v>0</v>
          </cell>
          <cell r="AI252">
            <v>0</v>
          </cell>
          <cell r="AJ252">
            <v>0</v>
          </cell>
        </row>
        <row r="253">
          <cell r="E253" t="str">
            <v>SC Commercial Coal</v>
          </cell>
          <cell r="F253">
            <v>128</v>
          </cell>
          <cell r="G253">
            <v>457</v>
          </cell>
          <cell r="H253">
            <v>627</v>
          </cell>
          <cell r="I253">
            <v>2224</v>
          </cell>
          <cell r="J253">
            <v>1299</v>
          </cell>
          <cell r="K253">
            <v>374</v>
          </cell>
          <cell r="L253">
            <v>412</v>
          </cell>
          <cell r="M253">
            <v>20</v>
          </cell>
          <cell r="N253">
            <v>532</v>
          </cell>
          <cell r="O253">
            <v>5495</v>
          </cell>
          <cell r="P253">
            <v>0</v>
          </cell>
          <cell r="Q253">
            <v>0</v>
          </cell>
          <cell r="R253">
            <v>1</v>
          </cell>
          <cell r="S253">
            <v>0</v>
          </cell>
          <cell r="T253">
            <v>0</v>
          </cell>
          <cell r="U253">
            <v>0</v>
          </cell>
          <cell r="V253">
            <v>1949</v>
          </cell>
          <cell r="W253">
            <v>0</v>
          </cell>
          <cell r="X253">
            <v>328</v>
          </cell>
          <cell r="Y253">
            <v>94</v>
          </cell>
          <cell r="Z253">
            <v>51</v>
          </cell>
          <cell r="AA253">
            <v>0</v>
          </cell>
          <cell r="AB253">
            <v>3</v>
          </cell>
          <cell r="AC253">
            <v>0</v>
          </cell>
          <cell r="AD253">
            <v>0</v>
          </cell>
          <cell r="AE253">
            <v>0</v>
          </cell>
          <cell r="AF253">
            <v>0</v>
          </cell>
          <cell r="AG253">
            <v>0</v>
          </cell>
          <cell r="AH253">
            <v>0</v>
          </cell>
          <cell r="AI253">
            <v>0</v>
          </cell>
          <cell r="AJ253">
            <v>0</v>
          </cell>
        </row>
        <row r="254">
          <cell r="E254" t="str">
            <v>SD Commercial Coal</v>
          </cell>
          <cell r="F254">
            <v>44</v>
          </cell>
          <cell r="G254">
            <v>57</v>
          </cell>
          <cell r="H254">
            <v>16</v>
          </cell>
          <cell r="I254">
            <v>14</v>
          </cell>
          <cell r="J254">
            <v>263</v>
          </cell>
          <cell r="K254">
            <v>116</v>
          </cell>
          <cell r="L254">
            <v>30</v>
          </cell>
          <cell r="M254">
            <v>15</v>
          </cell>
          <cell r="N254">
            <v>0</v>
          </cell>
          <cell r="O254">
            <v>18</v>
          </cell>
          <cell r="P254">
            <v>22</v>
          </cell>
          <cell r="Q254">
            <v>190</v>
          </cell>
          <cell r="R254">
            <v>22</v>
          </cell>
          <cell r="S254">
            <v>15</v>
          </cell>
          <cell r="T254">
            <v>16</v>
          </cell>
          <cell r="U254">
            <v>16</v>
          </cell>
          <cell r="V254">
            <v>17</v>
          </cell>
          <cell r="W254">
            <v>17</v>
          </cell>
          <cell r="X254">
            <v>238</v>
          </cell>
          <cell r="Y254">
            <v>183</v>
          </cell>
          <cell r="Z254">
            <v>188</v>
          </cell>
          <cell r="AA254">
            <v>0</v>
          </cell>
          <cell r="AB254">
            <v>37</v>
          </cell>
          <cell r="AC254">
            <v>0</v>
          </cell>
          <cell r="AD254">
            <v>0</v>
          </cell>
          <cell r="AE254">
            <v>0</v>
          </cell>
          <cell r="AF254">
            <v>0</v>
          </cell>
          <cell r="AG254">
            <v>0</v>
          </cell>
          <cell r="AH254">
            <v>0</v>
          </cell>
          <cell r="AI254">
            <v>0</v>
          </cell>
          <cell r="AJ254">
            <v>0</v>
          </cell>
        </row>
        <row r="255">
          <cell r="E255" t="str">
            <v>TN Commercial Coal</v>
          </cell>
          <cell r="F255">
            <v>4315</v>
          </cell>
          <cell r="G255">
            <v>3542</v>
          </cell>
          <cell r="H255">
            <v>3125</v>
          </cell>
          <cell r="I255">
            <v>2287</v>
          </cell>
          <cell r="J255">
            <v>1932</v>
          </cell>
          <cell r="K255">
            <v>3191</v>
          </cell>
          <cell r="L255">
            <v>2439</v>
          </cell>
          <cell r="M255">
            <v>2919</v>
          </cell>
          <cell r="N255">
            <v>579</v>
          </cell>
          <cell r="O255">
            <v>2246</v>
          </cell>
          <cell r="P255">
            <v>2598</v>
          </cell>
          <cell r="Q255">
            <v>3038</v>
          </cell>
          <cell r="R255">
            <v>1384</v>
          </cell>
          <cell r="S255">
            <v>2770</v>
          </cell>
          <cell r="T255">
            <v>1475</v>
          </cell>
          <cell r="U255">
            <v>738</v>
          </cell>
          <cell r="V255">
            <v>919</v>
          </cell>
          <cell r="W255">
            <v>1565</v>
          </cell>
          <cell r="X255">
            <v>2358</v>
          </cell>
          <cell r="Y255">
            <v>2328</v>
          </cell>
          <cell r="Z255">
            <v>2227</v>
          </cell>
          <cell r="AA255">
            <v>1774</v>
          </cell>
          <cell r="AB255">
            <v>1604</v>
          </cell>
          <cell r="AC255">
            <v>1636</v>
          </cell>
          <cell r="AD255">
            <v>1526</v>
          </cell>
          <cell r="AE255">
            <v>148</v>
          </cell>
          <cell r="AF255">
            <v>0</v>
          </cell>
          <cell r="AG255">
            <v>0</v>
          </cell>
          <cell r="AH255">
            <v>0</v>
          </cell>
          <cell r="AI255">
            <v>0</v>
          </cell>
          <cell r="AJ255">
            <v>0</v>
          </cell>
        </row>
        <row r="256">
          <cell r="E256" t="str">
            <v>TX Commercial Coal</v>
          </cell>
          <cell r="F256">
            <v>216</v>
          </cell>
          <cell r="G256">
            <v>225</v>
          </cell>
          <cell r="H256">
            <v>175</v>
          </cell>
          <cell r="I256">
            <v>94</v>
          </cell>
          <cell r="J256">
            <v>2</v>
          </cell>
          <cell r="K256">
            <v>0</v>
          </cell>
          <cell r="L256">
            <v>0</v>
          </cell>
          <cell r="M256">
            <v>2</v>
          </cell>
          <cell r="N256">
            <v>315</v>
          </cell>
          <cell r="O256">
            <v>119</v>
          </cell>
          <cell r="P256">
            <v>181</v>
          </cell>
          <cell r="Q256">
            <v>386</v>
          </cell>
          <cell r="R256">
            <v>1075</v>
          </cell>
          <cell r="S256">
            <v>2350</v>
          </cell>
          <cell r="T256">
            <v>252</v>
          </cell>
          <cell r="U256">
            <v>284</v>
          </cell>
          <cell r="V256">
            <v>2</v>
          </cell>
          <cell r="W256">
            <v>0</v>
          </cell>
          <cell r="X256">
            <v>319</v>
          </cell>
          <cell r="Y256">
            <v>375</v>
          </cell>
          <cell r="Z256">
            <v>287</v>
          </cell>
          <cell r="AA256">
            <v>300</v>
          </cell>
          <cell r="AB256">
            <v>280</v>
          </cell>
          <cell r="AC256">
            <v>241</v>
          </cell>
          <cell r="AD256">
            <v>225</v>
          </cell>
          <cell r="AE256">
            <v>171</v>
          </cell>
          <cell r="AF256">
            <v>0</v>
          </cell>
          <cell r="AG256">
            <v>0</v>
          </cell>
          <cell r="AH256">
            <v>0</v>
          </cell>
          <cell r="AI256">
            <v>0</v>
          </cell>
          <cell r="AJ256">
            <v>0</v>
          </cell>
        </row>
        <row r="257">
          <cell r="E257" t="str">
            <v>US Commercial Coal</v>
          </cell>
          <cell r="F257">
            <v>123829</v>
          </cell>
          <cell r="G257">
            <v>115432</v>
          </cell>
          <cell r="H257">
            <v>116757</v>
          </cell>
          <cell r="I257">
            <v>116507</v>
          </cell>
          <cell r="J257">
            <v>117116</v>
          </cell>
          <cell r="K257">
            <v>116329</v>
          </cell>
          <cell r="L257">
            <v>120065</v>
          </cell>
          <cell r="M257">
            <v>128728</v>
          </cell>
          <cell r="N257">
            <v>100594</v>
          </cell>
          <cell r="O257">
            <v>101615</v>
          </cell>
          <cell r="P257">
            <v>85811</v>
          </cell>
          <cell r="Q257">
            <v>88293</v>
          </cell>
          <cell r="R257">
            <v>87814</v>
          </cell>
          <cell r="S257">
            <v>82868</v>
          </cell>
          <cell r="T257">
            <v>102859</v>
          </cell>
          <cell r="U257">
            <v>95743</v>
          </cell>
          <cell r="V257">
            <v>64346</v>
          </cell>
          <cell r="W257">
            <v>70384</v>
          </cell>
          <cell r="X257">
            <v>80427</v>
          </cell>
          <cell r="Y257">
            <v>73249</v>
          </cell>
          <cell r="Z257">
            <v>69590</v>
          </cell>
          <cell r="AA257">
            <v>61732</v>
          </cell>
          <cell r="AB257">
            <v>43654</v>
          </cell>
          <cell r="AC257">
            <v>41479</v>
          </cell>
          <cell r="AD257">
            <v>40461</v>
          </cell>
          <cell r="AE257">
            <v>31071</v>
          </cell>
          <cell r="AF257">
            <v>24027</v>
          </cell>
          <cell r="AG257">
            <v>20807</v>
          </cell>
          <cell r="AH257">
            <v>18772</v>
          </cell>
          <cell r="AI257">
            <v>16714</v>
          </cell>
          <cell r="AJ257">
            <v>14481</v>
          </cell>
        </row>
        <row r="258">
          <cell r="E258" t="str">
            <v>UT Commercial Coal</v>
          </cell>
          <cell r="F258">
            <v>4945</v>
          </cell>
          <cell r="G258">
            <v>5789</v>
          </cell>
          <cell r="H258">
            <v>4223</v>
          </cell>
          <cell r="I258">
            <v>2302</v>
          </cell>
          <cell r="J258">
            <v>2074</v>
          </cell>
          <cell r="K258">
            <v>1561</v>
          </cell>
          <cell r="L258">
            <v>1926</v>
          </cell>
          <cell r="M258">
            <v>2529</v>
          </cell>
          <cell r="N258">
            <v>2368</v>
          </cell>
          <cell r="O258">
            <v>2344</v>
          </cell>
          <cell r="P258">
            <v>1213</v>
          </cell>
          <cell r="Q258">
            <v>1249</v>
          </cell>
          <cell r="R258">
            <v>4108</v>
          </cell>
          <cell r="S258">
            <v>1256</v>
          </cell>
          <cell r="T258">
            <v>4525</v>
          </cell>
          <cell r="U258">
            <v>972</v>
          </cell>
          <cell r="V258">
            <v>761</v>
          </cell>
          <cell r="W258">
            <v>478</v>
          </cell>
          <cell r="X258">
            <v>0</v>
          </cell>
          <cell r="Y258">
            <v>0</v>
          </cell>
          <cell r="Z258">
            <v>0</v>
          </cell>
          <cell r="AA258">
            <v>0</v>
          </cell>
          <cell r="AB258">
            <v>0</v>
          </cell>
          <cell r="AC258">
            <v>0</v>
          </cell>
          <cell r="AD258">
            <v>0</v>
          </cell>
          <cell r="AE258">
            <v>0</v>
          </cell>
          <cell r="AF258">
            <v>0</v>
          </cell>
          <cell r="AG258">
            <v>0</v>
          </cell>
          <cell r="AH258">
            <v>0</v>
          </cell>
          <cell r="AI258">
            <v>0</v>
          </cell>
          <cell r="AJ258">
            <v>0</v>
          </cell>
        </row>
        <row r="259">
          <cell r="E259" t="str">
            <v>VA Commercial Coal</v>
          </cell>
          <cell r="F259">
            <v>4736</v>
          </cell>
          <cell r="G259">
            <v>2864</v>
          </cell>
          <cell r="H259">
            <v>3957</v>
          </cell>
          <cell r="I259">
            <v>6353</v>
          </cell>
          <cell r="J259">
            <v>6694</v>
          </cell>
          <cell r="K259">
            <v>6198</v>
          </cell>
          <cell r="L259">
            <v>8728</v>
          </cell>
          <cell r="M259">
            <v>4039</v>
          </cell>
          <cell r="N259">
            <v>4043</v>
          </cell>
          <cell r="O259">
            <v>2887</v>
          </cell>
          <cell r="P259">
            <v>1935</v>
          </cell>
          <cell r="Q259">
            <v>2883</v>
          </cell>
          <cell r="R259">
            <v>1703</v>
          </cell>
          <cell r="S259">
            <v>2285</v>
          </cell>
          <cell r="T259">
            <v>2084</v>
          </cell>
          <cell r="U259">
            <v>2763</v>
          </cell>
          <cell r="V259">
            <v>600</v>
          </cell>
          <cell r="W259">
            <v>1856</v>
          </cell>
          <cell r="X259">
            <v>1986</v>
          </cell>
          <cell r="Y259">
            <v>2328</v>
          </cell>
          <cell r="Z259">
            <v>2238</v>
          </cell>
          <cell r="AA259">
            <v>2384</v>
          </cell>
          <cell r="AB259">
            <v>1287</v>
          </cell>
          <cell r="AC259">
            <v>1337</v>
          </cell>
          <cell r="AD259">
            <v>1755</v>
          </cell>
          <cell r="AE259">
            <v>1331</v>
          </cell>
          <cell r="AF259">
            <v>880</v>
          </cell>
          <cell r="AG259">
            <v>942</v>
          </cell>
          <cell r="AH259">
            <v>723</v>
          </cell>
          <cell r="AI259">
            <v>592</v>
          </cell>
          <cell r="AJ259">
            <v>261</v>
          </cell>
        </row>
        <row r="260">
          <cell r="E260" t="str">
            <v>VT Commercial Coal</v>
          </cell>
          <cell r="F260">
            <v>141</v>
          </cell>
          <cell r="G260">
            <v>104</v>
          </cell>
          <cell r="H260">
            <v>121</v>
          </cell>
          <cell r="I260">
            <v>119</v>
          </cell>
          <cell r="J260">
            <v>106</v>
          </cell>
          <cell r="K260">
            <v>64</v>
          </cell>
          <cell r="L260">
            <v>37</v>
          </cell>
          <cell r="M260">
            <v>55</v>
          </cell>
          <cell r="N260">
            <v>47</v>
          </cell>
          <cell r="O260">
            <v>48</v>
          </cell>
          <cell r="P260">
            <v>23</v>
          </cell>
          <cell r="Q260">
            <v>45</v>
          </cell>
          <cell r="R260">
            <v>22</v>
          </cell>
          <cell r="S260">
            <v>22</v>
          </cell>
          <cell r="T260">
            <v>23</v>
          </cell>
          <cell r="U260">
            <v>23</v>
          </cell>
          <cell r="V260">
            <v>25</v>
          </cell>
          <cell r="W260">
            <v>30</v>
          </cell>
          <cell r="X260">
            <v>0</v>
          </cell>
          <cell r="Y260">
            <v>0</v>
          </cell>
          <cell r="Z260">
            <v>0</v>
          </cell>
          <cell r="AA260">
            <v>0</v>
          </cell>
          <cell r="AB260">
            <v>0</v>
          </cell>
          <cell r="AC260">
            <v>0</v>
          </cell>
          <cell r="AD260">
            <v>0</v>
          </cell>
          <cell r="AE260">
            <v>0</v>
          </cell>
          <cell r="AF260">
            <v>0</v>
          </cell>
          <cell r="AG260">
            <v>0</v>
          </cell>
          <cell r="AH260">
            <v>0</v>
          </cell>
          <cell r="AI260">
            <v>0</v>
          </cell>
          <cell r="AJ260">
            <v>0</v>
          </cell>
        </row>
        <row r="261">
          <cell r="E261" t="str">
            <v>WA Commercial Coal</v>
          </cell>
          <cell r="F261">
            <v>1147</v>
          </cell>
          <cell r="G261">
            <v>1470</v>
          </cell>
          <cell r="H261">
            <v>1661</v>
          </cell>
          <cell r="I261">
            <v>2103</v>
          </cell>
          <cell r="J261">
            <v>1641</v>
          </cell>
          <cell r="K261">
            <v>1535</v>
          </cell>
          <cell r="L261">
            <v>476</v>
          </cell>
          <cell r="M261">
            <v>440</v>
          </cell>
          <cell r="N261">
            <v>325</v>
          </cell>
          <cell r="O261">
            <v>380</v>
          </cell>
          <cell r="P261">
            <v>462</v>
          </cell>
          <cell r="Q261">
            <v>460</v>
          </cell>
          <cell r="R261">
            <v>476</v>
          </cell>
          <cell r="S261">
            <v>532</v>
          </cell>
          <cell r="T261">
            <v>487</v>
          </cell>
          <cell r="U261">
            <v>0</v>
          </cell>
          <cell r="V261">
            <v>1</v>
          </cell>
          <cell r="W261">
            <v>1</v>
          </cell>
          <cell r="X261">
            <v>0</v>
          </cell>
          <cell r="Y261">
            <v>0</v>
          </cell>
          <cell r="Z261">
            <v>0</v>
          </cell>
          <cell r="AA261">
            <v>0</v>
          </cell>
          <cell r="AB261">
            <v>0</v>
          </cell>
          <cell r="AC261">
            <v>0</v>
          </cell>
          <cell r="AD261">
            <v>0</v>
          </cell>
          <cell r="AE261">
            <v>0</v>
          </cell>
          <cell r="AF261">
            <v>0</v>
          </cell>
          <cell r="AG261">
            <v>0</v>
          </cell>
          <cell r="AH261">
            <v>0</v>
          </cell>
          <cell r="AI261">
            <v>0</v>
          </cell>
          <cell r="AJ261">
            <v>0</v>
          </cell>
        </row>
        <row r="262">
          <cell r="E262" t="str">
            <v>WI Commercial Coal</v>
          </cell>
          <cell r="F262">
            <v>100</v>
          </cell>
          <cell r="G262">
            <v>206</v>
          </cell>
          <cell r="H262">
            <v>88</v>
          </cell>
          <cell r="I262">
            <v>750</v>
          </cell>
          <cell r="J262">
            <v>1095</v>
          </cell>
          <cell r="K262">
            <v>2824</v>
          </cell>
          <cell r="L262">
            <v>2315</v>
          </cell>
          <cell r="M262">
            <v>3594</v>
          </cell>
          <cell r="N262">
            <v>3127</v>
          </cell>
          <cell r="O262">
            <v>3701</v>
          </cell>
          <cell r="P262">
            <v>3996</v>
          </cell>
          <cell r="Q262">
            <v>4122</v>
          </cell>
          <cell r="R262">
            <v>2713</v>
          </cell>
          <cell r="S262">
            <v>3338</v>
          </cell>
          <cell r="T262">
            <v>3343</v>
          </cell>
          <cell r="U262">
            <v>7279</v>
          </cell>
          <cell r="V262">
            <v>643</v>
          </cell>
          <cell r="W262">
            <v>1225</v>
          </cell>
          <cell r="X262">
            <v>4822</v>
          </cell>
          <cell r="Y262">
            <v>2950</v>
          </cell>
          <cell r="Z262">
            <v>3014</v>
          </cell>
          <cell r="AA262">
            <v>2675</v>
          </cell>
          <cell r="AB262">
            <v>811</v>
          </cell>
          <cell r="AC262">
            <v>869</v>
          </cell>
          <cell r="AD262">
            <v>713</v>
          </cell>
          <cell r="AE262">
            <v>536</v>
          </cell>
          <cell r="AF262">
            <v>567</v>
          </cell>
          <cell r="AG262">
            <v>529</v>
          </cell>
          <cell r="AH262">
            <v>534</v>
          </cell>
          <cell r="AI262">
            <v>535</v>
          </cell>
          <cell r="AJ262">
            <v>408</v>
          </cell>
        </row>
        <row r="263">
          <cell r="E263" t="str">
            <v>WV Commercial Coal</v>
          </cell>
          <cell r="F263">
            <v>3574</v>
          </cell>
          <cell r="G263">
            <v>1969</v>
          </cell>
          <cell r="H263">
            <v>1780</v>
          </cell>
          <cell r="I263">
            <v>2077</v>
          </cell>
          <cell r="J263">
            <v>1833</v>
          </cell>
          <cell r="K263">
            <v>1404</v>
          </cell>
          <cell r="L263">
            <v>2368</v>
          </cell>
          <cell r="M263">
            <v>2312</v>
          </cell>
          <cell r="N263">
            <v>3716</v>
          </cell>
          <cell r="O263">
            <v>3801</v>
          </cell>
          <cell r="P263">
            <v>4960</v>
          </cell>
          <cell r="Q263">
            <v>1053</v>
          </cell>
          <cell r="R263">
            <v>730</v>
          </cell>
          <cell r="S263">
            <v>918</v>
          </cell>
          <cell r="T263">
            <v>1240</v>
          </cell>
          <cell r="U263">
            <v>1825</v>
          </cell>
          <cell r="V263">
            <v>556</v>
          </cell>
          <cell r="W263">
            <v>1464</v>
          </cell>
          <cell r="X263">
            <v>0</v>
          </cell>
          <cell r="Y263">
            <v>0</v>
          </cell>
          <cell r="Z263">
            <v>0</v>
          </cell>
          <cell r="AA263">
            <v>0</v>
          </cell>
          <cell r="AB263">
            <v>0</v>
          </cell>
          <cell r="AC263">
            <v>0</v>
          </cell>
          <cell r="AD263">
            <v>0</v>
          </cell>
          <cell r="AE263">
            <v>0</v>
          </cell>
          <cell r="AF263">
            <v>0</v>
          </cell>
          <cell r="AG263">
            <v>0</v>
          </cell>
          <cell r="AH263">
            <v>0</v>
          </cell>
          <cell r="AI263">
            <v>0</v>
          </cell>
          <cell r="AJ263">
            <v>0</v>
          </cell>
        </row>
        <row r="264">
          <cell r="E264" t="str">
            <v>WY Commercial Coal</v>
          </cell>
          <cell r="F264">
            <v>2076</v>
          </cell>
          <cell r="G264">
            <v>2627</v>
          </cell>
          <cell r="H264">
            <v>1543</v>
          </cell>
          <cell r="I264">
            <v>2844</v>
          </cell>
          <cell r="J264">
            <v>3793</v>
          </cell>
          <cell r="K264">
            <v>2311</v>
          </cell>
          <cell r="L264">
            <v>6109</v>
          </cell>
          <cell r="M264">
            <v>2255</v>
          </cell>
          <cell r="N264">
            <v>2875</v>
          </cell>
          <cell r="O264">
            <v>1849</v>
          </cell>
          <cell r="P264">
            <v>2464</v>
          </cell>
          <cell r="Q264">
            <v>2196</v>
          </cell>
          <cell r="R264">
            <v>1481</v>
          </cell>
          <cell r="S264">
            <v>1555</v>
          </cell>
          <cell r="T264">
            <v>1639</v>
          </cell>
          <cell r="U264">
            <v>1138</v>
          </cell>
          <cell r="V264">
            <v>834</v>
          </cell>
          <cell r="W264">
            <v>944</v>
          </cell>
          <cell r="X264">
            <v>551</v>
          </cell>
          <cell r="Y264">
            <v>534</v>
          </cell>
          <cell r="Z264">
            <v>510</v>
          </cell>
          <cell r="AA264">
            <v>547</v>
          </cell>
          <cell r="AB264">
            <v>458</v>
          </cell>
          <cell r="AC264">
            <v>485</v>
          </cell>
          <cell r="AD264">
            <v>420</v>
          </cell>
          <cell r="AE264">
            <v>174</v>
          </cell>
          <cell r="AF264">
            <v>149</v>
          </cell>
          <cell r="AG264">
            <v>285</v>
          </cell>
          <cell r="AH264">
            <v>187</v>
          </cell>
          <cell r="AI264">
            <v>147</v>
          </cell>
          <cell r="AJ264">
            <v>46</v>
          </cell>
        </row>
        <row r="265">
          <cell r="E265" t="str">
            <v>AK Electric Power Coal</v>
          </cell>
          <cell r="F265">
            <v>4585</v>
          </cell>
          <cell r="G265">
            <v>4711</v>
          </cell>
          <cell r="H265">
            <v>4381</v>
          </cell>
          <cell r="I265">
            <v>4703</v>
          </cell>
          <cell r="J265">
            <v>4287</v>
          </cell>
          <cell r="K265">
            <v>4622</v>
          </cell>
          <cell r="L265">
            <v>3622</v>
          </cell>
          <cell r="M265">
            <v>3711</v>
          </cell>
          <cell r="N265">
            <v>8124</v>
          </cell>
          <cell r="O265">
            <v>7752</v>
          </cell>
          <cell r="P265">
            <v>8283</v>
          </cell>
          <cell r="Q265">
            <v>8507</v>
          </cell>
          <cell r="R265">
            <v>9068</v>
          </cell>
          <cell r="S265">
            <v>5555</v>
          </cell>
          <cell r="T265">
            <v>6305</v>
          </cell>
          <cell r="U265">
            <v>6087</v>
          </cell>
          <cell r="V265">
            <v>6245</v>
          </cell>
          <cell r="W265">
            <v>6247</v>
          </cell>
          <cell r="X265">
            <v>6176</v>
          </cell>
          <cell r="Y265">
            <v>6350</v>
          </cell>
          <cell r="Z265">
            <v>5958</v>
          </cell>
          <cell r="AA265">
            <v>5976</v>
          </cell>
          <cell r="AB265">
            <v>6301</v>
          </cell>
          <cell r="AC265">
            <v>5864</v>
          </cell>
          <cell r="AD265">
            <v>9892</v>
          </cell>
          <cell r="AE265">
            <v>11009</v>
          </cell>
          <cell r="AF265">
            <v>9644</v>
          </cell>
          <cell r="AG265">
            <v>9214</v>
          </cell>
          <cell r="AH265">
            <v>10377</v>
          </cell>
          <cell r="AI265">
            <v>11035</v>
          </cell>
          <cell r="AJ265">
            <v>11400</v>
          </cell>
        </row>
        <row r="266">
          <cell r="E266" t="str">
            <v>AL Electric Power Coal</v>
          </cell>
          <cell r="F266">
            <v>536617</v>
          </cell>
          <cell r="G266">
            <v>578024</v>
          </cell>
          <cell r="H266">
            <v>607891</v>
          </cell>
          <cell r="I266">
            <v>670402</v>
          </cell>
          <cell r="J266">
            <v>627361</v>
          </cell>
          <cell r="K266">
            <v>684013</v>
          </cell>
          <cell r="L266">
            <v>739554</v>
          </cell>
          <cell r="M266">
            <v>718690</v>
          </cell>
          <cell r="N266">
            <v>729588</v>
          </cell>
          <cell r="O266">
            <v>744481</v>
          </cell>
          <cell r="P266">
            <v>786188</v>
          </cell>
          <cell r="Q266">
            <v>739969</v>
          </cell>
          <cell r="R266">
            <v>753149</v>
          </cell>
          <cell r="S266">
            <v>775843</v>
          </cell>
          <cell r="T266">
            <v>753426</v>
          </cell>
          <cell r="U266">
            <v>799611</v>
          </cell>
          <cell r="V266">
            <v>800642</v>
          </cell>
          <cell r="W266">
            <v>806975</v>
          </cell>
          <cell r="X266">
            <v>762110</v>
          </cell>
          <cell r="Y266">
            <v>571352</v>
          </cell>
          <cell r="Z266">
            <v>649866</v>
          </cell>
          <cell r="AA266">
            <v>586053</v>
          </cell>
          <cell r="AB266">
            <v>474066</v>
          </cell>
          <cell r="AC266">
            <v>488625</v>
          </cell>
          <cell r="AD266">
            <v>488647</v>
          </cell>
          <cell r="AE266">
            <v>424833</v>
          </cell>
          <cell r="AF266">
            <v>345578</v>
          </cell>
          <cell r="AG266">
            <v>316065</v>
          </cell>
          <cell r="AH266">
            <v>317234</v>
          </cell>
          <cell r="AI266">
            <v>268395</v>
          </cell>
          <cell r="AJ266">
            <v>219945</v>
          </cell>
        </row>
        <row r="267">
          <cell r="E267" t="str">
            <v>AR Electric Power Coal</v>
          </cell>
          <cell r="F267">
            <v>206863</v>
          </cell>
          <cell r="G267">
            <v>209095</v>
          </cell>
          <cell r="H267">
            <v>213578</v>
          </cell>
          <cell r="I267">
            <v>192682</v>
          </cell>
          <cell r="J267">
            <v>213561</v>
          </cell>
          <cell r="K267">
            <v>229550</v>
          </cell>
          <cell r="L267">
            <v>251704</v>
          </cell>
          <cell r="M267">
            <v>239806</v>
          </cell>
          <cell r="N267">
            <v>247654</v>
          </cell>
          <cell r="O267">
            <v>259094</v>
          </cell>
          <cell r="P267">
            <v>257963</v>
          </cell>
          <cell r="Q267">
            <v>263081</v>
          </cell>
          <cell r="R267">
            <v>244784</v>
          </cell>
          <cell r="S267">
            <v>243527</v>
          </cell>
          <cell r="T267">
            <v>260084</v>
          </cell>
          <cell r="U267">
            <v>237894</v>
          </cell>
          <cell r="V267">
            <v>247823</v>
          </cell>
          <cell r="W267">
            <v>265232</v>
          </cell>
          <cell r="X267">
            <v>269282</v>
          </cell>
          <cell r="Y267">
            <v>256654</v>
          </cell>
          <cell r="Z267">
            <v>286417</v>
          </cell>
          <cell r="AA267">
            <v>300543</v>
          </cell>
          <cell r="AB267">
            <v>291578</v>
          </cell>
          <cell r="AC267">
            <v>322034</v>
          </cell>
          <cell r="AD267">
            <v>333753</v>
          </cell>
          <cell r="AE267">
            <v>222218</v>
          </cell>
          <cell r="AF267">
            <v>241610</v>
          </cell>
          <cell r="AG267">
            <v>262907</v>
          </cell>
          <cell r="AH267">
            <v>300080</v>
          </cell>
          <cell r="AI267">
            <v>235754</v>
          </cell>
          <cell r="AJ267">
            <v>158577</v>
          </cell>
        </row>
        <row r="268">
          <cell r="E268" t="str">
            <v>AZ Electric Power Coal</v>
          </cell>
          <cell r="F268">
            <v>330161</v>
          </cell>
          <cell r="G268">
            <v>333518</v>
          </cell>
          <cell r="H268">
            <v>356833</v>
          </cell>
          <cell r="I268">
            <v>376336</v>
          </cell>
          <cell r="J268">
            <v>387732</v>
          </cell>
          <cell r="K268">
            <v>329673</v>
          </cell>
          <cell r="L268">
            <v>329469</v>
          </cell>
          <cell r="M268">
            <v>356152</v>
          </cell>
          <cell r="N268">
            <v>373335</v>
          </cell>
          <cell r="O268">
            <v>390094</v>
          </cell>
          <cell r="P268">
            <v>416851</v>
          </cell>
          <cell r="Q268">
            <v>409293</v>
          </cell>
          <cell r="R268">
            <v>392476</v>
          </cell>
          <cell r="S268">
            <v>391273</v>
          </cell>
          <cell r="T268">
            <v>409201</v>
          </cell>
          <cell r="U268">
            <v>412493</v>
          </cell>
          <cell r="V268">
            <v>415655</v>
          </cell>
          <cell r="W268">
            <v>423202</v>
          </cell>
          <cell r="X268">
            <v>445798</v>
          </cell>
          <cell r="Y268">
            <v>404530</v>
          </cell>
          <cell r="Z268">
            <v>447137</v>
          </cell>
          <cell r="AA268">
            <v>449888</v>
          </cell>
          <cell r="AB268">
            <v>411861</v>
          </cell>
          <cell r="AC268">
            <v>450547</v>
          </cell>
          <cell r="AD268">
            <v>442660</v>
          </cell>
          <cell r="AE268">
            <v>380388</v>
          </cell>
          <cell r="AF268">
            <v>319810</v>
          </cell>
          <cell r="AG268">
            <v>329229</v>
          </cell>
          <cell r="AH268">
            <v>324958</v>
          </cell>
          <cell r="AI268">
            <v>251170</v>
          </cell>
          <cell r="AJ268">
            <v>150312</v>
          </cell>
        </row>
        <row r="269">
          <cell r="E269" t="str">
            <v>CA Electric Power Coal</v>
          </cell>
          <cell r="F269">
            <v>18840</v>
          </cell>
          <cell r="G269">
            <v>25499</v>
          </cell>
          <cell r="H269">
            <v>26710</v>
          </cell>
          <cell r="I269">
            <v>27751</v>
          </cell>
          <cell r="J269">
            <v>26581</v>
          </cell>
          <cell r="K269">
            <v>23328</v>
          </cell>
          <cell r="L269">
            <v>20000</v>
          </cell>
          <cell r="M269">
            <v>17965</v>
          </cell>
          <cell r="N269">
            <v>20082</v>
          </cell>
          <cell r="O269">
            <v>22121</v>
          </cell>
          <cell r="P269">
            <v>22070</v>
          </cell>
          <cell r="Q269">
            <v>21112</v>
          </cell>
          <cell r="R269">
            <v>22896</v>
          </cell>
          <cell r="S269">
            <v>21715</v>
          </cell>
          <cell r="T269">
            <v>22535</v>
          </cell>
          <cell r="U269">
            <v>20692</v>
          </cell>
          <cell r="V269">
            <v>21921</v>
          </cell>
          <cell r="W269">
            <v>23358</v>
          </cell>
          <cell r="X269">
            <v>23630</v>
          </cell>
          <cell r="Y269">
            <v>21085</v>
          </cell>
          <cell r="Z269">
            <v>21776</v>
          </cell>
          <cell r="AA269">
            <v>19692</v>
          </cell>
          <cell r="AB269">
            <v>13153</v>
          </cell>
          <cell r="AC269">
            <v>6214</v>
          </cell>
          <cell r="AD269">
            <v>6866</v>
          </cell>
          <cell r="AE269">
            <v>0</v>
          </cell>
          <cell r="AF269">
            <v>0</v>
          </cell>
          <cell r="AG269">
            <v>0</v>
          </cell>
          <cell r="AH269">
            <v>0</v>
          </cell>
          <cell r="AI269">
            <v>0</v>
          </cell>
          <cell r="AJ269">
            <v>0</v>
          </cell>
        </row>
        <row r="270">
          <cell r="E270" t="str">
            <v>CO Electric Power Coal</v>
          </cell>
          <cell r="F270">
            <v>320752</v>
          </cell>
          <cell r="G270">
            <v>313657</v>
          </cell>
          <cell r="H270">
            <v>323644</v>
          </cell>
          <cell r="I270">
            <v>330082</v>
          </cell>
          <cell r="J270">
            <v>340392</v>
          </cell>
          <cell r="K270">
            <v>327951</v>
          </cell>
          <cell r="L270">
            <v>342494</v>
          </cell>
          <cell r="M270">
            <v>345510</v>
          </cell>
          <cell r="N270">
            <v>356162</v>
          </cell>
          <cell r="O270">
            <v>352825</v>
          </cell>
          <cell r="P270">
            <v>376872</v>
          </cell>
          <cell r="Q270">
            <v>386729</v>
          </cell>
          <cell r="R270">
            <v>380631</v>
          </cell>
          <cell r="S270">
            <v>381424</v>
          </cell>
          <cell r="T270">
            <v>378530</v>
          </cell>
          <cell r="U270">
            <v>376774</v>
          </cell>
          <cell r="V270">
            <v>386369</v>
          </cell>
          <cell r="W270">
            <v>382945</v>
          </cell>
          <cell r="X270">
            <v>373035</v>
          </cell>
          <cell r="Y270">
            <v>340480</v>
          </cell>
          <cell r="Z270">
            <v>369089</v>
          </cell>
          <cell r="AA270">
            <v>362384</v>
          </cell>
          <cell r="AB270">
            <v>363589</v>
          </cell>
          <cell r="AC270">
            <v>355912</v>
          </cell>
          <cell r="AD270">
            <v>341975</v>
          </cell>
          <cell r="AE270">
            <v>331972</v>
          </cell>
          <cell r="AF270">
            <v>314876</v>
          </cell>
          <cell r="AG270">
            <v>309415</v>
          </cell>
          <cell r="AH270">
            <v>280637</v>
          </cell>
          <cell r="AI270">
            <v>269056</v>
          </cell>
          <cell r="AJ270">
            <v>213212</v>
          </cell>
        </row>
        <row r="271">
          <cell r="E271" t="str">
            <v>CT Electric Power Coal</v>
          </cell>
          <cell r="F271">
            <v>38183</v>
          </cell>
          <cell r="G271">
            <v>38179</v>
          </cell>
          <cell r="H271">
            <v>38371</v>
          </cell>
          <cell r="I271">
            <v>36246</v>
          </cell>
          <cell r="J271">
            <v>37550</v>
          </cell>
          <cell r="K271">
            <v>40192</v>
          </cell>
          <cell r="L271">
            <v>40982</v>
          </cell>
          <cell r="M271">
            <v>44802</v>
          </cell>
          <cell r="N271">
            <v>32396</v>
          </cell>
          <cell r="O271">
            <v>15091</v>
          </cell>
          <cell r="P271">
            <v>36147</v>
          </cell>
          <cell r="Q271">
            <v>39890</v>
          </cell>
          <cell r="R271">
            <v>34105</v>
          </cell>
          <cell r="S271">
            <v>41763</v>
          </cell>
          <cell r="T271">
            <v>43896</v>
          </cell>
          <cell r="U271">
            <v>41877</v>
          </cell>
          <cell r="V271">
            <v>45629</v>
          </cell>
          <cell r="W271">
            <v>39846</v>
          </cell>
          <cell r="X271">
            <v>45188</v>
          </cell>
          <cell r="Y271">
            <v>26265</v>
          </cell>
          <cell r="Z271">
            <v>28711</v>
          </cell>
          <cell r="AA271">
            <v>6081</v>
          </cell>
          <cell r="AB271">
            <v>9290</v>
          </cell>
          <cell r="AC271">
            <v>7679</v>
          </cell>
          <cell r="AD271">
            <v>9097</v>
          </cell>
          <cell r="AE271">
            <v>6536</v>
          </cell>
          <cell r="AF271">
            <v>2340</v>
          </cell>
          <cell r="AG271">
            <v>2507</v>
          </cell>
          <cell r="AH271">
            <v>4023</v>
          </cell>
          <cell r="AI271">
            <v>867</v>
          </cell>
          <cell r="AJ271">
            <v>67</v>
          </cell>
        </row>
        <row r="272">
          <cell r="E272" t="str">
            <v>DC Electric Power Coal</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row>
        <row r="273">
          <cell r="E273" t="str">
            <v>DE Electric Power Coal</v>
          </cell>
          <cell r="F273">
            <v>53595</v>
          </cell>
          <cell r="G273">
            <v>51137</v>
          </cell>
          <cell r="H273">
            <v>42527</v>
          </cell>
          <cell r="I273">
            <v>57915</v>
          </cell>
          <cell r="J273">
            <v>51990</v>
          </cell>
          <cell r="K273">
            <v>47536</v>
          </cell>
          <cell r="L273">
            <v>46531</v>
          </cell>
          <cell r="M273">
            <v>44046</v>
          </cell>
          <cell r="N273">
            <v>41250</v>
          </cell>
          <cell r="O273">
            <v>32169</v>
          </cell>
          <cell r="P273">
            <v>45452</v>
          </cell>
          <cell r="Q273">
            <v>33831</v>
          </cell>
          <cell r="R273">
            <v>37971</v>
          </cell>
          <cell r="S273">
            <v>44423</v>
          </cell>
          <cell r="T273">
            <v>50487</v>
          </cell>
          <cell r="U273">
            <v>53625</v>
          </cell>
          <cell r="V273">
            <v>53921</v>
          </cell>
          <cell r="W273">
            <v>61108</v>
          </cell>
          <cell r="X273">
            <v>58693</v>
          </cell>
          <cell r="Y273">
            <v>33373</v>
          </cell>
          <cell r="Z273">
            <v>30253</v>
          </cell>
          <cell r="AA273">
            <v>17881</v>
          </cell>
          <cell r="AB273">
            <v>17384</v>
          </cell>
          <cell r="AC273">
            <v>18254</v>
          </cell>
          <cell r="AD273">
            <v>10238</v>
          </cell>
          <cell r="AE273">
            <v>7149</v>
          </cell>
          <cell r="AF273">
            <v>5859</v>
          </cell>
          <cell r="AG273">
            <v>4804</v>
          </cell>
          <cell r="AH273">
            <v>4296</v>
          </cell>
          <cell r="AI273">
            <v>2179</v>
          </cell>
          <cell r="AJ273">
            <v>1956</v>
          </cell>
        </row>
        <row r="274">
          <cell r="E274" t="str">
            <v>FL Electric Power Coal</v>
          </cell>
          <cell r="F274">
            <v>603104</v>
          </cell>
          <cell r="G274">
            <v>621827</v>
          </cell>
          <cell r="H274">
            <v>615673</v>
          </cell>
          <cell r="I274">
            <v>621621</v>
          </cell>
          <cell r="J274">
            <v>630388</v>
          </cell>
          <cell r="K274">
            <v>653636</v>
          </cell>
          <cell r="L274">
            <v>713903</v>
          </cell>
          <cell r="M274">
            <v>717586</v>
          </cell>
          <cell r="N274">
            <v>717359</v>
          </cell>
          <cell r="O274">
            <v>686393</v>
          </cell>
          <cell r="P274">
            <v>728147</v>
          </cell>
          <cell r="Q274">
            <v>694351</v>
          </cell>
          <cell r="R274">
            <v>688794</v>
          </cell>
          <cell r="S274">
            <v>695296</v>
          </cell>
          <cell r="T274">
            <v>672034</v>
          </cell>
          <cell r="U274">
            <v>644719</v>
          </cell>
          <cell r="V274">
            <v>667544</v>
          </cell>
          <cell r="W274">
            <v>692870</v>
          </cell>
          <cell r="X274">
            <v>665854</v>
          </cell>
          <cell r="Y274">
            <v>557466</v>
          </cell>
          <cell r="Z274">
            <v>615698</v>
          </cell>
          <cell r="AA274">
            <v>540109</v>
          </cell>
          <cell r="AB274">
            <v>470212</v>
          </cell>
          <cell r="AC274">
            <v>490158</v>
          </cell>
          <cell r="AD274">
            <v>541872</v>
          </cell>
          <cell r="AE274">
            <v>451546</v>
          </cell>
          <cell r="AF274">
            <v>413091</v>
          </cell>
          <cell r="AG274">
            <v>393366</v>
          </cell>
          <cell r="AH274">
            <v>314869</v>
          </cell>
          <cell r="AI274">
            <v>223238</v>
          </cell>
          <cell r="AJ274">
            <v>174940</v>
          </cell>
        </row>
        <row r="275">
          <cell r="E275" t="str">
            <v>GA Electric Power Coal</v>
          </cell>
          <cell r="F275">
            <v>657427</v>
          </cell>
          <cell r="G275">
            <v>590342</v>
          </cell>
          <cell r="H275">
            <v>567247</v>
          </cell>
          <cell r="I275">
            <v>611453</v>
          </cell>
          <cell r="J275">
            <v>636575</v>
          </cell>
          <cell r="K275">
            <v>673228</v>
          </cell>
          <cell r="L275">
            <v>673119</v>
          </cell>
          <cell r="M275">
            <v>716220</v>
          </cell>
          <cell r="N275">
            <v>717508</v>
          </cell>
          <cell r="O275">
            <v>732824</v>
          </cell>
          <cell r="P275">
            <v>768277</v>
          </cell>
          <cell r="Q275">
            <v>720457</v>
          </cell>
          <cell r="R275">
            <v>759665</v>
          </cell>
          <cell r="S275">
            <v>773493</v>
          </cell>
          <cell r="T275">
            <v>789365</v>
          </cell>
          <cell r="U275">
            <v>856300</v>
          </cell>
          <cell r="V275">
            <v>851994</v>
          </cell>
          <cell r="W275">
            <v>895834</v>
          </cell>
          <cell r="X275">
            <v>849111</v>
          </cell>
          <cell r="Y275">
            <v>696687</v>
          </cell>
          <cell r="Z275">
            <v>735954</v>
          </cell>
          <cell r="AA275">
            <v>605294</v>
          </cell>
          <cell r="AB275">
            <v>413654</v>
          </cell>
          <cell r="AC275">
            <v>407385</v>
          </cell>
          <cell r="AD275">
            <v>461406</v>
          </cell>
          <cell r="AE275">
            <v>382491</v>
          </cell>
          <cell r="AF275">
            <v>388170</v>
          </cell>
          <cell r="AG275">
            <v>335907</v>
          </cell>
          <cell r="AH275">
            <v>331720</v>
          </cell>
          <cell r="AI275">
            <v>265275</v>
          </cell>
          <cell r="AJ275">
            <v>146279</v>
          </cell>
        </row>
        <row r="276">
          <cell r="E276" t="str">
            <v>HI Electric Power Coal</v>
          </cell>
          <cell r="F276">
            <v>26</v>
          </cell>
          <cell r="G276">
            <v>144</v>
          </cell>
          <cell r="H276">
            <v>5583</v>
          </cell>
          <cell r="I276">
            <v>13762</v>
          </cell>
          <cell r="J276">
            <v>13891</v>
          </cell>
          <cell r="K276">
            <v>15795</v>
          </cell>
          <cell r="L276">
            <v>16731</v>
          </cell>
          <cell r="M276">
            <v>16778</v>
          </cell>
          <cell r="N276">
            <v>14859</v>
          </cell>
          <cell r="O276">
            <v>14999</v>
          </cell>
          <cell r="P276">
            <v>15514</v>
          </cell>
          <cell r="Q276">
            <v>15730</v>
          </cell>
          <cell r="R276">
            <v>15963</v>
          </cell>
          <cell r="S276">
            <v>16670</v>
          </cell>
          <cell r="T276">
            <v>16661</v>
          </cell>
          <cell r="U276">
            <v>15095</v>
          </cell>
          <cell r="V276">
            <v>14465</v>
          </cell>
          <cell r="W276">
            <v>15313</v>
          </cell>
          <cell r="X276">
            <v>15784</v>
          </cell>
          <cell r="Y276">
            <v>15049</v>
          </cell>
          <cell r="Z276">
            <v>15702</v>
          </cell>
          <cell r="AA276">
            <v>14775</v>
          </cell>
          <cell r="AB276">
            <v>15432</v>
          </cell>
          <cell r="AC276">
            <v>13948</v>
          </cell>
          <cell r="AD276">
            <v>15873</v>
          </cell>
          <cell r="AE276">
            <v>14495</v>
          </cell>
          <cell r="AF276">
            <v>16160</v>
          </cell>
          <cell r="AG276">
            <v>14948</v>
          </cell>
          <cell r="AH276">
            <v>14367</v>
          </cell>
          <cell r="AI276">
            <v>14179</v>
          </cell>
          <cell r="AJ276">
            <v>13281</v>
          </cell>
        </row>
        <row r="277">
          <cell r="E277" t="str">
            <v>IA Electric Power Coal</v>
          </cell>
          <cell r="F277">
            <v>275971</v>
          </cell>
          <cell r="G277">
            <v>284610</v>
          </cell>
          <cell r="H277">
            <v>274853</v>
          </cell>
          <cell r="I277">
            <v>292152</v>
          </cell>
          <cell r="J277">
            <v>292975</v>
          </cell>
          <cell r="K277">
            <v>312199</v>
          </cell>
          <cell r="L277">
            <v>312526</v>
          </cell>
          <cell r="M277">
            <v>317944</v>
          </cell>
          <cell r="N277">
            <v>358071</v>
          </cell>
          <cell r="O277">
            <v>358475</v>
          </cell>
          <cell r="P277">
            <v>378195</v>
          </cell>
          <cell r="Q277">
            <v>378201</v>
          </cell>
          <cell r="R277">
            <v>375438</v>
          </cell>
          <cell r="S277">
            <v>377382</v>
          </cell>
          <cell r="T277">
            <v>379887</v>
          </cell>
          <cell r="U277">
            <v>364184</v>
          </cell>
          <cell r="V277">
            <v>367263</v>
          </cell>
          <cell r="W277">
            <v>396784</v>
          </cell>
          <cell r="X277">
            <v>421796</v>
          </cell>
          <cell r="Y277">
            <v>385860</v>
          </cell>
          <cell r="Z277">
            <v>421662</v>
          </cell>
          <cell r="AA277">
            <v>387119</v>
          </cell>
          <cell r="AB277">
            <v>354097</v>
          </cell>
          <cell r="AC277">
            <v>333281</v>
          </cell>
          <cell r="AD277">
            <v>337689</v>
          </cell>
          <cell r="AE277">
            <v>291814</v>
          </cell>
          <cell r="AF277">
            <v>249619</v>
          </cell>
          <cell r="AG277">
            <v>252876</v>
          </cell>
          <cell r="AH277">
            <v>279344</v>
          </cell>
          <cell r="AI277">
            <v>221328</v>
          </cell>
          <cell r="AJ277">
            <v>142673</v>
          </cell>
        </row>
        <row r="278">
          <cell r="E278" t="str">
            <v>ID Electric Power Coal</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row>
        <row r="279">
          <cell r="E279" t="str">
            <v>IL Electric Power Coal</v>
          </cell>
          <cell r="F279">
            <v>591381</v>
          </cell>
          <cell r="G279">
            <v>594963</v>
          </cell>
          <cell r="H279">
            <v>545116</v>
          </cell>
          <cell r="I279">
            <v>658287</v>
          </cell>
          <cell r="J279">
            <v>670247</v>
          </cell>
          <cell r="K279">
            <v>677021</v>
          </cell>
          <cell r="L279">
            <v>765469</v>
          </cell>
          <cell r="M279">
            <v>812757</v>
          </cell>
          <cell r="N279">
            <v>791454</v>
          </cell>
          <cell r="O279">
            <v>806475</v>
          </cell>
          <cell r="P279">
            <v>875224</v>
          </cell>
          <cell r="Q279">
            <v>867200</v>
          </cell>
          <cell r="R279">
            <v>886076</v>
          </cell>
          <cell r="S279">
            <v>905846</v>
          </cell>
          <cell r="T279">
            <v>970191</v>
          </cell>
          <cell r="U279">
            <v>951645</v>
          </cell>
          <cell r="V279">
            <v>947121</v>
          </cell>
          <cell r="W279">
            <v>988271</v>
          </cell>
          <cell r="X279">
            <v>1003201</v>
          </cell>
          <cell r="Y279">
            <v>937124</v>
          </cell>
          <cell r="Z279">
            <v>969140</v>
          </cell>
          <cell r="AA279">
            <v>938266</v>
          </cell>
          <cell r="AB279">
            <v>852802</v>
          </cell>
          <cell r="AC279">
            <v>912524</v>
          </cell>
          <cell r="AD279">
            <v>905508</v>
          </cell>
          <cell r="AE279">
            <v>761523</v>
          </cell>
          <cell r="AF279">
            <v>619807</v>
          </cell>
          <cell r="AG279">
            <v>600607</v>
          </cell>
          <cell r="AH279">
            <v>621910</v>
          </cell>
          <cell r="AI279">
            <v>510424</v>
          </cell>
          <cell r="AJ279">
            <v>311922</v>
          </cell>
        </row>
        <row r="280">
          <cell r="E280" t="str">
            <v>IN Electric Power Coal</v>
          </cell>
          <cell r="F280">
            <v>1006664</v>
          </cell>
          <cell r="G280">
            <v>1007661</v>
          </cell>
          <cell r="H280">
            <v>992327</v>
          </cell>
          <cell r="I280">
            <v>1030732</v>
          </cell>
          <cell r="J280">
            <v>1063351</v>
          </cell>
          <cell r="K280">
            <v>1079554</v>
          </cell>
          <cell r="L280">
            <v>1097250</v>
          </cell>
          <cell r="M280">
            <v>1143408</v>
          </cell>
          <cell r="N280">
            <v>1160506</v>
          </cell>
          <cell r="O280">
            <v>1192281</v>
          </cell>
          <cell r="P280">
            <v>1259207</v>
          </cell>
          <cell r="Q280">
            <v>1209591</v>
          </cell>
          <cell r="R280">
            <v>1190555</v>
          </cell>
          <cell r="S280">
            <v>1215446</v>
          </cell>
          <cell r="T280">
            <v>1244488</v>
          </cell>
          <cell r="U280">
            <v>1271666</v>
          </cell>
          <cell r="V280">
            <v>1276979</v>
          </cell>
          <cell r="W280">
            <v>1271192</v>
          </cell>
          <cell r="X280">
            <v>1276566</v>
          </cell>
          <cell r="Y280">
            <v>1132907</v>
          </cell>
          <cell r="Z280">
            <v>1174354</v>
          </cell>
          <cell r="AA280">
            <v>1092097</v>
          </cell>
          <cell r="AB280">
            <v>973320</v>
          </cell>
          <cell r="AC280">
            <v>984376</v>
          </cell>
          <cell r="AD280">
            <v>1033621</v>
          </cell>
          <cell r="AE280">
            <v>836675</v>
          </cell>
          <cell r="AF280">
            <v>777846</v>
          </cell>
          <cell r="AG280">
            <v>768886</v>
          </cell>
          <cell r="AH280">
            <v>828299</v>
          </cell>
          <cell r="AI280">
            <v>662235</v>
          </cell>
          <cell r="AJ280">
            <v>524231</v>
          </cell>
        </row>
        <row r="281">
          <cell r="E281" t="str">
            <v>KS Electric Power Coal</v>
          </cell>
          <cell r="F281">
            <v>267931</v>
          </cell>
          <cell r="G281">
            <v>264902</v>
          </cell>
          <cell r="H281">
            <v>249426</v>
          </cell>
          <cell r="I281">
            <v>298816</v>
          </cell>
          <cell r="J281">
            <v>296874</v>
          </cell>
          <cell r="K281">
            <v>285468</v>
          </cell>
          <cell r="L281">
            <v>332514</v>
          </cell>
          <cell r="M281">
            <v>307497</v>
          </cell>
          <cell r="N281">
            <v>306667</v>
          </cell>
          <cell r="O281">
            <v>326457</v>
          </cell>
          <cell r="P281">
            <v>359291</v>
          </cell>
          <cell r="Q281">
            <v>350776</v>
          </cell>
          <cell r="R281">
            <v>387378</v>
          </cell>
          <cell r="S281">
            <v>385618</v>
          </cell>
          <cell r="T281">
            <v>380456</v>
          </cell>
          <cell r="U281">
            <v>374808</v>
          </cell>
          <cell r="V281">
            <v>358530</v>
          </cell>
          <cell r="W281">
            <v>390566</v>
          </cell>
          <cell r="X281">
            <v>367795</v>
          </cell>
          <cell r="Y281">
            <v>353604</v>
          </cell>
          <cell r="Z281">
            <v>357256</v>
          </cell>
          <cell r="AA281">
            <v>344017</v>
          </cell>
          <cell r="AB281">
            <v>305586</v>
          </cell>
          <cell r="AC281">
            <v>324784</v>
          </cell>
          <cell r="AD281">
            <v>313624</v>
          </cell>
          <cell r="AE281">
            <v>270652</v>
          </cell>
          <cell r="AF281">
            <v>250840</v>
          </cell>
          <cell r="AG281">
            <v>214311</v>
          </cell>
          <cell r="AH281">
            <v>225138</v>
          </cell>
          <cell r="AI281">
            <v>195954</v>
          </cell>
          <cell r="AJ281">
            <v>192557</v>
          </cell>
        </row>
        <row r="282">
          <cell r="E282" t="str">
            <v>KY Electric Power Coal</v>
          </cell>
          <cell r="F282">
            <v>712753</v>
          </cell>
          <cell r="G282">
            <v>724340</v>
          </cell>
          <cell r="H282">
            <v>736395</v>
          </cell>
          <cell r="I282">
            <v>823679</v>
          </cell>
          <cell r="J282">
            <v>806515</v>
          </cell>
          <cell r="K282">
            <v>831925</v>
          </cell>
          <cell r="L282">
            <v>855559</v>
          </cell>
          <cell r="M282">
            <v>886738</v>
          </cell>
          <cell r="N282">
            <v>882165</v>
          </cell>
          <cell r="O282">
            <v>914757</v>
          </cell>
          <cell r="P282">
            <v>932976</v>
          </cell>
          <cell r="Q282">
            <v>944072</v>
          </cell>
          <cell r="R282">
            <v>888915</v>
          </cell>
          <cell r="S282">
            <v>882520</v>
          </cell>
          <cell r="T282">
            <v>894733</v>
          </cell>
          <cell r="U282">
            <v>920850</v>
          </cell>
          <cell r="V282">
            <v>958508</v>
          </cell>
          <cell r="W282">
            <v>953699</v>
          </cell>
          <cell r="X282">
            <v>965722</v>
          </cell>
          <cell r="Y282">
            <v>892391</v>
          </cell>
          <cell r="Z282">
            <v>958439</v>
          </cell>
          <cell r="AA282">
            <v>961616</v>
          </cell>
          <cell r="AB282">
            <v>879779</v>
          </cell>
          <cell r="AC282">
            <v>886561</v>
          </cell>
          <cell r="AD282">
            <v>886357</v>
          </cell>
          <cell r="AE282">
            <v>769733</v>
          </cell>
          <cell r="AF282">
            <v>715763</v>
          </cell>
          <cell r="AG282">
            <v>616889</v>
          </cell>
          <cell r="AH282">
            <v>635915</v>
          </cell>
          <cell r="AI282">
            <v>556349</v>
          </cell>
          <cell r="AJ282">
            <v>466768</v>
          </cell>
        </row>
        <row r="283">
          <cell r="E283" t="str">
            <v>LA Electric Power Coal</v>
          </cell>
          <cell r="F283">
            <v>192908</v>
          </cell>
          <cell r="G283">
            <v>203967</v>
          </cell>
          <cell r="H283">
            <v>212455</v>
          </cell>
          <cell r="I283">
            <v>212646</v>
          </cell>
          <cell r="J283">
            <v>219436</v>
          </cell>
          <cell r="K283">
            <v>209047</v>
          </cell>
          <cell r="L283">
            <v>203304</v>
          </cell>
          <cell r="M283">
            <v>224402</v>
          </cell>
          <cell r="N283">
            <v>224250</v>
          </cell>
          <cell r="O283">
            <v>226756</v>
          </cell>
          <cell r="P283">
            <v>251874</v>
          </cell>
          <cell r="Q283">
            <v>238009</v>
          </cell>
          <cell r="R283">
            <v>230806</v>
          </cell>
          <cell r="S283">
            <v>244839</v>
          </cell>
          <cell r="T283">
            <v>254657</v>
          </cell>
          <cell r="U283">
            <v>251917</v>
          </cell>
          <cell r="V283">
            <v>263446</v>
          </cell>
          <cell r="W283">
            <v>248067</v>
          </cell>
          <cell r="X283">
            <v>260727</v>
          </cell>
          <cell r="Y283">
            <v>252178</v>
          </cell>
          <cell r="Z283">
            <v>259225</v>
          </cell>
          <cell r="AA283">
            <v>268694</v>
          </cell>
          <cell r="AB283">
            <v>236527</v>
          </cell>
          <cell r="AC283">
            <v>225754</v>
          </cell>
          <cell r="AD283">
            <v>207043</v>
          </cell>
          <cell r="AE283">
            <v>170498</v>
          </cell>
          <cell r="AF283">
            <v>136430</v>
          </cell>
          <cell r="AG283">
            <v>138487</v>
          </cell>
          <cell r="AH283">
            <v>133858</v>
          </cell>
          <cell r="AI283">
            <v>87487</v>
          </cell>
          <cell r="AJ283">
            <v>45378</v>
          </cell>
        </row>
        <row r="284">
          <cell r="E284" t="str">
            <v>MA Electric Power Coal</v>
          </cell>
          <cell r="F284">
            <v>110609</v>
          </cell>
          <cell r="G284">
            <v>115130</v>
          </cell>
          <cell r="H284">
            <v>106744</v>
          </cell>
          <cell r="I284">
            <v>95640</v>
          </cell>
          <cell r="J284">
            <v>99573</v>
          </cell>
          <cell r="K284">
            <v>103635</v>
          </cell>
          <cell r="L284">
            <v>111930</v>
          </cell>
          <cell r="M284">
            <v>121264</v>
          </cell>
          <cell r="N284">
            <v>108298</v>
          </cell>
          <cell r="O284">
            <v>111777</v>
          </cell>
          <cell r="P284">
            <v>112735</v>
          </cell>
          <cell r="Q284">
            <v>107146</v>
          </cell>
          <cell r="R284">
            <v>114994</v>
          </cell>
          <cell r="S284">
            <v>106550</v>
          </cell>
          <cell r="T284">
            <v>102735</v>
          </cell>
          <cell r="U284">
            <v>116390</v>
          </cell>
          <cell r="V284">
            <v>109747</v>
          </cell>
          <cell r="W284">
            <v>117364</v>
          </cell>
          <cell r="X284">
            <v>104675</v>
          </cell>
          <cell r="Y284">
            <v>90740</v>
          </cell>
          <cell r="Z284">
            <v>82097</v>
          </cell>
          <cell r="AA284">
            <v>41329</v>
          </cell>
          <cell r="AB284">
            <v>22372</v>
          </cell>
          <cell r="AC284">
            <v>40594</v>
          </cell>
          <cell r="AD284">
            <v>28327</v>
          </cell>
          <cell r="AE284">
            <v>22962</v>
          </cell>
          <cell r="AF284">
            <v>20016</v>
          </cell>
          <cell r="AG284">
            <v>12304</v>
          </cell>
          <cell r="AH284">
            <v>0</v>
          </cell>
          <cell r="AI284">
            <v>0</v>
          </cell>
          <cell r="AJ284">
            <v>0</v>
          </cell>
        </row>
        <row r="285">
          <cell r="E285" t="str">
            <v>MD Electric Power Coal</v>
          </cell>
          <cell r="F285">
            <v>227902</v>
          </cell>
          <cell r="G285">
            <v>220903</v>
          </cell>
          <cell r="H285">
            <v>229356</v>
          </cell>
          <cell r="I285">
            <v>242866</v>
          </cell>
          <cell r="J285">
            <v>249201</v>
          </cell>
          <cell r="K285">
            <v>262939</v>
          </cell>
          <cell r="L285">
            <v>271711</v>
          </cell>
          <cell r="M285">
            <v>269025</v>
          </cell>
          <cell r="N285">
            <v>283308</v>
          </cell>
          <cell r="O285">
            <v>284088</v>
          </cell>
          <cell r="P285">
            <v>289747</v>
          </cell>
          <cell r="Q285">
            <v>283345</v>
          </cell>
          <cell r="R285">
            <v>291706</v>
          </cell>
          <cell r="S285">
            <v>297613</v>
          </cell>
          <cell r="T285">
            <v>291315</v>
          </cell>
          <cell r="U285">
            <v>295546</v>
          </cell>
          <cell r="V285">
            <v>293181</v>
          </cell>
          <cell r="W285">
            <v>297200</v>
          </cell>
          <cell r="X285">
            <v>279847</v>
          </cell>
          <cell r="Y285">
            <v>243998</v>
          </cell>
          <cell r="Z285">
            <v>242944</v>
          </cell>
          <cell r="AA285">
            <v>218918</v>
          </cell>
          <cell r="AB285">
            <v>171407</v>
          </cell>
          <cell r="AC285">
            <v>167590</v>
          </cell>
          <cell r="AD285">
            <v>185394</v>
          </cell>
          <cell r="AE285">
            <v>150952</v>
          </cell>
          <cell r="AF285">
            <v>150828</v>
          </cell>
          <cell r="AG285">
            <v>94697</v>
          </cell>
          <cell r="AH285">
            <v>112277</v>
          </cell>
          <cell r="AI285">
            <v>67148</v>
          </cell>
          <cell r="AJ285">
            <v>40659</v>
          </cell>
        </row>
        <row r="286">
          <cell r="E286" t="str">
            <v>ME Electric Power Coal</v>
          </cell>
          <cell r="F286">
            <v>3808</v>
          </cell>
          <cell r="G286">
            <v>6052</v>
          </cell>
          <cell r="H286">
            <v>6044</v>
          </cell>
          <cell r="I286">
            <v>6171</v>
          </cell>
          <cell r="J286">
            <v>6044</v>
          </cell>
          <cell r="K286">
            <v>3927</v>
          </cell>
          <cell r="L286">
            <v>3978</v>
          </cell>
          <cell r="M286">
            <v>4134</v>
          </cell>
          <cell r="N286">
            <v>3825</v>
          </cell>
          <cell r="O286">
            <v>3922</v>
          </cell>
          <cell r="P286">
            <v>4216</v>
          </cell>
          <cell r="Q286">
            <v>4597</v>
          </cell>
          <cell r="R286">
            <v>5664</v>
          </cell>
          <cell r="S286">
            <v>4315</v>
          </cell>
          <cell r="T286">
            <v>4312</v>
          </cell>
          <cell r="U286">
            <v>3764</v>
          </cell>
          <cell r="V286">
            <v>3767</v>
          </cell>
          <cell r="W286">
            <v>3583</v>
          </cell>
          <cell r="X286">
            <v>3275</v>
          </cell>
          <cell r="Y286">
            <v>856</v>
          </cell>
          <cell r="Z286">
            <v>1418</v>
          </cell>
          <cell r="AA286">
            <v>969</v>
          </cell>
          <cell r="AB286">
            <v>810</v>
          </cell>
          <cell r="AC286">
            <v>967</v>
          </cell>
          <cell r="AD286">
            <v>1328</v>
          </cell>
          <cell r="AE286">
            <v>1846</v>
          </cell>
          <cell r="AF286">
            <v>1773</v>
          </cell>
          <cell r="AG286">
            <v>1704</v>
          </cell>
          <cell r="AH286">
            <v>1577</v>
          </cell>
          <cell r="AI286">
            <v>1711</v>
          </cell>
          <cell r="AJ286">
            <v>1327</v>
          </cell>
        </row>
        <row r="287">
          <cell r="E287" t="str">
            <v>MI Electric Power Coal</v>
          </cell>
          <cell r="F287">
            <v>663512</v>
          </cell>
          <cell r="G287">
            <v>665100</v>
          </cell>
          <cell r="H287">
            <v>626468</v>
          </cell>
          <cell r="I287">
            <v>631389</v>
          </cell>
          <cell r="J287">
            <v>686693</v>
          </cell>
          <cell r="K287">
            <v>671226</v>
          </cell>
          <cell r="L287">
            <v>682054</v>
          </cell>
          <cell r="M287">
            <v>681359</v>
          </cell>
          <cell r="N287">
            <v>725314</v>
          </cell>
          <cell r="O287">
            <v>712161</v>
          </cell>
          <cell r="P287">
            <v>694689</v>
          </cell>
          <cell r="Q287">
            <v>690540</v>
          </cell>
          <cell r="R287">
            <v>660763</v>
          </cell>
          <cell r="S287">
            <v>672569</v>
          </cell>
          <cell r="T287">
            <v>691202</v>
          </cell>
          <cell r="U287">
            <v>718246</v>
          </cell>
          <cell r="V287">
            <v>693365</v>
          </cell>
          <cell r="W287">
            <v>721334</v>
          </cell>
          <cell r="X287">
            <v>712368</v>
          </cell>
          <cell r="Y287">
            <v>682465</v>
          </cell>
          <cell r="Z287">
            <v>677558</v>
          </cell>
          <cell r="AA287">
            <v>620398</v>
          </cell>
          <cell r="AB287">
            <v>559748</v>
          </cell>
          <cell r="AC287">
            <v>588873</v>
          </cell>
          <cell r="AD287">
            <v>554168</v>
          </cell>
          <cell r="AE287">
            <v>554989</v>
          </cell>
          <cell r="AF287">
            <v>432197</v>
          </cell>
          <cell r="AG287">
            <v>445988</v>
          </cell>
          <cell r="AH287">
            <v>452437</v>
          </cell>
          <cell r="AI287">
            <v>397792</v>
          </cell>
          <cell r="AJ287">
            <v>302960</v>
          </cell>
        </row>
        <row r="288">
          <cell r="E288" t="str">
            <v>MN Electric Power Coal</v>
          </cell>
          <cell r="F288">
            <v>298455</v>
          </cell>
          <cell r="G288">
            <v>284609</v>
          </cell>
          <cell r="H288">
            <v>280715</v>
          </cell>
          <cell r="I288">
            <v>299028</v>
          </cell>
          <cell r="J288">
            <v>301440</v>
          </cell>
          <cell r="K288">
            <v>305898</v>
          </cell>
          <cell r="L288">
            <v>311872</v>
          </cell>
          <cell r="M288">
            <v>311574</v>
          </cell>
          <cell r="N288">
            <v>318737</v>
          </cell>
          <cell r="O288">
            <v>304830</v>
          </cell>
          <cell r="P288">
            <v>333319</v>
          </cell>
          <cell r="Q288">
            <v>328862</v>
          </cell>
          <cell r="R288">
            <v>334601</v>
          </cell>
          <cell r="S288">
            <v>366657</v>
          </cell>
          <cell r="T288">
            <v>353845</v>
          </cell>
          <cell r="U288">
            <v>353021</v>
          </cell>
          <cell r="V288">
            <v>345133</v>
          </cell>
          <cell r="W288">
            <v>339197</v>
          </cell>
          <cell r="X288">
            <v>332153</v>
          </cell>
          <cell r="Y288">
            <v>305307</v>
          </cell>
          <cell r="Z288">
            <v>289749</v>
          </cell>
          <cell r="AA288">
            <v>290224</v>
          </cell>
          <cell r="AB288">
            <v>236434</v>
          </cell>
          <cell r="AC288">
            <v>243525</v>
          </cell>
          <cell r="AD288">
            <v>289683</v>
          </cell>
          <cell r="AE288">
            <v>253939</v>
          </cell>
          <cell r="AF288">
            <v>241473</v>
          </cell>
          <cell r="AG288">
            <v>235523</v>
          </cell>
          <cell r="AH288">
            <v>241799</v>
          </cell>
          <cell r="AI288">
            <v>186617</v>
          </cell>
          <cell r="AJ288">
            <v>148956</v>
          </cell>
        </row>
        <row r="289">
          <cell r="E289" t="str">
            <v>MO Electric Power Coal</v>
          </cell>
          <cell r="F289">
            <v>502966</v>
          </cell>
          <cell r="G289">
            <v>499627</v>
          </cell>
          <cell r="H289">
            <v>490687</v>
          </cell>
          <cell r="I289">
            <v>434180</v>
          </cell>
          <cell r="J289">
            <v>510354</v>
          </cell>
          <cell r="K289">
            <v>563417</v>
          </cell>
          <cell r="L289">
            <v>600580</v>
          </cell>
          <cell r="M289">
            <v>632551</v>
          </cell>
          <cell r="N289">
            <v>664129</v>
          </cell>
          <cell r="O289">
            <v>654537</v>
          </cell>
          <cell r="P289">
            <v>663267</v>
          </cell>
          <cell r="Q289">
            <v>688182</v>
          </cell>
          <cell r="R289">
            <v>698313</v>
          </cell>
          <cell r="S289">
            <v>768079</v>
          </cell>
          <cell r="T289">
            <v>778548</v>
          </cell>
          <cell r="U289">
            <v>806682</v>
          </cell>
          <cell r="V289">
            <v>799819</v>
          </cell>
          <cell r="W289">
            <v>773971</v>
          </cell>
          <cell r="X289">
            <v>766074</v>
          </cell>
          <cell r="Y289">
            <v>744467</v>
          </cell>
          <cell r="Z289">
            <v>780636</v>
          </cell>
          <cell r="AA289">
            <v>810422</v>
          </cell>
          <cell r="AB289">
            <v>743444</v>
          </cell>
          <cell r="AC289">
            <v>780146</v>
          </cell>
          <cell r="AD289">
            <v>754299</v>
          </cell>
          <cell r="AE289">
            <v>673709</v>
          </cell>
          <cell r="AF289">
            <v>622575</v>
          </cell>
          <cell r="AG289">
            <v>688946</v>
          </cell>
          <cell r="AH289">
            <v>649090</v>
          </cell>
          <cell r="AI289">
            <v>566093</v>
          </cell>
          <cell r="AJ289">
            <v>533003</v>
          </cell>
        </row>
        <row r="290">
          <cell r="E290" t="str">
            <v>MS Electric Power Coal</v>
          </cell>
          <cell r="F290">
            <v>97640</v>
          </cell>
          <cell r="G290">
            <v>89669</v>
          </cell>
          <cell r="H290">
            <v>81006</v>
          </cell>
          <cell r="I290">
            <v>93008</v>
          </cell>
          <cell r="J290">
            <v>90188</v>
          </cell>
          <cell r="K290">
            <v>96887</v>
          </cell>
          <cell r="L290">
            <v>122205</v>
          </cell>
          <cell r="M290">
            <v>126535</v>
          </cell>
          <cell r="N290">
            <v>120793</v>
          </cell>
          <cell r="O290">
            <v>133184</v>
          </cell>
          <cell r="P290">
            <v>143780</v>
          </cell>
          <cell r="Q290">
            <v>194552</v>
          </cell>
          <cell r="R290">
            <v>150707</v>
          </cell>
          <cell r="S290">
            <v>175412</v>
          </cell>
          <cell r="T290">
            <v>181248</v>
          </cell>
          <cell r="U290">
            <v>173414</v>
          </cell>
          <cell r="V290">
            <v>186441</v>
          </cell>
          <cell r="W290">
            <v>181521</v>
          </cell>
          <cell r="X290">
            <v>174025</v>
          </cell>
          <cell r="Y290">
            <v>139095</v>
          </cell>
          <cell r="Z290">
            <v>145614</v>
          </cell>
          <cell r="AA290">
            <v>104924</v>
          </cell>
          <cell r="AB290">
            <v>79848</v>
          </cell>
          <cell r="AC290">
            <v>94966</v>
          </cell>
          <cell r="AD290">
            <v>114021</v>
          </cell>
          <cell r="AE290">
            <v>69064</v>
          </cell>
          <cell r="AF290">
            <v>61219</v>
          </cell>
          <cell r="AG290">
            <v>53779</v>
          </cell>
          <cell r="AH290">
            <v>60015</v>
          </cell>
          <cell r="AI290">
            <v>50463</v>
          </cell>
          <cell r="AJ290">
            <v>51940</v>
          </cell>
        </row>
        <row r="291">
          <cell r="E291" t="str">
            <v>MT Electric Power Coal</v>
          </cell>
          <cell r="F291">
            <v>163735</v>
          </cell>
          <cell r="G291">
            <v>178210</v>
          </cell>
          <cell r="H291">
            <v>188996</v>
          </cell>
          <cell r="I291">
            <v>154885</v>
          </cell>
          <cell r="J291">
            <v>183128</v>
          </cell>
          <cell r="K291">
            <v>163843</v>
          </cell>
          <cell r="L291">
            <v>136295</v>
          </cell>
          <cell r="M291">
            <v>159164</v>
          </cell>
          <cell r="N291">
            <v>183402</v>
          </cell>
          <cell r="O291">
            <v>183694</v>
          </cell>
          <cell r="P291">
            <v>174076</v>
          </cell>
          <cell r="Q291">
            <v>181732</v>
          </cell>
          <cell r="R291">
            <v>164921</v>
          </cell>
          <cell r="S291">
            <v>187579</v>
          </cell>
          <cell r="T291">
            <v>192292</v>
          </cell>
          <cell r="U291">
            <v>195551</v>
          </cell>
          <cell r="V291">
            <v>190486</v>
          </cell>
          <cell r="W291">
            <v>200816</v>
          </cell>
          <cell r="X291">
            <v>201591</v>
          </cell>
          <cell r="Y291">
            <v>171684</v>
          </cell>
          <cell r="Z291">
            <v>202044</v>
          </cell>
          <cell r="AA291">
            <v>164238</v>
          </cell>
          <cell r="AB291">
            <v>153004</v>
          </cell>
          <cell r="AC291">
            <v>161593</v>
          </cell>
          <cell r="AD291">
            <v>170478</v>
          </cell>
          <cell r="AE291">
            <v>173398</v>
          </cell>
          <cell r="AF291">
            <v>157232</v>
          </cell>
          <cell r="AG291">
            <v>151488</v>
          </cell>
          <cell r="AH291">
            <v>147939</v>
          </cell>
          <cell r="AI291">
            <v>155593</v>
          </cell>
          <cell r="AJ291">
            <v>95294</v>
          </cell>
        </row>
        <row r="292">
          <cell r="E292" t="str">
            <v>NC Electric Power Coal</v>
          </cell>
          <cell r="F292">
            <v>489813</v>
          </cell>
          <cell r="G292">
            <v>497112</v>
          </cell>
          <cell r="H292">
            <v>572317</v>
          </cell>
          <cell r="I292">
            <v>621434</v>
          </cell>
          <cell r="J292">
            <v>566089</v>
          </cell>
          <cell r="K292">
            <v>595673</v>
          </cell>
          <cell r="L292">
            <v>680406</v>
          </cell>
          <cell r="M292">
            <v>707046</v>
          </cell>
          <cell r="N292">
            <v>701776</v>
          </cell>
          <cell r="O292">
            <v>694460</v>
          </cell>
          <cell r="P292">
            <v>736387</v>
          </cell>
          <cell r="Q292">
            <v>707528</v>
          </cell>
          <cell r="R292">
            <v>725486</v>
          </cell>
          <cell r="S292">
            <v>726244</v>
          </cell>
          <cell r="T292">
            <v>735839</v>
          </cell>
          <cell r="U292">
            <v>771247</v>
          </cell>
          <cell r="V292">
            <v>742789</v>
          </cell>
          <cell r="W292">
            <v>796726</v>
          </cell>
          <cell r="X292">
            <v>760150</v>
          </cell>
          <cell r="Y292">
            <v>650382</v>
          </cell>
          <cell r="Z292">
            <v>720963</v>
          </cell>
          <cell r="AA292">
            <v>600651</v>
          </cell>
          <cell r="AB292">
            <v>514196</v>
          </cell>
          <cell r="AC292">
            <v>472300</v>
          </cell>
          <cell r="AD292">
            <v>481875</v>
          </cell>
          <cell r="AE292">
            <v>387313</v>
          </cell>
          <cell r="AF292">
            <v>364715</v>
          </cell>
          <cell r="AG292">
            <v>335149</v>
          </cell>
          <cell r="AH292">
            <v>312335</v>
          </cell>
          <cell r="AI292">
            <v>306912</v>
          </cell>
          <cell r="AJ292">
            <v>213293</v>
          </cell>
        </row>
        <row r="293">
          <cell r="E293" t="str">
            <v>ND Electric Power Coal</v>
          </cell>
          <cell r="F293">
            <v>286312</v>
          </cell>
          <cell r="G293">
            <v>292718</v>
          </cell>
          <cell r="H293">
            <v>304297</v>
          </cell>
          <cell r="I293">
            <v>306258</v>
          </cell>
          <cell r="J293">
            <v>306550</v>
          </cell>
          <cell r="K293">
            <v>298613</v>
          </cell>
          <cell r="L293">
            <v>311774</v>
          </cell>
          <cell r="M293">
            <v>297997</v>
          </cell>
          <cell r="N293">
            <v>318627</v>
          </cell>
          <cell r="O293">
            <v>321335</v>
          </cell>
          <cell r="P293">
            <v>327053</v>
          </cell>
          <cell r="Q293">
            <v>324354</v>
          </cell>
          <cell r="R293">
            <v>328275</v>
          </cell>
          <cell r="S293">
            <v>323216</v>
          </cell>
          <cell r="T293">
            <v>309293</v>
          </cell>
          <cell r="U293">
            <v>334089</v>
          </cell>
          <cell r="V293">
            <v>317637</v>
          </cell>
          <cell r="W293">
            <v>324528</v>
          </cell>
          <cell r="X293">
            <v>331135</v>
          </cell>
          <cell r="Y293">
            <v>327732</v>
          </cell>
          <cell r="Z293">
            <v>312322</v>
          </cell>
          <cell r="AA293">
            <v>300500</v>
          </cell>
          <cell r="AB293">
            <v>310998</v>
          </cell>
          <cell r="AC293">
            <v>303562</v>
          </cell>
          <cell r="AD293">
            <v>304585</v>
          </cell>
          <cell r="AE293">
            <v>311191</v>
          </cell>
          <cell r="AF293">
            <v>299545</v>
          </cell>
          <cell r="AG293">
            <v>302365</v>
          </cell>
          <cell r="AH293">
            <v>311176</v>
          </cell>
          <cell r="AI293">
            <v>287210</v>
          </cell>
          <cell r="AJ293">
            <v>277057</v>
          </cell>
        </row>
        <row r="294">
          <cell r="E294" t="str">
            <v>NE Electric Power Coal</v>
          </cell>
          <cell r="F294">
            <v>137458</v>
          </cell>
          <cell r="G294">
            <v>145630</v>
          </cell>
          <cell r="H294">
            <v>134808</v>
          </cell>
          <cell r="I294">
            <v>159266</v>
          </cell>
          <cell r="J294">
            <v>152444</v>
          </cell>
          <cell r="K294">
            <v>172736</v>
          </cell>
          <cell r="L294">
            <v>173468</v>
          </cell>
          <cell r="M294">
            <v>185618</v>
          </cell>
          <cell r="N294">
            <v>197464</v>
          </cell>
          <cell r="O294">
            <v>190768</v>
          </cell>
          <cell r="P294">
            <v>198588</v>
          </cell>
          <cell r="Q294">
            <v>216431</v>
          </cell>
          <cell r="R294">
            <v>209834</v>
          </cell>
          <cell r="S294">
            <v>219374</v>
          </cell>
          <cell r="T294">
            <v>216102</v>
          </cell>
          <cell r="U294">
            <v>220762</v>
          </cell>
          <cell r="V294">
            <v>219168</v>
          </cell>
          <cell r="W294">
            <v>208672</v>
          </cell>
          <cell r="X294">
            <v>226849</v>
          </cell>
          <cell r="Y294">
            <v>242326</v>
          </cell>
          <cell r="Z294">
            <v>241811</v>
          </cell>
          <cell r="AA294">
            <v>266339</v>
          </cell>
          <cell r="AB294">
            <v>253670</v>
          </cell>
          <cell r="AC294">
            <v>272659</v>
          </cell>
          <cell r="AD294">
            <v>254573</v>
          </cell>
          <cell r="AE294">
            <v>245144</v>
          </cell>
          <cell r="AF294">
            <v>220452</v>
          </cell>
          <cell r="AG294">
            <v>212787</v>
          </cell>
          <cell r="AH294">
            <v>243741</v>
          </cell>
          <cell r="AI294">
            <v>222894</v>
          </cell>
          <cell r="AJ294">
            <v>198587</v>
          </cell>
        </row>
        <row r="295">
          <cell r="E295" t="str">
            <v>NH Electric Power Coal</v>
          </cell>
          <cell r="F295">
            <v>30544</v>
          </cell>
          <cell r="G295">
            <v>32940</v>
          </cell>
          <cell r="H295">
            <v>33169</v>
          </cell>
          <cell r="I295">
            <v>35271</v>
          </cell>
          <cell r="J295">
            <v>33380</v>
          </cell>
          <cell r="K295">
            <v>35363</v>
          </cell>
          <cell r="L295">
            <v>35946</v>
          </cell>
          <cell r="M295">
            <v>44385</v>
          </cell>
          <cell r="N295">
            <v>38506</v>
          </cell>
          <cell r="O295">
            <v>35325</v>
          </cell>
          <cell r="P295">
            <v>43929</v>
          </cell>
          <cell r="Q295">
            <v>40024</v>
          </cell>
          <cell r="R295">
            <v>39744</v>
          </cell>
          <cell r="S295">
            <v>41583</v>
          </cell>
          <cell r="T295">
            <v>43396</v>
          </cell>
          <cell r="U295">
            <v>44069</v>
          </cell>
          <cell r="V295">
            <v>44704</v>
          </cell>
          <cell r="W295">
            <v>44812</v>
          </cell>
          <cell r="X295">
            <v>40241</v>
          </cell>
          <cell r="Y295">
            <v>32844</v>
          </cell>
          <cell r="Z295">
            <v>33827</v>
          </cell>
          <cell r="AA295">
            <v>24489</v>
          </cell>
          <cell r="AB295">
            <v>14191</v>
          </cell>
          <cell r="AC295">
            <v>16778</v>
          </cell>
          <cell r="AD295">
            <v>14867</v>
          </cell>
          <cell r="AE295">
            <v>10989</v>
          </cell>
          <cell r="AF295">
            <v>5277</v>
          </cell>
          <cell r="AG295">
            <v>3617</v>
          </cell>
          <cell r="AH295">
            <v>7798</v>
          </cell>
          <cell r="AI295">
            <v>4182</v>
          </cell>
          <cell r="AJ295">
            <v>1518</v>
          </cell>
        </row>
        <row r="296">
          <cell r="E296" t="str">
            <v>NJ Electric Power Coal</v>
          </cell>
          <cell r="F296">
            <v>73507</v>
          </cell>
          <cell r="G296">
            <v>55701</v>
          </cell>
          <cell r="H296">
            <v>56924</v>
          </cell>
          <cell r="I296">
            <v>57332</v>
          </cell>
          <cell r="J296">
            <v>63016</v>
          </cell>
          <cell r="K296">
            <v>79429</v>
          </cell>
          <cell r="L296">
            <v>86237</v>
          </cell>
          <cell r="M296">
            <v>99491</v>
          </cell>
          <cell r="N296">
            <v>85873</v>
          </cell>
          <cell r="O296">
            <v>88673</v>
          </cell>
          <cell r="P296">
            <v>114406</v>
          </cell>
          <cell r="Q296">
            <v>111970</v>
          </cell>
          <cell r="R296">
            <v>104616</v>
          </cell>
          <cell r="S296">
            <v>106576</v>
          </cell>
          <cell r="T296">
            <v>112422</v>
          </cell>
          <cell r="U296">
            <v>125109</v>
          </cell>
          <cell r="V296">
            <v>115922</v>
          </cell>
          <cell r="W296">
            <v>111735</v>
          </cell>
          <cell r="X296">
            <v>97671</v>
          </cell>
          <cell r="Y296">
            <v>59563</v>
          </cell>
          <cell r="Z296">
            <v>71961</v>
          </cell>
          <cell r="AA296">
            <v>49592</v>
          </cell>
          <cell r="AB296">
            <v>25589</v>
          </cell>
          <cell r="AC296">
            <v>25910</v>
          </cell>
          <cell r="AD296">
            <v>30731</v>
          </cell>
          <cell r="AE296">
            <v>22925</v>
          </cell>
          <cell r="AF296">
            <v>17455</v>
          </cell>
          <cell r="AG296">
            <v>16488</v>
          </cell>
          <cell r="AH296">
            <v>16732</v>
          </cell>
          <cell r="AI296">
            <v>13780</v>
          </cell>
          <cell r="AJ296">
            <v>12144</v>
          </cell>
        </row>
        <row r="297">
          <cell r="E297" t="str">
            <v>NM Electric Power Coal</v>
          </cell>
          <cell r="F297">
            <v>274691</v>
          </cell>
          <cell r="G297">
            <v>233269</v>
          </cell>
          <cell r="H297">
            <v>266311</v>
          </cell>
          <cell r="I297">
            <v>268777</v>
          </cell>
          <cell r="J297">
            <v>276718</v>
          </cell>
          <cell r="K297">
            <v>273390</v>
          </cell>
          <cell r="L297">
            <v>277366</v>
          </cell>
          <cell r="M297">
            <v>286690</v>
          </cell>
          <cell r="N297">
            <v>288570</v>
          </cell>
          <cell r="O297">
            <v>296346</v>
          </cell>
          <cell r="P297">
            <v>303456</v>
          </cell>
          <cell r="Q297">
            <v>295223</v>
          </cell>
          <cell r="R297">
            <v>282232</v>
          </cell>
          <cell r="S297">
            <v>303562</v>
          </cell>
          <cell r="T297">
            <v>307363</v>
          </cell>
          <cell r="U297">
            <v>315915</v>
          </cell>
          <cell r="V297">
            <v>314207</v>
          </cell>
          <cell r="W297">
            <v>294112</v>
          </cell>
          <cell r="X297">
            <v>282781</v>
          </cell>
          <cell r="Y297">
            <v>304700</v>
          </cell>
          <cell r="Z297">
            <v>266382</v>
          </cell>
          <cell r="AA297">
            <v>284166</v>
          </cell>
          <cell r="AB297">
            <v>262424</v>
          </cell>
          <cell r="AC297">
            <v>255137</v>
          </cell>
          <cell r="AD297">
            <v>213898</v>
          </cell>
          <cell r="AE297">
            <v>214013</v>
          </cell>
          <cell r="AF297">
            <v>195275</v>
          </cell>
          <cell r="AG297">
            <v>197337</v>
          </cell>
          <cell r="AH297">
            <v>135031</v>
          </cell>
          <cell r="AI297">
            <v>150010</v>
          </cell>
          <cell r="AJ297">
            <v>137412</v>
          </cell>
        </row>
        <row r="298">
          <cell r="E298" t="str">
            <v>NV Electric Power Coal</v>
          </cell>
          <cell r="F298">
            <v>161316</v>
          </cell>
          <cell r="G298">
            <v>175653</v>
          </cell>
          <cell r="H298">
            <v>174817</v>
          </cell>
          <cell r="I298">
            <v>167777</v>
          </cell>
          <cell r="J298">
            <v>175716</v>
          </cell>
          <cell r="K298">
            <v>156705</v>
          </cell>
          <cell r="L298">
            <v>165397</v>
          </cell>
          <cell r="M298">
            <v>162386</v>
          </cell>
          <cell r="N298">
            <v>178348</v>
          </cell>
          <cell r="O298">
            <v>174588</v>
          </cell>
          <cell r="P298">
            <v>193961</v>
          </cell>
          <cell r="Q298">
            <v>183682</v>
          </cell>
          <cell r="R298">
            <v>160496</v>
          </cell>
          <cell r="S298">
            <v>177308</v>
          </cell>
          <cell r="T298">
            <v>188733</v>
          </cell>
          <cell r="U298">
            <v>193187</v>
          </cell>
          <cell r="V298">
            <v>79521</v>
          </cell>
          <cell r="W298">
            <v>78201</v>
          </cell>
          <cell r="X298">
            <v>84239</v>
          </cell>
          <cell r="Y298">
            <v>80419</v>
          </cell>
          <cell r="Z298">
            <v>76036</v>
          </cell>
          <cell r="AA298">
            <v>60202</v>
          </cell>
          <cell r="AB298">
            <v>45928</v>
          </cell>
          <cell r="AC298">
            <v>57255</v>
          </cell>
          <cell r="AD298">
            <v>71910</v>
          </cell>
          <cell r="AE298">
            <v>29816</v>
          </cell>
          <cell r="AF298">
            <v>24320</v>
          </cell>
          <cell r="AG298">
            <v>21495</v>
          </cell>
          <cell r="AH298">
            <v>28149</v>
          </cell>
          <cell r="AI298">
            <v>30498</v>
          </cell>
          <cell r="AJ298">
            <v>21879</v>
          </cell>
        </row>
        <row r="299">
          <cell r="E299" t="str">
            <v>NY Electric Power Coal</v>
          </cell>
          <cell r="F299">
            <v>260388</v>
          </cell>
          <cell r="G299">
            <v>263094</v>
          </cell>
          <cell r="H299">
            <v>277917</v>
          </cell>
          <cell r="I299">
            <v>244378</v>
          </cell>
          <cell r="J299">
            <v>237057</v>
          </cell>
          <cell r="K299">
            <v>227355</v>
          </cell>
          <cell r="L299">
            <v>232312</v>
          </cell>
          <cell r="M299">
            <v>246198</v>
          </cell>
          <cell r="N299">
            <v>258550</v>
          </cell>
          <cell r="O299">
            <v>241817</v>
          </cell>
          <cell r="P299">
            <v>254784</v>
          </cell>
          <cell r="Q299">
            <v>241066</v>
          </cell>
          <cell r="R299">
            <v>234280</v>
          </cell>
          <cell r="S299">
            <v>242113</v>
          </cell>
          <cell r="T299">
            <v>233566</v>
          </cell>
          <cell r="U299">
            <v>213027</v>
          </cell>
          <cell r="V299">
            <v>215801</v>
          </cell>
          <cell r="W299">
            <v>220585</v>
          </cell>
          <cell r="X299">
            <v>195649</v>
          </cell>
          <cell r="Y299">
            <v>131840</v>
          </cell>
          <cell r="Z299">
            <v>141573</v>
          </cell>
          <cell r="AA299">
            <v>99186</v>
          </cell>
          <cell r="AB299">
            <v>48742</v>
          </cell>
          <cell r="AC299">
            <v>47152</v>
          </cell>
          <cell r="AD299">
            <v>45943</v>
          </cell>
          <cell r="AE299">
            <v>21957</v>
          </cell>
          <cell r="AF299">
            <v>15631</v>
          </cell>
          <cell r="AG299">
            <v>6270</v>
          </cell>
          <cell r="AH299">
            <v>6984</v>
          </cell>
          <cell r="AI299">
            <v>4759</v>
          </cell>
          <cell r="AJ299">
            <v>1647</v>
          </cell>
        </row>
        <row r="300">
          <cell r="E300" t="str">
            <v>OH Electric Power Coal</v>
          </cell>
          <cell r="F300">
            <v>1161356</v>
          </cell>
          <cell r="G300">
            <v>1184815</v>
          </cell>
          <cell r="H300">
            <v>1204959</v>
          </cell>
          <cell r="I300">
            <v>1239272</v>
          </cell>
          <cell r="J300">
            <v>1197948</v>
          </cell>
          <cell r="K300">
            <v>1206929</v>
          </cell>
          <cell r="L300">
            <v>1289315</v>
          </cell>
          <cell r="M300">
            <v>1258183</v>
          </cell>
          <cell r="N300">
            <v>1300461</v>
          </cell>
          <cell r="O300">
            <v>1245875</v>
          </cell>
          <cell r="P300">
            <v>1312458</v>
          </cell>
          <cell r="Q300">
            <v>1243257</v>
          </cell>
          <cell r="R300">
            <v>1301658</v>
          </cell>
          <cell r="S300">
            <v>1343783</v>
          </cell>
          <cell r="T300">
            <v>1287907</v>
          </cell>
          <cell r="U300">
            <v>1372996</v>
          </cell>
          <cell r="V300">
            <v>1337193</v>
          </cell>
          <cell r="W300">
            <v>1349855</v>
          </cell>
          <cell r="X300">
            <v>1322187</v>
          </cell>
          <cell r="Y300">
            <v>1170171</v>
          </cell>
          <cell r="Z300">
            <v>1230391</v>
          </cell>
          <cell r="AA300">
            <v>1102740</v>
          </cell>
          <cell r="AB300">
            <v>881112</v>
          </cell>
          <cell r="AC300">
            <v>963447</v>
          </cell>
          <cell r="AD300">
            <v>917014</v>
          </cell>
          <cell r="AE300">
            <v>734297</v>
          </cell>
          <cell r="AF300">
            <v>711827</v>
          </cell>
          <cell r="AG300">
            <v>700683</v>
          </cell>
          <cell r="AH300">
            <v>603705</v>
          </cell>
          <cell r="AI300">
            <v>480773</v>
          </cell>
          <cell r="AJ300">
            <v>463560</v>
          </cell>
        </row>
        <row r="301">
          <cell r="E301" t="str">
            <v>OK Electric Power Coal</v>
          </cell>
          <cell r="F301">
            <v>266109</v>
          </cell>
          <cell r="G301">
            <v>296622</v>
          </cell>
          <cell r="H301">
            <v>311701</v>
          </cell>
          <cell r="I301">
            <v>328960</v>
          </cell>
          <cell r="J301">
            <v>317306</v>
          </cell>
          <cell r="K301">
            <v>336611</v>
          </cell>
          <cell r="L301">
            <v>356662</v>
          </cell>
          <cell r="M301">
            <v>372025</v>
          </cell>
          <cell r="N301">
            <v>353772</v>
          </cell>
          <cell r="O301">
            <v>343782</v>
          </cell>
          <cell r="P301">
            <v>366888</v>
          </cell>
          <cell r="Q301">
            <v>361643</v>
          </cell>
          <cell r="R301">
            <v>376767</v>
          </cell>
          <cell r="S301">
            <v>379431</v>
          </cell>
          <cell r="T301">
            <v>356966</v>
          </cell>
          <cell r="U301">
            <v>381975</v>
          </cell>
          <cell r="V301">
            <v>369332</v>
          </cell>
          <cell r="W301">
            <v>357793</v>
          </cell>
          <cell r="X301">
            <v>377093</v>
          </cell>
          <cell r="Y301">
            <v>361213</v>
          </cell>
          <cell r="Z301">
            <v>333641</v>
          </cell>
          <cell r="AA301">
            <v>366516</v>
          </cell>
          <cell r="AB301">
            <v>315553</v>
          </cell>
          <cell r="AC301">
            <v>323738</v>
          </cell>
          <cell r="AD301">
            <v>322770</v>
          </cell>
          <cell r="AE301">
            <v>269221</v>
          </cell>
          <cell r="AF301">
            <v>210623</v>
          </cell>
          <cell r="AG301">
            <v>189466</v>
          </cell>
          <cell r="AH301">
            <v>164264</v>
          </cell>
          <cell r="AI301">
            <v>89027</v>
          </cell>
          <cell r="AJ301">
            <v>66998</v>
          </cell>
        </row>
        <row r="302">
          <cell r="E302" t="str">
            <v>OR Electric Power Coal</v>
          </cell>
          <cell r="F302">
            <v>14189</v>
          </cell>
          <cell r="G302">
            <v>30865</v>
          </cell>
          <cell r="H302">
            <v>38449</v>
          </cell>
          <cell r="I302">
            <v>34860</v>
          </cell>
          <cell r="J302">
            <v>41703</v>
          </cell>
          <cell r="K302">
            <v>17353</v>
          </cell>
          <cell r="L302">
            <v>18335</v>
          </cell>
          <cell r="M302">
            <v>14391</v>
          </cell>
          <cell r="N302">
            <v>35381</v>
          </cell>
          <cell r="O302">
            <v>38599</v>
          </cell>
          <cell r="P302">
            <v>38700</v>
          </cell>
          <cell r="Q302">
            <v>43365</v>
          </cell>
          <cell r="R302">
            <v>36629</v>
          </cell>
          <cell r="S302">
            <v>43381</v>
          </cell>
          <cell r="T302">
            <v>35052</v>
          </cell>
          <cell r="U302">
            <v>35416</v>
          </cell>
          <cell r="V302">
            <v>24229</v>
          </cell>
          <cell r="W302">
            <v>43131</v>
          </cell>
          <cell r="X302">
            <v>39720</v>
          </cell>
          <cell r="Y302">
            <v>31217</v>
          </cell>
          <cell r="Z302">
            <v>40696</v>
          </cell>
          <cell r="AA302">
            <v>33296</v>
          </cell>
          <cell r="AB302">
            <v>26515</v>
          </cell>
          <cell r="AC302">
            <v>36917</v>
          </cell>
          <cell r="AD302">
            <v>31705</v>
          </cell>
          <cell r="AE302">
            <v>24151</v>
          </cell>
          <cell r="AF302">
            <v>19440</v>
          </cell>
          <cell r="AG302">
            <v>17770</v>
          </cell>
          <cell r="AH302">
            <v>15495</v>
          </cell>
          <cell r="AI302">
            <v>26244</v>
          </cell>
          <cell r="AJ302">
            <v>16976</v>
          </cell>
        </row>
        <row r="303">
          <cell r="E303" t="str">
            <v>PA Electric Power Coal</v>
          </cell>
          <cell r="F303">
            <v>1054707</v>
          </cell>
          <cell r="G303">
            <v>1052143</v>
          </cell>
          <cell r="H303">
            <v>1063557</v>
          </cell>
          <cell r="I303">
            <v>1071266</v>
          </cell>
          <cell r="J303">
            <v>1018319</v>
          </cell>
          <cell r="K303">
            <v>1062368</v>
          </cell>
          <cell r="L303">
            <v>1120748</v>
          </cell>
          <cell r="M303">
            <v>1148998</v>
          </cell>
          <cell r="N303">
            <v>1160622</v>
          </cell>
          <cell r="O303">
            <v>1127767</v>
          </cell>
          <cell r="P303">
            <v>1210638</v>
          </cell>
          <cell r="Q303">
            <v>1106489</v>
          </cell>
          <cell r="R303">
            <v>1174928</v>
          </cell>
          <cell r="S303">
            <v>1170418</v>
          </cell>
          <cell r="T303">
            <v>1183875</v>
          </cell>
          <cell r="U303">
            <v>1224911</v>
          </cell>
          <cell r="V303">
            <v>1243073</v>
          </cell>
          <cell r="W303">
            <v>1241611</v>
          </cell>
          <cell r="X303">
            <v>1188571</v>
          </cell>
          <cell r="Y303">
            <v>1071057</v>
          </cell>
          <cell r="Z303">
            <v>1119758</v>
          </cell>
          <cell r="AA303">
            <v>1028374</v>
          </cell>
          <cell r="AB303">
            <v>904245</v>
          </cell>
          <cell r="AC303">
            <v>905843</v>
          </cell>
          <cell r="AD303">
            <v>814266</v>
          </cell>
          <cell r="AE303">
            <v>669244</v>
          </cell>
          <cell r="AF303">
            <v>574070</v>
          </cell>
          <cell r="AG303">
            <v>501784</v>
          </cell>
          <cell r="AH303">
            <v>467959</v>
          </cell>
          <cell r="AI303">
            <v>398101</v>
          </cell>
          <cell r="AJ303">
            <v>256047</v>
          </cell>
        </row>
        <row r="304">
          <cell r="E304" t="str">
            <v>RI Electric Power Coal</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row>
        <row r="305">
          <cell r="E305" t="str">
            <v>SC Electric Power Coal</v>
          </cell>
          <cell r="F305">
            <v>231034</v>
          </cell>
          <cell r="G305">
            <v>234606</v>
          </cell>
          <cell r="H305">
            <v>232718</v>
          </cell>
          <cell r="I305">
            <v>266441</v>
          </cell>
          <cell r="J305">
            <v>270749</v>
          </cell>
          <cell r="K305">
            <v>258954</v>
          </cell>
          <cell r="L305">
            <v>301978</v>
          </cell>
          <cell r="M305">
            <v>310888</v>
          </cell>
          <cell r="N305">
            <v>323666</v>
          </cell>
          <cell r="O305">
            <v>349329</v>
          </cell>
          <cell r="P305">
            <v>381956</v>
          </cell>
          <cell r="Q305">
            <v>361309</v>
          </cell>
          <cell r="R305">
            <v>353822</v>
          </cell>
          <cell r="S305">
            <v>367719</v>
          </cell>
          <cell r="T305">
            <v>387239</v>
          </cell>
          <cell r="U305">
            <v>392255</v>
          </cell>
          <cell r="V305">
            <v>393028</v>
          </cell>
          <cell r="W305">
            <v>411139</v>
          </cell>
          <cell r="X305">
            <v>415401</v>
          </cell>
          <cell r="Y305">
            <v>348711</v>
          </cell>
          <cell r="Z305">
            <v>381051</v>
          </cell>
          <cell r="AA305">
            <v>342946</v>
          </cell>
          <cell r="AB305">
            <v>285684</v>
          </cell>
          <cell r="AC305">
            <v>244053</v>
          </cell>
          <cell r="AD305">
            <v>291282</v>
          </cell>
          <cell r="AE305">
            <v>229897</v>
          </cell>
          <cell r="AF305">
            <v>213420</v>
          </cell>
          <cell r="AG305">
            <v>186015</v>
          </cell>
          <cell r="AH305">
            <v>199882</v>
          </cell>
          <cell r="AI305">
            <v>156430</v>
          </cell>
          <cell r="AJ305">
            <v>133751</v>
          </cell>
        </row>
        <row r="306">
          <cell r="E306" t="str">
            <v>SD Electric Power Coal</v>
          </cell>
          <cell r="F306">
            <v>30961</v>
          </cell>
          <cell r="G306">
            <v>33556</v>
          </cell>
          <cell r="H306">
            <v>31399</v>
          </cell>
          <cell r="I306">
            <v>30560</v>
          </cell>
          <cell r="J306">
            <v>33258</v>
          </cell>
          <cell r="K306">
            <v>30513</v>
          </cell>
          <cell r="L306">
            <v>26625</v>
          </cell>
          <cell r="M306">
            <v>35337</v>
          </cell>
          <cell r="N306">
            <v>33125</v>
          </cell>
          <cell r="O306">
            <v>37714</v>
          </cell>
          <cell r="P306">
            <v>38007</v>
          </cell>
          <cell r="Q306">
            <v>37779</v>
          </cell>
          <cell r="R306">
            <v>34772</v>
          </cell>
          <cell r="S306">
            <v>36827</v>
          </cell>
          <cell r="T306">
            <v>39474</v>
          </cell>
          <cell r="U306">
            <v>32330</v>
          </cell>
          <cell r="V306">
            <v>34967</v>
          </cell>
          <cell r="W306">
            <v>28632</v>
          </cell>
          <cell r="X306">
            <v>39605</v>
          </cell>
          <cell r="Y306">
            <v>35229</v>
          </cell>
          <cell r="Z306">
            <v>36204</v>
          </cell>
          <cell r="AA306">
            <v>29000</v>
          </cell>
          <cell r="AB306">
            <v>32183</v>
          </cell>
          <cell r="AC306">
            <v>30836</v>
          </cell>
          <cell r="AD306">
            <v>29529</v>
          </cell>
          <cell r="AE306">
            <v>16268</v>
          </cell>
          <cell r="AF306">
            <v>23192</v>
          </cell>
          <cell r="AG306">
            <v>22369</v>
          </cell>
          <cell r="AH306">
            <v>24599</v>
          </cell>
          <cell r="AI306">
            <v>27750</v>
          </cell>
          <cell r="AJ306">
            <v>18441</v>
          </cell>
        </row>
        <row r="307">
          <cell r="E307" t="str">
            <v>TN Electric Power Coal</v>
          </cell>
          <cell r="F307">
            <v>498365</v>
          </cell>
          <cell r="G307">
            <v>467598</v>
          </cell>
          <cell r="H307">
            <v>493415</v>
          </cell>
          <cell r="I307">
            <v>583716</v>
          </cell>
          <cell r="J307">
            <v>517768</v>
          </cell>
          <cell r="K307">
            <v>570411</v>
          </cell>
          <cell r="L307">
            <v>556169</v>
          </cell>
          <cell r="M307">
            <v>586999</v>
          </cell>
          <cell r="N307">
            <v>565099</v>
          </cell>
          <cell r="O307">
            <v>563246</v>
          </cell>
          <cell r="P307">
            <v>614773</v>
          </cell>
          <cell r="Q307">
            <v>591908</v>
          </cell>
          <cell r="R307">
            <v>567360</v>
          </cell>
          <cell r="S307">
            <v>531021</v>
          </cell>
          <cell r="T307">
            <v>562337</v>
          </cell>
          <cell r="U307">
            <v>575312</v>
          </cell>
          <cell r="V307">
            <v>597927</v>
          </cell>
          <cell r="W307">
            <v>593402</v>
          </cell>
          <cell r="X307">
            <v>564829</v>
          </cell>
          <cell r="Y307">
            <v>409344</v>
          </cell>
          <cell r="Z307">
            <v>443767</v>
          </cell>
          <cell r="AA307">
            <v>412442</v>
          </cell>
          <cell r="AB307">
            <v>357569</v>
          </cell>
          <cell r="AC307">
            <v>333581</v>
          </cell>
          <cell r="AD307">
            <v>365506</v>
          </cell>
          <cell r="AE307">
            <v>314583</v>
          </cell>
          <cell r="AF307">
            <v>329252</v>
          </cell>
          <cell r="AG307">
            <v>295243</v>
          </cell>
          <cell r="AH307">
            <v>215034</v>
          </cell>
          <cell r="AI307">
            <v>184546</v>
          </cell>
          <cell r="AJ307">
            <v>146975</v>
          </cell>
        </row>
        <row r="308">
          <cell r="E308" t="str">
            <v>TX Electric Power Coal</v>
          </cell>
          <cell r="F308">
            <v>1271920</v>
          </cell>
          <cell r="G308">
            <v>1269988</v>
          </cell>
          <cell r="H308">
            <v>1263384</v>
          </cell>
          <cell r="I308">
            <v>1359679</v>
          </cell>
          <cell r="J308">
            <v>1306565</v>
          </cell>
          <cell r="K308">
            <v>1301126</v>
          </cell>
          <cell r="L308">
            <v>1411826</v>
          </cell>
          <cell r="M308">
            <v>1449081</v>
          </cell>
          <cell r="N308">
            <v>1425307</v>
          </cell>
          <cell r="O308">
            <v>1467723</v>
          </cell>
          <cell r="P308">
            <v>1474883</v>
          </cell>
          <cell r="Q308">
            <v>1417079</v>
          </cell>
          <cell r="R308">
            <v>1477476</v>
          </cell>
          <cell r="S308">
            <v>1528776</v>
          </cell>
          <cell r="T308">
            <v>1554811</v>
          </cell>
          <cell r="U308">
            <v>1557476</v>
          </cell>
          <cell r="V308">
            <v>1539379</v>
          </cell>
          <cell r="W308">
            <v>1568721</v>
          </cell>
          <cell r="X308">
            <v>1566630</v>
          </cell>
          <cell r="Y308">
            <v>1480416</v>
          </cell>
          <cell r="Z308">
            <v>1553945</v>
          </cell>
          <cell r="AA308">
            <v>1675488</v>
          </cell>
          <cell r="AB308">
            <v>1478692</v>
          </cell>
          <cell r="AC308">
            <v>1575503</v>
          </cell>
          <cell r="AD308">
            <v>1558256</v>
          </cell>
          <cell r="AE308">
            <v>1319835</v>
          </cell>
          <cell r="AF308">
            <v>1309306</v>
          </cell>
          <cell r="AG308">
            <v>1439466</v>
          </cell>
          <cell r="AH308">
            <v>1178559</v>
          </cell>
          <cell r="AI308">
            <v>982825</v>
          </cell>
          <cell r="AJ308">
            <v>866717</v>
          </cell>
        </row>
        <row r="309">
          <cell r="E309" t="str">
            <v>US Electric Power Coal</v>
          </cell>
          <cell r="F309">
            <v>16258995</v>
          </cell>
          <cell r="G309">
            <v>16247935</v>
          </cell>
          <cell r="H309">
            <v>16463621</v>
          </cell>
          <cell r="I309">
            <v>17194422</v>
          </cell>
          <cell r="J309">
            <v>17259079</v>
          </cell>
          <cell r="K309">
            <v>17465065</v>
          </cell>
          <cell r="L309">
            <v>18427577</v>
          </cell>
          <cell r="M309">
            <v>18902863</v>
          </cell>
          <cell r="N309">
            <v>19215808</v>
          </cell>
          <cell r="O309">
            <v>19279063</v>
          </cell>
          <cell r="P309">
            <v>20219797</v>
          </cell>
          <cell r="Q309">
            <v>19613575</v>
          </cell>
          <cell r="R309">
            <v>19782944</v>
          </cell>
          <cell r="S309">
            <v>20183337</v>
          </cell>
          <cell r="T309">
            <v>20303713</v>
          </cell>
          <cell r="U309">
            <v>20735427</v>
          </cell>
          <cell r="V309">
            <v>20459989</v>
          </cell>
          <cell r="W309">
            <v>20805249</v>
          </cell>
          <cell r="X309">
            <v>20510599</v>
          </cell>
          <cell r="Y309">
            <v>18223766</v>
          </cell>
          <cell r="Z309">
            <v>19133366</v>
          </cell>
          <cell r="AA309">
            <v>18035415</v>
          </cell>
          <cell r="AB309">
            <v>15821257</v>
          </cell>
          <cell r="AC309">
            <v>16450431</v>
          </cell>
          <cell r="AD309">
            <v>16427232</v>
          </cell>
          <cell r="AE309">
            <v>14138235</v>
          </cell>
          <cell r="AF309">
            <v>12996648</v>
          </cell>
          <cell r="AG309">
            <v>12622220</v>
          </cell>
          <cell r="AH309">
            <v>12053020</v>
          </cell>
          <cell r="AI309">
            <v>10181470</v>
          </cell>
          <cell r="AJ309">
            <v>8229142</v>
          </cell>
        </row>
        <row r="310">
          <cell r="E310" t="str">
            <v>UT Electric Power Coal</v>
          </cell>
          <cell r="F310">
            <v>311988</v>
          </cell>
          <cell r="G310">
            <v>293618</v>
          </cell>
          <cell r="H310">
            <v>315929</v>
          </cell>
          <cell r="I310">
            <v>324160</v>
          </cell>
          <cell r="J310">
            <v>332302</v>
          </cell>
          <cell r="K310">
            <v>312055</v>
          </cell>
          <cell r="L310">
            <v>317826</v>
          </cell>
          <cell r="M310">
            <v>328267</v>
          </cell>
          <cell r="N310">
            <v>336766</v>
          </cell>
          <cell r="O310">
            <v>343899</v>
          </cell>
          <cell r="P310">
            <v>347642</v>
          </cell>
          <cell r="Q310">
            <v>339069</v>
          </cell>
          <cell r="R310">
            <v>352263</v>
          </cell>
          <cell r="S310">
            <v>363591</v>
          </cell>
          <cell r="T310">
            <v>366700</v>
          </cell>
          <cell r="U310">
            <v>371489</v>
          </cell>
          <cell r="V310">
            <v>366182</v>
          </cell>
          <cell r="W310">
            <v>370086</v>
          </cell>
          <cell r="X310">
            <v>376055</v>
          </cell>
          <cell r="Y310">
            <v>348891</v>
          </cell>
          <cell r="Z310">
            <v>339617</v>
          </cell>
          <cell r="AA310">
            <v>332402</v>
          </cell>
          <cell r="AB310">
            <v>308525</v>
          </cell>
          <cell r="AC310">
            <v>340512</v>
          </cell>
          <cell r="AD310">
            <v>330146</v>
          </cell>
          <cell r="AE310">
            <v>314926</v>
          </cell>
          <cell r="AF310">
            <v>255877</v>
          </cell>
          <cell r="AG310">
            <v>263709</v>
          </cell>
          <cell r="AH310">
            <v>264412</v>
          </cell>
          <cell r="AI310">
            <v>258293</v>
          </cell>
          <cell r="AJ310">
            <v>237179</v>
          </cell>
        </row>
        <row r="311">
          <cell r="E311" t="str">
            <v>VA Electric Power Coal</v>
          </cell>
          <cell r="F311">
            <v>231257</v>
          </cell>
          <cell r="G311">
            <v>242145</v>
          </cell>
          <cell r="H311">
            <v>258159</v>
          </cell>
          <cell r="I311">
            <v>291855</v>
          </cell>
          <cell r="J311">
            <v>266794</v>
          </cell>
          <cell r="K311">
            <v>287262</v>
          </cell>
          <cell r="L311">
            <v>326915</v>
          </cell>
          <cell r="M311">
            <v>339445</v>
          </cell>
          <cell r="N311">
            <v>347179</v>
          </cell>
          <cell r="O311">
            <v>357864</v>
          </cell>
          <cell r="P311">
            <v>413303</v>
          </cell>
          <cell r="Q311">
            <v>391423</v>
          </cell>
          <cell r="R311">
            <v>391890</v>
          </cell>
          <cell r="S311">
            <v>370856</v>
          </cell>
          <cell r="T311">
            <v>364154</v>
          </cell>
          <cell r="U311">
            <v>368564</v>
          </cell>
          <cell r="V311">
            <v>352371</v>
          </cell>
          <cell r="W311">
            <v>373659</v>
          </cell>
          <cell r="X311">
            <v>331303</v>
          </cell>
          <cell r="Y311">
            <v>267967</v>
          </cell>
          <cell r="Z311">
            <v>271206</v>
          </cell>
          <cell r="AA311">
            <v>215638</v>
          </cell>
          <cell r="AB311">
            <v>153359</v>
          </cell>
          <cell r="AC311">
            <v>224546</v>
          </cell>
          <cell r="AD311">
            <v>217987</v>
          </cell>
          <cell r="AE311">
            <v>183563</v>
          </cell>
          <cell r="AF311">
            <v>176403</v>
          </cell>
          <cell r="AG311">
            <v>115841</v>
          </cell>
          <cell r="AH311">
            <v>105609</v>
          </cell>
          <cell r="AI311">
            <v>42474</v>
          </cell>
          <cell r="AJ311">
            <v>39882</v>
          </cell>
        </row>
        <row r="312">
          <cell r="E312" t="str">
            <v>VT Electric Power Coal</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row>
        <row r="313">
          <cell r="E313" t="str">
            <v>WA Electric Power Coal</v>
          </cell>
          <cell r="F313">
            <v>78940</v>
          </cell>
          <cell r="G313">
            <v>83016</v>
          </cell>
          <cell r="H313">
            <v>100691</v>
          </cell>
          <cell r="I313">
            <v>91730</v>
          </cell>
          <cell r="J313">
            <v>101078</v>
          </cell>
          <cell r="K313">
            <v>63795</v>
          </cell>
          <cell r="L313">
            <v>87380</v>
          </cell>
          <cell r="M313">
            <v>76749</v>
          </cell>
          <cell r="N313">
            <v>100421</v>
          </cell>
          <cell r="O313">
            <v>94260</v>
          </cell>
          <cell r="P313">
            <v>102906</v>
          </cell>
          <cell r="Q313">
            <v>96033</v>
          </cell>
          <cell r="R313">
            <v>98008</v>
          </cell>
          <cell r="S313">
            <v>115504</v>
          </cell>
          <cell r="T313">
            <v>110151</v>
          </cell>
          <cell r="U313">
            <v>110802</v>
          </cell>
          <cell r="V313">
            <v>67143</v>
          </cell>
          <cell r="W313">
            <v>92545</v>
          </cell>
          <cell r="X313">
            <v>91650</v>
          </cell>
          <cell r="Y313">
            <v>80536</v>
          </cell>
          <cell r="Z313">
            <v>92205</v>
          </cell>
          <cell r="AA313">
            <v>55119</v>
          </cell>
          <cell r="AB313">
            <v>40559</v>
          </cell>
          <cell r="AC313">
            <v>72944</v>
          </cell>
          <cell r="AD313">
            <v>73840</v>
          </cell>
          <cell r="AE313">
            <v>56352</v>
          </cell>
          <cell r="AF313">
            <v>51421</v>
          </cell>
          <cell r="AG313">
            <v>60314</v>
          </cell>
          <cell r="AH313">
            <v>59785</v>
          </cell>
          <cell r="AI313">
            <v>79356</v>
          </cell>
          <cell r="AJ313">
            <v>57895</v>
          </cell>
        </row>
        <row r="314">
          <cell r="E314" t="str">
            <v>WI Electric Power Coal</v>
          </cell>
          <cell r="F314">
            <v>347011</v>
          </cell>
          <cell r="G314">
            <v>359709</v>
          </cell>
          <cell r="H314">
            <v>350389</v>
          </cell>
          <cell r="I314">
            <v>358963</v>
          </cell>
          <cell r="J314">
            <v>375649</v>
          </cell>
          <cell r="K314">
            <v>391165</v>
          </cell>
          <cell r="L314">
            <v>411867</v>
          </cell>
          <cell r="M314">
            <v>440158</v>
          </cell>
          <cell r="N314">
            <v>427559</v>
          </cell>
          <cell r="O314">
            <v>436424</v>
          </cell>
          <cell r="P314">
            <v>454622</v>
          </cell>
          <cell r="Q314">
            <v>450549</v>
          </cell>
          <cell r="R314">
            <v>448669</v>
          </cell>
          <cell r="S314">
            <v>444450</v>
          </cell>
          <cell r="T314">
            <v>454600</v>
          </cell>
          <cell r="U314">
            <v>475466</v>
          </cell>
          <cell r="V314">
            <v>422098</v>
          </cell>
          <cell r="W314">
            <v>423592</v>
          </cell>
          <cell r="X314">
            <v>437546</v>
          </cell>
          <cell r="Y314">
            <v>388816</v>
          </cell>
          <cell r="Z314">
            <v>420346</v>
          </cell>
          <cell r="AA314">
            <v>410520</v>
          </cell>
          <cell r="AB314">
            <v>341229</v>
          </cell>
          <cell r="AC314">
            <v>422247</v>
          </cell>
          <cell r="AD314">
            <v>384088</v>
          </cell>
          <cell r="AE314">
            <v>380596</v>
          </cell>
          <cell r="AF314">
            <v>337982</v>
          </cell>
          <cell r="AG314">
            <v>368339</v>
          </cell>
          <cell r="AH314">
            <v>341958</v>
          </cell>
          <cell r="AI314">
            <v>262276</v>
          </cell>
          <cell r="AJ314">
            <v>236337</v>
          </cell>
        </row>
        <row r="315">
          <cell r="E315" t="str">
            <v>WV Electric Power Coal</v>
          </cell>
          <cell r="F315">
            <v>744752</v>
          </cell>
          <cell r="G315">
            <v>691498</v>
          </cell>
          <cell r="H315">
            <v>710730</v>
          </cell>
          <cell r="I315">
            <v>711593</v>
          </cell>
          <cell r="J315">
            <v>776523</v>
          </cell>
          <cell r="K315">
            <v>772370</v>
          </cell>
          <cell r="L315">
            <v>826711</v>
          </cell>
          <cell r="M315">
            <v>869372</v>
          </cell>
          <cell r="N315">
            <v>878997</v>
          </cell>
          <cell r="O315">
            <v>906370</v>
          </cell>
          <cell r="P315">
            <v>891192</v>
          </cell>
          <cell r="Q315">
            <v>789469</v>
          </cell>
          <cell r="R315">
            <v>915651</v>
          </cell>
          <cell r="S315">
            <v>906132</v>
          </cell>
          <cell r="T315">
            <v>864983</v>
          </cell>
          <cell r="U315">
            <v>898025</v>
          </cell>
          <cell r="V315">
            <v>902325</v>
          </cell>
          <cell r="W315">
            <v>915801</v>
          </cell>
          <cell r="X315">
            <v>891864</v>
          </cell>
          <cell r="Y315">
            <v>695511</v>
          </cell>
          <cell r="Z315">
            <v>784297</v>
          </cell>
          <cell r="AA315">
            <v>759336</v>
          </cell>
          <cell r="AB315">
            <v>705989</v>
          </cell>
          <cell r="AC315">
            <v>724548</v>
          </cell>
          <cell r="AD315">
            <v>771699</v>
          </cell>
          <cell r="AE315">
            <v>689903</v>
          </cell>
          <cell r="AF315">
            <v>721327</v>
          </cell>
          <cell r="AG315">
            <v>684156</v>
          </cell>
          <cell r="AH315">
            <v>633418</v>
          </cell>
          <cell r="AI315">
            <v>593536</v>
          </cell>
          <cell r="AJ315">
            <v>512935</v>
          </cell>
        </row>
        <row r="316">
          <cell r="E316" t="str">
            <v>WY Electric Power Coal</v>
          </cell>
          <cell r="F316">
            <v>415990</v>
          </cell>
          <cell r="G316">
            <v>405763</v>
          </cell>
          <cell r="H316">
            <v>444555</v>
          </cell>
          <cell r="I316">
            <v>424442</v>
          </cell>
          <cell r="J316">
            <v>445819</v>
          </cell>
          <cell r="K316">
            <v>418379</v>
          </cell>
          <cell r="L316">
            <v>426959</v>
          </cell>
          <cell r="M316">
            <v>423541</v>
          </cell>
          <cell r="N316">
            <v>470503</v>
          </cell>
          <cell r="O316">
            <v>451663</v>
          </cell>
          <cell r="P316">
            <v>464905</v>
          </cell>
          <cell r="Q316">
            <v>464170</v>
          </cell>
          <cell r="R316">
            <v>447748</v>
          </cell>
          <cell r="S316">
            <v>460066</v>
          </cell>
          <cell r="T316">
            <v>466314</v>
          </cell>
          <cell r="U316">
            <v>458152</v>
          </cell>
          <cell r="V316">
            <v>455002</v>
          </cell>
          <cell r="W316">
            <v>459416</v>
          </cell>
          <cell r="X316">
            <v>464953</v>
          </cell>
          <cell r="Y316">
            <v>442913</v>
          </cell>
          <cell r="Z316">
            <v>452671</v>
          </cell>
          <cell r="AA316">
            <v>434569</v>
          </cell>
          <cell r="AB316">
            <v>458606</v>
          </cell>
          <cell r="AC316">
            <v>488808</v>
          </cell>
          <cell r="AD316">
            <v>456946</v>
          </cell>
          <cell r="AE316">
            <v>457661</v>
          </cell>
          <cell r="AF316">
            <v>425087</v>
          </cell>
          <cell r="AG316">
            <v>426707</v>
          </cell>
          <cell r="AH316">
            <v>424234</v>
          </cell>
          <cell r="AI316">
            <v>379251</v>
          </cell>
          <cell r="AJ316">
            <v>364275</v>
          </cell>
        </row>
        <row r="317">
          <cell r="E317" t="str">
            <v>AK Industrial Coal</v>
          </cell>
          <cell r="F317">
            <v>0</v>
          </cell>
          <cell r="G317">
            <v>0</v>
          </cell>
          <cell r="H317">
            <v>0</v>
          </cell>
          <cell r="I317">
            <v>32</v>
          </cell>
          <cell r="J317">
            <v>82</v>
          </cell>
          <cell r="K317">
            <v>0</v>
          </cell>
          <cell r="L317">
            <v>39</v>
          </cell>
          <cell r="M317">
            <v>39</v>
          </cell>
          <cell r="N317">
            <v>20</v>
          </cell>
          <cell r="O317">
            <v>22</v>
          </cell>
          <cell r="P317">
            <v>13</v>
          </cell>
          <cell r="Q317">
            <v>23</v>
          </cell>
          <cell r="R317">
            <v>15</v>
          </cell>
          <cell r="S317">
            <v>7</v>
          </cell>
          <cell r="T317">
            <v>15</v>
          </cell>
          <cell r="U317">
            <v>25</v>
          </cell>
          <cell r="V317">
            <v>33</v>
          </cell>
          <cell r="W317">
            <v>26</v>
          </cell>
          <cell r="X317">
            <v>2</v>
          </cell>
          <cell r="Y317">
            <v>57</v>
          </cell>
          <cell r="Z317">
            <v>57</v>
          </cell>
          <cell r="AA317">
            <v>73</v>
          </cell>
          <cell r="AB317">
            <v>19</v>
          </cell>
          <cell r="AC317">
            <v>16</v>
          </cell>
          <cell r="AD317">
            <v>17</v>
          </cell>
          <cell r="AE317">
            <v>17</v>
          </cell>
          <cell r="AF317">
            <v>17</v>
          </cell>
          <cell r="AG317">
            <v>18</v>
          </cell>
          <cell r="AH317">
            <v>17</v>
          </cell>
          <cell r="AI317">
            <v>17</v>
          </cell>
          <cell r="AJ317">
            <v>20</v>
          </cell>
        </row>
        <row r="318">
          <cell r="E318" t="str">
            <v>AL Industrial Coal</v>
          </cell>
          <cell r="F318">
            <v>143304</v>
          </cell>
          <cell r="G318">
            <v>145487</v>
          </cell>
          <cell r="H318">
            <v>165617</v>
          </cell>
          <cell r="I318">
            <v>141575</v>
          </cell>
          <cell r="J318">
            <v>146182</v>
          </cell>
          <cell r="K318">
            <v>144087</v>
          </cell>
          <cell r="L318">
            <v>150104</v>
          </cell>
          <cell r="M318">
            <v>146781</v>
          </cell>
          <cell r="N318">
            <v>126661</v>
          </cell>
          <cell r="O318">
            <v>121436</v>
          </cell>
          <cell r="P318">
            <v>116652</v>
          </cell>
          <cell r="Q318">
            <v>102061</v>
          </cell>
          <cell r="R318">
            <v>92758</v>
          </cell>
          <cell r="S318">
            <v>97821</v>
          </cell>
          <cell r="T318">
            <v>100480</v>
          </cell>
          <cell r="U318">
            <v>90442</v>
          </cell>
          <cell r="V318">
            <v>85409</v>
          </cell>
          <cell r="W318">
            <v>81440</v>
          </cell>
          <cell r="X318">
            <v>80717</v>
          </cell>
          <cell r="Y318">
            <v>59617</v>
          </cell>
          <cell r="Z318">
            <v>68819</v>
          </cell>
          <cell r="AA318">
            <v>64979</v>
          </cell>
          <cell r="AB318">
            <v>72938</v>
          </cell>
          <cell r="AC318">
            <v>76426</v>
          </cell>
          <cell r="AD318">
            <v>87265</v>
          </cell>
          <cell r="AE318">
            <v>69477</v>
          </cell>
          <cell r="AF318">
            <v>64589</v>
          </cell>
          <cell r="AG318">
            <v>62825</v>
          </cell>
          <cell r="AH318">
            <v>59918</v>
          </cell>
          <cell r="AI318">
            <v>48785</v>
          </cell>
          <cell r="AJ318">
            <v>36742</v>
          </cell>
        </row>
        <row r="319">
          <cell r="E319" t="str">
            <v>AR Industrial Coal</v>
          </cell>
          <cell r="F319">
            <v>5839</v>
          </cell>
          <cell r="G319">
            <v>6839</v>
          </cell>
          <cell r="H319">
            <v>7076</v>
          </cell>
          <cell r="I319">
            <v>7748</v>
          </cell>
          <cell r="J319">
            <v>8599</v>
          </cell>
          <cell r="K319">
            <v>7784</v>
          </cell>
          <cell r="L319">
            <v>8356</v>
          </cell>
          <cell r="M319">
            <v>6980</v>
          </cell>
          <cell r="N319">
            <v>7004</v>
          </cell>
          <cell r="O319">
            <v>7927</v>
          </cell>
          <cell r="P319">
            <v>9616</v>
          </cell>
          <cell r="Q319">
            <v>10901</v>
          </cell>
          <cell r="R319">
            <v>10457</v>
          </cell>
          <cell r="S319">
            <v>10126</v>
          </cell>
          <cell r="T319">
            <v>10126</v>
          </cell>
          <cell r="U319">
            <v>9275</v>
          </cell>
          <cell r="V319">
            <v>9084</v>
          </cell>
          <cell r="W319">
            <v>9778</v>
          </cell>
          <cell r="X319">
            <v>9567</v>
          </cell>
          <cell r="Y319">
            <v>7429</v>
          </cell>
          <cell r="Z319">
            <v>7272</v>
          </cell>
          <cell r="AA319">
            <v>5576</v>
          </cell>
          <cell r="AB319">
            <v>5154</v>
          </cell>
          <cell r="AC319">
            <v>5065</v>
          </cell>
          <cell r="AD319">
            <v>5461</v>
          </cell>
          <cell r="AE319">
            <v>4672</v>
          </cell>
          <cell r="AF319">
            <v>4827</v>
          </cell>
          <cell r="AG319">
            <v>4684</v>
          </cell>
          <cell r="AH319">
            <v>4065</v>
          </cell>
          <cell r="AI319">
            <v>4045</v>
          </cell>
          <cell r="AJ319">
            <v>3402</v>
          </cell>
        </row>
        <row r="320">
          <cell r="E320" t="str">
            <v>AZ Industrial Coal</v>
          </cell>
          <cell r="F320">
            <v>13251</v>
          </cell>
          <cell r="G320">
            <v>13737</v>
          </cell>
          <cell r="H320">
            <v>12831</v>
          </cell>
          <cell r="I320">
            <v>13482</v>
          </cell>
          <cell r="J320">
            <v>14656</v>
          </cell>
          <cell r="K320">
            <v>13106</v>
          </cell>
          <cell r="L320">
            <v>13367</v>
          </cell>
          <cell r="M320">
            <v>13716</v>
          </cell>
          <cell r="N320">
            <v>13427</v>
          </cell>
          <cell r="O320">
            <v>13167</v>
          </cell>
          <cell r="P320">
            <v>15958</v>
          </cell>
          <cell r="Q320">
            <v>14718</v>
          </cell>
          <cell r="R320">
            <v>13988</v>
          </cell>
          <cell r="S320">
            <v>15249</v>
          </cell>
          <cell r="T320">
            <v>16194</v>
          </cell>
          <cell r="U320">
            <v>15926</v>
          </cell>
          <cell r="V320">
            <v>16315</v>
          </cell>
          <cell r="W320">
            <v>15308</v>
          </cell>
          <cell r="X320">
            <v>12929</v>
          </cell>
          <cell r="Y320">
            <v>8730</v>
          </cell>
          <cell r="Z320">
            <v>10772</v>
          </cell>
          <cell r="AA320">
            <v>10021</v>
          </cell>
          <cell r="AB320">
            <v>8709</v>
          </cell>
          <cell r="AC320">
            <v>4318</v>
          </cell>
          <cell r="AD320">
            <v>5189</v>
          </cell>
          <cell r="AE320">
            <v>5434</v>
          </cell>
          <cell r="AF320">
            <v>4068</v>
          </cell>
          <cell r="AG320">
            <v>5283</v>
          </cell>
          <cell r="AH320">
            <v>6534</v>
          </cell>
          <cell r="AI320">
            <v>6557</v>
          </cell>
          <cell r="AJ320">
            <v>6508</v>
          </cell>
        </row>
        <row r="321">
          <cell r="E321" t="str">
            <v>CA Industrial Coal</v>
          </cell>
          <cell r="F321">
            <v>64738</v>
          </cell>
          <cell r="G321">
            <v>62994</v>
          </cell>
          <cell r="H321">
            <v>64801</v>
          </cell>
          <cell r="I321">
            <v>53625</v>
          </cell>
          <cell r="J321">
            <v>54174</v>
          </cell>
          <cell r="K321">
            <v>57900</v>
          </cell>
          <cell r="L321">
            <v>56202</v>
          </cell>
          <cell r="M321">
            <v>62178</v>
          </cell>
          <cell r="N321">
            <v>43348</v>
          </cell>
          <cell r="O321">
            <v>46772</v>
          </cell>
          <cell r="P321">
            <v>47380</v>
          </cell>
          <cell r="Q321">
            <v>46727</v>
          </cell>
          <cell r="R321">
            <v>47113</v>
          </cell>
          <cell r="S321">
            <v>47749</v>
          </cell>
          <cell r="T321">
            <v>46188</v>
          </cell>
          <cell r="U321">
            <v>46284</v>
          </cell>
          <cell r="V321">
            <v>45062</v>
          </cell>
          <cell r="W321">
            <v>43136</v>
          </cell>
          <cell r="X321">
            <v>39420</v>
          </cell>
          <cell r="Y321">
            <v>31318</v>
          </cell>
          <cell r="Z321">
            <v>33196</v>
          </cell>
          <cell r="AA321">
            <v>35572</v>
          </cell>
          <cell r="AB321">
            <v>30679</v>
          </cell>
          <cell r="AC321">
            <v>31938</v>
          </cell>
          <cell r="AD321">
            <v>32620</v>
          </cell>
          <cell r="AE321">
            <v>30967</v>
          </cell>
          <cell r="AF321">
            <v>32077</v>
          </cell>
          <cell r="AG321">
            <v>33663</v>
          </cell>
          <cell r="AH321">
            <v>33256</v>
          </cell>
          <cell r="AI321">
            <v>30886</v>
          </cell>
          <cell r="AJ321">
            <v>28034</v>
          </cell>
        </row>
        <row r="322">
          <cell r="E322" t="str">
            <v>CO Industrial Coal</v>
          </cell>
          <cell r="F322">
            <v>15383</v>
          </cell>
          <cell r="G322">
            <v>15558</v>
          </cell>
          <cell r="H322">
            <v>14784</v>
          </cell>
          <cell r="I322">
            <v>16328</v>
          </cell>
          <cell r="J322">
            <v>18477</v>
          </cell>
          <cell r="K322">
            <v>15814</v>
          </cell>
          <cell r="L322">
            <v>7923</v>
          </cell>
          <cell r="M322">
            <v>15704</v>
          </cell>
          <cell r="N322">
            <v>8331</v>
          </cell>
          <cell r="O322">
            <v>9111</v>
          </cell>
          <cell r="P322">
            <v>9270</v>
          </cell>
          <cell r="Q322">
            <v>6770</v>
          </cell>
          <cell r="R322">
            <v>4720</v>
          </cell>
          <cell r="S322">
            <v>6528</v>
          </cell>
          <cell r="T322">
            <v>6669</v>
          </cell>
          <cell r="U322">
            <v>6939</v>
          </cell>
          <cell r="V322">
            <v>6498</v>
          </cell>
          <cell r="W322">
            <v>5352</v>
          </cell>
          <cell r="X322">
            <v>5410</v>
          </cell>
          <cell r="Y322">
            <v>3213</v>
          </cell>
          <cell r="Z322">
            <v>7479</v>
          </cell>
          <cell r="AA322">
            <v>3307</v>
          </cell>
          <cell r="AB322">
            <v>6256</v>
          </cell>
          <cell r="AC322">
            <v>7502</v>
          </cell>
          <cell r="AD322">
            <v>8400</v>
          </cell>
          <cell r="AE322">
            <v>8059</v>
          </cell>
          <cell r="AF322">
            <v>6565</v>
          </cell>
          <cell r="AG322">
            <v>6412</v>
          </cell>
          <cell r="AH322">
            <v>3836</v>
          </cell>
          <cell r="AI322">
            <v>4282</v>
          </cell>
          <cell r="AJ322">
            <v>3838</v>
          </cell>
        </row>
        <row r="323">
          <cell r="E323" t="str">
            <v>CT Industrial Coal</v>
          </cell>
          <cell r="F323">
            <v>25</v>
          </cell>
          <cell r="G323">
            <v>75</v>
          </cell>
          <cell r="H323">
            <v>299</v>
          </cell>
          <cell r="I323">
            <v>744</v>
          </cell>
          <cell r="J323">
            <v>733</v>
          </cell>
          <cell r="K323">
            <v>0</v>
          </cell>
          <cell r="L323">
            <v>0</v>
          </cell>
          <cell r="M323">
            <v>0</v>
          </cell>
          <cell r="N323">
            <v>0</v>
          </cell>
          <cell r="O323">
            <v>0</v>
          </cell>
          <cell r="P323">
            <v>0</v>
          </cell>
          <cell r="Q323">
            <v>0</v>
          </cell>
          <cell r="R323">
            <v>0</v>
          </cell>
          <cell r="S323">
            <v>0</v>
          </cell>
          <cell r="T323">
            <v>0</v>
          </cell>
          <cell r="U323">
            <v>20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row>
        <row r="324">
          <cell r="E324" t="str">
            <v>DC Industrial Coal</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row>
        <row r="325">
          <cell r="E325" t="str">
            <v>DE Industrial Coal</v>
          </cell>
          <cell r="F325">
            <v>5349</v>
          </cell>
          <cell r="G325">
            <v>5215</v>
          </cell>
          <cell r="H325">
            <v>3586</v>
          </cell>
          <cell r="I325">
            <v>4386</v>
          </cell>
          <cell r="J325">
            <v>4771</v>
          </cell>
          <cell r="K325">
            <v>4887</v>
          </cell>
          <cell r="L325">
            <v>4123</v>
          </cell>
          <cell r="M325">
            <v>4389</v>
          </cell>
          <cell r="N325">
            <v>4378</v>
          </cell>
          <cell r="O325">
            <v>3720</v>
          </cell>
          <cell r="P325">
            <v>4669</v>
          </cell>
          <cell r="Q325">
            <v>4479</v>
          </cell>
          <cell r="R325">
            <v>2565</v>
          </cell>
          <cell r="S325">
            <v>2574</v>
          </cell>
          <cell r="T325">
            <v>3112</v>
          </cell>
          <cell r="U325">
            <v>3091</v>
          </cell>
          <cell r="V325">
            <v>2694</v>
          </cell>
          <cell r="W325">
            <v>2718</v>
          </cell>
          <cell r="X325">
            <v>2198</v>
          </cell>
          <cell r="Y325">
            <v>565</v>
          </cell>
          <cell r="Z325">
            <v>0</v>
          </cell>
          <cell r="AA325">
            <v>0</v>
          </cell>
          <cell r="AB325">
            <v>0</v>
          </cell>
          <cell r="AC325">
            <v>0</v>
          </cell>
          <cell r="AD325">
            <v>0</v>
          </cell>
          <cell r="AE325">
            <v>0</v>
          </cell>
          <cell r="AF325">
            <v>2339</v>
          </cell>
          <cell r="AG325">
            <v>0</v>
          </cell>
          <cell r="AH325">
            <v>0</v>
          </cell>
          <cell r="AI325">
            <v>0</v>
          </cell>
          <cell r="AJ325">
            <v>0</v>
          </cell>
        </row>
        <row r="326">
          <cell r="E326" t="str">
            <v>FL Industrial Coal</v>
          </cell>
          <cell r="F326">
            <v>30171</v>
          </cell>
          <cell r="G326">
            <v>28485</v>
          </cell>
          <cell r="H326">
            <v>33382</v>
          </cell>
          <cell r="I326">
            <v>32511</v>
          </cell>
          <cell r="J326">
            <v>32490</v>
          </cell>
          <cell r="K326">
            <v>33256</v>
          </cell>
          <cell r="L326">
            <v>31890</v>
          </cell>
          <cell r="M326">
            <v>33749</v>
          </cell>
          <cell r="N326">
            <v>31969</v>
          </cell>
          <cell r="O326">
            <v>29719</v>
          </cell>
          <cell r="P326">
            <v>32052</v>
          </cell>
          <cell r="Q326">
            <v>30141</v>
          </cell>
          <cell r="R326">
            <v>30635</v>
          </cell>
          <cell r="S326">
            <v>28345</v>
          </cell>
          <cell r="T326">
            <v>27021</v>
          </cell>
          <cell r="U326">
            <v>27581</v>
          </cell>
          <cell r="V326">
            <v>28659</v>
          </cell>
          <cell r="W326">
            <v>27941</v>
          </cell>
          <cell r="X326">
            <v>27306</v>
          </cell>
          <cell r="Y326">
            <v>24051</v>
          </cell>
          <cell r="Z326">
            <v>21718</v>
          </cell>
          <cell r="AA326">
            <v>12622</v>
          </cell>
          <cell r="AB326">
            <v>12772</v>
          </cell>
          <cell r="AC326">
            <v>14996</v>
          </cell>
          <cell r="AD326">
            <v>16010</v>
          </cell>
          <cell r="AE326">
            <v>14984</v>
          </cell>
          <cell r="AF326">
            <v>13097</v>
          </cell>
          <cell r="AG326">
            <v>14172</v>
          </cell>
          <cell r="AH326">
            <v>12938</v>
          </cell>
          <cell r="AI326">
            <v>10304</v>
          </cell>
          <cell r="AJ326">
            <v>5446</v>
          </cell>
        </row>
        <row r="327">
          <cell r="E327" t="str">
            <v>GA Industrial Coal</v>
          </cell>
          <cell r="F327">
            <v>56141</v>
          </cell>
          <cell r="G327">
            <v>52821</v>
          </cell>
          <cell r="H327">
            <v>44925</v>
          </cell>
          <cell r="I327">
            <v>43170</v>
          </cell>
          <cell r="J327">
            <v>48461</v>
          </cell>
          <cell r="K327">
            <v>49106</v>
          </cell>
          <cell r="L327">
            <v>49886</v>
          </cell>
          <cell r="M327">
            <v>51325</v>
          </cell>
          <cell r="N327">
            <v>49607</v>
          </cell>
          <cell r="O327">
            <v>49366</v>
          </cell>
          <cell r="P327">
            <v>51033</v>
          </cell>
          <cell r="Q327">
            <v>51277</v>
          </cell>
          <cell r="R327">
            <v>47323</v>
          </cell>
          <cell r="S327">
            <v>45538</v>
          </cell>
          <cell r="T327">
            <v>45451</v>
          </cell>
          <cell r="U327">
            <v>43492</v>
          </cell>
          <cell r="V327">
            <v>40739</v>
          </cell>
          <cell r="W327">
            <v>38888</v>
          </cell>
          <cell r="X327">
            <v>36407</v>
          </cell>
          <cell r="Y327">
            <v>26580</v>
          </cell>
          <cell r="Z327">
            <v>31763</v>
          </cell>
          <cell r="AA327">
            <v>29239</v>
          </cell>
          <cell r="AB327">
            <v>21703</v>
          </cell>
          <cell r="AC327">
            <v>18647</v>
          </cell>
          <cell r="AD327">
            <v>21152</v>
          </cell>
          <cell r="AE327">
            <v>12114</v>
          </cell>
          <cell r="AF327">
            <v>11109</v>
          </cell>
          <cell r="AG327">
            <v>8366</v>
          </cell>
          <cell r="AH327">
            <v>8431</v>
          </cell>
          <cell r="AI327">
            <v>7834</v>
          </cell>
          <cell r="AJ327">
            <v>6900</v>
          </cell>
        </row>
        <row r="328">
          <cell r="E328" t="str">
            <v>HI Industrial Coal</v>
          </cell>
          <cell r="F328">
            <v>695</v>
          </cell>
          <cell r="G328">
            <v>919</v>
          </cell>
          <cell r="H328">
            <v>1167</v>
          </cell>
          <cell r="I328">
            <v>1813</v>
          </cell>
          <cell r="J328">
            <v>1849</v>
          </cell>
          <cell r="K328">
            <v>4119</v>
          </cell>
          <cell r="L328">
            <v>3640</v>
          </cell>
          <cell r="M328">
            <v>3735</v>
          </cell>
          <cell r="N328">
            <v>3364</v>
          </cell>
          <cell r="O328">
            <v>2692</v>
          </cell>
          <cell r="P328">
            <v>2139</v>
          </cell>
          <cell r="Q328">
            <v>2044</v>
          </cell>
          <cell r="R328">
            <v>655</v>
          </cell>
          <cell r="S328">
            <v>1374</v>
          </cell>
          <cell r="T328">
            <v>1253</v>
          </cell>
          <cell r="U328">
            <v>1411</v>
          </cell>
          <cell r="V328">
            <v>1637</v>
          </cell>
          <cell r="W328">
            <v>1795</v>
          </cell>
          <cell r="X328">
            <v>2311</v>
          </cell>
          <cell r="Y328">
            <v>2033</v>
          </cell>
          <cell r="Z328">
            <v>1415</v>
          </cell>
          <cell r="AA328">
            <v>1305</v>
          </cell>
          <cell r="AB328">
            <v>1140</v>
          </cell>
          <cell r="AC328">
            <v>1358</v>
          </cell>
          <cell r="AD328">
            <v>1368</v>
          </cell>
          <cell r="AE328">
            <v>1136</v>
          </cell>
          <cell r="AF328">
            <v>271</v>
          </cell>
          <cell r="AG328">
            <v>0</v>
          </cell>
          <cell r="AH328">
            <v>0</v>
          </cell>
          <cell r="AI328">
            <v>0</v>
          </cell>
          <cell r="AJ328">
            <v>0</v>
          </cell>
        </row>
        <row r="329">
          <cell r="E329" t="str">
            <v>IA Industrial Coal</v>
          </cell>
          <cell r="F329">
            <v>53149</v>
          </cell>
          <cell r="G329">
            <v>59296</v>
          </cell>
          <cell r="H329">
            <v>52881</v>
          </cell>
          <cell r="I329">
            <v>50302</v>
          </cell>
          <cell r="J329">
            <v>55004</v>
          </cell>
          <cell r="K329">
            <v>57924</v>
          </cell>
          <cell r="L329">
            <v>65732</v>
          </cell>
          <cell r="M329">
            <v>64950</v>
          </cell>
          <cell r="N329">
            <v>59972</v>
          </cell>
          <cell r="O329">
            <v>63426</v>
          </cell>
          <cell r="P329">
            <v>60879</v>
          </cell>
          <cell r="Q329">
            <v>59062</v>
          </cell>
          <cell r="R329">
            <v>58529</v>
          </cell>
          <cell r="S329">
            <v>60241</v>
          </cell>
          <cell r="T329">
            <v>59190</v>
          </cell>
          <cell r="U329">
            <v>59135</v>
          </cell>
          <cell r="V329">
            <v>60820</v>
          </cell>
          <cell r="W329">
            <v>60831</v>
          </cell>
          <cell r="X329">
            <v>57480</v>
          </cell>
          <cell r="Y329">
            <v>52608</v>
          </cell>
          <cell r="Z329">
            <v>66005</v>
          </cell>
          <cell r="AA329">
            <v>70327</v>
          </cell>
          <cell r="AB329">
            <v>63588</v>
          </cell>
          <cell r="AC329">
            <v>64323</v>
          </cell>
          <cell r="AD329">
            <v>58685</v>
          </cell>
          <cell r="AE329">
            <v>52535</v>
          </cell>
          <cell r="AF329">
            <v>45408</v>
          </cell>
          <cell r="AG329">
            <v>44628</v>
          </cell>
          <cell r="AH329">
            <v>43924</v>
          </cell>
          <cell r="AI329">
            <v>42803</v>
          </cell>
          <cell r="AJ329">
            <v>38642</v>
          </cell>
        </row>
        <row r="330">
          <cell r="E330" t="str">
            <v>ID Industrial Coal</v>
          </cell>
          <cell r="F330">
            <v>8724</v>
          </cell>
          <cell r="G330">
            <v>10733</v>
          </cell>
          <cell r="H330">
            <v>8480</v>
          </cell>
          <cell r="I330">
            <v>8820</v>
          </cell>
          <cell r="J330">
            <v>8761</v>
          </cell>
          <cell r="K330">
            <v>8103</v>
          </cell>
          <cell r="L330">
            <v>6700</v>
          </cell>
          <cell r="M330">
            <v>5726</v>
          </cell>
          <cell r="N330">
            <v>7648</v>
          </cell>
          <cell r="O330">
            <v>6820</v>
          </cell>
          <cell r="P330">
            <v>13302</v>
          </cell>
          <cell r="Q330">
            <v>10972</v>
          </cell>
          <cell r="R330">
            <v>9785</v>
          </cell>
          <cell r="S330">
            <v>9926</v>
          </cell>
          <cell r="T330">
            <v>12211</v>
          </cell>
          <cell r="U330">
            <v>11019</v>
          </cell>
          <cell r="V330">
            <v>7952</v>
          </cell>
          <cell r="W330">
            <v>9232</v>
          </cell>
          <cell r="X330">
            <v>8393</v>
          </cell>
          <cell r="Y330">
            <v>8261</v>
          </cell>
          <cell r="Z330">
            <v>8328</v>
          </cell>
          <cell r="AA330">
            <v>7687</v>
          </cell>
          <cell r="AB330">
            <v>5066</v>
          </cell>
          <cell r="AC330">
            <v>7881</v>
          </cell>
          <cell r="AD330">
            <v>7427</v>
          </cell>
          <cell r="AE330">
            <v>4249</v>
          </cell>
          <cell r="AF330">
            <v>2432</v>
          </cell>
          <cell r="AG330">
            <v>2615</v>
          </cell>
          <cell r="AH330">
            <v>2823</v>
          </cell>
          <cell r="AI330">
            <v>2364</v>
          </cell>
          <cell r="AJ330">
            <v>2663</v>
          </cell>
        </row>
        <row r="331">
          <cell r="E331" t="str">
            <v>IL Industrial Coal</v>
          </cell>
          <cell r="F331">
            <v>150828</v>
          </cell>
          <cell r="G331">
            <v>156802</v>
          </cell>
          <cell r="H331">
            <v>147072</v>
          </cell>
          <cell r="I331">
            <v>148643</v>
          </cell>
          <cell r="J331">
            <v>149387</v>
          </cell>
          <cell r="K331">
            <v>144637</v>
          </cell>
          <cell r="L331">
            <v>150147</v>
          </cell>
          <cell r="M331">
            <v>155435</v>
          </cell>
          <cell r="N331">
            <v>152387</v>
          </cell>
          <cell r="O331">
            <v>148383</v>
          </cell>
          <cell r="P331">
            <v>136281</v>
          </cell>
          <cell r="Q331">
            <v>111261</v>
          </cell>
          <cell r="R331">
            <v>96767</v>
          </cell>
          <cell r="S331">
            <v>98142</v>
          </cell>
          <cell r="T331">
            <v>93629</v>
          </cell>
          <cell r="U331">
            <v>92543</v>
          </cell>
          <cell r="V331">
            <v>95208</v>
          </cell>
          <cell r="W331">
            <v>99409</v>
          </cell>
          <cell r="X331">
            <v>95322</v>
          </cell>
          <cell r="Y331">
            <v>73915</v>
          </cell>
          <cell r="Z331">
            <v>96090</v>
          </cell>
          <cell r="AA331">
            <v>110605</v>
          </cell>
          <cell r="AB331">
            <v>113611</v>
          </cell>
          <cell r="AC331">
            <v>111434</v>
          </cell>
          <cell r="AD331">
            <v>109595</v>
          </cell>
          <cell r="AE331">
            <v>86747</v>
          </cell>
          <cell r="AF331">
            <v>80298</v>
          </cell>
          <cell r="AG331">
            <v>82065</v>
          </cell>
          <cell r="AH331">
            <v>80109</v>
          </cell>
          <cell r="AI331">
            <v>79478</v>
          </cell>
          <cell r="AJ331">
            <v>77403</v>
          </cell>
        </row>
        <row r="332">
          <cell r="E332" t="str">
            <v>IN Industrial Coal</v>
          </cell>
          <cell r="F332">
            <v>342763</v>
          </cell>
          <cell r="G332">
            <v>321598</v>
          </cell>
          <cell r="H332">
            <v>289536</v>
          </cell>
          <cell r="I332">
            <v>281477</v>
          </cell>
          <cell r="J332">
            <v>225815</v>
          </cell>
          <cell r="K332">
            <v>258466</v>
          </cell>
          <cell r="L332">
            <v>269332</v>
          </cell>
          <cell r="M332">
            <v>271284</v>
          </cell>
          <cell r="N332">
            <v>279029</v>
          </cell>
          <cell r="O332">
            <v>276311</v>
          </cell>
          <cell r="P332">
            <v>329359</v>
          </cell>
          <cell r="Q332">
            <v>354054</v>
          </cell>
          <cell r="R332">
            <v>349614</v>
          </cell>
          <cell r="S332">
            <v>347263</v>
          </cell>
          <cell r="T332">
            <v>360129</v>
          </cell>
          <cell r="U332">
            <v>316968</v>
          </cell>
          <cell r="V332">
            <v>308837</v>
          </cell>
          <cell r="W332">
            <v>296973</v>
          </cell>
          <cell r="X332">
            <v>273644</v>
          </cell>
          <cell r="Y332">
            <v>225046</v>
          </cell>
          <cell r="Z332">
            <v>267168</v>
          </cell>
          <cell r="AA332">
            <v>234430</v>
          </cell>
          <cell r="AB332">
            <v>215728</v>
          </cell>
          <cell r="AC332">
            <v>211229</v>
          </cell>
          <cell r="AD332">
            <v>184732</v>
          </cell>
          <cell r="AE332">
            <v>169416</v>
          </cell>
          <cell r="AF332">
            <v>169022</v>
          </cell>
          <cell r="AG332">
            <v>159096</v>
          </cell>
          <cell r="AH332">
            <v>155947</v>
          </cell>
          <cell r="AI332">
            <v>157913</v>
          </cell>
          <cell r="AJ332">
            <v>144300</v>
          </cell>
        </row>
        <row r="333">
          <cell r="E333" t="str">
            <v>KS Industrial Coal</v>
          </cell>
          <cell r="F333">
            <v>3801</v>
          </cell>
          <cell r="G333">
            <v>3627</v>
          </cell>
          <cell r="H333">
            <v>3873</v>
          </cell>
          <cell r="I333">
            <v>3232</v>
          </cell>
          <cell r="J333">
            <v>3287</v>
          </cell>
          <cell r="K333">
            <v>3337</v>
          </cell>
          <cell r="L333">
            <v>3915</v>
          </cell>
          <cell r="M333">
            <v>3357</v>
          </cell>
          <cell r="N333">
            <v>2714</v>
          </cell>
          <cell r="O333">
            <v>2686</v>
          </cell>
          <cell r="P333">
            <v>3240</v>
          </cell>
          <cell r="Q333">
            <v>3862</v>
          </cell>
          <cell r="R333">
            <v>4277</v>
          </cell>
          <cell r="S333">
            <v>3843</v>
          </cell>
          <cell r="T333">
            <v>5042</v>
          </cell>
          <cell r="U333">
            <v>5015</v>
          </cell>
          <cell r="V333">
            <v>5681</v>
          </cell>
          <cell r="W333">
            <v>5767</v>
          </cell>
          <cell r="X333">
            <v>4009</v>
          </cell>
          <cell r="Y333">
            <v>2475</v>
          </cell>
          <cell r="Z333">
            <v>2652</v>
          </cell>
          <cell r="AA333">
            <v>2504</v>
          </cell>
          <cell r="AB333">
            <v>1999</v>
          </cell>
          <cell r="AC333">
            <v>2032</v>
          </cell>
          <cell r="AD333">
            <v>2948</v>
          </cell>
          <cell r="AE333">
            <v>2765</v>
          </cell>
          <cell r="AF333">
            <v>2281</v>
          </cell>
          <cell r="AG333">
            <v>2436</v>
          </cell>
          <cell r="AH333">
            <v>2528</v>
          </cell>
          <cell r="AI333">
            <v>1824</v>
          </cell>
          <cell r="AJ333">
            <v>1222</v>
          </cell>
        </row>
        <row r="334">
          <cell r="E334" t="str">
            <v>KY Industrial Coal</v>
          </cell>
          <cell r="F334">
            <v>87063</v>
          </cell>
          <cell r="G334">
            <v>73787</v>
          </cell>
          <cell r="H334">
            <v>71282</v>
          </cell>
          <cell r="I334">
            <v>90853</v>
          </cell>
          <cell r="J334">
            <v>82788</v>
          </cell>
          <cell r="K334">
            <v>94213</v>
          </cell>
          <cell r="L334">
            <v>93682</v>
          </cell>
          <cell r="M334">
            <v>82785</v>
          </cell>
          <cell r="N334">
            <v>70915</v>
          </cell>
          <cell r="O334">
            <v>62314</v>
          </cell>
          <cell r="P334">
            <v>59600</v>
          </cell>
          <cell r="Q334">
            <v>63565</v>
          </cell>
          <cell r="R334">
            <v>55796</v>
          </cell>
          <cell r="S334">
            <v>56186</v>
          </cell>
          <cell r="T334">
            <v>60416</v>
          </cell>
          <cell r="U334">
            <v>58452</v>
          </cell>
          <cell r="V334">
            <v>61661</v>
          </cell>
          <cell r="W334">
            <v>63792</v>
          </cell>
          <cell r="X334">
            <v>57605</v>
          </cell>
          <cell r="Y334">
            <v>43407</v>
          </cell>
          <cell r="Z334">
            <v>50188</v>
          </cell>
          <cell r="AA334">
            <v>47769</v>
          </cell>
          <cell r="AB334">
            <v>29067</v>
          </cell>
          <cell r="AC334">
            <v>27797</v>
          </cell>
          <cell r="AD334">
            <v>26605</v>
          </cell>
          <cell r="AE334">
            <v>26360</v>
          </cell>
          <cell r="AF334">
            <v>20458</v>
          </cell>
          <cell r="AG334">
            <v>22110</v>
          </cell>
          <cell r="AH334">
            <v>19853</v>
          </cell>
          <cell r="AI334">
            <v>17996</v>
          </cell>
          <cell r="AJ334">
            <v>15430</v>
          </cell>
        </row>
        <row r="335">
          <cell r="E335" t="str">
            <v>LA Industrial Coal</v>
          </cell>
          <cell r="F335">
            <v>15963</v>
          </cell>
          <cell r="G335">
            <v>10267</v>
          </cell>
          <cell r="H335">
            <v>11083</v>
          </cell>
          <cell r="I335">
            <v>10787</v>
          </cell>
          <cell r="J335">
            <v>11433</v>
          </cell>
          <cell r="K335">
            <v>7653</v>
          </cell>
          <cell r="L335">
            <v>2101</v>
          </cell>
          <cell r="M335">
            <v>1663</v>
          </cell>
          <cell r="N335">
            <v>1033</v>
          </cell>
          <cell r="O335">
            <v>931</v>
          </cell>
          <cell r="P335">
            <v>1389</v>
          </cell>
          <cell r="Q335">
            <v>1981</v>
          </cell>
          <cell r="R335">
            <v>1303</v>
          </cell>
          <cell r="S335">
            <v>3139</v>
          </cell>
          <cell r="T335">
            <v>2058</v>
          </cell>
          <cell r="U335">
            <v>1601</v>
          </cell>
          <cell r="V335">
            <v>1768</v>
          </cell>
          <cell r="W335">
            <v>1731</v>
          </cell>
          <cell r="X335">
            <v>1743</v>
          </cell>
          <cell r="Y335">
            <v>341</v>
          </cell>
          <cell r="Z335">
            <v>526</v>
          </cell>
          <cell r="AA335">
            <v>1299</v>
          </cell>
          <cell r="AB335">
            <v>2284</v>
          </cell>
          <cell r="AC335">
            <v>2302</v>
          </cell>
          <cell r="AD335">
            <v>2931</v>
          </cell>
          <cell r="AE335">
            <v>3723</v>
          </cell>
          <cell r="AF335">
            <v>4083</v>
          </cell>
          <cell r="AG335">
            <v>3780</v>
          </cell>
          <cell r="AH335">
            <v>3960</v>
          </cell>
          <cell r="AI335">
            <v>3213</v>
          </cell>
          <cell r="AJ335">
            <v>3341</v>
          </cell>
        </row>
        <row r="336">
          <cell r="E336" t="str">
            <v>MA Industrial Coal</v>
          </cell>
          <cell r="F336">
            <v>1816</v>
          </cell>
          <cell r="G336">
            <v>2119</v>
          </cell>
          <cell r="H336">
            <v>3859</v>
          </cell>
          <cell r="I336">
            <v>2864</v>
          </cell>
          <cell r="J336">
            <v>1631</v>
          </cell>
          <cell r="K336">
            <v>1057</v>
          </cell>
          <cell r="L336">
            <v>949</v>
          </cell>
          <cell r="M336">
            <v>916</v>
          </cell>
          <cell r="N336">
            <v>853</v>
          </cell>
          <cell r="O336">
            <v>815</v>
          </cell>
          <cell r="P336">
            <v>1490</v>
          </cell>
          <cell r="Q336">
            <v>1461</v>
          </cell>
          <cell r="R336">
            <v>1195</v>
          </cell>
          <cell r="S336">
            <v>1548</v>
          </cell>
          <cell r="T336">
            <v>1483</v>
          </cell>
          <cell r="U336">
            <v>1869</v>
          </cell>
          <cell r="V336">
            <v>2025</v>
          </cell>
          <cell r="W336">
            <v>2224</v>
          </cell>
          <cell r="X336">
            <v>2222</v>
          </cell>
          <cell r="Y336">
            <v>1316</v>
          </cell>
          <cell r="Z336">
            <v>1753</v>
          </cell>
          <cell r="AA336">
            <v>1635</v>
          </cell>
          <cell r="AB336">
            <v>1664</v>
          </cell>
          <cell r="AC336">
            <v>1614</v>
          </cell>
          <cell r="AD336">
            <v>1544</v>
          </cell>
          <cell r="AE336">
            <v>1215</v>
          </cell>
          <cell r="AF336">
            <v>99</v>
          </cell>
          <cell r="AG336">
            <v>103</v>
          </cell>
          <cell r="AH336">
            <v>101</v>
          </cell>
          <cell r="AI336">
            <v>71</v>
          </cell>
          <cell r="AJ336">
            <v>0</v>
          </cell>
        </row>
        <row r="337">
          <cell r="E337" t="str">
            <v>MD Industrial Coal</v>
          </cell>
          <cell r="F337">
            <v>57377</v>
          </cell>
          <cell r="G337">
            <v>52801</v>
          </cell>
          <cell r="H337">
            <v>17802</v>
          </cell>
          <cell r="I337">
            <v>18490</v>
          </cell>
          <cell r="J337">
            <v>18752</v>
          </cell>
          <cell r="K337">
            <v>19246</v>
          </cell>
          <cell r="L337">
            <v>19737</v>
          </cell>
          <cell r="M337">
            <v>19278</v>
          </cell>
          <cell r="N337">
            <v>19246</v>
          </cell>
          <cell r="O337">
            <v>19933</v>
          </cell>
          <cell r="P337">
            <v>20320</v>
          </cell>
          <cell r="Q337">
            <v>33623</v>
          </cell>
          <cell r="R337">
            <v>34051</v>
          </cell>
          <cell r="S337">
            <v>31837</v>
          </cell>
          <cell r="T337">
            <v>34536</v>
          </cell>
          <cell r="U337">
            <v>32978</v>
          </cell>
          <cell r="V337">
            <v>30431</v>
          </cell>
          <cell r="W337">
            <v>29880</v>
          </cell>
          <cell r="X337">
            <v>28547</v>
          </cell>
          <cell r="Y337">
            <v>22157</v>
          </cell>
          <cell r="Z337">
            <v>22649</v>
          </cell>
          <cell r="AA337">
            <v>21655</v>
          </cell>
          <cell r="AB337">
            <v>20407</v>
          </cell>
          <cell r="AC337">
            <v>15363</v>
          </cell>
          <cell r="AD337">
            <v>15627</v>
          </cell>
          <cell r="AE337">
            <v>15031</v>
          </cell>
          <cell r="AF337">
            <v>12103</v>
          </cell>
          <cell r="AG337">
            <v>12275</v>
          </cell>
          <cell r="AH337">
            <v>11914</v>
          </cell>
          <cell r="AI337">
            <v>10154</v>
          </cell>
          <cell r="AJ337">
            <v>9033</v>
          </cell>
        </row>
        <row r="338">
          <cell r="E338" t="str">
            <v>ME Industrial Coal</v>
          </cell>
          <cell r="F338">
            <v>5533</v>
          </cell>
          <cell r="G338">
            <v>9029</v>
          </cell>
          <cell r="H338">
            <v>20557</v>
          </cell>
          <cell r="I338">
            <v>10564</v>
          </cell>
          <cell r="J338">
            <v>11437</v>
          </cell>
          <cell r="K338">
            <v>6993</v>
          </cell>
          <cell r="L338">
            <v>5751</v>
          </cell>
          <cell r="M338">
            <v>4734</v>
          </cell>
          <cell r="N338">
            <v>3390</v>
          </cell>
          <cell r="O338">
            <v>2864</v>
          </cell>
          <cell r="P338">
            <v>5687</v>
          </cell>
          <cell r="Q338">
            <v>3203</v>
          </cell>
          <cell r="R338">
            <v>2286</v>
          </cell>
          <cell r="S338">
            <v>3115</v>
          </cell>
          <cell r="T338">
            <v>2973</v>
          </cell>
          <cell r="U338">
            <v>3219</v>
          </cell>
          <cell r="V338">
            <v>2780</v>
          </cell>
          <cell r="W338">
            <v>2937</v>
          </cell>
          <cell r="X338">
            <v>2633</v>
          </cell>
          <cell r="Y338">
            <v>797</v>
          </cell>
          <cell r="Z338">
            <v>862</v>
          </cell>
          <cell r="AA338">
            <v>573</v>
          </cell>
          <cell r="AB338">
            <v>489</v>
          </cell>
          <cell r="AC338">
            <v>690</v>
          </cell>
          <cell r="AD338">
            <v>815</v>
          </cell>
          <cell r="AE338">
            <v>742</v>
          </cell>
          <cell r="AF338">
            <v>421</v>
          </cell>
          <cell r="AG338">
            <v>465</v>
          </cell>
          <cell r="AH338">
            <v>537</v>
          </cell>
          <cell r="AI338">
            <v>449</v>
          </cell>
          <cell r="AJ338">
            <v>329</v>
          </cell>
        </row>
        <row r="339">
          <cell r="E339" t="str">
            <v>MI Industrial Coal</v>
          </cell>
          <cell r="F339">
            <v>117888</v>
          </cell>
          <cell r="G339">
            <v>92479</v>
          </cell>
          <cell r="H339">
            <v>76293</v>
          </cell>
          <cell r="I339">
            <v>78228</v>
          </cell>
          <cell r="J339">
            <v>107196</v>
          </cell>
          <cell r="K339">
            <v>109194</v>
          </cell>
          <cell r="L339">
            <v>107538</v>
          </cell>
          <cell r="M339">
            <v>95139</v>
          </cell>
          <cell r="N339">
            <v>97942</v>
          </cell>
          <cell r="O339">
            <v>119975</v>
          </cell>
          <cell r="P339">
            <v>104768</v>
          </cell>
          <cell r="Q339">
            <v>98953</v>
          </cell>
          <cell r="R339">
            <v>72822</v>
          </cell>
          <cell r="S339">
            <v>74608</v>
          </cell>
          <cell r="T339">
            <v>78236</v>
          </cell>
          <cell r="U339">
            <v>77487</v>
          </cell>
          <cell r="V339">
            <v>80022</v>
          </cell>
          <cell r="W339">
            <v>75622</v>
          </cell>
          <cell r="X339">
            <v>82747</v>
          </cell>
          <cell r="Y339">
            <v>47053</v>
          </cell>
          <cell r="Z339">
            <v>67140</v>
          </cell>
          <cell r="AA339">
            <v>66691</v>
          </cell>
          <cell r="AB339">
            <v>59753</v>
          </cell>
          <cell r="AC339">
            <v>67570</v>
          </cell>
          <cell r="AD339">
            <v>62722</v>
          </cell>
          <cell r="AE339">
            <v>61124</v>
          </cell>
          <cell r="AF339">
            <v>38695</v>
          </cell>
          <cell r="AG339">
            <v>53452</v>
          </cell>
          <cell r="AH339">
            <v>53668</v>
          </cell>
          <cell r="AI339">
            <v>50030</v>
          </cell>
          <cell r="AJ339">
            <v>31469</v>
          </cell>
        </row>
        <row r="340">
          <cell r="E340" t="str">
            <v>MN Industrial Coal</v>
          </cell>
          <cell r="F340">
            <v>23818</v>
          </cell>
          <cell r="G340">
            <v>15197</v>
          </cell>
          <cell r="H340">
            <v>19618</v>
          </cell>
          <cell r="I340">
            <v>24851</v>
          </cell>
          <cell r="J340">
            <v>26924</v>
          </cell>
          <cell r="K340">
            <v>26735</v>
          </cell>
          <cell r="L340">
            <v>39965</v>
          </cell>
          <cell r="M340">
            <v>28123</v>
          </cell>
          <cell r="N340">
            <v>37491</v>
          </cell>
          <cell r="O340">
            <v>36365</v>
          </cell>
          <cell r="P340">
            <v>40354</v>
          </cell>
          <cell r="Q340">
            <v>24403</v>
          </cell>
          <cell r="R340">
            <v>24382</v>
          </cell>
          <cell r="S340">
            <v>24014</v>
          </cell>
          <cell r="T340">
            <v>24927</v>
          </cell>
          <cell r="U340">
            <v>24686</v>
          </cell>
          <cell r="V340">
            <v>24065</v>
          </cell>
          <cell r="W340">
            <v>25783</v>
          </cell>
          <cell r="X340">
            <v>26131</v>
          </cell>
          <cell r="Y340">
            <v>22403</v>
          </cell>
          <cell r="Z340">
            <v>24932</v>
          </cell>
          <cell r="AA340">
            <v>24732</v>
          </cell>
          <cell r="AB340">
            <v>21378</v>
          </cell>
          <cell r="AC340">
            <v>24055</v>
          </cell>
          <cell r="AD340">
            <v>23202</v>
          </cell>
          <cell r="AE340">
            <v>17480</v>
          </cell>
          <cell r="AF340">
            <v>19594</v>
          </cell>
          <cell r="AG340">
            <v>21929</v>
          </cell>
          <cell r="AH340">
            <v>19611</v>
          </cell>
          <cell r="AI340">
            <v>18436</v>
          </cell>
          <cell r="AJ340">
            <v>13672</v>
          </cell>
        </row>
        <row r="341">
          <cell r="E341" t="str">
            <v>MO Industrial Coal</v>
          </cell>
          <cell r="F341">
            <v>30376</v>
          </cell>
          <cell r="G341">
            <v>28729</v>
          </cell>
          <cell r="H341">
            <v>26646</v>
          </cell>
          <cell r="I341">
            <v>27752</v>
          </cell>
          <cell r="J341">
            <v>24605</v>
          </cell>
          <cell r="K341">
            <v>25545</v>
          </cell>
          <cell r="L341">
            <v>25873</v>
          </cell>
          <cell r="M341">
            <v>31965</v>
          </cell>
          <cell r="N341">
            <v>27905</v>
          </cell>
          <cell r="O341">
            <v>27565</v>
          </cell>
          <cell r="P341">
            <v>21760</v>
          </cell>
          <cell r="Q341">
            <v>23319</v>
          </cell>
          <cell r="R341">
            <v>23025</v>
          </cell>
          <cell r="S341">
            <v>23084</v>
          </cell>
          <cell r="T341">
            <v>24441</v>
          </cell>
          <cell r="U341">
            <v>23992</v>
          </cell>
          <cell r="V341">
            <v>24212</v>
          </cell>
          <cell r="W341">
            <v>24392</v>
          </cell>
          <cell r="X341">
            <v>22353</v>
          </cell>
          <cell r="Y341">
            <v>17729</v>
          </cell>
          <cell r="Z341">
            <v>17413</v>
          </cell>
          <cell r="AA341">
            <v>12446</v>
          </cell>
          <cell r="AB341">
            <v>22796</v>
          </cell>
          <cell r="AC341">
            <v>24127</v>
          </cell>
          <cell r="AD341">
            <v>24255</v>
          </cell>
          <cell r="AE341">
            <v>21176</v>
          </cell>
          <cell r="AF341">
            <v>16029</v>
          </cell>
          <cell r="AG341">
            <v>20281</v>
          </cell>
          <cell r="AH341">
            <v>18821</v>
          </cell>
          <cell r="AI341">
            <v>18364</v>
          </cell>
          <cell r="AJ341">
            <v>18199</v>
          </cell>
        </row>
        <row r="342">
          <cell r="E342" t="str">
            <v>MS Industrial Coal</v>
          </cell>
          <cell r="F342">
            <v>6302</v>
          </cell>
          <cell r="G342">
            <v>5630</v>
          </cell>
          <cell r="H342">
            <v>5772</v>
          </cell>
          <cell r="I342">
            <v>6317</v>
          </cell>
          <cell r="J342">
            <v>7082</v>
          </cell>
          <cell r="K342">
            <v>6899</v>
          </cell>
          <cell r="L342">
            <v>5575</v>
          </cell>
          <cell r="M342">
            <v>5636</v>
          </cell>
          <cell r="N342">
            <v>5137</v>
          </cell>
          <cell r="O342">
            <v>4424</v>
          </cell>
          <cell r="P342">
            <v>3701</v>
          </cell>
          <cell r="Q342">
            <v>3723</v>
          </cell>
          <cell r="R342">
            <v>3632</v>
          </cell>
          <cell r="S342">
            <v>3537</v>
          </cell>
          <cell r="T342">
            <v>3744</v>
          </cell>
          <cell r="U342">
            <v>2872</v>
          </cell>
          <cell r="V342">
            <v>3616</v>
          </cell>
          <cell r="W342">
            <v>3542</v>
          </cell>
          <cell r="X342">
            <v>3141</v>
          </cell>
          <cell r="Y342">
            <v>2580</v>
          </cell>
          <cell r="Z342">
            <v>2849</v>
          </cell>
          <cell r="AA342">
            <v>2622</v>
          </cell>
          <cell r="AB342">
            <v>2608</v>
          </cell>
          <cell r="AC342">
            <v>2801</v>
          </cell>
          <cell r="AD342">
            <v>2516</v>
          </cell>
          <cell r="AE342">
            <v>2562</v>
          </cell>
          <cell r="AF342">
            <v>0</v>
          </cell>
          <cell r="AG342">
            <v>0</v>
          </cell>
          <cell r="AH342">
            <v>0</v>
          </cell>
          <cell r="AI342">
            <v>565</v>
          </cell>
          <cell r="AJ342">
            <v>2247</v>
          </cell>
        </row>
        <row r="343">
          <cell r="E343" t="str">
            <v>MT Industrial Coal</v>
          </cell>
          <cell r="F343">
            <v>4043</v>
          </cell>
          <cell r="G343">
            <v>5192</v>
          </cell>
          <cell r="H343">
            <v>4715</v>
          </cell>
          <cell r="I343">
            <v>6810</v>
          </cell>
          <cell r="J343">
            <v>10489</v>
          </cell>
          <cell r="K343">
            <v>11249</v>
          </cell>
          <cell r="L343">
            <v>2375</v>
          </cell>
          <cell r="M343">
            <v>1920</v>
          </cell>
          <cell r="N343">
            <v>2595</v>
          </cell>
          <cell r="O343">
            <v>3024</v>
          </cell>
          <cell r="P343">
            <v>2655</v>
          </cell>
          <cell r="Q343">
            <v>2614</v>
          </cell>
          <cell r="R343">
            <v>1346</v>
          </cell>
          <cell r="S343">
            <v>1365</v>
          </cell>
          <cell r="T343">
            <v>1371</v>
          </cell>
          <cell r="U343">
            <v>1315</v>
          </cell>
          <cell r="V343">
            <v>1292</v>
          </cell>
          <cell r="W343">
            <v>1630</v>
          </cell>
          <cell r="X343">
            <v>1386</v>
          </cell>
          <cell r="Y343">
            <v>886</v>
          </cell>
          <cell r="Z343">
            <v>1112</v>
          </cell>
          <cell r="AA343">
            <v>1212</v>
          </cell>
          <cell r="AB343">
            <v>4184</v>
          </cell>
          <cell r="AC343">
            <v>4481</v>
          </cell>
          <cell r="AD343">
            <v>4856</v>
          </cell>
          <cell r="AE343">
            <v>4969</v>
          </cell>
          <cell r="AF343">
            <v>4671</v>
          </cell>
          <cell r="AG343">
            <v>4538</v>
          </cell>
          <cell r="AH343">
            <v>4289</v>
          </cell>
          <cell r="AI343">
            <v>3532</v>
          </cell>
          <cell r="AJ343">
            <v>3576</v>
          </cell>
        </row>
        <row r="344">
          <cell r="E344" t="str">
            <v>NC Industrial Coal</v>
          </cell>
          <cell r="F344">
            <v>74543</v>
          </cell>
          <cell r="G344">
            <v>67840</v>
          </cell>
          <cell r="H344">
            <v>71746</v>
          </cell>
          <cell r="I344">
            <v>62257</v>
          </cell>
          <cell r="J344">
            <v>60139</v>
          </cell>
          <cell r="K344">
            <v>61568</v>
          </cell>
          <cell r="L344">
            <v>58741</v>
          </cell>
          <cell r="M344">
            <v>54080</v>
          </cell>
          <cell r="N344">
            <v>47198</v>
          </cell>
          <cell r="O344">
            <v>43888</v>
          </cell>
          <cell r="P344">
            <v>46668</v>
          </cell>
          <cell r="Q344">
            <v>45581</v>
          </cell>
          <cell r="R344">
            <v>42167</v>
          </cell>
          <cell r="S344">
            <v>42079</v>
          </cell>
          <cell r="T344">
            <v>38127</v>
          </cell>
          <cell r="U344">
            <v>36907</v>
          </cell>
          <cell r="V344">
            <v>32156</v>
          </cell>
          <cell r="W344">
            <v>30110</v>
          </cell>
          <cell r="X344">
            <v>27851</v>
          </cell>
          <cell r="Y344">
            <v>22764</v>
          </cell>
          <cell r="Z344">
            <v>23058</v>
          </cell>
          <cell r="AA344">
            <v>19783</v>
          </cell>
          <cell r="AB344">
            <v>17173</v>
          </cell>
          <cell r="AC344">
            <v>17903</v>
          </cell>
          <cell r="AD344">
            <v>15763</v>
          </cell>
          <cell r="AE344">
            <v>14337</v>
          </cell>
          <cell r="AF344">
            <v>13912</v>
          </cell>
          <cell r="AG344">
            <v>12384</v>
          </cell>
          <cell r="AH344">
            <v>10776</v>
          </cell>
          <cell r="AI344">
            <v>9750</v>
          </cell>
          <cell r="AJ344">
            <v>9354</v>
          </cell>
        </row>
        <row r="345">
          <cell r="E345" t="str">
            <v>ND Industrial Coal</v>
          </cell>
          <cell r="F345">
            <v>86330</v>
          </cell>
          <cell r="G345">
            <v>84332</v>
          </cell>
          <cell r="H345">
            <v>93130</v>
          </cell>
          <cell r="I345">
            <v>91638</v>
          </cell>
          <cell r="J345">
            <v>93828</v>
          </cell>
          <cell r="K345">
            <v>99437</v>
          </cell>
          <cell r="L345">
            <v>89983</v>
          </cell>
          <cell r="M345">
            <v>85899</v>
          </cell>
          <cell r="N345">
            <v>88914</v>
          </cell>
          <cell r="O345">
            <v>88162</v>
          </cell>
          <cell r="P345">
            <v>95604</v>
          </cell>
          <cell r="Q345">
            <v>93502</v>
          </cell>
          <cell r="R345">
            <v>92182</v>
          </cell>
          <cell r="S345">
            <v>94847</v>
          </cell>
          <cell r="T345">
            <v>84824</v>
          </cell>
          <cell r="U345">
            <v>92336</v>
          </cell>
          <cell r="V345">
            <v>95351</v>
          </cell>
          <cell r="W345">
            <v>92024</v>
          </cell>
          <cell r="X345">
            <v>91705</v>
          </cell>
          <cell r="Y345">
            <v>93867</v>
          </cell>
          <cell r="Z345">
            <v>95785</v>
          </cell>
          <cell r="AA345">
            <v>92750</v>
          </cell>
          <cell r="AB345">
            <v>94081</v>
          </cell>
          <cell r="AC345">
            <v>88116</v>
          </cell>
          <cell r="AD345">
            <v>93331</v>
          </cell>
          <cell r="AE345">
            <v>95662</v>
          </cell>
          <cell r="AF345">
            <v>94036</v>
          </cell>
          <cell r="AG345">
            <v>94577</v>
          </cell>
          <cell r="AH345">
            <v>95082</v>
          </cell>
          <cell r="AI345">
            <v>83874</v>
          </cell>
          <cell r="AJ345">
            <v>85658</v>
          </cell>
        </row>
        <row r="346">
          <cell r="E346" t="str">
            <v>NE Industrial Coal</v>
          </cell>
          <cell r="F346">
            <v>4477</v>
          </cell>
          <cell r="G346">
            <v>6129</v>
          </cell>
          <cell r="H346">
            <v>5996</v>
          </cell>
          <cell r="I346">
            <v>6832</v>
          </cell>
          <cell r="J346">
            <v>7909</v>
          </cell>
          <cell r="K346">
            <v>6563</v>
          </cell>
          <cell r="L346">
            <v>5391</v>
          </cell>
          <cell r="M346">
            <v>5670</v>
          </cell>
          <cell r="N346">
            <v>7333</v>
          </cell>
          <cell r="O346">
            <v>7722</v>
          </cell>
          <cell r="P346">
            <v>8350</v>
          </cell>
          <cell r="Q346">
            <v>10136</v>
          </cell>
          <cell r="R346">
            <v>7960</v>
          </cell>
          <cell r="S346">
            <v>7796</v>
          </cell>
          <cell r="T346">
            <v>7450</v>
          </cell>
          <cell r="U346">
            <v>7824</v>
          </cell>
          <cell r="V346">
            <v>8155</v>
          </cell>
          <cell r="W346">
            <v>8085</v>
          </cell>
          <cell r="X346">
            <v>7805</v>
          </cell>
          <cell r="Y346">
            <v>7266</v>
          </cell>
          <cell r="Z346">
            <v>12741</v>
          </cell>
          <cell r="AA346">
            <v>19045</v>
          </cell>
          <cell r="AB346">
            <v>18917</v>
          </cell>
          <cell r="AC346">
            <v>20297</v>
          </cell>
          <cell r="AD346">
            <v>21971</v>
          </cell>
          <cell r="AE346">
            <v>21175</v>
          </cell>
          <cell r="AF346">
            <v>20013</v>
          </cell>
          <cell r="AG346">
            <v>21022</v>
          </cell>
          <cell r="AH346">
            <v>20332</v>
          </cell>
          <cell r="AI346">
            <v>17520</v>
          </cell>
          <cell r="AJ346">
            <v>15160</v>
          </cell>
        </row>
        <row r="347">
          <cell r="E347" t="str">
            <v>NH Industrial Coal</v>
          </cell>
          <cell r="F347">
            <v>698</v>
          </cell>
          <cell r="G347">
            <v>1288</v>
          </cell>
          <cell r="H347">
            <v>1114</v>
          </cell>
          <cell r="I347">
            <v>1973</v>
          </cell>
          <cell r="J347">
            <v>0</v>
          </cell>
          <cell r="K347">
            <v>14</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row>
        <row r="348">
          <cell r="E348" t="str">
            <v>NJ Industrial Coal</v>
          </cell>
          <cell r="F348">
            <v>6965</v>
          </cell>
          <cell r="G348">
            <v>5912</v>
          </cell>
          <cell r="H348">
            <v>5446</v>
          </cell>
          <cell r="I348">
            <v>5608</v>
          </cell>
          <cell r="J348">
            <v>1805</v>
          </cell>
          <cell r="K348">
            <v>300</v>
          </cell>
          <cell r="L348">
            <v>172</v>
          </cell>
          <cell r="M348">
            <v>251</v>
          </cell>
          <cell r="N348">
            <v>236</v>
          </cell>
          <cell r="O348">
            <v>184</v>
          </cell>
          <cell r="P348">
            <v>200</v>
          </cell>
          <cell r="Q348">
            <v>137</v>
          </cell>
          <cell r="R348">
            <v>132</v>
          </cell>
          <cell r="S348">
            <v>181</v>
          </cell>
          <cell r="T348">
            <v>159</v>
          </cell>
          <cell r="U348">
            <v>147</v>
          </cell>
          <cell r="V348">
            <v>117</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NM Industrial Coal</v>
          </cell>
          <cell r="F349">
            <v>877</v>
          </cell>
          <cell r="G349">
            <v>883</v>
          </cell>
          <cell r="H349">
            <v>979</v>
          </cell>
          <cell r="I349">
            <v>1302</v>
          </cell>
          <cell r="J349">
            <v>1491</v>
          </cell>
          <cell r="K349">
            <v>1673</v>
          </cell>
          <cell r="L349">
            <v>1629</v>
          </cell>
          <cell r="M349">
            <v>1664</v>
          </cell>
          <cell r="N349">
            <v>1574</v>
          </cell>
          <cell r="O349">
            <v>1608</v>
          </cell>
          <cell r="P349">
            <v>1906</v>
          </cell>
          <cell r="Q349">
            <v>1778</v>
          </cell>
          <cell r="R349">
            <v>1806</v>
          </cell>
          <cell r="S349">
            <v>2003</v>
          </cell>
          <cell r="T349">
            <v>1978</v>
          </cell>
          <cell r="U349">
            <v>1926</v>
          </cell>
          <cell r="V349">
            <v>1936</v>
          </cell>
          <cell r="W349">
            <v>1882</v>
          </cell>
          <cell r="X349">
            <v>1564</v>
          </cell>
          <cell r="Y349">
            <v>1462</v>
          </cell>
          <cell r="Z349">
            <v>1092</v>
          </cell>
          <cell r="AA349">
            <v>571</v>
          </cell>
          <cell r="AB349">
            <v>1015</v>
          </cell>
          <cell r="AC349">
            <v>1240</v>
          </cell>
          <cell r="AD349">
            <v>1450</v>
          </cell>
          <cell r="AE349">
            <v>1691</v>
          </cell>
          <cell r="AF349">
            <v>1808</v>
          </cell>
          <cell r="AG349">
            <v>1777</v>
          </cell>
          <cell r="AH349">
            <v>1793</v>
          </cell>
          <cell r="AI349">
            <v>1458</v>
          </cell>
          <cell r="AJ349">
            <v>1557</v>
          </cell>
        </row>
        <row r="350">
          <cell r="E350" t="str">
            <v>NV Industrial Coal</v>
          </cell>
          <cell r="F350">
            <v>3918</v>
          </cell>
          <cell r="G350">
            <v>4560</v>
          </cell>
          <cell r="H350">
            <v>3996</v>
          </cell>
          <cell r="I350">
            <v>4547</v>
          </cell>
          <cell r="J350">
            <v>4531</v>
          </cell>
          <cell r="K350">
            <v>5769</v>
          </cell>
          <cell r="L350">
            <v>4050</v>
          </cell>
          <cell r="M350">
            <v>4257</v>
          </cell>
          <cell r="N350">
            <v>5872</v>
          </cell>
          <cell r="O350">
            <v>7023</v>
          </cell>
          <cell r="P350">
            <v>5378</v>
          </cell>
          <cell r="Q350">
            <v>4870</v>
          </cell>
          <cell r="R350">
            <v>4261</v>
          </cell>
          <cell r="S350">
            <v>5227</v>
          </cell>
          <cell r="T350">
            <v>4883</v>
          </cell>
          <cell r="U350">
            <v>4594</v>
          </cell>
          <cell r="V350">
            <v>4663</v>
          </cell>
          <cell r="W350">
            <v>4666</v>
          </cell>
          <cell r="X350">
            <v>4380</v>
          </cell>
          <cell r="Y350">
            <v>3393</v>
          </cell>
          <cell r="Z350">
            <v>4192</v>
          </cell>
          <cell r="AA350">
            <v>2500</v>
          </cell>
          <cell r="AB350">
            <v>6922</v>
          </cell>
          <cell r="AC350">
            <v>7583</v>
          </cell>
          <cell r="AD350">
            <v>7320</v>
          </cell>
          <cell r="AE350">
            <v>6820</v>
          </cell>
          <cell r="AF350">
            <v>6445</v>
          </cell>
          <cell r="AG350">
            <v>5802</v>
          </cell>
          <cell r="AH350">
            <v>6848</v>
          </cell>
          <cell r="AI350">
            <v>6678</v>
          </cell>
          <cell r="AJ350">
            <v>5899</v>
          </cell>
        </row>
        <row r="351">
          <cell r="E351" t="str">
            <v>NY Industrial Coal</v>
          </cell>
          <cell r="F351">
            <v>82605</v>
          </cell>
          <cell r="G351">
            <v>82202</v>
          </cell>
          <cell r="H351">
            <v>71263</v>
          </cell>
          <cell r="I351">
            <v>76159</v>
          </cell>
          <cell r="J351">
            <v>75059</v>
          </cell>
          <cell r="K351">
            <v>72429</v>
          </cell>
          <cell r="L351">
            <v>72455</v>
          </cell>
          <cell r="M351">
            <v>72724</v>
          </cell>
          <cell r="N351">
            <v>75147</v>
          </cell>
          <cell r="O351">
            <v>71589</v>
          </cell>
          <cell r="P351">
            <v>73490</v>
          </cell>
          <cell r="Q351">
            <v>63091</v>
          </cell>
          <cell r="R351">
            <v>45174</v>
          </cell>
          <cell r="S351">
            <v>41943</v>
          </cell>
          <cell r="T351">
            <v>38883</v>
          </cell>
          <cell r="U351">
            <v>39850</v>
          </cell>
          <cell r="V351">
            <v>37069</v>
          </cell>
          <cell r="W351">
            <v>34568</v>
          </cell>
          <cell r="X351">
            <v>31626</v>
          </cell>
          <cell r="Y351">
            <v>23574</v>
          </cell>
          <cell r="Z351">
            <v>25445</v>
          </cell>
          <cell r="AA351">
            <v>25886</v>
          </cell>
          <cell r="AB351">
            <v>24171</v>
          </cell>
          <cell r="AC351">
            <v>21555</v>
          </cell>
          <cell r="AD351">
            <v>18713</v>
          </cell>
          <cell r="AE351">
            <v>19284</v>
          </cell>
          <cell r="AF351">
            <v>14048</v>
          </cell>
          <cell r="AG351">
            <v>13283</v>
          </cell>
          <cell r="AH351">
            <v>9726</v>
          </cell>
          <cell r="AI351">
            <v>8889</v>
          </cell>
          <cell r="AJ351">
            <v>4034</v>
          </cell>
        </row>
        <row r="352">
          <cell r="E352" t="str">
            <v>OH Industrial Coal</v>
          </cell>
          <cell r="F352">
            <v>248168</v>
          </cell>
          <cell r="G352">
            <v>216767</v>
          </cell>
          <cell r="H352">
            <v>197577</v>
          </cell>
          <cell r="I352">
            <v>178164</v>
          </cell>
          <cell r="J352">
            <v>176005</v>
          </cell>
          <cell r="K352">
            <v>162883</v>
          </cell>
          <cell r="L352">
            <v>142202</v>
          </cell>
          <cell r="M352">
            <v>141196</v>
          </cell>
          <cell r="N352">
            <v>139830</v>
          </cell>
          <cell r="O352">
            <v>131092</v>
          </cell>
          <cell r="P352">
            <v>110804</v>
          </cell>
          <cell r="Q352">
            <v>114029</v>
          </cell>
          <cell r="R352">
            <v>86608</v>
          </cell>
          <cell r="S352">
            <v>94820</v>
          </cell>
          <cell r="T352">
            <v>93653</v>
          </cell>
          <cell r="U352">
            <v>100053</v>
          </cell>
          <cell r="V352">
            <v>110954</v>
          </cell>
          <cell r="W352">
            <v>110504</v>
          </cell>
          <cell r="X352">
            <v>109794</v>
          </cell>
          <cell r="Y352">
            <v>91264</v>
          </cell>
          <cell r="Z352">
            <v>118727</v>
          </cell>
          <cell r="AA352">
            <v>114721</v>
          </cell>
          <cell r="AB352">
            <v>134536</v>
          </cell>
          <cell r="AC352">
            <v>137155</v>
          </cell>
          <cell r="AD352">
            <v>136824</v>
          </cell>
          <cell r="AE352">
            <v>129222</v>
          </cell>
          <cell r="AF352">
            <v>112277</v>
          </cell>
          <cell r="AG352">
            <v>110249</v>
          </cell>
          <cell r="AH352">
            <v>114112</v>
          </cell>
          <cell r="AI352">
            <v>113484</v>
          </cell>
          <cell r="AJ352">
            <v>93209</v>
          </cell>
        </row>
        <row r="353">
          <cell r="E353" t="str">
            <v>OK Industrial Coal</v>
          </cell>
          <cell r="F353">
            <v>12695</v>
          </cell>
          <cell r="G353">
            <v>16099</v>
          </cell>
          <cell r="H353">
            <v>16611</v>
          </cell>
          <cell r="I353">
            <v>26859</v>
          </cell>
          <cell r="J353">
            <v>16113</v>
          </cell>
          <cell r="K353">
            <v>32993</v>
          </cell>
          <cell r="L353">
            <v>16405</v>
          </cell>
          <cell r="M353">
            <v>15361</v>
          </cell>
          <cell r="N353">
            <v>16272</v>
          </cell>
          <cell r="O353">
            <v>16776</v>
          </cell>
          <cell r="P353">
            <v>14201</v>
          </cell>
          <cell r="Q353">
            <v>14454</v>
          </cell>
          <cell r="R353">
            <v>14588</v>
          </cell>
          <cell r="S353">
            <v>14335</v>
          </cell>
          <cell r="T353">
            <v>15127</v>
          </cell>
          <cell r="U353">
            <v>15383</v>
          </cell>
          <cell r="V353">
            <v>15018</v>
          </cell>
          <cell r="W353">
            <v>15422</v>
          </cell>
          <cell r="X353">
            <v>14595</v>
          </cell>
          <cell r="Y353">
            <v>12058</v>
          </cell>
          <cell r="Z353">
            <v>12406</v>
          </cell>
          <cell r="AA353">
            <v>11805</v>
          </cell>
          <cell r="AB353">
            <v>11536</v>
          </cell>
          <cell r="AC353">
            <v>12188</v>
          </cell>
          <cell r="AD353">
            <v>13311</v>
          </cell>
          <cell r="AE353">
            <v>11527</v>
          </cell>
          <cell r="AF353">
            <v>11220</v>
          </cell>
          <cell r="AG353">
            <v>8843</v>
          </cell>
          <cell r="AH353">
            <v>7016</v>
          </cell>
          <cell r="AI353">
            <v>4926</v>
          </cell>
          <cell r="AJ353">
            <v>3716</v>
          </cell>
        </row>
        <row r="354">
          <cell r="E354" t="str">
            <v>OR Industrial Coal</v>
          </cell>
          <cell r="F354">
            <v>1423</v>
          </cell>
          <cell r="G354">
            <v>1872</v>
          </cell>
          <cell r="H354">
            <v>2308</v>
          </cell>
          <cell r="I354">
            <v>2223</v>
          </cell>
          <cell r="J354">
            <v>2856</v>
          </cell>
          <cell r="K354">
            <v>2797</v>
          </cell>
          <cell r="L354">
            <v>1926</v>
          </cell>
          <cell r="M354">
            <v>1949</v>
          </cell>
          <cell r="N354">
            <v>752</v>
          </cell>
          <cell r="O354">
            <v>0</v>
          </cell>
          <cell r="P354">
            <v>0</v>
          </cell>
          <cell r="Q354">
            <v>0</v>
          </cell>
          <cell r="R354">
            <v>1122</v>
          </cell>
          <cell r="S354">
            <v>1503</v>
          </cell>
          <cell r="T354">
            <v>1408</v>
          </cell>
          <cell r="U354">
            <v>209</v>
          </cell>
          <cell r="V354">
            <v>2667</v>
          </cell>
          <cell r="W354">
            <v>2329</v>
          </cell>
          <cell r="X354">
            <v>1688</v>
          </cell>
          <cell r="Y354">
            <v>1933</v>
          </cell>
          <cell r="Z354">
            <v>1860</v>
          </cell>
          <cell r="AA354">
            <v>1839</v>
          </cell>
          <cell r="AB354">
            <v>1744</v>
          </cell>
          <cell r="AC354">
            <v>1982</v>
          </cell>
          <cell r="AD354">
            <v>2534</v>
          </cell>
          <cell r="AE354">
            <v>2364</v>
          </cell>
          <cell r="AF354">
            <v>0</v>
          </cell>
          <cell r="AG354">
            <v>953</v>
          </cell>
          <cell r="AH354">
            <v>1417</v>
          </cell>
          <cell r="AI354">
            <v>1186</v>
          </cell>
          <cell r="AJ354">
            <v>835</v>
          </cell>
        </row>
        <row r="355">
          <cell r="E355" t="str">
            <v>PA Industrial Coal</v>
          </cell>
          <cell r="F355">
            <v>382150</v>
          </cell>
          <cell r="G355">
            <v>337637</v>
          </cell>
          <cell r="H355">
            <v>369153</v>
          </cell>
          <cell r="I355">
            <v>385016</v>
          </cell>
          <cell r="J355">
            <v>392353</v>
          </cell>
          <cell r="K355">
            <v>392218</v>
          </cell>
          <cell r="L355">
            <v>398394</v>
          </cell>
          <cell r="M355">
            <v>389967</v>
          </cell>
          <cell r="N355">
            <v>284170</v>
          </cell>
          <cell r="O355">
            <v>269634</v>
          </cell>
          <cell r="P355">
            <v>277873</v>
          </cell>
          <cell r="Q355">
            <v>265987</v>
          </cell>
          <cell r="R355">
            <v>267693</v>
          </cell>
          <cell r="S355">
            <v>273988</v>
          </cell>
          <cell r="T355">
            <v>273350</v>
          </cell>
          <cell r="U355">
            <v>250265</v>
          </cell>
          <cell r="V355">
            <v>240538</v>
          </cell>
          <cell r="W355">
            <v>232284</v>
          </cell>
          <cell r="X355">
            <v>227296</v>
          </cell>
          <cell r="Y355">
            <v>147854</v>
          </cell>
          <cell r="Z355">
            <v>186183</v>
          </cell>
          <cell r="AA355">
            <v>180267</v>
          </cell>
          <cell r="AB355">
            <v>185646</v>
          </cell>
          <cell r="AC355">
            <v>217202</v>
          </cell>
          <cell r="AD355">
            <v>221812</v>
          </cell>
          <cell r="AE355">
            <v>207622</v>
          </cell>
          <cell r="AF355">
            <v>159737</v>
          </cell>
          <cell r="AG355">
            <v>167111</v>
          </cell>
          <cell r="AH355">
            <v>175734</v>
          </cell>
          <cell r="AI355">
            <v>170369</v>
          </cell>
          <cell r="AJ355">
            <v>117983</v>
          </cell>
        </row>
        <row r="356">
          <cell r="E356" t="str">
            <v>RI Industrial Coal</v>
          </cell>
          <cell r="F356">
            <v>3</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row>
        <row r="357">
          <cell r="E357" t="str">
            <v>SC Industrial Coal</v>
          </cell>
          <cell r="F357">
            <v>58028</v>
          </cell>
          <cell r="G357">
            <v>55788</v>
          </cell>
          <cell r="H357">
            <v>54843</v>
          </cell>
          <cell r="I357">
            <v>60292</v>
          </cell>
          <cell r="J357">
            <v>58535</v>
          </cell>
          <cell r="K357">
            <v>55125</v>
          </cell>
          <cell r="L357">
            <v>50133</v>
          </cell>
          <cell r="M357">
            <v>50475</v>
          </cell>
          <cell r="N357">
            <v>49104</v>
          </cell>
          <cell r="O357">
            <v>46580</v>
          </cell>
          <cell r="P357">
            <v>50239</v>
          </cell>
          <cell r="Q357">
            <v>53150</v>
          </cell>
          <cell r="R357">
            <v>50633</v>
          </cell>
          <cell r="S357">
            <v>51944</v>
          </cell>
          <cell r="T357">
            <v>46628</v>
          </cell>
          <cell r="U357">
            <v>38831</v>
          </cell>
          <cell r="V357">
            <v>37050</v>
          </cell>
          <cell r="W357">
            <v>32907</v>
          </cell>
          <cell r="X357">
            <v>29725</v>
          </cell>
          <cell r="Y357">
            <v>23176</v>
          </cell>
          <cell r="Z357">
            <v>23865</v>
          </cell>
          <cell r="AA357">
            <v>23214</v>
          </cell>
          <cell r="AB357">
            <v>12885</v>
          </cell>
          <cell r="AC357">
            <v>13265</v>
          </cell>
          <cell r="AD357">
            <v>14375</v>
          </cell>
          <cell r="AE357">
            <v>11321</v>
          </cell>
          <cell r="AF357">
            <v>8445</v>
          </cell>
          <cell r="AG357">
            <v>6736</v>
          </cell>
          <cell r="AH357">
            <v>5323</v>
          </cell>
          <cell r="AI357">
            <v>4273</v>
          </cell>
          <cell r="AJ357">
            <v>3529</v>
          </cell>
        </row>
        <row r="358">
          <cell r="E358" t="str">
            <v>SD Industrial Coal</v>
          </cell>
          <cell r="F358">
            <v>3866</v>
          </cell>
          <cell r="G358">
            <v>5048</v>
          </cell>
          <cell r="H358">
            <v>4623</v>
          </cell>
          <cell r="I358">
            <v>5793</v>
          </cell>
          <cell r="J358">
            <v>7788</v>
          </cell>
          <cell r="K358">
            <v>6782</v>
          </cell>
          <cell r="L358">
            <v>6879</v>
          </cell>
          <cell r="M358">
            <v>7588</v>
          </cell>
          <cell r="N358">
            <v>7890</v>
          </cell>
          <cell r="O358">
            <v>8570</v>
          </cell>
          <cell r="P358">
            <v>12571</v>
          </cell>
          <cell r="Q358">
            <v>6379</v>
          </cell>
          <cell r="R358">
            <v>5161</v>
          </cell>
          <cell r="S358">
            <v>6173</v>
          </cell>
          <cell r="T358">
            <v>4071</v>
          </cell>
          <cell r="U358">
            <v>4604</v>
          </cell>
          <cell r="V358">
            <v>4584</v>
          </cell>
          <cell r="W358">
            <v>4605</v>
          </cell>
          <cell r="X358">
            <v>3255</v>
          </cell>
          <cell r="Y358">
            <v>2068</v>
          </cell>
          <cell r="Z358">
            <v>2669</v>
          </cell>
          <cell r="AA358">
            <v>3111</v>
          </cell>
          <cell r="AB358">
            <v>3353</v>
          </cell>
          <cell r="AC358">
            <v>3410</v>
          </cell>
          <cell r="AD358">
            <v>3534</v>
          </cell>
          <cell r="AE358">
            <v>3348</v>
          </cell>
          <cell r="AF358">
            <v>3468</v>
          </cell>
          <cell r="AG358">
            <v>3745</v>
          </cell>
          <cell r="AH358">
            <v>3019</v>
          </cell>
          <cell r="AI358">
            <v>3670</v>
          </cell>
          <cell r="AJ358">
            <v>3251</v>
          </cell>
        </row>
        <row r="359">
          <cell r="E359" t="str">
            <v>TN Industrial Coal</v>
          </cell>
          <cell r="F359">
            <v>96767</v>
          </cell>
          <cell r="G359">
            <v>93480</v>
          </cell>
          <cell r="H359">
            <v>93079</v>
          </cell>
          <cell r="I359">
            <v>99169</v>
          </cell>
          <cell r="J359">
            <v>102658</v>
          </cell>
          <cell r="K359">
            <v>94949</v>
          </cell>
          <cell r="L359">
            <v>91820</v>
          </cell>
          <cell r="M359">
            <v>90329</v>
          </cell>
          <cell r="N359">
            <v>86088</v>
          </cell>
          <cell r="O359">
            <v>82544</v>
          </cell>
          <cell r="P359">
            <v>87368</v>
          </cell>
          <cell r="Q359">
            <v>92031</v>
          </cell>
          <cell r="R359">
            <v>86973</v>
          </cell>
          <cell r="S359">
            <v>87220</v>
          </cell>
          <cell r="T359">
            <v>84029</v>
          </cell>
          <cell r="U359">
            <v>81597</v>
          </cell>
          <cell r="V359">
            <v>78238</v>
          </cell>
          <cell r="W359">
            <v>77625</v>
          </cell>
          <cell r="X359">
            <v>76609</v>
          </cell>
          <cell r="Y359">
            <v>66041</v>
          </cell>
          <cell r="Z359">
            <v>69470</v>
          </cell>
          <cell r="AA359">
            <v>66911</v>
          </cell>
          <cell r="AB359">
            <v>63912</v>
          </cell>
          <cell r="AC359">
            <v>64551</v>
          </cell>
          <cell r="AD359">
            <v>60478</v>
          </cell>
          <cell r="AE359">
            <v>55919</v>
          </cell>
          <cell r="AF359">
            <v>50523</v>
          </cell>
          <cell r="AG359">
            <v>39324</v>
          </cell>
          <cell r="AH359">
            <v>36801</v>
          </cell>
          <cell r="AI359">
            <v>32330</v>
          </cell>
          <cell r="AJ359">
            <v>29129</v>
          </cell>
        </row>
        <row r="360">
          <cell r="E360" t="str">
            <v>TX Industrial Coal</v>
          </cell>
          <cell r="F360">
            <v>61481</v>
          </cell>
          <cell r="G360">
            <v>63187</v>
          </cell>
          <cell r="H360">
            <v>60465</v>
          </cell>
          <cell r="I360">
            <v>70882</v>
          </cell>
          <cell r="J360">
            <v>82842</v>
          </cell>
          <cell r="K360">
            <v>63674</v>
          </cell>
          <cell r="L360">
            <v>73751</v>
          </cell>
          <cell r="M360">
            <v>74119</v>
          </cell>
          <cell r="N360">
            <v>62929</v>
          </cell>
          <cell r="O360">
            <v>62567</v>
          </cell>
          <cell r="P360">
            <v>73098</v>
          </cell>
          <cell r="Q360">
            <v>75464</v>
          </cell>
          <cell r="R360">
            <v>71627</v>
          </cell>
          <cell r="S360">
            <v>72494</v>
          </cell>
          <cell r="T360">
            <v>70937</v>
          </cell>
          <cell r="U360">
            <v>70078</v>
          </cell>
          <cell r="V360">
            <v>70919</v>
          </cell>
          <cell r="W360">
            <v>40433</v>
          </cell>
          <cell r="X360">
            <v>38976</v>
          </cell>
          <cell r="Y360">
            <v>17063</v>
          </cell>
          <cell r="Z360">
            <v>13828</v>
          </cell>
          <cell r="AA360">
            <v>19450</v>
          </cell>
          <cell r="AB360">
            <v>19846</v>
          </cell>
          <cell r="AC360">
            <v>21613</v>
          </cell>
          <cell r="AD360">
            <v>27480</v>
          </cell>
          <cell r="AE360">
            <v>20417</v>
          </cell>
          <cell r="AF360">
            <v>13804</v>
          </cell>
          <cell r="AG360">
            <v>12513</v>
          </cell>
          <cell r="AH360">
            <v>10752</v>
          </cell>
          <cell r="AI360">
            <v>9896</v>
          </cell>
          <cell r="AJ360">
            <v>6128</v>
          </cell>
        </row>
        <row r="361">
          <cell r="E361" t="str">
            <v>US Industrial Coal</v>
          </cell>
          <cell r="F361">
            <v>2753900</v>
          </cell>
          <cell r="G361">
            <v>2600434</v>
          </cell>
          <cell r="H361">
            <v>2511793</v>
          </cell>
          <cell r="I361">
            <v>2499623</v>
          </cell>
          <cell r="J361">
            <v>2506697</v>
          </cell>
          <cell r="K361">
            <v>2500067</v>
          </cell>
          <cell r="L361">
            <v>2438143</v>
          </cell>
          <cell r="M361">
            <v>2396101</v>
          </cell>
          <cell r="N361">
            <v>2254489</v>
          </cell>
          <cell r="O361">
            <v>2187568</v>
          </cell>
          <cell r="P361">
            <v>2259324</v>
          </cell>
          <cell r="Q361">
            <v>2193574</v>
          </cell>
          <cell r="R361">
            <v>2020119</v>
          </cell>
          <cell r="S361">
            <v>2044047</v>
          </cell>
          <cell r="T361">
            <v>2046302</v>
          </cell>
          <cell r="U361">
            <v>1953954</v>
          </cell>
          <cell r="V361">
            <v>1913516</v>
          </cell>
          <cell r="W361">
            <v>1864461</v>
          </cell>
          <cell r="X361">
            <v>1791789</v>
          </cell>
          <cell r="Y361">
            <v>1394326</v>
          </cell>
          <cell r="Z361">
            <v>1625426</v>
          </cell>
          <cell r="AA361">
            <v>1566710</v>
          </cell>
          <cell r="AB361">
            <v>1516013</v>
          </cell>
          <cell r="AC361">
            <v>1546861</v>
          </cell>
          <cell r="AD361">
            <v>1528884</v>
          </cell>
          <cell r="AE361">
            <v>1379678</v>
          </cell>
          <cell r="AF361">
            <v>1206462</v>
          </cell>
          <cell r="AG361">
            <v>1196605</v>
          </cell>
          <cell r="AH361">
            <v>1178166</v>
          </cell>
          <cell r="AI361">
            <v>1116741</v>
          </cell>
          <cell r="AJ361">
            <v>939074</v>
          </cell>
        </row>
        <row r="362">
          <cell r="E362" t="str">
            <v>UT Industrial Coal</v>
          </cell>
          <cell r="F362">
            <v>48673</v>
          </cell>
          <cell r="G362">
            <v>43686</v>
          </cell>
          <cell r="H362">
            <v>41976</v>
          </cell>
          <cell r="I362">
            <v>44015</v>
          </cell>
          <cell r="J362">
            <v>46124</v>
          </cell>
          <cell r="K362">
            <v>47575</v>
          </cell>
          <cell r="L362">
            <v>39969</v>
          </cell>
          <cell r="M362">
            <v>43997</v>
          </cell>
          <cell r="N362">
            <v>56702</v>
          </cell>
          <cell r="O362">
            <v>37497</v>
          </cell>
          <cell r="P362">
            <v>54064</v>
          </cell>
          <cell r="Q362">
            <v>43980</v>
          </cell>
          <cell r="R362">
            <v>13620</v>
          </cell>
          <cell r="S362">
            <v>14150</v>
          </cell>
          <cell r="T362">
            <v>27976</v>
          </cell>
          <cell r="U362">
            <v>33001</v>
          </cell>
          <cell r="V362">
            <v>15739</v>
          </cell>
          <cell r="W362">
            <v>20770</v>
          </cell>
          <cell r="X362">
            <v>19823</v>
          </cell>
          <cell r="Y362">
            <v>16103</v>
          </cell>
          <cell r="Z362">
            <v>16531</v>
          </cell>
          <cell r="AA362">
            <v>13779</v>
          </cell>
          <cell r="AB362">
            <v>13531</v>
          </cell>
          <cell r="AC362">
            <v>14718</v>
          </cell>
          <cell r="AD362">
            <v>13908</v>
          </cell>
          <cell r="AE362">
            <v>15117</v>
          </cell>
          <cell r="AF362">
            <v>13139</v>
          </cell>
          <cell r="AG362">
            <v>11106</v>
          </cell>
          <cell r="AH362">
            <v>8705</v>
          </cell>
          <cell r="AI362">
            <v>8696</v>
          </cell>
          <cell r="AJ362">
            <v>7101</v>
          </cell>
        </row>
        <row r="363">
          <cell r="E363" t="str">
            <v>VA Industrial Coal</v>
          </cell>
          <cell r="F363">
            <v>117890</v>
          </cell>
          <cell r="G363">
            <v>134297</v>
          </cell>
          <cell r="H363">
            <v>116558</v>
          </cell>
          <cell r="I363">
            <v>97667</v>
          </cell>
          <cell r="J363">
            <v>97055</v>
          </cell>
          <cell r="K363">
            <v>90722</v>
          </cell>
          <cell r="L363">
            <v>91870</v>
          </cell>
          <cell r="M363">
            <v>88798</v>
          </cell>
          <cell r="N363">
            <v>86768</v>
          </cell>
          <cell r="O363">
            <v>83397</v>
          </cell>
          <cell r="P363">
            <v>91484</v>
          </cell>
          <cell r="Q363">
            <v>92938</v>
          </cell>
          <cell r="R363">
            <v>88933</v>
          </cell>
          <cell r="S363">
            <v>90871</v>
          </cell>
          <cell r="T363">
            <v>86087</v>
          </cell>
          <cell r="U363">
            <v>86884</v>
          </cell>
          <cell r="V363">
            <v>80576</v>
          </cell>
          <cell r="W363">
            <v>82479</v>
          </cell>
          <cell r="X363">
            <v>81813</v>
          </cell>
          <cell r="Y363">
            <v>64311</v>
          </cell>
          <cell r="Z363">
            <v>72718</v>
          </cell>
          <cell r="AA363">
            <v>70326</v>
          </cell>
          <cell r="AB363">
            <v>67624</v>
          </cell>
          <cell r="AC363">
            <v>64625</v>
          </cell>
          <cell r="AD363">
            <v>58441</v>
          </cell>
          <cell r="AE363">
            <v>47533</v>
          </cell>
          <cell r="AF363">
            <v>45655</v>
          </cell>
          <cell r="AG363">
            <v>43029</v>
          </cell>
          <cell r="AH363">
            <v>43018</v>
          </cell>
          <cell r="AI363">
            <v>42053</v>
          </cell>
          <cell r="AJ363">
            <v>35292</v>
          </cell>
        </row>
        <row r="364">
          <cell r="E364" t="str">
            <v>VT Industrial Coal</v>
          </cell>
          <cell r="F364">
            <v>25</v>
          </cell>
          <cell r="G364">
            <v>180</v>
          </cell>
          <cell r="H364">
            <v>360</v>
          </cell>
          <cell r="I364">
            <v>0</v>
          </cell>
          <cell r="J364">
            <v>0</v>
          </cell>
          <cell r="K364">
            <v>0</v>
          </cell>
          <cell r="L364">
            <v>0</v>
          </cell>
          <cell r="M364">
            <v>2633</v>
          </cell>
          <cell r="N364">
            <v>0</v>
          </cell>
          <cell r="O364">
            <v>1960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row>
        <row r="365">
          <cell r="E365" t="str">
            <v>WA Industrial Coal</v>
          </cell>
          <cell r="F365">
            <v>5201</v>
          </cell>
          <cell r="G365">
            <v>4276</v>
          </cell>
          <cell r="H365">
            <v>3370</v>
          </cell>
          <cell r="I365">
            <v>3509</v>
          </cell>
          <cell r="J365">
            <v>3875</v>
          </cell>
          <cell r="K365">
            <v>4231</v>
          </cell>
          <cell r="L365">
            <v>2980</v>
          </cell>
          <cell r="M365">
            <v>3223</v>
          </cell>
          <cell r="N365">
            <v>2690</v>
          </cell>
          <cell r="O365">
            <v>2183</v>
          </cell>
          <cell r="P365">
            <v>2815</v>
          </cell>
          <cell r="Q365">
            <v>2891</v>
          </cell>
          <cell r="R365">
            <v>2284</v>
          </cell>
          <cell r="S365">
            <v>2091</v>
          </cell>
          <cell r="T365">
            <v>1847</v>
          </cell>
          <cell r="U365">
            <v>1482</v>
          </cell>
          <cell r="V365">
            <v>2006</v>
          </cell>
          <cell r="W365">
            <v>3192</v>
          </cell>
          <cell r="X365">
            <v>2950</v>
          </cell>
          <cell r="Y365">
            <v>3513</v>
          </cell>
          <cell r="Z365">
            <v>2729</v>
          </cell>
          <cell r="AA365">
            <v>1832</v>
          </cell>
          <cell r="AB365">
            <v>2097</v>
          </cell>
          <cell r="AC365">
            <v>2011</v>
          </cell>
          <cell r="AD365">
            <v>2707</v>
          </cell>
          <cell r="AE365">
            <v>1920</v>
          </cell>
          <cell r="AF365">
            <v>1881</v>
          </cell>
          <cell r="AG365">
            <v>1418</v>
          </cell>
          <cell r="AH365">
            <v>1381</v>
          </cell>
          <cell r="AI365">
            <v>1482</v>
          </cell>
          <cell r="AJ365">
            <v>1548</v>
          </cell>
        </row>
        <row r="366">
          <cell r="E366" t="str">
            <v>WI Industrial Coal</v>
          </cell>
          <cell r="F366">
            <v>47324</v>
          </cell>
          <cell r="G366">
            <v>45641</v>
          </cell>
          <cell r="H366">
            <v>44539</v>
          </cell>
          <cell r="I366">
            <v>43400</v>
          </cell>
          <cell r="J366">
            <v>47930</v>
          </cell>
          <cell r="K366">
            <v>47204</v>
          </cell>
          <cell r="L366">
            <v>40098</v>
          </cell>
          <cell r="M366">
            <v>42401</v>
          </cell>
          <cell r="N366">
            <v>40956</v>
          </cell>
          <cell r="O366">
            <v>40092</v>
          </cell>
          <cell r="P366">
            <v>40122</v>
          </cell>
          <cell r="Q366">
            <v>38863</v>
          </cell>
          <cell r="R366">
            <v>40238</v>
          </cell>
          <cell r="S366">
            <v>39953</v>
          </cell>
          <cell r="T366">
            <v>40898</v>
          </cell>
          <cell r="U366">
            <v>39143</v>
          </cell>
          <cell r="V366">
            <v>39928</v>
          </cell>
          <cell r="W366">
            <v>40130</v>
          </cell>
          <cell r="X366">
            <v>38344</v>
          </cell>
          <cell r="Y366">
            <v>34175</v>
          </cell>
          <cell r="Z366">
            <v>35082</v>
          </cell>
          <cell r="AA366">
            <v>34175</v>
          </cell>
          <cell r="AB366">
            <v>31241</v>
          </cell>
          <cell r="AC366">
            <v>31437</v>
          </cell>
          <cell r="AD366">
            <v>32294</v>
          </cell>
          <cell r="AE366">
            <v>27057</v>
          </cell>
          <cell r="AF366">
            <v>18787</v>
          </cell>
          <cell r="AG366">
            <v>19746</v>
          </cell>
          <cell r="AH366">
            <v>19586</v>
          </cell>
          <cell r="AI366">
            <v>17296</v>
          </cell>
          <cell r="AJ366">
            <v>12571</v>
          </cell>
        </row>
        <row r="367">
          <cell r="E367" t="str">
            <v>WV Industrial Coal</v>
          </cell>
          <cell r="F367">
            <v>124265</v>
          </cell>
          <cell r="G367">
            <v>108106</v>
          </cell>
          <cell r="H367">
            <v>99835</v>
          </cell>
          <cell r="I367">
            <v>107046</v>
          </cell>
          <cell r="J367">
            <v>112123</v>
          </cell>
          <cell r="K367">
            <v>97353</v>
          </cell>
          <cell r="L367">
            <v>84217</v>
          </cell>
          <cell r="M367">
            <v>65738</v>
          </cell>
          <cell r="N367">
            <v>95168</v>
          </cell>
          <cell r="O367">
            <v>82328</v>
          </cell>
          <cell r="P367">
            <v>81051</v>
          </cell>
          <cell r="Q367">
            <v>75937</v>
          </cell>
          <cell r="R367">
            <v>76986</v>
          </cell>
          <cell r="S367">
            <v>71228</v>
          </cell>
          <cell r="T367">
            <v>70702</v>
          </cell>
          <cell r="U367">
            <v>59649</v>
          </cell>
          <cell r="V367">
            <v>55944</v>
          </cell>
          <cell r="W367">
            <v>65831</v>
          </cell>
          <cell r="X367">
            <v>63764</v>
          </cell>
          <cell r="Y367">
            <v>47411</v>
          </cell>
          <cell r="Z367">
            <v>63832</v>
          </cell>
          <cell r="AA367">
            <v>63309</v>
          </cell>
          <cell r="AB367">
            <v>50727</v>
          </cell>
          <cell r="AC367">
            <v>46640</v>
          </cell>
          <cell r="AD367">
            <v>44761</v>
          </cell>
          <cell r="AE367">
            <v>41046</v>
          </cell>
          <cell r="AF367">
            <v>30631</v>
          </cell>
          <cell r="AG367">
            <v>26289</v>
          </cell>
          <cell r="AH367">
            <v>28341</v>
          </cell>
          <cell r="AI367">
            <v>28186</v>
          </cell>
          <cell r="AJ367">
            <v>26772</v>
          </cell>
        </row>
        <row r="368">
          <cell r="E368" t="str">
            <v>WY Industrial Coal</v>
          </cell>
          <cell r="F368">
            <v>41188</v>
          </cell>
          <cell r="G368">
            <v>41804</v>
          </cell>
          <cell r="H368">
            <v>44888</v>
          </cell>
          <cell r="I368">
            <v>39862</v>
          </cell>
          <cell r="J368">
            <v>40609</v>
          </cell>
          <cell r="K368">
            <v>42497</v>
          </cell>
          <cell r="L368">
            <v>40175</v>
          </cell>
          <cell r="M368">
            <v>42275</v>
          </cell>
          <cell r="N368">
            <v>42528</v>
          </cell>
          <cell r="O368">
            <v>42404</v>
          </cell>
          <cell r="P368">
            <v>38473</v>
          </cell>
          <cell r="Q368">
            <v>33180</v>
          </cell>
          <cell r="R368">
            <v>30930</v>
          </cell>
          <cell r="S368">
            <v>32043</v>
          </cell>
          <cell r="T368">
            <v>32390</v>
          </cell>
          <cell r="U368">
            <v>31552</v>
          </cell>
          <cell r="V368">
            <v>33407</v>
          </cell>
          <cell r="W368">
            <v>34489</v>
          </cell>
          <cell r="X368">
            <v>34605</v>
          </cell>
          <cell r="Y368">
            <v>30465</v>
          </cell>
          <cell r="Z368">
            <v>31058</v>
          </cell>
          <cell r="AA368">
            <v>32555</v>
          </cell>
          <cell r="AB368">
            <v>31064</v>
          </cell>
          <cell r="AC368">
            <v>31406</v>
          </cell>
          <cell r="AD368">
            <v>31935</v>
          </cell>
          <cell r="AE368">
            <v>29342</v>
          </cell>
          <cell r="AF368">
            <v>32079</v>
          </cell>
          <cell r="AG368">
            <v>31505</v>
          </cell>
          <cell r="AH368">
            <v>31327</v>
          </cell>
          <cell r="AI368">
            <v>30824</v>
          </cell>
          <cell r="AJ368">
            <v>23931</v>
          </cell>
        </row>
        <row r="369">
          <cell r="E369" t="str">
            <v>AK Industrial Coking Coal</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0">
          <cell r="E370" t="str">
            <v>AL Industrial Coking Coal</v>
          </cell>
          <cell r="F370">
            <v>0</v>
          </cell>
          <cell r="G370">
            <v>0</v>
          </cell>
          <cell r="H370">
            <v>0</v>
          </cell>
          <cell r="I370">
            <v>101.33187120201417</v>
          </cell>
          <cell r="J370">
            <v>913.7736161354743</v>
          </cell>
          <cell r="K370">
            <v>3725.941057101255</v>
          </cell>
          <cell r="L370">
            <v>2465.728754643168</v>
          </cell>
          <cell r="M370">
            <v>0</v>
          </cell>
          <cell r="N370">
            <v>930.36191663499631</v>
          </cell>
          <cell r="O370">
            <v>3291.4465232317925</v>
          </cell>
          <cell r="P370">
            <v>4018.1632383370197</v>
          </cell>
          <cell r="Q370">
            <v>1501.232379709993</v>
          </cell>
          <cell r="R370">
            <v>2367.7425560675138</v>
          </cell>
          <cell r="S370">
            <v>3526.9114975540047</v>
          </cell>
          <cell r="T370">
            <v>12153.779264444207</v>
          </cell>
          <cell r="U370">
            <v>5799.2691450402635</v>
          </cell>
          <cell r="V370">
            <v>4266.1610435770335</v>
          </cell>
          <cell r="W370">
            <v>151.0187753017743</v>
          </cell>
          <cell r="X370">
            <v>1872.5957974626822</v>
          </cell>
          <cell r="Y370">
            <v>405.30498526339329</v>
          </cell>
          <cell r="Z370">
            <v>4017.6984083793186</v>
          </cell>
          <cell r="AA370">
            <v>3538.6083550981457</v>
          </cell>
          <cell r="AB370">
            <v>8748.413439300668</v>
          </cell>
          <cell r="AC370">
            <v>7495.7748491172388</v>
          </cell>
          <cell r="AD370">
            <v>3615.6829943817565</v>
          </cell>
          <cell r="AE370">
            <v>7539.3212848229468</v>
          </cell>
          <cell r="AF370">
            <v>6892.6432941113926</v>
          </cell>
          <cell r="AG370">
            <v>8437.184746736848</v>
          </cell>
          <cell r="AH370">
            <v>8487.9500533712599</v>
          </cell>
          <cell r="AI370">
            <v>6237.3116575977128</v>
          </cell>
          <cell r="AJ370">
            <v>4216.3530656276853</v>
          </cell>
        </row>
        <row r="371">
          <cell r="E371" t="str">
            <v>AR Industrial Coking Coal</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row>
        <row r="372">
          <cell r="E372" t="str">
            <v>AZ Industrial Coking Coal</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row>
        <row r="373">
          <cell r="E373" t="str">
            <v>CA Industrial Coking Coal</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row>
        <row r="374">
          <cell r="E374" t="str">
            <v>CO Industrial Coking Coal</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row>
        <row r="375">
          <cell r="E375" t="str">
            <v>CT Industrial Coking Coal</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row>
        <row r="376">
          <cell r="E376" t="str">
            <v>DC Industrial Coking Coal</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7">
          <cell r="E377" t="str">
            <v>DE Industrial Coking Coal</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row>
        <row r="378">
          <cell r="E378" t="str">
            <v>FL Industrial Coking Coal</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row>
        <row r="379">
          <cell r="E379" t="str">
            <v>GA Industrial Coking Coal</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row>
        <row r="380">
          <cell r="E380" t="str">
            <v>HI Industrial Coking Coal</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row>
        <row r="381">
          <cell r="E381" t="str">
            <v>IA Industrial Coking Coal</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E382" t="str">
            <v>ID Industrial Coking Coal</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E383" t="str">
            <v>IL Industrial Coking Coal</v>
          </cell>
          <cell r="F383">
            <v>0</v>
          </cell>
          <cell r="G383">
            <v>0</v>
          </cell>
          <cell r="H383">
            <v>0</v>
          </cell>
          <cell r="I383">
            <v>68.279126836032106</v>
          </cell>
          <cell r="J383">
            <v>571.72307727461657</v>
          </cell>
          <cell r="K383">
            <v>2613.3235797911243</v>
          </cell>
          <cell r="L383">
            <v>1833.215972676853</v>
          </cell>
          <cell r="M383">
            <v>0</v>
          </cell>
          <cell r="N383">
            <v>899.63636114243138</v>
          </cell>
          <cell r="O383">
            <v>3363.5026411449398</v>
          </cell>
          <cell r="P383">
            <v>3881.8228215498211</v>
          </cell>
          <cell r="Q383">
            <v>1169.6605944238888</v>
          </cell>
          <cell r="R383">
            <v>1504.4979064288384</v>
          </cell>
          <cell r="S383">
            <v>1842.8112574719673</v>
          </cell>
          <cell r="T383">
            <v>4748.1636102326956</v>
          </cell>
          <cell r="U383">
            <v>2204.7855463012052</v>
          </cell>
          <cell r="V383">
            <v>1780.190752654353</v>
          </cell>
          <cell r="W383">
            <v>78.007874299768176</v>
          </cell>
          <cell r="X383">
            <v>911.83907371280009</v>
          </cell>
          <cell r="Y383">
            <v>211.3059597253374</v>
          </cell>
          <cell r="Z383">
            <v>3051.9796191986925</v>
          </cell>
          <cell r="AA383">
            <v>4267.2691757559951</v>
          </cell>
          <cell r="AB383">
            <v>10246.835629044292</v>
          </cell>
          <cell r="AC383">
            <v>8812.8945746420432</v>
          </cell>
          <cell r="AD383">
            <v>3512.9171096032123</v>
          </cell>
          <cell r="AE383">
            <v>6538.6631643479332</v>
          </cell>
          <cell r="AF383">
            <v>5340.5441009800879</v>
          </cell>
          <cell r="AG383">
            <v>6382.3274468523969</v>
          </cell>
          <cell r="AH383">
            <v>6504.9376109931418</v>
          </cell>
          <cell r="AI383">
            <v>6328.1067112291394</v>
          </cell>
          <cell r="AJ383">
            <v>5107.0916720077494</v>
          </cell>
        </row>
        <row r="384">
          <cell r="E384" t="str">
            <v>IN Industrial Coking Coal</v>
          </cell>
          <cell r="F384">
            <v>0</v>
          </cell>
          <cell r="G384">
            <v>0</v>
          </cell>
          <cell r="H384">
            <v>0</v>
          </cell>
          <cell r="I384">
            <v>208.33194898468523</v>
          </cell>
          <cell r="J384">
            <v>1360.0673300379324</v>
          </cell>
          <cell r="K384">
            <v>6729.3594395140808</v>
          </cell>
          <cell r="L384">
            <v>4422.092319400731</v>
          </cell>
          <cell r="M384">
            <v>0</v>
          </cell>
          <cell r="N384">
            <v>2494.175547379914</v>
          </cell>
          <cell r="O384">
            <v>9357.7814256946349</v>
          </cell>
          <cell r="P384">
            <v>15301.563906402171</v>
          </cell>
          <cell r="Q384">
            <v>7693.1926256862835</v>
          </cell>
          <cell r="R384">
            <v>13786.820795251038</v>
          </cell>
          <cell r="S384">
            <v>17137.122514387131</v>
          </cell>
          <cell r="T384">
            <v>56623.65361236786</v>
          </cell>
          <cell r="U384">
            <v>25203.837664812123</v>
          </cell>
          <cell r="V384">
            <v>18567.005906359078</v>
          </cell>
          <cell r="W384">
            <v>631.05022181217453</v>
          </cell>
          <cell r="X384">
            <v>7417.9870787989321</v>
          </cell>
          <cell r="Y384">
            <v>1800.1584534780166</v>
          </cell>
          <cell r="Z384">
            <v>17011.759383971472</v>
          </cell>
          <cell r="AA384">
            <v>16247.700781648446</v>
          </cell>
          <cell r="AB384">
            <v>36719.70413556826</v>
          </cell>
          <cell r="AC384">
            <v>30073.358376330649</v>
          </cell>
          <cell r="AD384">
            <v>11213.360949315504</v>
          </cell>
          <cell r="AE384">
            <v>28337.906738428126</v>
          </cell>
          <cell r="AF384">
            <v>21057.876770292722</v>
          </cell>
          <cell r="AG384">
            <v>23812.209543706929</v>
          </cell>
          <cell r="AH384">
            <v>25957.402038847991</v>
          </cell>
          <cell r="AI384">
            <v>24599.068620147318</v>
          </cell>
          <cell r="AJ384">
            <v>20345.002690254405</v>
          </cell>
        </row>
        <row r="385">
          <cell r="E385" t="str">
            <v>KS Industrial Coking Coal</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row>
        <row r="386">
          <cell r="E386" t="str">
            <v>KY Industrial Coking Coal</v>
          </cell>
          <cell r="F386">
            <v>0</v>
          </cell>
          <cell r="G386">
            <v>0</v>
          </cell>
          <cell r="H386">
            <v>0</v>
          </cell>
          <cell r="I386">
            <v>37.085120208525957</v>
          </cell>
          <cell r="J386">
            <v>350.34260960280329</v>
          </cell>
          <cell r="K386">
            <v>1634.6931454210878</v>
          </cell>
          <cell r="L386">
            <v>1026.5794094551395</v>
          </cell>
          <cell r="M386">
            <v>0</v>
          </cell>
          <cell r="N386">
            <v>515.71511148292245</v>
          </cell>
          <cell r="O386">
            <v>1818.9750747079333</v>
          </cell>
          <cell r="P386">
            <v>2070.2695251685045</v>
          </cell>
          <cell r="Q386">
            <v>975.66945696459334</v>
          </cell>
          <cell r="R386">
            <v>1582.8843467687439</v>
          </cell>
          <cell r="S386">
            <v>1911.008616960069</v>
          </cell>
          <cell r="T386">
            <v>6585.3537863141319</v>
          </cell>
          <cell r="U386">
            <v>3505.2680925998484</v>
          </cell>
          <cell r="V386">
            <v>2831.4582362433957</v>
          </cell>
          <cell r="W386">
            <v>114.41827367825947</v>
          </cell>
          <cell r="X386">
            <v>1268.2390954115397</v>
          </cell>
          <cell r="Y386">
            <v>270.14004404206491</v>
          </cell>
          <cell r="Z386">
            <v>2311.4901305052417</v>
          </cell>
          <cell r="AA386">
            <v>1389.3233718719944</v>
          </cell>
          <cell r="AB386">
            <v>0</v>
          </cell>
          <cell r="AC386">
            <v>0</v>
          </cell>
          <cell r="AD386">
            <v>0</v>
          </cell>
          <cell r="AE386">
            <v>0</v>
          </cell>
          <cell r="AF386">
            <v>0</v>
          </cell>
          <cell r="AG386">
            <v>0</v>
          </cell>
          <cell r="AH386">
            <v>0</v>
          </cell>
          <cell r="AI386">
            <v>0</v>
          </cell>
          <cell r="AJ386">
            <v>0</v>
          </cell>
        </row>
        <row r="387">
          <cell r="E387" t="str">
            <v>LA Industrial Coking Coal</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row>
        <row r="388">
          <cell r="E388" t="str">
            <v>MA Industrial Coking Coal</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row>
        <row r="389">
          <cell r="E389" t="str">
            <v>MD Industrial Coking Coal</v>
          </cell>
          <cell r="F389">
            <v>0</v>
          </cell>
          <cell r="G389">
            <v>0</v>
          </cell>
          <cell r="H389">
            <v>0</v>
          </cell>
          <cell r="I389">
            <v>3.1843857194701723E-2</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0">
          <cell r="E390" t="str">
            <v>ME Industrial Coking Coal</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row>
        <row r="391">
          <cell r="E391" t="str">
            <v>MI Industrial Coking Coal</v>
          </cell>
          <cell r="F391">
            <v>0</v>
          </cell>
          <cell r="G391">
            <v>0</v>
          </cell>
          <cell r="H391">
            <v>0</v>
          </cell>
          <cell r="I391">
            <v>3.1843857194701723E-2</v>
          </cell>
          <cell r="J391">
            <v>389.94746834246189</v>
          </cell>
          <cell r="K391">
            <v>1601.5271905423197</v>
          </cell>
          <cell r="L391">
            <v>1013.5449197273148</v>
          </cell>
          <cell r="M391">
            <v>0</v>
          </cell>
          <cell r="N391">
            <v>669.00415980848413</v>
          </cell>
          <cell r="O391">
            <v>3839.2497804113254</v>
          </cell>
          <cell r="P391">
            <v>3691.4454558034213</v>
          </cell>
          <cell r="Q391">
            <v>1534.6492750416994</v>
          </cell>
          <cell r="R391">
            <v>1666.7367195570741</v>
          </cell>
          <cell r="S391">
            <v>2151.8841876005386</v>
          </cell>
          <cell r="T391">
            <v>7531.2134071409791</v>
          </cell>
          <cell r="U391">
            <v>4145.1901490800665</v>
          </cell>
          <cell r="V391">
            <v>3691.9463173167751</v>
          </cell>
          <cell r="W391">
            <v>122.6780222426503</v>
          </cell>
          <cell r="X391">
            <v>2078.1203127263934</v>
          </cell>
          <cell r="Y391">
            <v>403.29586219046388</v>
          </cell>
          <cell r="Z391">
            <v>4598.9277799838592</v>
          </cell>
          <cell r="AA391">
            <v>4301.700045521934</v>
          </cell>
          <cell r="AB391">
            <v>7891.1848543335154</v>
          </cell>
          <cell r="AC391">
            <v>7404.9322982650629</v>
          </cell>
          <cell r="AD391">
            <v>2921.3013152842946</v>
          </cell>
          <cell r="AE391">
            <v>8393.0798334578922</v>
          </cell>
          <cell r="AF391">
            <v>4069.9363240902067</v>
          </cell>
          <cell r="AG391">
            <v>7996.0556041654163</v>
          </cell>
          <cell r="AH391">
            <v>9079.0700469950734</v>
          </cell>
          <cell r="AI391">
            <v>7990.4054722530436</v>
          </cell>
          <cell r="AJ391">
            <v>4720.7242850522944</v>
          </cell>
        </row>
        <row r="392">
          <cell r="E392" t="str">
            <v>MN Industrial Coking Coal</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row>
        <row r="393">
          <cell r="E393" t="str">
            <v>MO Industrial Coking Coal</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row>
        <row r="394">
          <cell r="E394" t="str">
            <v>MS Industrial Coking Coal</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row>
        <row r="395">
          <cell r="E395" t="str">
            <v>MT Industrial Coking Coal</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row>
        <row r="396">
          <cell r="E396" t="str">
            <v>NC Industrial Coking Coal</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E397" t="str">
            <v>ND Industrial Coking Coal</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row>
        <row r="398">
          <cell r="E398" t="str">
            <v>NE Industrial Coking Coal</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row>
        <row r="399">
          <cell r="E399" t="str">
            <v>NH Industrial Coking Coal</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0">
          <cell r="E400" t="str">
            <v>NJ Industrial Coking Coal</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row>
        <row r="401">
          <cell r="E401" t="str">
            <v>NM Industrial Coking Coal</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row>
        <row r="402">
          <cell r="E402" t="str">
            <v>NV Industrial Coking Coal</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row>
        <row r="403">
          <cell r="E403" t="str">
            <v>NY Industrial Coking Coal</v>
          </cell>
          <cell r="F403">
            <v>0</v>
          </cell>
          <cell r="G403">
            <v>0</v>
          </cell>
          <cell r="H403">
            <v>0</v>
          </cell>
          <cell r="I403">
            <v>39.288243365551992</v>
          </cell>
          <cell r="J403">
            <v>374.92529720060617</v>
          </cell>
          <cell r="K403">
            <v>1582.0630008065175</v>
          </cell>
          <cell r="L403">
            <v>1025.757669885342</v>
          </cell>
          <cell r="M403">
            <v>0</v>
          </cell>
          <cell r="N403">
            <v>500.78280201524507</v>
          </cell>
          <cell r="O403">
            <v>1741.3561829010582</v>
          </cell>
          <cell r="P403">
            <v>2070.8766818983831</v>
          </cell>
          <cell r="Q403">
            <v>761.83595574875085</v>
          </cell>
          <cell r="R403">
            <v>943.3081374343476</v>
          </cell>
          <cell r="S403">
            <v>1034.274599559255</v>
          </cell>
          <cell r="T403">
            <v>2161.263390430307</v>
          </cell>
          <cell r="U403">
            <v>1140.4693764296358</v>
          </cell>
          <cell r="V403">
            <v>867.47290072832459</v>
          </cell>
          <cell r="W403">
            <v>30.241775509359574</v>
          </cell>
          <cell r="X403">
            <v>362.38275587593665</v>
          </cell>
          <cell r="Y403">
            <v>69.955450618061093</v>
          </cell>
          <cell r="Z403">
            <v>575.74166962273819</v>
          </cell>
          <cell r="AA403">
            <v>567.83951673543834</v>
          </cell>
          <cell r="AB403">
            <v>1094.2205188605424</v>
          </cell>
          <cell r="AC403">
            <v>879.83052998799167</v>
          </cell>
          <cell r="AD403">
            <v>289.58336019543782</v>
          </cell>
          <cell r="AE403">
            <v>950.82108054705009</v>
          </cell>
          <cell r="AF403">
            <v>619.24310203548748</v>
          </cell>
          <cell r="AG403">
            <v>722.25627316586053</v>
          </cell>
          <cell r="AH403">
            <v>574.69999380093054</v>
          </cell>
          <cell r="AI403">
            <v>0</v>
          </cell>
          <cell r="AJ403">
            <v>0</v>
          </cell>
        </row>
        <row r="404">
          <cell r="E404" t="str">
            <v>OH Industrial Coking Coal</v>
          </cell>
          <cell r="F404">
            <v>0</v>
          </cell>
          <cell r="G404">
            <v>0</v>
          </cell>
          <cell r="H404">
            <v>0</v>
          </cell>
          <cell r="I404">
            <v>91.396587757267227</v>
          </cell>
          <cell r="J404">
            <v>868.65468759775842</v>
          </cell>
          <cell r="K404">
            <v>3176.6752818374339</v>
          </cell>
          <cell r="L404">
            <v>1398.770762879006</v>
          </cell>
          <cell r="M404">
            <v>0</v>
          </cell>
          <cell r="N404">
            <v>706.71600375709841</v>
          </cell>
          <cell r="O404">
            <v>2550.8177672500497</v>
          </cell>
          <cell r="P404">
            <v>2974.8655908288433</v>
          </cell>
          <cell r="Q404">
            <v>1930.8039720310499</v>
          </cell>
          <cell r="R404">
            <v>2043.699719892167</v>
          </cell>
          <cell r="S404">
            <v>3286.3480429752658</v>
          </cell>
          <cell r="T404">
            <v>11340.495049487352</v>
          </cell>
          <cell r="U404">
            <v>6708.7970648752826</v>
          </cell>
          <cell r="V404">
            <v>6525.6980764319442</v>
          </cell>
          <cell r="W404">
            <v>245.59270238216664</v>
          </cell>
          <cell r="X404">
            <v>3216.850809478608</v>
          </cell>
          <cell r="Y404">
            <v>870.97858191496414</v>
          </cell>
          <cell r="Z404">
            <v>9067.7853470373338</v>
          </cell>
          <cell r="AA404">
            <v>8249.7011561755862</v>
          </cell>
          <cell r="AB404">
            <v>22615.897239961749</v>
          </cell>
          <cell r="AC404">
            <v>20435.294421142713</v>
          </cell>
          <cell r="AD404">
            <v>8469.5199623780045</v>
          </cell>
          <cell r="AE404">
            <v>22430.150031508874</v>
          </cell>
          <cell r="AF404">
            <v>18060.686937267063</v>
          </cell>
          <cell r="AG404">
            <v>21675.328740491572</v>
          </cell>
          <cell r="AH404">
            <v>24160.244956783965</v>
          </cell>
          <cell r="AI404">
            <v>22543.838838189353</v>
          </cell>
          <cell r="AJ404">
            <v>15836.304646122491</v>
          </cell>
        </row>
        <row r="405">
          <cell r="E405" t="str">
            <v>OK Industrial Coking Coal</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row>
        <row r="406">
          <cell r="E406" t="str">
            <v>OR Industrial Coking Coal</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row>
        <row r="407">
          <cell r="E407" t="str">
            <v>PA Industrial Coking Coal</v>
          </cell>
          <cell r="F407">
            <v>0</v>
          </cell>
          <cell r="G407">
            <v>0</v>
          </cell>
          <cell r="H407">
            <v>0</v>
          </cell>
          <cell r="I407">
            <v>326.58941998674254</v>
          </cell>
          <cell r="J407">
            <v>3048.0750507462562</v>
          </cell>
          <cell r="K407">
            <v>12421.098290678128</v>
          </cell>
          <cell r="L407">
            <v>8117.2284780028858</v>
          </cell>
          <cell r="M407">
            <v>0</v>
          </cell>
          <cell r="N407">
            <v>2751.0874842798494</v>
          </cell>
          <cell r="O407">
            <v>9378.9407619072244</v>
          </cell>
          <cell r="P407">
            <v>12969.137597643834</v>
          </cell>
          <cell r="Q407">
            <v>6385.3626920152346</v>
          </cell>
          <cell r="R407">
            <v>11952.689894460966</v>
          </cell>
          <cell r="S407">
            <v>15664.246819081169</v>
          </cell>
          <cell r="T407">
            <v>50190.516032793348</v>
          </cell>
          <cell r="U407">
            <v>23835.431160691536</v>
          </cell>
          <cell r="V407">
            <v>18472.345962378629</v>
          </cell>
          <cell r="W407">
            <v>673.64088397275805</v>
          </cell>
          <cell r="X407">
            <v>8487.5390694349862</v>
          </cell>
          <cell r="Y407">
            <v>1557.513337788324</v>
          </cell>
          <cell r="Z407">
            <v>15755.425908988575</v>
          </cell>
          <cell r="AA407">
            <v>14322.918021347539</v>
          </cell>
          <cell r="AB407">
            <v>32717.148924667017</v>
          </cell>
          <cell r="AC407">
            <v>34744.844155163635</v>
          </cell>
          <cell r="AD407">
            <v>15046.455221708557</v>
          </cell>
          <cell r="AE407">
            <v>37479.195057791432</v>
          </cell>
          <cell r="AF407">
            <v>24872.361059657425</v>
          </cell>
          <cell r="AG407">
            <v>33671.88408793597</v>
          </cell>
          <cell r="AH407">
            <v>38603.181612587723</v>
          </cell>
          <cell r="AI407">
            <v>34893.288390125919</v>
          </cell>
          <cell r="AJ407">
            <v>20110.136997888378</v>
          </cell>
        </row>
        <row r="408">
          <cell r="E408" t="str">
            <v>RI Industrial Coking Coal</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row>
        <row r="409">
          <cell r="E409" t="str">
            <v>SC Industrial Coking Coal</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E410" t="str">
            <v>SD Industrial Coking Coal</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E411" t="str">
            <v>TN Industrial Coking Coal</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2">
          <cell r="E412" t="str">
            <v>TX Industrial Coking Coal</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row>
        <row r="413">
          <cell r="E413" t="str">
            <v>US Industrial Coking Coal</v>
          </cell>
          <cell r="F413">
            <v>0</v>
          </cell>
          <cell r="G413">
            <v>0</v>
          </cell>
          <cell r="H413">
            <v>0</v>
          </cell>
          <cell r="I413">
            <v>990.04910822564295</v>
          </cell>
          <cell r="J413">
            <v>8917.2781996567501</v>
          </cell>
          <cell r="K413">
            <v>37763.046480426434</v>
          </cell>
          <cell r="L413">
            <v>24077.366096932416</v>
          </cell>
          <cell r="M413">
            <v>0</v>
          </cell>
          <cell r="N413">
            <v>10911.199424372071</v>
          </cell>
          <cell r="O413">
            <v>40076.8745460094</v>
          </cell>
          <cell r="P413">
            <v>53543.128152233403</v>
          </cell>
          <cell r="Q413">
            <v>24764.135690847655</v>
          </cell>
          <cell r="R413">
            <v>40297.462750272018</v>
          </cell>
          <cell r="S413">
            <v>51889.529349732424</v>
          </cell>
          <cell r="T413">
            <v>167765.0018070167</v>
          </cell>
          <cell r="U413">
            <v>80463.50417385211</v>
          </cell>
          <cell r="V413">
            <v>62866.504425694213</v>
          </cell>
          <cell r="W413">
            <v>2319.7517421823436</v>
          </cell>
          <cell r="X413">
            <v>29169.499194465414</v>
          </cell>
          <cell r="Y413">
            <v>6382.0664504271417</v>
          </cell>
          <cell r="Z413">
            <v>64772.047048916065</v>
          </cell>
          <cell r="AA413">
            <v>60874.317414985177</v>
          </cell>
          <cell r="AB413">
            <v>132483.17291904052</v>
          </cell>
          <cell r="AC413">
            <v>119908.66569892943</v>
          </cell>
          <cell r="AD413">
            <v>49309.642698027266</v>
          </cell>
          <cell r="AE413">
            <v>122321.42362476475</v>
          </cell>
          <cell r="AF413">
            <v>89641.236108222467</v>
          </cell>
          <cell r="AG413">
            <v>113005.24123151736</v>
          </cell>
          <cell r="AH413">
            <v>124823.64879850249</v>
          </cell>
          <cell r="AI413">
            <v>113392.00316846314</v>
          </cell>
          <cell r="AJ413">
            <v>78685.716805479969</v>
          </cell>
        </row>
        <row r="414">
          <cell r="E414" t="str">
            <v>UT Industrial Coking Coal</v>
          </cell>
          <cell r="F414">
            <v>0</v>
          </cell>
          <cell r="G414">
            <v>0</v>
          </cell>
          <cell r="H414">
            <v>0</v>
          </cell>
          <cell r="I414">
            <v>31.76601665489245</v>
          </cell>
          <cell r="J414">
            <v>282.76904702052707</v>
          </cell>
          <cell r="K414">
            <v>1132.508513312069</v>
          </cell>
          <cell r="L414">
            <v>794.99053000837444</v>
          </cell>
          <cell r="M414">
            <v>0</v>
          </cell>
          <cell r="N414">
            <v>375.93288750572316</v>
          </cell>
          <cell r="O414">
            <v>1057.1349939725367</v>
          </cell>
          <cell r="P414">
            <v>1820.863032906123</v>
          </cell>
          <cell r="Q414">
            <v>519.91841089144293</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row>
        <row r="415">
          <cell r="E415" t="str">
            <v>VA Industrial Coking Coal</v>
          </cell>
          <cell r="F415">
            <v>0</v>
          </cell>
          <cell r="G415">
            <v>0</v>
          </cell>
          <cell r="H415">
            <v>0</v>
          </cell>
          <cell r="I415">
            <v>30.438009869661556</v>
          </cell>
          <cell r="J415">
            <v>272.11829623188413</v>
          </cell>
          <cell r="K415">
            <v>1105.0622983995233</v>
          </cell>
          <cell r="L415">
            <v>744.8644162507178</v>
          </cell>
          <cell r="M415">
            <v>0</v>
          </cell>
          <cell r="N415">
            <v>393.74439464013608</v>
          </cell>
          <cell r="O415">
            <v>1456.8228976639334</v>
          </cell>
          <cell r="P415">
            <v>1992.5534637440351</v>
          </cell>
          <cell r="Q415">
            <v>1086.2395572694006</v>
          </cell>
          <cell r="R415">
            <v>2094.632272252486</v>
          </cell>
          <cell r="S415">
            <v>2530.4029414641332</v>
          </cell>
          <cell r="T415">
            <v>7685.4970666037188</v>
          </cell>
          <cell r="U415">
            <v>3857.5583123032875</v>
          </cell>
          <cell r="V415">
            <v>2884.0007602149226</v>
          </cell>
          <cell r="W415">
            <v>123.59749636653974</v>
          </cell>
          <cell r="X415">
            <v>1520.72053270468</v>
          </cell>
          <cell r="Y415">
            <v>349.71397362344152</v>
          </cell>
          <cell r="Z415">
            <v>3667.1860392437557</v>
          </cell>
          <cell r="AA415">
            <v>3591.4958979988046</v>
          </cell>
          <cell r="AB415">
            <v>6773.3320259784305</v>
          </cell>
          <cell r="AC415">
            <v>5909.0453259883316</v>
          </cell>
          <cell r="AD415">
            <v>2475.6570152588906</v>
          </cell>
          <cell r="AE415">
            <v>6457.0522911034504</v>
          </cell>
          <cell r="AF415">
            <v>5627.7375715680628</v>
          </cell>
          <cell r="AG415">
            <v>6672.2187325972509</v>
          </cell>
          <cell r="AH415">
            <v>7152.4567344433826</v>
          </cell>
          <cell r="AI415">
            <v>6644.7875172203039</v>
          </cell>
          <cell r="AJ415">
            <v>4943.5992654093579</v>
          </cell>
        </row>
        <row r="416">
          <cell r="E416" t="str">
            <v>VT Industrial Coking Coal</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E417" t="str">
            <v>WA Industrial Coking Coal</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E418" t="str">
            <v>WI Industrial Coking Coal</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19">
          <cell r="E419" t="str">
            <v>WV Industrial Coking Coal</v>
          </cell>
          <cell r="F419">
            <v>0</v>
          </cell>
          <cell r="G419">
            <v>0</v>
          </cell>
          <cell r="H419">
            <v>0</v>
          </cell>
          <cell r="I419">
            <v>55.477896243762011</v>
          </cell>
          <cell r="J419">
            <v>484.88171946642916</v>
          </cell>
          <cell r="K419">
            <v>2040.7946830228902</v>
          </cell>
          <cell r="L419">
            <v>1234.6495356973514</v>
          </cell>
          <cell r="M419">
            <v>0</v>
          </cell>
          <cell r="N419">
            <v>674.07098315337646</v>
          </cell>
          <cell r="O419">
            <v>2220.8464971239709</v>
          </cell>
          <cell r="P419">
            <v>2751.4993760923689</v>
          </cell>
          <cell r="Q419">
            <v>1205.5707710653187</v>
          </cell>
          <cell r="R419">
            <v>2354.3882892901129</v>
          </cell>
          <cell r="S419">
            <v>2804.4408436634617</v>
          </cell>
          <cell r="T419">
            <v>8744.8081556117104</v>
          </cell>
          <cell r="U419">
            <v>4062.7670387230514</v>
          </cell>
          <cell r="V419">
            <v>2980.3287208293887</v>
          </cell>
          <cell r="W419">
            <v>149.50571661689295</v>
          </cell>
          <cell r="X419">
            <v>2033.2749439359748</v>
          </cell>
          <cell r="Y419">
            <v>443.6681620496434</v>
          </cell>
          <cell r="Z419">
            <v>4714.1695216017142</v>
          </cell>
          <cell r="AA419">
            <v>4397.7610928312934</v>
          </cell>
          <cell r="AB419">
            <v>5676.4361513260528</v>
          </cell>
          <cell r="AC419">
            <v>4152.6911682917635</v>
          </cell>
          <cell r="AD419">
            <v>1765.1647699016096</v>
          </cell>
          <cell r="AE419">
            <v>4195.0165137617159</v>
          </cell>
          <cell r="AF419">
            <v>3100.2069482200232</v>
          </cell>
          <cell r="AG419">
            <v>3635.776055865108</v>
          </cell>
          <cell r="AH419">
            <v>4303.7057506790179</v>
          </cell>
          <cell r="AI419">
            <v>4155.1959617003458</v>
          </cell>
          <cell r="AJ419">
            <v>3406.6945118796525</v>
          </cell>
        </row>
        <row r="420">
          <cell r="E420" t="str">
            <v>WY Industrial Coking Coal</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row>
        <row r="421">
          <cell r="E421" t="str">
            <v>AK Industrial Other Coal</v>
          </cell>
          <cell r="F421">
            <v>0</v>
          </cell>
          <cell r="G421">
            <v>0</v>
          </cell>
          <cell r="H421">
            <v>0</v>
          </cell>
          <cell r="I421">
            <v>31.372944258919688</v>
          </cell>
          <cell r="J421">
            <v>80.807403196283857</v>
          </cell>
          <cell r="K421">
            <v>0</v>
          </cell>
          <cell r="L421">
            <v>36.788138342146112</v>
          </cell>
          <cell r="M421">
            <v>36.793646189054854</v>
          </cell>
          <cell r="N421">
            <v>19.32038166956567</v>
          </cell>
          <cell r="O421">
            <v>21.321318146232397</v>
          </cell>
          <cell r="P421">
            <v>12.202794058220066</v>
          </cell>
          <cell r="Q421">
            <v>21.723009416519456</v>
          </cell>
          <cell r="R421">
            <v>14.026204700039603</v>
          </cell>
          <cell r="S421">
            <v>6.5431191940243494</v>
          </cell>
          <cell r="T421">
            <v>13.917682347397436</v>
          </cell>
          <cell r="U421">
            <v>23.48326094422827</v>
          </cell>
          <cell r="V421">
            <v>30.985155421957906</v>
          </cell>
          <cell r="W421">
            <v>24.254361041708918</v>
          </cell>
          <cell r="X421">
            <v>1.8659580466987462</v>
          </cell>
          <cell r="Y421">
            <v>53.558215484550743</v>
          </cell>
          <cell r="Z421">
            <v>53.0739343073746</v>
          </cell>
          <cell r="AA421">
            <v>67.002657175458893</v>
          </cell>
          <cell r="AB421">
            <v>17.207995621157302</v>
          </cell>
          <cell r="AC421">
            <v>14.561257190263934</v>
          </cell>
          <cell r="AD421">
            <v>15.494167796110535</v>
          </cell>
          <cell r="AE421">
            <v>15.457768889208218</v>
          </cell>
          <cell r="AF421">
            <v>15.547919403247954</v>
          </cell>
          <cell r="AG421">
            <v>16.221310601971815</v>
          </cell>
          <cell r="AH421">
            <v>15.015903405942471</v>
          </cell>
          <cell r="AI421">
            <v>14.857913660138152</v>
          </cell>
          <cell r="AJ421">
            <v>17.475513088481314</v>
          </cell>
        </row>
        <row r="422">
          <cell r="E422" t="str">
            <v>AL Industrial Other Coal</v>
          </cell>
          <cell r="F422">
            <v>53968.977402132485</v>
          </cell>
          <cell r="G422">
            <v>58662.556009577966</v>
          </cell>
          <cell r="H422">
            <v>74774.728810878296</v>
          </cell>
          <cell r="I422">
            <v>54567.354111342247</v>
          </cell>
          <cell r="J422">
            <v>58156.693897910875</v>
          </cell>
          <cell r="K422">
            <v>55520.133961397121</v>
          </cell>
          <cell r="L422">
            <v>59508.115268016139</v>
          </cell>
          <cell r="M422">
            <v>63746.407162775569</v>
          </cell>
          <cell r="N422">
            <v>58678.897187721377</v>
          </cell>
          <cell r="O422">
            <v>56331.891693170823</v>
          </cell>
          <cell r="P422">
            <v>53588.10076844041</v>
          </cell>
          <cell r="Q422">
            <v>55449.39825367133</v>
          </cell>
          <cell r="R422">
            <v>51090.918160050918</v>
          </cell>
          <cell r="S422">
            <v>49186.496444107892</v>
          </cell>
          <cell r="T422">
            <v>49594.269276716026</v>
          </cell>
          <cell r="U422">
            <v>43250.530676641858</v>
          </cell>
          <cell r="V422">
            <v>41770.806341110343</v>
          </cell>
          <cell r="W422">
            <v>39659.611743354348</v>
          </cell>
          <cell r="X422">
            <v>40556.598144997246</v>
          </cell>
          <cell r="Y422">
            <v>31943.247256364684</v>
          </cell>
          <cell r="Z422">
            <v>32038.965010218468</v>
          </cell>
          <cell r="AA422">
            <v>29549.089658996214</v>
          </cell>
          <cell r="AB422">
            <v>30519.738760092565</v>
          </cell>
          <cell r="AC422">
            <v>34484.697340842562</v>
          </cell>
          <cell r="AD422">
            <v>39033.4543649427</v>
          </cell>
          <cell r="AE422">
            <v>31673.877734510534</v>
          </cell>
          <cell r="AF422">
            <v>25906.492059788328</v>
          </cell>
          <cell r="AG422">
            <v>22781.929556547086</v>
          </cell>
          <cell r="AH422">
            <v>21419.744564359113</v>
          </cell>
          <cell r="AI422">
            <v>17901.163975702919</v>
          </cell>
          <cell r="AJ422">
            <v>12747.513022392694</v>
          </cell>
        </row>
        <row r="423">
          <cell r="E423" t="str">
            <v>AR Industrial Other Coal</v>
          </cell>
          <cell r="F423">
            <v>5708.266625324728</v>
          </cell>
          <cell r="G423">
            <v>6614.4561042883188</v>
          </cell>
          <cell r="H423">
            <v>6846.2551248094669</v>
          </cell>
          <cell r="I423">
            <v>7596.1741286909291</v>
          </cell>
          <cell r="J423">
            <v>8473.9373181078645</v>
          </cell>
          <cell r="K423">
            <v>7609.0061579927669</v>
          </cell>
          <cell r="L423">
            <v>7882.0944612044332</v>
          </cell>
          <cell r="M423">
            <v>6585.1192410154581</v>
          </cell>
          <cell r="N423">
            <v>6765.9976606818982</v>
          </cell>
          <cell r="O423">
            <v>7682.4585884174649</v>
          </cell>
          <cell r="P423">
            <v>9026.3128972187806</v>
          </cell>
          <cell r="Q423">
            <v>10295.761984759938</v>
          </cell>
          <cell r="R423">
            <v>9778.1348365542744</v>
          </cell>
          <cell r="S423">
            <v>9465.0892798129371</v>
          </cell>
          <cell r="T423">
            <v>9395.3634299830956</v>
          </cell>
          <cell r="U423">
            <v>8712.2898103086882</v>
          </cell>
          <cell r="V423">
            <v>8529.3682379716847</v>
          </cell>
          <cell r="W423">
            <v>9121.5054717626845</v>
          </cell>
          <cell r="X423">
            <v>8925.810316383453</v>
          </cell>
          <cell r="Y423">
            <v>6980.4207514864465</v>
          </cell>
          <cell r="Z423">
            <v>6771.116671635581</v>
          </cell>
          <cell r="AA423">
            <v>5117.9015946624486</v>
          </cell>
          <cell r="AB423">
            <v>4667.8952332339331</v>
          </cell>
          <cell r="AC423">
            <v>4609.5479792929264</v>
          </cell>
          <cell r="AD423">
            <v>4977.273549091743</v>
          </cell>
          <cell r="AE423">
            <v>4248.1586029635764</v>
          </cell>
          <cell r="AF423">
            <v>4414.6945270281103</v>
          </cell>
          <cell r="AG423">
            <v>4221.1454922019993</v>
          </cell>
          <cell r="AH423">
            <v>3590.567490891538</v>
          </cell>
          <cell r="AI423">
            <v>3535.3094561916955</v>
          </cell>
          <cell r="AJ423">
            <v>2972.5847763506713</v>
          </cell>
        </row>
        <row r="424">
          <cell r="E424" t="str">
            <v>AZ Industrial Other Coal</v>
          </cell>
          <cell r="F424">
            <v>12954.314275077577</v>
          </cell>
          <cell r="G424">
            <v>13285.975070128474</v>
          </cell>
          <cell r="H424">
            <v>12414.400721654929</v>
          </cell>
          <cell r="I424">
            <v>13217.813578086101</v>
          </cell>
          <cell r="J424">
            <v>14442.845137130929</v>
          </cell>
          <cell r="K424">
            <v>12811.361087699539</v>
          </cell>
          <cell r="L424">
            <v>12608.898595370949</v>
          </cell>
          <cell r="M424">
            <v>12940.042336642982</v>
          </cell>
          <cell r="N424">
            <v>12970.738233862914</v>
          </cell>
          <cell r="O424">
            <v>12760.808910520091</v>
          </cell>
          <cell r="P424">
            <v>14979.399044698139</v>
          </cell>
          <cell r="Q424">
            <v>13900.837069231884</v>
          </cell>
          <cell r="R424">
            <v>13079.903422943598</v>
          </cell>
          <cell r="S424">
            <v>14253.717798525327</v>
          </cell>
          <cell r="T424">
            <v>15025.529862250272</v>
          </cell>
          <cell r="U424">
            <v>14959.776551911178</v>
          </cell>
          <cell r="V424">
            <v>15318.87305179525</v>
          </cell>
          <cell r="W424">
            <v>14280.221493326158</v>
          </cell>
          <cell r="X424">
            <v>12062.485792884045</v>
          </cell>
          <cell r="Y424">
            <v>8202.8635294759297</v>
          </cell>
          <cell r="Z424">
            <v>10030.042462439285</v>
          </cell>
          <cell r="AA424">
            <v>9197.7209254147056</v>
          </cell>
          <cell r="AB424">
            <v>7887.6017823504699</v>
          </cell>
          <cell r="AC424">
            <v>3929.719284222479</v>
          </cell>
          <cell r="AD424">
            <v>4729.3668643539741</v>
          </cell>
          <cell r="AE424">
            <v>4941.0303614092618</v>
          </cell>
          <cell r="AF424">
            <v>3720.5256548478046</v>
          </cell>
          <cell r="AG424">
            <v>4760.9546616787284</v>
          </cell>
          <cell r="AH424">
            <v>5771.4066384957705</v>
          </cell>
          <cell r="AI424">
            <v>5730.7846982074043</v>
          </cell>
          <cell r="AJ424">
            <v>5686.5319589918199</v>
          </cell>
        </row>
        <row r="425">
          <cell r="E425" t="str">
            <v>CA Industrial Other Coal</v>
          </cell>
          <cell r="F425">
            <v>63288.536528561781</v>
          </cell>
          <cell r="G425">
            <v>60925.7271287525</v>
          </cell>
          <cell r="H425">
            <v>62697.029160935315</v>
          </cell>
          <cell r="I425">
            <v>52574.19174639276</v>
          </cell>
          <cell r="J425">
            <v>53386.100740920512</v>
          </cell>
          <cell r="K425">
            <v>56598.337172119893</v>
          </cell>
          <cell r="L425">
            <v>53014.537207828093</v>
          </cell>
          <cell r="M425">
            <v>58660.393147257761</v>
          </cell>
          <cell r="N425">
            <v>41874.995230616638</v>
          </cell>
          <cell r="O425">
            <v>45329.122378890075</v>
          </cell>
          <cell r="P425">
            <v>44474.490959882052</v>
          </cell>
          <cell r="Q425">
            <v>44132.654826334983</v>
          </cell>
          <cell r="R425">
            <v>44054.438802197721</v>
          </cell>
          <cell r="S425">
            <v>44632.485485066951</v>
          </cell>
          <cell r="T425">
            <v>42855.327484106187</v>
          </cell>
          <cell r="U425">
            <v>43475.969981706454</v>
          </cell>
          <cell r="V425">
            <v>42310.699200735369</v>
          </cell>
          <cell r="W425">
            <v>40239.850688275226</v>
          </cell>
          <cell r="X425">
            <v>36778.033100432287</v>
          </cell>
          <cell r="Y425">
            <v>29426.950746406317</v>
          </cell>
          <cell r="Z425">
            <v>30909.514443291355</v>
          </cell>
          <cell r="AA425">
            <v>32649.568781444159</v>
          </cell>
          <cell r="AB425">
            <v>27785.478824288675</v>
          </cell>
          <cell r="AC425">
            <v>29066.089508915597</v>
          </cell>
          <cell r="AD425">
            <v>29730.57373583092</v>
          </cell>
          <cell r="AE425">
            <v>28157.689952477111</v>
          </cell>
          <cell r="AF425">
            <v>29337.094746940274</v>
          </cell>
          <cell r="AG425">
            <v>30336.554377454293</v>
          </cell>
          <cell r="AH425">
            <v>29374.640215766049</v>
          </cell>
          <cell r="AI425">
            <v>26994.207135707471</v>
          </cell>
          <cell r="AJ425">
            <v>24495.426696124257</v>
          </cell>
        </row>
        <row r="426">
          <cell r="E426" t="str">
            <v>CO Industrial Other Coal</v>
          </cell>
          <cell r="F426">
            <v>15038.579465211558</v>
          </cell>
          <cell r="G426">
            <v>15047.186441075839</v>
          </cell>
          <cell r="H426">
            <v>14303.990356865908</v>
          </cell>
          <cell r="I426">
            <v>16008.044808113771</v>
          </cell>
          <cell r="J426">
            <v>18208.273034850448</v>
          </cell>
          <cell r="K426">
            <v>15458.48193505879</v>
          </cell>
          <cell r="L426">
            <v>7473.6517970467594</v>
          </cell>
          <cell r="M426">
            <v>14815.574865459421</v>
          </cell>
          <cell r="N426">
            <v>8047.9049844575802</v>
          </cell>
          <cell r="O426">
            <v>8829.9331650146996</v>
          </cell>
          <cell r="P426">
            <v>8701.5308399769237</v>
          </cell>
          <cell r="Q426">
            <v>6394.1205978189873</v>
          </cell>
          <cell r="R426">
            <v>4413.5790789457951</v>
          </cell>
          <cell r="S426">
            <v>6101.9260140844217</v>
          </cell>
          <cell r="T426">
            <v>6187.8015716528998</v>
          </cell>
          <cell r="U426">
            <v>6518.0139076799987</v>
          </cell>
          <cell r="V426">
            <v>6101.2587858146208</v>
          </cell>
          <cell r="W426">
            <v>4992.6669344317743</v>
          </cell>
          <cell r="X426">
            <v>5047.4165163201087</v>
          </cell>
          <cell r="Y426">
            <v>3018.9920412607285</v>
          </cell>
          <cell r="Z426">
            <v>6963.8588541202571</v>
          </cell>
          <cell r="AA426">
            <v>3035.3121545101717</v>
          </cell>
          <cell r="AB426">
            <v>5665.9589792610568</v>
          </cell>
          <cell r="AC426">
            <v>6827.409465085002</v>
          </cell>
          <cell r="AD426">
            <v>7655.9417345487345</v>
          </cell>
          <cell r="AE426">
            <v>7327.8917340075895</v>
          </cell>
          <cell r="AF426">
            <v>6004.240640136637</v>
          </cell>
          <cell r="AG426">
            <v>5778.3913099912934</v>
          </cell>
          <cell r="AH426">
            <v>3388.2944391291362</v>
          </cell>
          <cell r="AI426">
            <v>3742.4462525124454</v>
          </cell>
          <cell r="AJ426">
            <v>3353.5509616795639</v>
          </cell>
        </row>
        <row r="427">
          <cell r="E427" t="str">
            <v>CT Industrial Other Coal</v>
          </cell>
          <cell r="F427">
            <v>24.440257858043875</v>
          </cell>
          <cell r="G427">
            <v>72.537535870978786</v>
          </cell>
          <cell r="H427">
            <v>289.29201276399527</v>
          </cell>
          <cell r="I427">
            <v>729.42095401988274</v>
          </cell>
          <cell r="J427">
            <v>722.33934808385447</v>
          </cell>
          <cell r="K427">
            <v>0</v>
          </cell>
          <cell r="L427">
            <v>0</v>
          </cell>
          <cell r="M427">
            <v>0</v>
          </cell>
          <cell r="N427">
            <v>0</v>
          </cell>
          <cell r="O427">
            <v>0</v>
          </cell>
          <cell r="P427">
            <v>0</v>
          </cell>
          <cell r="Q427">
            <v>0</v>
          </cell>
          <cell r="R427">
            <v>0</v>
          </cell>
          <cell r="S427">
            <v>0</v>
          </cell>
          <cell r="T427">
            <v>0</v>
          </cell>
          <cell r="U427">
            <v>18.786608755382616</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row>
        <row r="428">
          <cell r="E428" t="str">
            <v>DC Industrial Other Coal</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row>
        <row r="429">
          <cell r="E429" t="str">
            <v>DE Industrial Other Coal</v>
          </cell>
          <cell r="F429">
            <v>5229.2375713070678</v>
          </cell>
          <cell r="G429">
            <v>5043.7766608953916</v>
          </cell>
          <cell r="H429">
            <v>3469.569089537415</v>
          </cell>
          <cell r="I429">
            <v>4300.0541724881796</v>
          </cell>
          <cell r="J429">
            <v>4701.6112274325642</v>
          </cell>
          <cell r="K429">
            <v>4777.1342618333319</v>
          </cell>
          <cell r="L429">
            <v>3889.1665226838054</v>
          </cell>
          <cell r="M429">
            <v>4140.7003365067112</v>
          </cell>
          <cell r="N429">
            <v>4229.2315474679253</v>
          </cell>
          <cell r="O429">
            <v>3605.2410683629328</v>
          </cell>
          <cell r="P429">
            <v>4382.6804198330374</v>
          </cell>
          <cell r="Q429">
            <v>4230.3199641995934</v>
          </cell>
          <cell r="R429">
            <v>2398.4810037067723</v>
          </cell>
          <cell r="S429">
            <v>2405.9984007740964</v>
          </cell>
          <cell r="T429">
            <v>2887.4551643400546</v>
          </cell>
          <cell r="U429">
            <v>2903.4703831443835</v>
          </cell>
          <cell r="V429">
            <v>2529.5154153561998</v>
          </cell>
          <cell r="W429">
            <v>2535.5135888986479</v>
          </cell>
          <cell r="X429">
            <v>2050.6878933219223</v>
          </cell>
          <cell r="Y429">
            <v>530.88406576791522</v>
          </cell>
          <cell r="Z429">
            <v>0</v>
          </cell>
          <cell r="AA429">
            <v>0</v>
          </cell>
          <cell r="AB429">
            <v>0</v>
          </cell>
          <cell r="AC429">
            <v>0</v>
          </cell>
          <cell r="AD429">
            <v>0</v>
          </cell>
          <cell r="AE429">
            <v>0</v>
          </cell>
          <cell r="AF429">
            <v>2139.2107931880569</v>
          </cell>
          <cell r="AG429">
            <v>0</v>
          </cell>
          <cell r="AH429">
            <v>0</v>
          </cell>
          <cell r="AI429">
            <v>0</v>
          </cell>
          <cell r="AJ429">
            <v>0</v>
          </cell>
        </row>
        <row r="430">
          <cell r="E430" t="str">
            <v>FL Industrial Other Coal</v>
          </cell>
          <cell r="F430">
            <v>29495.480793401672</v>
          </cell>
          <cell r="G430">
            <v>27549.756123797742</v>
          </cell>
          <cell r="H430">
            <v>32298.147057149468</v>
          </cell>
          <cell r="I430">
            <v>31873.93096255431</v>
          </cell>
          <cell r="J430">
            <v>32017.469876186129</v>
          </cell>
          <cell r="K430">
            <v>32508.364438618635</v>
          </cell>
          <cell r="L430">
            <v>30081.377736693317</v>
          </cell>
          <cell r="M430">
            <v>31839.711929087491</v>
          </cell>
          <cell r="N430">
            <v>30882.664079717248</v>
          </cell>
          <cell r="O430">
            <v>28802.193363085484</v>
          </cell>
          <cell r="P430">
            <v>30086.45808877458</v>
          </cell>
          <cell r="Q430">
            <v>28467.531601013605</v>
          </cell>
          <cell r="R430">
            <v>28646.18539904755</v>
          </cell>
          <cell r="S430">
            <v>26494.959079231452</v>
          </cell>
          <cell r="T430">
            <v>25071.312980601742</v>
          </cell>
          <cell r="U430">
            <v>25907.672804110396</v>
          </cell>
          <cell r="V430">
            <v>26909.199067814898</v>
          </cell>
          <cell r="W430">
            <v>26065.042379476497</v>
          </cell>
          <cell r="X430">
            <v>25475.925211577982</v>
          </cell>
          <cell r="Y430">
            <v>22598.748081033857</v>
          </cell>
          <cell r="Z430">
            <v>20222.100092764238</v>
          </cell>
          <cell r="AA430">
            <v>11585.034779022495</v>
          </cell>
          <cell r="AB430">
            <v>11567.39579333795</v>
          </cell>
          <cell r="AC430">
            <v>13647.538301574872</v>
          </cell>
          <cell r="AD430">
            <v>14591.860377395862</v>
          </cell>
          <cell r="AE430">
            <v>13624.659355052701</v>
          </cell>
          <cell r="AF430">
            <v>11978.300024961087</v>
          </cell>
          <cell r="AG430">
            <v>12771.57854728581</v>
          </cell>
          <cell r="AH430">
            <v>11427.985780357863</v>
          </cell>
          <cell r="AI430">
            <v>9005.64366788609</v>
          </cell>
          <cell r="AJ430">
            <v>4758.5822139934617</v>
          </cell>
        </row>
        <row r="431">
          <cell r="E431" t="str">
            <v>GA Industrial Other Coal</v>
          </cell>
          <cell r="F431">
            <v>54884.020656337649</v>
          </cell>
          <cell r="G431">
            <v>51086.735763212935</v>
          </cell>
          <cell r="H431">
            <v>43466.366800744108</v>
          </cell>
          <cell r="I431">
            <v>42324.06261429884</v>
          </cell>
          <cell r="J431">
            <v>47756.189832867218</v>
          </cell>
          <cell r="K431">
            <v>48002.037049639366</v>
          </cell>
          <cell r="L431">
            <v>47056.745367597454</v>
          </cell>
          <cell r="M431">
            <v>48421.381811621548</v>
          </cell>
          <cell r="N431">
            <v>47921.308674107211</v>
          </cell>
          <cell r="O431">
            <v>47843.099618495842</v>
          </cell>
          <cell r="P431">
            <v>47903.476090241893</v>
          </cell>
          <cell r="Q431">
            <v>48430.032776124703</v>
          </cell>
          <cell r="R431">
            <v>44250.805667998276</v>
          </cell>
          <cell r="S431">
            <v>42565.794551068684</v>
          </cell>
          <cell r="T431">
            <v>42171.505358104056</v>
          </cell>
          <cell r="U431">
            <v>40853.359399455039</v>
          </cell>
          <cell r="V431">
            <v>38251.643840458884</v>
          </cell>
          <cell r="W431">
            <v>36277.061238076014</v>
          </cell>
          <cell r="X431">
            <v>33966.96730308063</v>
          </cell>
          <cell r="Y431">
            <v>24975.041536479977</v>
          </cell>
          <cell r="Z431">
            <v>29575.217112370869</v>
          </cell>
          <cell r="AA431">
            <v>26836.85881031839</v>
          </cell>
          <cell r="AB431">
            <v>19656.059419261943</v>
          </cell>
          <cell r="AC431">
            <v>16970.235176678223</v>
          </cell>
          <cell r="AD431">
            <v>19278.390424901765</v>
          </cell>
          <cell r="AE431">
            <v>11015.024254345197</v>
          </cell>
          <cell r="AF431">
            <v>10160.108038275384</v>
          </cell>
          <cell r="AG431">
            <v>7539.3046942275678</v>
          </cell>
          <cell r="AH431">
            <v>7447.0048009118218</v>
          </cell>
          <cell r="AI431">
            <v>6846.8762125601343</v>
          </cell>
          <cell r="AJ431">
            <v>6029.0520155260529</v>
          </cell>
        </row>
        <row r="432">
          <cell r="E432" t="str">
            <v>HI Industrial Other Coal</v>
          </cell>
          <cell r="F432">
            <v>679.4391684536198</v>
          </cell>
          <cell r="G432">
            <v>888.82660620572665</v>
          </cell>
          <cell r="H432">
            <v>1129.1096284133193</v>
          </cell>
          <cell r="I432">
            <v>1777.4733731694187</v>
          </cell>
          <cell r="J432">
            <v>1822.108396462547</v>
          </cell>
          <cell r="K432">
            <v>4026.3998413119484</v>
          </cell>
          <cell r="L432">
            <v>3433.5595786003037</v>
          </cell>
          <cell r="M432">
            <v>3523.6991927210224</v>
          </cell>
          <cell r="N432">
            <v>3249.6881968209459</v>
          </cell>
          <cell r="O432">
            <v>2608.9540204389828</v>
          </cell>
          <cell r="P432">
            <v>2007.8289608102093</v>
          </cell>
          <cell r="Q432">
            <v>1930.5144020593812</v>
          </cell>
          <cell r="R432">
            <v>612.4776052350627</v>
          </cell>
          <cell r="S432">
            <v>1284.3208246556364</v>
          </cell>
          <cell r="T432">
            <v>1162.5903987525992</v>
          </cell>
          <cell r="U432">
            <v>1325.3952476922436</v>
          </cell>
          <cell r="V432">
            <v>1537.0514977498513</v>
          </cell>
          <cell r="W432">
            <v>1674.4837719179811</v>
          </cell>
          <cell r="X432">
            <v>2156.1145229604012</v>
          </cell>
          <cell r="Y432">
            <v>1910.2430189489764</v>
          </cell>
          <cell r="Z432">
            <v>1317.5371411392116</v>
          </cell>
          <cell r="AA432">
            <v>1197.787227588683</v>
          </cell>
          <cell r="AB432">
            <v>1032.4797372694379</v>
          </cell>
          <cell r="AC432">
            <v>1235.8867040236514</v>
          </cell>
          <cell r="AD432">
            <v>1246.8247967693653</v>
          </cell>
          <cell r="AE432">
            <v>1032.9426740082667</v>
          </cell>
          <cell r="AF432">
            <v>247.85212695765858</v>
          </cell>
          <cell r="AG432">
            <v>0</v>
          </cell>
          <cell r="AH432">
            <v>0</v>
          </cell>
          <cell r="AI432">
            <v>0</v>
          </cell>
          <cell r="AJ432">
            <v>0</v>
          </cell>
        </row>
        <row r="433">
          <cell r="E433" t="str">
            <v>IA Industrial Other Coal</v>
          </cell>
          <cell r="F433">
            <v>51959.010595886961</v>
          </cell>
          <cell r="G433">
            <v>57349.14302674077</v>
          </cell>
          <cell r="H433">
            <v>51164.049922986072</v>
          </cell>
          <cell r="I433">
            <v>49316.307566005569</v>
          </cell>
          <cell r="J433">
            <v>54204.029334248749</v>
          </cell>
          <cell r="K433">
            <v>56621.79762276118</v>
          </cell>
          <cell r="L433">
            <v>62004.048961690976</v>
          </cell>
          <cell r="M433">
            <v>61275.572307156734</v>
          </cell>
          <cell r="N433">
            <v>57934.09647435962</v>
          </cell>
          <cell r="O433">
            <v>61469.360215588007</v>
          </cell>
          <cell r="P433">
            <v>57145.684574644569</v>
          </cell>
          <cell r="Q433">
            <v>55782.799224281393</v>
          </cell>
          <cell r="R433">
            <v>54729.315659241198</v>
          </cell>
          <cell r="S433">
            <v>56309.149052460118</v>
          </cell>
          <cell r="T433">
            <v>54919.174542830282</v>
          </cell>
          <cell r="U433">
            <v>55547.305437477553</v>
          </cell>
          <cell r="V433">
            <v>57106.580386772119</v>
          </cell>
          <cell r="W433">
            <v>56746.809097238278</v>
          </cell>
          <cell r="X433">
            <v>53627.634262121966</v>
          </cell>
          <cell r="Y433">
            <v>49431.41403879378</v>
          </cell>
          <cell r="Z433">
            <v>61458.684806285273</v>
          </cell>
          <cell r="AA433">
            <v>64549.258509294486</v>
          </cell>
          <cell r="AB433">
            <v>57590.632924113183</v>
          </cell>
          <cell r="AC433">
            <v>58538.984140584187</v>
          </cell>
          <cell r="AD433">
            <v>53486.778653808629</v>
          </cell>
          <cell r="AE433">
            <v>47769.052270267865</v>
          </cell>
          <cell r="AF433">
            <v>41529.407309569593</v>
          </cell>
          <cell r="AG433">
            <v>40218.036085822125</v>
          </cell>
          <cell r="AH433">
            <v>38797.561247212769</v>
          </cell>
          <cell r="AI433">
            <v>37409.604611464318</v>
          </cell>
          <cell r="AJ433">
            <v>33764.438838254748</v>
          </cell>
        </row>
        <row r="434">
          <cell r="E434" t="str">
            <v>ID Industrial Other Coal</v>
          </cell>
          <cell r="F434">
            <v>8528.6723821429914</v>
          </cell>
          <cell r="G434">
            <v>10380.604966709538</v>
          </cell>
          <cell r="H434">
            <v>8204.6697934404019</v>
          </cell>
          <cell r="I434">
            <v>8647.1677613647389</v>
          </cell>
          <cell r="J434">
            <v>8633.5812122273528</v>
          </cell>
          <cell r="K434">
            <v>7920.8346477666228</v>
          </cell>
          <cell r="L434">
            <v>6320.0135100609987</v>
          </cell>
          <cell r="M434">
            <v>5402.0620020135402</v>
          </cell>
          <cell r="N434">
            <v>7388.1139504419125</v>
          </cell>
          <cell r="O434">
            <v>6609.6086253320436</v>
          </cell>
          <cell r="P434">
            <v>12486.274350957177</v>
          </cell>
          <cell r="Q434">
            <v>10362.819970350063</v>
          </cell>
          <cell r="R434">
            <v>9149.7608659925008</v>
          </cell>
          <cell r="S434">
            <v>9278.1430171265274</v>
          </cell>
          <cell r="T434">
            <v>11329.92127627134</v>
          </cell>
          <cell r="U434">
            <v>10350.482093778053</v>
          </cell>
          <cell r="V434">
            <v>7466.48351258816</v>
          </cell>
          <cell r="W434">
            <v>8612.1638898867968</v>
          </cell>
          <cell r="X434">
            <v>7830.4929429712884</v>
          </cell>
          <cell r="Y434">
            <v>7762.1827739977834</v>
          </cell>
          <cell r="Z434">
            <v>7754.3811388037839</v>
          </cell>
          <cell r="AA434">
            <v>7055.4715850377052</v>
          </cell>
          <cell r="AB434">
            <v>4588.1950429885728</v>
          </cell>
          <cell r="AC434">
            <v>7172.3292447793792</v>
          </cell>
          <cell r="AD434">
            <v>6769.1284836301729</v>
          </cell>
          <cell r="AE434">
            <v>3863.53294177916</v>
          </cell>
          <cell r="AF434">
            <v>2224.2670581587663</v>
          </cell>
          <cell r="AG434">
            <v>2356.5959568975723</v>
          </cell>
          <cell r="AH434">
            <v>2493.5232538220939</v>
          </cell>
          <cell r="AI434">
            <v>2066.1239936803877</v>
          </cell>
          <cell r="AJ434">
            <v>2326.864567731287</v>
          </cell>
        </row>
        <row r="435">
          <cell r="E435" t="str">
            <v>IL Industrial Other Coal</v>
          </cell>
          <cell r="F435">
            <v>85728.603683503345</v>
          </cell>
          <cell r="G435">
            <v>93603.403455055974</v>
          </cell>
          <cell r="H435">
            <v>82253.749742870554</v>
          </cell>
          <cell r="I435">
            <v>88971.709109280055</v>
          </cell>
          <cell r="J435">
            <v>93469.529094686921</v>
          </cell>
          <cell r="K435">
            <v>81537.773722591301</v>
          </cell>
          <cell r="L435">
            <v>80604.697678839162</v>
          </cell>
          <cell r="M435">
            <v>84815.958453548956</v>
          </cell>
          <cell r="N435">
            <v>85633.727674015929</v>
          </cell>
          <cell r="O435">
            <v>81103.386775793551</v>
          </cell>
          <cell r="P435">
            <v>73911.384934172922</v>
          </cell>
          <cell r="Q435">
            <v>73181.985288243188</v>
          </cell>
          <cell r="R435">
            <v>67836.336411271535</v>
          </cell>
          <cell r="S435">
            <v>69660.851133523509</v>
          </cell>
          <cell r="T435">
            <v>69825.940182382765</v>
          </cell>
          <cell r="U435">
            <v>71072.558912925742</v>
          </cell>
          <cell r="V435">
            <v>73362.519654055664</v>
          </cell>
          <cell r="W435">
            <v>73977.666897292336</v>
          </cell>
          <cell r="X435">
            <v>72011.985917221362</v>
          </cell>
          <cell r="Y435">
            <v>56901.375672165326</v>
          </cell>
          <cell r="Z435">
            <v>65132.890855002821</v>
          </cell>
          <cell r="AA435">
            <v>65229.381371856332</v>
          </cell>
          <cell r="AB435">
            <v>61269.521251120597</v>
          </cell>
          <cell r="AC435">
            <v>60181.675967360839</v>
          </cell>
          <cell r="AD435">
            <v>60537.536422673991</v>
          </cell>
          <cell r="AE435">
            <v>51558.024209169671</v>
          </cell>
          <cell r="AF435">
            <v>47741.258402914311</v>
          </cell>
          <cell r="AG435">
            <v>48362.035191934308</v>
          </cell>
          <cell r="AH435">
            <v>46614.663902659289</v>
          </cell>
          <cell r="AI435">
            <v>44366.604184093711</v>
          </cell>
          <cell r="AJ435">
            <v>44186.834844224999</v>
          </cell>
        </row>
        <row r="436">
          <cell r="E436" t="str">
            <v>IN Industrial Other Coal</v>
          </cell>
          <cell r="F436">
            <v>102787.90366841797</v>
          </cell>
          <cell r="G436">
            <v>97622.950109453144</v>
          </cell>
          <cell r="H436">
            <v>94666.215400894958</v>
          </cell>
          <cell r="I436">
            <v>102780.70660574517</v>
          </cell>
          <cell r="J436">
            <v>94678.683774221558</v>
          </cell>
          <cell r="K436">
            <v>98547.577956305598</v>
          </cell>
          <cell r="L436">
            <v>106847.84631516857</v>
          </cell>
          <cell r="M436">
            <v>111439.4634652189</v>
          </cell>
          <cell r="N436">
            <v>98832.446411579716</v>
          </cell>
          <cell r="O436">
            <v>93342.792542555777</v>
          </cell>
          <cell r="P436">
            <v>96252.82350184182</v>
          </cell>
          <cell r="Q436">
            <v>124570.12525969568</v>
          </cell>
          <cell r="R436">
            <v>119363.00199733702</v>
          </cell>
          <cell r="S436">
            <v>119306.30065252655</v>
          </cell>
          <cell r="T436">
            <v>130847.55451180191</v>
          </cell>
          <cell r="U436">
            <v>116492.94290081431</v>
          </cell>
          <cell r="V436">
            <v>122755.67422896766</v>
          </cell>
          <cell r="W436">
            <v>125298.02914146827</v>
          </cell>
          <cell r="X436">
            <v>117645.85590728591</v>
          </cell>
          <cell r="Y436">
            <v>104537.18006550337</v>
          </cell>
          <cell r="Z436">
            <v>113102.41625232431</v>
          </cell>
          <cell r="AA436">
            <v>77003.492142360265</v>
          </cell>
          <cell r="AB436">
            <v>46213.430766588019</v>
          </cell>
          <cell r="AC436">
            <v>51535.929510641625</v>
          </cell>
          <cell r="AD436">
            <v>42762.991695630008</v>
          </cell>
          <cell r="AE436">
            <v>35646.524339037045</v>
          </cell>
          <cell r="AF436">
            <v>53257.111457090097</v>
          </cell>
          <cell r="AG436">
            <v>47881.704161331472</v>
          </cell>
          <cell r="AH436">
            <v>41398.845690183392</v>
          </cell>
          <cell r="AI436">
            <v>40457.224901635003</v>
          </cell>
          <cell r="AJ436">
            <v>32683.578353732177</v>
          </cell>
        </row>
        <row r="437">
          <cell r="E437" t="str">
            <v>KS Industrial Other Coal</v>
          </cell>
          <cell r="F437">
            <v>3715.8968047369908</v>
          </cell>
          <cell r="G437">
            <v>3507.915234720534</v>
          </cell>
          <cell r="H437">
            <v>3747.2507205182401</v>
          </cell>
          <cell r="I437">
            <v>3168.6673701508885</v>
          </cell>
          <cell r="J437">
            <v>3239.1943208071348</v>
          </cell>
          <cell r="K437">
            <v>3261.9801579164778</v>
          </cell>
          <cell r="L437">
            <v>3692.9631181923596</v>
          </cell>
          <cell r="M437">
            <v>3167.0838527347983</v>
          </cell>
          <cell r="N437">
            <v>2621.7757925600617</v>
          </cell>
          <cell r="O437">
            <v>2603.1391154900102</v>
          </cell>
          <cell r="P437">
            <v>3041.3117498948473</v>
          </cell>
          <cell r="Q437">
            <v>3647.5766246347016</v>
          </cell>
          <cell r="R437">
            <v>3999.3385001379588</v>
          </cell>
          <cell r="S437">
            <v>3592.1724375193676</v>
          </cell>
          <cell r="T437">
            <v>4678.1969597051911</v>
          </cell>
          <cell r="U437">
            <v>4710.7421454121913</v>
          </cell>
          <cell r="V437">
            <v>5334.1414530952388</v>
          </cell>
          <cell r="W437">
            <v>5379.8038510590513</v>
          </cell>
          <cell r="X437">
            <v>3740.3129046076369</v>
          </cell>
          <cell r="Y437">
            <v>2325.5540934081241</v>
          </cell>
          <cell r="Z437">
            <v>2469.3346277746919</v>
          </cell>
          <cell r="AA437">
            <v>2298.2829255801239</v>
          </cell>
          <cell r="AB437">
            <v>1810.4622761417602</v>
          </cell>
          <cell r="AC437">
            <v>1849.2796631635197</v>
          </cell>
          <cell r="AD437">
            <v>2686.8709801725799</v>
          </cell>
          <cell r="AE437">
            <v>2514.1606458035717</v>
          </cell>
          <cell r="AF437">
            <v>2086.1649505181522</v>
          </cell>
          <cell r="AG437">
            <v>2195.284034800186</v>
          </cell>
          <cell r="AH437">
            <v>2232.9531653072099</v>
          </cell>
          <cell r="AI437">
            <v>1594.1667362407054</v>
          </cell>
          <cell r="AJ437">
            <v>1067.7538497062083</v>
          </cell>
        </row>
        <row r="438">
          <cell r="E438" t="str">
            <v>KY Industrial Other Coal</v>
          </cell>
          <cell r="F438">
            <v>54259.327665486046</v>
          </cell>
          <cell r="G438">
            <v>49231.709179205776</v>
          </cell>
          <cell r="H438">
            <v>39700.732975735846</v>
          </cell>
          <cell r="I438">
            <v>58244.851421192492</v>
          </cell>
          <cell r="J438">
            <v>48649.998548709045</v>
          </cell>
          <cell r="K438">
            <v>54658.939919106313</v>
          </cell>
          <cell r="L438">
            <v>54194.587491572318</v>
          </cell>
          <cell r="M438">
            <v>44157.092560992627</v>
          </cell>
          <cell r="N438">
            <v>33207.872013649474</v>
          </cell>
          <cell r="O438">
            <v>26483.015439270297</v>
          </cell>
          <cell r="P438">
            <v>27139.013985481426</v>
          </cell>
          <cell r="Q438">
            <v>33425.100141331459</v>
          </cell>
          <cell r="R438">
            <v>28344.154457840028</v>
          </cell>
          <cell r="S438">
            <v>29626.308979228819</v>
          </cell>
          <cell r="T438">
            <v>32412.426496108976</v>
          </cell>
          <cell r="U438">
            <v>29697.87112050884</v>
          </cell>
          <cell r="V438">
            <v>32394.510521605145</v>
          </cell>
          <cell r="W438">
            <v>31997.09937425446</v>
          </cell>
          <cell r="X438">
            <v>30208.927797029351</v>
          </cell>
          <cell r="Y438">
            <v>24740.137082600369</v>
          </cell>
          <cell r="Z438">
            <v>28297.718202375818</v>
          </cell>
          <cell r="AA438">
            <v>32030.023663725875</v>
          </cell>
          <cell r="AB438">
            <v>26325.516248430486</v>
          </cell>
          <cell r="AC438">
            <v>25297.45413236041</v>
          </cell>
          <cell r="AD438">
            <v>24248.372600912986</v>
          </cell>
          <cell r="AE438">
            <v>23968.634583501684</v>
          </cell>
          <cell r="AF438">
            <v>18710.54912656745</v>
          </cell>
          <cell r="AG438">
            <v>19925.176522755381</v>
          </cell>
          <cell r="AH438">
            <v>17535.925312833875</v>
          </cell>
          <cell r="AI438">
            <v>15728.412601638011</v>
          </cell>
          <cell r="AJ438">
            <v>13482.358347763333</v>
          </cell>
        </row>
        <row r="439">
          <cell r="E439" t="str">
            <v>LA Industrial Other Coal</v>
          </cell>
          <cell r="F439">
            <v>15605.593447518177</v>
          </cell>
          <cell r="G439">
            <v>9929.9050771645216</v>
          </cell>
          <cell r="H439">
            <v>10723.15510857311</v>
          </cell>
          <cell r="I439">
            <v>10575.623428780209</v>
          </cell>
          <cell r="J439">
            <v>11266.720009062357</v>
          </cell>
          <cell r="K439">
            <v>7480.9511982423746</v>
          </cell>
          <cell r="L439">
            <v>1981.843042483307</v>
          </cell>
          <cell r="M439">
            <v>1568.9188105743133</v>
          </cell>
          <cell r="N439">
            <v>997.89771323306695</v>
          </cell>
          <cell r="O439">
            <v>902.27941791556191</v>
          </cell>
          <cell r="P439">
            <v>1303.8216112975131</v>
          </cell>
          <cell r="Q439">
            <v>1871.0122458315234</v>
          </cell>
          <cell r="R439">
            <v>1218.4096482767734</v>
          </cell>
          <cell r="S439">
            <v>2934.1215928632046</v>
          </cell>
          <cell r="T439">
            <v>1909.5060180629282</v>
          </cell>
          <cell r="U439">
            <v>1503.8680308683784</v>
          </cell>
          <cell r="V439">
            <v>1660.0531753339872</v>
          </cell>
          <cell r="W439">
            <v>1614.7807293537746</v>
          </cell>
          <cell r="X439">
            <v>1626.1824376979573</v>
          </cell>
          <cell r="Y439">
            <v>320.40967509178603</v>
          </cell>
          <cell r="Z439">
            <v>489.76999027507088</v>
          </cell>
          <cell r="AA439">
            <v>1192.2801598756314</v>
          </cell>
          <cell r="AB439">
            <v>2068.5822104591198</v>
          </cell>
          <cell r="AC439">
            <v>2095.0008782492237</v>
          </cell>
          <cell r="AD439">
            <v>2671.3768123764694</v>
          </cell>
          <cell r="AE439">
            <v>3385.2513867365997</v>
          </cell>
          <cell r="AF439">
            <v>3734.2444072624353</v>
          </cell>
          <cell r="AG439">
            <v>3406.4752264140816</v>
          </cell>
          <cell r="AH439">
            <v>3497.822205148952</v>
          </cell>
          <cell r="AI439">
            <v>2808.145681766111</v>
          </cell>
          <cell r="AJ439">
            <v>2919.2844614308033</v>
          </cell>
        </row>
        <row r="440">
          <cell r="E440" t="str">
            <v>MA Industrial Other Coal</v>
          </cell>
          <cell r="F440">
            <v>1775.3403308083073</v>
          </cell>
          <cell r="G440">
            <v>2049.4271801413875</v>
          </cell>
          <cell r="H440">
            <v>3733.7052751045412</v>
          </cell>
          <cell r="I440">
            <v>2807.8785111733123</v>
          </cell>
          <cell r="J440">
            <v>1607.2789586968167</v>
          </cell>
          <cell r="K440">
            <v>1033.2373469936222</v>
          </cell>
          <cell r="L440">
            <v>895.17803299222203</v>
          </cell>
          <cell r="M440">
            <v>864.17897203010887</v>
          </cell>
          <cell r="N440">
            <v>824.01427820697586</v>
          </cell>
          <cell r="O440">
            <v>789.85792223542751</v>
          </cell>
          <cell r="P440">
            <v>1398.6279343652229</v>
          </cell>
          <cell r="Q440">
            <v>1379.883337284127</v>
          </cell>
          <cell r="R440">
            <v>1117.4209744364885</v>
          </cell>
          <cell r="S440">
            <v>1446.9640731928132</v>
          </cell>
          <cell r="T440">
            <v>1375.9948614126931</v>
          </cell>
          <cell r="U440">
            <v>1755.6085881905055</v>
          </cell>
          <cell r="V440">
            <v>1901.3618099837806</v>
          </cell>
          <cell r="W440">
            <v>2074.6807291061782</v>
          </cell>
          <cell r="X440">
            <v>2073.0793898823072</v>
          </cell>
          <cell r="Y440">
            <v>1236.5370452222592</v>
          </cell>
          <cell r="Z440">
            <v>1632.2562603653978</v>
          </cell>
          <cell r="AA440">
            <v>1500.6759518065107</v>
          </cell>
          <cell r="AB440">
            <v>1507.0581428213552</v>
          </cell>
          <cell r="AC440">
            <v>1468.8668190678743</v>
          </cell>
          <cell r="AD440">
            <v>1407.2350045408627</v>
          </cell>
          <cell r="AE440">
            <v>1104.7758353169402</v>
          </cell>
          <cell r="AF440">
            <v>90.543765936561613</v>
          </cell>
          <cell r="AG440">
            <v>92.821944000172067</v>
          </cell>
          <cell r="AH440">
            <v>89.212132000011152</v>
          </cell>
          <cell r="AI440">
            <v>62.053639404106399</v>
          </cell>
          <cell r="AJ440">
            <v>0</v>
          </cell>
        </row>
        <row r="441">
          <cell r="E441" t="str">
            <v>MD Industrial Other Coal</v>
          </cell>
          <cell r="F441">
            <v>23211.401692941428</v>
          </cell>
          <cell r="G441">
            <v>25303.026846087294</v>
          </cell>
          <cell r="H441">
            <v>17224.001375333257</v>
          </cell>
          <cell r="I441">
            <v>18101.208432888568</v>
          </cell>
          <cell r="J441">
            <v>18479.273472398963</v>
          </cell>
          <cell r="K441">
            <v>18813.326376763722</v>
          </cell>
          <cell r="L441">
            <v>18617.627857921481</v>
          </cell>
          <cell r="M441">
            <v>18187.382339297423</v>
          </cell>
          <cell r="N441">
            <v>18592.003280623045</v>
          </cell>
          <cell r="O441">
            <v>19318.083391311382</v>
          </cell>
          <cell r="P441">
            <v>19073.905789463981</v>
          </cell>
          <cell r="Q441">
            <v>31756.206330940593</v>
          </cell>
          <cell r="R441">
            <v>31840.419749403234</v>
          </cell>
          <cell r="S441">
            <v>29759.040825736171</v>
          </cell>
          <cell r="T441">
            <v>32044.071836647858</v>
          </cell>
          <cell r="U441">
            <v>30977.239176750398</v>
          </cell>
          <cell r="V441">
            <v>28573.008019563669</v>
          </cell>
          <cell r="W441">
            <v>27873.857997163941</v>
          </cell>
          <cell r="X441">
            <v>26633.752179554554</v>
          </cell>
          <cell r="Y441">
            <v>20819.111938441943</v>
          </cell>
          <cell r="Z441">
            <v>21088.974353118025</v>
          </cell>
          <cell r="AA441">
            <v>19875.9252210214</v>
          </cell>
          <cell r="AB441">
            <v>18482.292981103001</v>
          </cell>
          <cell r="AC441">
            <v>13981.537138376551</v>
          </cell>
          <cell r="AD441">
            <v>14242.785891165842</v>
          </cell>
          <cell r="AE441">
            <v>13667.395539628747</v>
          </cell>
          <cell r="AF441">
            <v>11069.204031618236</v>
          </cell>
          <cell r="AG441">
            <v>11062.032646622447</v>
          </cell>
          <cell r="AH441">
            <v>10523.498422258741</v>
          </cell>
          <cell r="AI441">
            <v>8874.5444297083995</v>
          </cell>
          <cell r="AJ441">
            <v>7892.8154864125854</v>
          </cell>
        </row>
        <row r="442">
          <cell r="E442" t="str">
            <v>ME Industrial Other Coal</v>
          </cell>
          <cell r="F442">
            <v>5409.117869142271</v>
          </cell>
          <cell r="G442">
            <v>8732.5521517208999</v>
          </cell>
          <cell r="H442">
            <v>19889.551526386123</v>
          </cell>
          <cell r="I442">
            <v>10356.993223475862</v>
          </cell>
          <cell r="J442">
            <v>11270.661833608518</v>
          </cell>
          <cell r="K442">
            <v>6835.7888056068114</v>
          </cell>
          <cell r="L442">
            <v>5424.8354770687765</v>
          </cell>
          <cell r="M442">
            <v>4466.1825912560425</v>
          </cell>
          <cell r="N442">
            <v>3274.8046929913812</v>
          </cell>
          <cell r="O442">
            <v>2775.6479623095265</v>
          </cell>
          <cell r="P442">
            <v>5338.2530622382701</v>
          </cell>
          <cell r="Q442">
            <v>3025.1651809179048</v>
          </cell>
          <cell r="R442">
            <v>2137.5935962860353</v>
          </cell>
          <cell r="S442">
            <v>2911.6880413408353</v>
          </cell>
          <cell r="T442">
            <v>2758.4846412541719</v>
          </cell>
          <cell r="U442">
            <v>3023.7046791788321</v>
          </cell>
          <cell r="V442">
            <v>2610.2646082740298</v>
          </cell>
          <cell r="W442">
            <v>2739.809937673042</v>
          </cell>
          <cell r="X442">
            <v>2456.5337684788992</v>
          </cell>
          <cell r="Y442">
            <v>748.87539896819192</v>
          </cell>
          <cell r="Z442">
            <v>802.62686619222643</v>
          </cell>
          <cell r="AA442">
            <v>525.92496659641017</v>
          </cell>
          <cell r="AB442">
            <v>442.87946624978525</v>
          </cell>
          <cell r="AC442">
            <v>627.95421633013211</v>
          </cell>
          <cell r="AD442">
            <v>742.80863257824035</v>
          </cell>
          <cell r="AE442">
            <v>674.68614798779402</v>
          </cell>
          <cell r="AF442">
            <v>385.03965110396405</v>
          </cell>
          <cell r="AG442">
            <v>419.05052388427191</v>
          </cell>
          <cell r="AH442">
            <v>474.32588994065333</v>
          </cell>
          <cell r="AI442">
            <v>392.42371961188417</v>
          </cell>
          <cell r="AJ442">
            <v>287.47219030551759</v>
          </cell>
        </row>
        <row r="443">
          <cell r="E443" t="str">
            <v>MI Industrial Other Coal</v>
          </cell>
          <cell r="F443">
            <v>87398.362100364902</v>
          </cell>
          <cell r="G443">
            <v>74678.843929890078</v>
          </cell>
          <cell r="H443">
            <v>73815.904781951482</v>
          </cell>
          <cell r="I443">
            <v>76669.59334175117</v>
          </cell>
          <cell r="J443">
            <v>68979.95864553022</v>
          </cell>
          <cell r="K443">
            <v>70062.68080266875</v>
          </cell>
          <cell r="L443">
            <v>67698.664119935493</v>
          </cell>
          <cell r="M443">
            <v>55439.533965477414</v>
          </cell>
          <cell r="N443">
            <v>48823.570498075933</v>
          </cell>
          <cell r="O443">
            <v>44704.020096875538</v>
          </cell>
          <cell r="P443">
            <v>46979.818447681238</v>
          </cell>
          <cell r="Q443">
            <v>51601.592150936536</v>
          </cell>
          <cell r="R443">
            <v>43003.408530008084</v>
          </cell>
          <cell r="S443">
            <v>43960.413670709306</v>
          </cell>
          <cell r="T443">
            <v>45551.646477541981</v>
          </cell>
          <cell r="U443">
            <v>42977.185519251041</v>
          </cell>
          <cell r="V443">
            <v>41884.418577657525</v>
          </cell>
          <cell r="W443">
            <v>41046.774622932084</v>
          </cell>
          <cell r="X443">
            <v>38636.527314944236</v>
          </cell>
          <cell r="Y443">
            <v>20258.160102577436</v>
          </cell>
          <cell r="Z443">
            <v>25840.488156109823</v>
          </cell>
          <cell r="AA443">
            <v>24631.278191241297</v>
          </cell>
          <cell r="AB443">
            <v>22060.650386323658</v>
          </cell>
          <cell r="AC443">
            <v>26850.048180272304</v>
          </cell>
          <cell r="AD443">
            <v>24444.328252452033</v>
          </cell>
          <cell r="AE443">
            <v>20512.459315979304</v>
          </cell>
          <cell r="AF443">
            <v>15805.83194864301</v>
          </cell>
          <cell r="AG443">
            <v>16104.156692068687</v>
          </cell>
          <cell r="AH443">
            <v>13705.103367447258</v>
          </cell>
          <cell r="AI443">
            <v>12036.658054554273</v>
          </cell>
          <cell r="AJ443">
            <v>5824.588512390822</v>
          </cell>
        </row>
        <row r="444">
          <cell r="E444" t="str">
            <v>MN Industrial Other Coal</v>
          </cell>
          <cell r="F444">
            <v>23284.722466515563</v>
          </cell>
          <cell r="G444">
            <v>14698.039101750195</v>
          </cell>
          <cell r="H444">
            <v>18981.039151853041</v>
          </cell>
          <cell r="I444">
            <v>24364.032430575411</v>
          </cell>
          <cell r="J444">
            <v>26532.421020204227</v>
          </cell>
          <cell r="K444">
            <v>26133.964495623924</v>
          </cell>
          <cell r="L444">
            <v>37698.408944714596</v>
          </cell>
          <cell r="M444">
            <v>26531.992609609988</v>
          </cell>
          <cell r="N444">
            <v>36217.021458684329</v>
          </cell>
          <cell r="O444">
            <v>35243.169744897328</v>
          </cell>
          <cell r="P444">
            <v>37879.350109647115</v>
          </cell>
          <cell r="Q444">
            <v>23048.11299092714</v>
          </cell>
          <cell r="R444">
            <v>22799.128199757706</v>
          </cell>
          <cell r="S444">
            <v>22446.637760757247</v>
          </cell>
          <cell r="T444">
            <v>23128.404524905058</v>
          </cell>
          <cell r="U444">
            <v>23188.311186768762</v>
          </cell>
          <cell r="V444">
            <v>22595.689855436878</v>
          </cell>
          <cell r="W444">
            <v>24051.930413014656</v>
          </cell>
          <cell r="X444">
            <v>24379.674859142469</v>
          </cell>
          <cell r="Y444">
            <v>21050.257921059478</v>
          </cell>
          <cell r="Z444">
            <v>23214.725090376553</v>
          </cell>
          <cell r="AA444">
            <v>22700.133113197935</v>
          </cell>
          <cell r="AB444">
            <v>19361.712125742146</v>
          </cell>
          <cell r="AC444">
            <v>21891.940106987433</v>
          </cell>
          <cell r="AD444">
            <v>21146.804776785684</v>
          </cell>
          <cell r="AE444">
            <v>15894.223540197627</v>
          </cell>
          <cell r="AF444">
            <v>17920.348987484733</v>
          </cell>
          <cell r="AG444">
            <v>19762.062232813332</v>
          </cell>
          <cell r="AH444">
            <v>17322.169511408105</v>
          </cell>
          <cell r="AI444">
            <v>16112.970366959235</v>
          </cell>
          <cell r="AJ444">
            <v>11946.260747285825</v>
          </cell>
        </row>
        <row r="445">
          <cell r="E445" t="str">
            <v>MO Industrial Other Coal</v>
          </cell>
          <cell r="F445">
            <v>29695.890907837631</v>
          </cell>
          <cell r="G445">
            <v>27785.744907164659</v>
          </cell>
          <cell r="H445">
            <v>25780.852749529829</v>
          </cell>
          <cell r="I445">
            <v>27208.185908548101</v>
          </cell>
          <cell r="J445">
            <v>24247.148239567858</v>
          </cell>
          <cell r="K445">
            <v>24970.717151326469</v>
          </cell>
          <cell r="L445">
            <v>24405.628290419136</v>
          </cell>
          <cell r="M445">
            <v>30156.638472644572</v>
          </cell>
          <cell r="N445">
            <v>26956.762524461505</v>
          </cell>
          <cell r="O445">
            <v>26714.642486404366</v>
          </cell>
          <cell r="P445">
            <v>20425.599900528356</v>
          </cell>
          <cell r="Q445">
            <v>22024.298112339879</v>
          </cell>
          <cell r="R445">
            <v>21530.224214560789</v>
          </cell>
          <cell r="S445">
            <v>21577.337639265439</v>
          </cell>
          <cell r="T445">
            <v>22677.471616849383</v>
          </cell>
          <cell r="U445">
            <v>22536.415862956987</v>
          </cell>
          <cell r="V445">
            <v>22733.714638680147</v>
          </cell>
          <cell r="W445">
            <v>22754.322097283228</v>
          </cell>
          <cell r="X445">
            <v>20854.880108928537</v>
          </cell>
          <cell r="Y445">
            <v>16658.484251326317</v>
          </cell>
          <cell r="Z445">
            <v>16213.621370075683</v>
          </cell>
          <cell r="AA445">
            <v>11423.49412610632</v>
          </cell>
          <cell r="AB445">
            <v>20645.972009468518</v>
          </cell>
          <cell r="AC445">
            <v>21957.465764343622</v>
          </cell>
          <cell r="AD445">
            <v>22106.531758509471</v>
          </cell>
          <cell r="AE445">
            <v>19254.924352816073</v>
          </cell>
          <cell r="AF445">
            <v>14659.858830274205</v>
          </cell>
          <cell r="AG445">
            <v>18276.911128810578</v>
          </cell>
          <cell r="AH445">
            <v>16624.371647249602</v>
          </cell>
          <cell r="AI445">
            <v>16050.042732633943</v>
          </cell>
          <cell r="AJ445">
            <v>15901.843134863571</v>
          </cell>
        </row>
        <row r="446">
          <cell r="E446" t="str">
            <v>MS Industrial Other Coal</v>
          </cell>
          <cell r="F446">
            <v>6160.9002008556999</v>
          </cell>
          <cell r="G446">
            <v>5445.1510260481409</v>
          </cell>
          <cell r="H446">
            <v>5584.5936377049529</v>
          </cell>
          <cell r="I446">
            <v>6193.2152776123648</v>
          </cell>
          <cell r="J446">
            <v>6979.0003589766129</v>
          </cell>
          <cell r="K446">
            <v>6743.9020405950796</v>
          </cell>
          <cell r="L446">
            <v>5258.8172117298609</v>
          </cell>
          <cell r="M446">
            <v>5317.1535877311062</v>
          </cell>
          <cell r="N446">
            <v>4962.4400318279431</v>
          </cell>
          <cell r="O446">
            <v>4287.5232490423696</v>
          </cell>
          <cell r="P446">
            <v>3474.0416007286508</v>
          </cell>
          <cell r="Q446">
            <v>3516.2940894653011</v>
          </cell>
          <cell r="R446">
            <v>3396.2116980362557</v>
          </cell>
          <cell r="S446">
            <v>3306.1446556091605</v>
          </cell>
          <cell r="T446">
            <v>3473.8535139104001</v>
          </cell>
          <cell r="U446">
            <v>2697.7570172729438</v>
          </cell>
          <cell r="V446">
            <v>3395.2218789636299</v>
          </cell>
          <cell r="W446">
            <v>3304.1902619128073</v>
          </cell>
          <cell r="X446">
            <v>2930.4871123403809</v>
          </cell>
          <cell r="Y446">
            <v>2424.2139640375599</v>
          </cell>
          <cell r="Z446">
            <v>2652.7655937142149</v>
          </cell>
          <cell r="AA446">
            <v>2406.5885906034687</v>
          </cell>
          <cell r="AB446">
            <v>2362.0238199988548</v>
          </cell>
          <cell r="AC446">
            <v>2549.1300868705798</v>
          </cell>
          <cell r="AD446">
            <v>2293.1368338243592</v>
          </cell>
          <cell r="AE446">
            <v>2329.5766996559678</v>
          </cell>
          <cell r="AF446">
            <v>0</v>
          </cell>
          <cell r="AG446">
            <v>0</v>
          </cell>
          <cell r="AH446">
            <v>0</v>
          </cell>
          <cell r="AI446">
            <v>493.80713046929742</v>
          </cell>
          <cell r="AJ446">
            <v>1963.3738954908756</v>
          </cell>
        </row>
        <row r="447">
          <cell r="E447" t="str">
            <v>MT Industrial Other Coal</v>
          </cell>
          <cell r="F447">
            <v>3952.4785008028557</v>
          </cell>
          <cell r="G447">
            <v>5021.5318165616245</v>
          </cell>
          <cell r="H447">
            <v>4561.9125089706949</v>
          </cell>
          <cell r="I447">
            <v>6676.5547001013465</v>
          </cell>
          <cell r="J447">
            <v>10336.449416168554</v>
          </cell>
          <cell r="K447">
            <v>10996.108719329475</v>
          </cell>
          <cell r="L447">
            <v>2240.3032964768463</v>
          </cell>
          <cell r="M447">
            <v>1811.3795046919311</v>
          </cell>
          <cell r="N447">
            <v>2506.8195216261461</v>
          </cell>
          <cell r="O447">
            <v>2930.7120942821261</v>
          </cell>
          <cell r="P447">
            <v>2492.1860172749443</v>
          </cell>
          <cell r="Q447">
            <v>2468.8672441209501</v>
          </cell>
          <cell r="R447">
            <v>1258.6181017502204</v>
          </cell>
          <cell r="S447">
            <v>1275.9082428347481</v>
          </cell>
          <cell r="T447">
            <v>1272.0761665521256</v>
          </cell>
          <cell r="U447">
            <v>1235.219525666407</v>
          </cell>
          <cell r="V447">
            <v>1213.1157819748369</v>
          </cell>
          <cell r="W447">
            <v>1520.561865307136</v>
          </cell>
          <cell r="X447">
            <v>1293.1089263622312</v>
          </cell>
          <cell r="Y447">
            <v>832.50138454933256</v>
          </cell>
          <cell r="Z447">
            <v>1035.4072798210625</v>
          </cell>
          <cell r="AA447">
            <v>1112.4276780363859</v>
          </cell>
          <cell r="AB447">
            <v>3789.3817725748499</v>
          </cell>
          <cell r="AC447">
            <v>4078.0620918482928</v>
          </cell>
          <cell r="AD447">
            <v>4425.8634598772214</v>
          </cell>
          <cell r="AE447">
            <v>4518.2149182632729</v>
          </cell>
          <cell r="AF447">
            <v>4272.0195019159528</v>
          </cell>
          <cell r="AG447">
            <v>4089.5726395415613</v>
          </cell>
          <cell r="AH447">
            <v>3788.4241004757209</v>
          </cell>
          <cell r="AI447">
            <v>3086.9500616239975</v>
          </cell>
          <cell r="AJ447">
            <v>3124.6217402204588</v>
          </cell>
        </row>
        <row r="448">
          <cell r="E448" t="str">
            <v>NC Industrial Other Coal</v>
          </cell>
          <cell r="F448">
            <v>72874.005660486582</v>
          </cell>
          <cell r="G448">
            <v>65612.619113162669</v>
          </cell>
          <cell r="H448">
            <v>69416.53761794517</v>
          </cell>
          <cell r="I448">
            <v>61037.043460236346</v>
          </cell>
          <cell r="J448">
            <v>59264.346595381889</v>
          </cell>
          <cell r="K448">
            <v>60183.87604513087</v>
          </cell>
          <cell r="L448">
            <v>55409.539342461656</v>
          </cell>
          <cell r="M448">
            <v>51020.522715489395</v>
          </cell>
          <cell r="N448">
            <v>45594.168702008028</v>
          </cell>
          <cell r="O448">
            <v>42534.091400083977</v>
          </cell>
          <cell r="P448">
            <v>43806.153316078002</v>
          </cell>
          <cell r="Q448">
            <v>43050.282270190139</v>
          </cell>
          <cell r="R448">
            <v>39429.531572437998</v>
          </cell>
          <cell r="S448">
            <v>39332.558937907226</v>
          </cell>
          <cell r="T448">
            <v>35375.964990614804</v>
          </cell>
          <cell r="U448">
            <v>34667.868466745313</v>
          </cell>
          <cell r="V448">
            <v>30192.68659843874</v>
          </cell>
          <cell r="W448">
            <v>28088.41580637906</v>
          </cell>
          <cell r="X448">
            <v>25984.398779303392</v>
          </cell>
          <cell r="Y448">
            <v>21389.459952461631</v>
          </cell>
          <cell r="Z448">
            <v>21469.803109814799</v>
          </cell>
          <cell r="AA448">
            <v>18157.720094549361</v>
          </cell>
          <cell r="AB448">
            <v>15553.310989586016</v>
          </cell>
          <cell r="AC448">
            <v>16293.13671733095</v>
          </cell>
          <cell r="AD448">
            <v>14366.739233534727</v>
          </cell>
          <cell r="AE448">
            <v>13036.354856739896</v>
          </cell>
          <cell r="AF448">
            <v>12723.68557282268</v>
          </cell>
          <cell r="AG448">
            <v>11160.26169415661</v>
          </cell>
          <cell r="AH448">
            <v>9518.316182496239</v>
          </cell>
          <cell r="AI448">
            <v>8521.4504815498221</v>
          </cell>
          <cell r="AJ448">
            <v>8173.2974714827105</v>
          </cell>
        </row>
        <row r="449">
          <cell r="E449" t="str">
            <v>ND Industrial Other Coal</v>
          </cell>
          <cell r="F449">
            <v>84397.098435397114</v>
          </cell>
          <cell r="G449">
            <v>81563.139667618438</v>
          </cell>
          <cell r="H449">
            <v>90106.237955554781</v>
          </cell>
          <cell r="I449">
            <v>89842.308312465073</v>
          </cell>
          <cell r="J449">
            <v>92463.378379279529</v>
          </cell>
          <cell r="K449">
            <v>97201.534600761413</v>
          </cell>
          <cell r="L449">
            <v>84879.668011316244</v>
          </cell>
          <cell r="M449">
            <v>81039.420871631344</v>
          </cell>
          <cell r="N449">
            <v>85892.6207883881</v>
          </cell>
          <cell r="O449">
            <v>85442.275018551853</v>
          </cell>
          <cell r="P449">
            <v>89741.224857082401</v>
          </cell>
          <cell r="Q449">
            <v>88310.644628843569</v>
          </cell>
          <cell r="R449">
            <v>86197.573443936708</v>
          </cell>
          <cell r="S449">
            <v>88656.460885089633</v>
          </cell>
          <cell r="T449">
            <v>78703.56582904268</v>
          </cell>
          <cell r="U449">
            <v>86734.015301850464</v>
          </cell>
          <cell r="V449">
            <v>89529.259231488133</v>
          </cell>
          <cell r="W449">
            <v>85845.512327008517</v>
          </cell>
          <cell r="X449">
            <v>85558.841336254263</v>
          </cell>
          <cell r="Y449">
            <v>88199.105489268855</v>
          </cell>
          <cell r="Z449">
            <v>89187.487677752215</v>
          </cell>
          <cell r="AA449">
            <v>85130.088397586471</v>
          </cell>
          <cell r="AB449">
            <v>85207.654528110521</v>
          </cell>
          <cell r="AC449">
            <v>80192.483661081045</v>
          </cell>
          <cell r="AD449">
            <v>85063.892622281899</v>
          </cell>
          <cell r="AE449">
            <v>86983.593381143321</v>
          </cell>
          <cell r="AF449">
            <v>86003.773470813219</v>
          </cell>
          <cell r="AG449">
            <v>85231.271822371578</v>
          </cell>
          <cell r="AH449">
            <v>83984.831037871889</v>
          </cell>
          <cell r="AI449">
            <v>73305.450019436903</v>
          </cell>
          <cell r="AJ449">
            <v>74845.875006656614</v>
          </cell>
        </row>
        <row r="450">
          <cell r="E450" t="str">
            <v>NE Industrial Other Coal</v>
          </cell>
          <cell r="F450">
            <v>4376.7613772184977</v>
          </cell>
          <cell r="G450">
            <v>5927.7674313763864</v>
          </cell>
          <cell r="H450">
            <v>5801.3207643241331</v>
          </cell>
          <cell r="I450">
            <v>6698.1235992793536</v>
          </cell>
          <cell r="J450">
            <v>7793.9725838952318</v>
          </cell>
          <cell r="K450">
            <v>6415.4557316169748</v>
          </cell>
          <cell r="L450">
            <v>5085.2526616028126</v>
          </cell>
          <cell r="M450">
            <v>5349.2300997933589</v>
          </cell>
          <cell r="N450">
            <v>7083.8179391462536</v>
          </cell>
          <cell r="O450">
            <v>7483.782669327572</v>
          </cell>
          <cell r="P450">
            <v>7837.94849124135</v>
          </cell>
          <cell r="Q450">
            <v>9573.2358019930962</v>
          </cell>
          <cell r="R450">
            <v>7443.2392941543494</v>
          </cell>
          <cell r="S450">
            <v>7287.1653195162608</v>
          </cell>
          <cell r="T450">
            <v>6912.448899207393</v>
          </cell>
          <cell r="U450">
            <v>7349.3213451056799</v>
          </cell>
          <cell r="V450">
            <v>7657.0891656383856</v>
          </cell>
          <cell r="W450">
            <v>7542.1734239314083</v>
          </cell>
          <cell r="X450">
            <v>7281.9012772418573</v>
          </cell>
          <cell r="Y450">
            <v>6827.2630475569422</v>
          </cell>
          <cell r="Z450">
            <v>11863.421000179997</v>
          </cell>
          <cell r="AA450">
            <v>17480.350765844036</v>
          </cell>
          <cell r="AB450">
            <v>17132.823850812245</v>
          </cell>
          <cell r="AC450">
            <v>18471.864824424192</v>
          </cell>
          <cell r="AD450">
            <v>20024.844744020269</v>
          </cell>
          <cell r="AE450">
            <v>19254.015072293176</v>
          </cell>
          <cell r="AF450">
            <v>18303.559471600078</v>
          </cell>
          <cell r="AG450">
            <v>18944.688415258417</v>
          </cell>
          <cell r="AH450">
            <v>17959.020473507197</v>
          </cell>
          <cell r="AI450">
            <v>15312.391019154144</v>
          </cell>
          <cell r="AJ450">
            <v>13246.438921068835</v>
          </cell>
        </row>
        <row r="451">
          <cell r="E451" t="str">
            <v>NH Industrial Other Coal</v>
          </cell>
          <cell r="F451">
            <v>682.37199939658501</v>
          </cell>
          <cell r="G451">
            <v>1245.7112826909424</v>
          </cell>
          <cell r="H451">
            <v>1077.8304422043168</v>
          </cell>
          <cell r="I451">
            <v>1934.3380944640171</v>
          </cell>
          <cell r="J451">
            <v>0</v>
          </cell>
          <cell r="K451">
            <v>13.68526287408771</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row>
        <row r="452">
          <cell r="E452" t="str">
            <v>NJ Industrial Other Coal</v>
          </cell>
          <cell r="F452">
            <v>6809.0558392510238</v>
          </cell>
          <cell r="G452">
            <v>5717.892160923021</v>
          </cell>
          <cell r="H452">
            <v>5269.1782659288237</v>
          </cell>
          <cell r="I452">
            <v>5498.1084813756752</v>
          </cell>
          <cell r="J452">
            <v>1778.748326454785</v>
          </cell>
          <cell r="K452">
            <v>293.25563301616523</v>
          </cell>
          <cell r="L452">
            <v>162.2451229448495</v>
          </cell>
          <cell r="M452">
            <v>236.80013316545558</v>
          </cell>
          <cell r="N452">
            <v>227.98050370087492</v>
          </cell>
          <cell r="O452">
            <v>178.32375176848916</v>
          </cell>
          <cell r="P452">
            <v>187.73529320338562</v>
          </cell>
          <cell r="Q452">
            <v>129.39357782883329</v>
          </cell>
          <cell r="R452">
            <v>123.4306013603485</v>
          </cell>
          <cell r="S452">
            <v>169.18636773120102</v>
          </cell>
          <cell r="T452">
            <v>147.52743288241282</v>
          </cell>
          <cell r="U452">
            <v>138.08157435206223</v>
          </cell>
          <cell r="V452">
            <v>109.85646013239621</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row>
        <row r="453">
          <cell r="E453" t="str">
            <v>NM Industrial Other Coal</v>
          </cell>
          <cell r="F453">
            <v>857.36424566017922</v>
          </cell>
          <cell r="G453">
            <v>854.00858898765694</v>
          </cell>
          <cell r="H453">
            <v>947.21364714365018</v>
          </cell>
          <cell r="I453">
            <v>1276.4866695347948</v>
          </cell>
          <cell r="J453">
            <v>1469.3150995812102</v>
          </cell>
          <cell r="K453">
            <v>1635.3889134534813</v>
          </cell>
          <cell r="L453">
            <v>1536.6122399834876</v>
          </cell>
          <cell r="M453">
            <v>1569.8622373996736</v>
          </cell>
          <cell r="N453">
            <v>1520.5140373948184</v>
          </cell>
          <cell r="O453">
            <v>1558.3945263246226</v>
          </cell>
          <cell r="P453">
            <v>1789.117344228265</v>
          </cell>
          <cell r="Q453">
            <v>1679.2830757639822</v>
          </cell>
          <cell r="R453">
            <v>1688.7550458847682</v>
          </cell>
          <cell r="S453">
            <v>1872.2668208043958</v>
          </cell>
          <cell r="T453">
            <v>1835.2783788768086</v>
          </cell>
          <cell r="U453">
            <v>1809.150423143346</v>
          </cell>
          <cell r="V453">
            <v>1817.7957847548639</v>
          </cell>
          <cell r="W453">
            <v>1755.6425954036995</v>
          </cell>
          <cell r="X453">
            <v>1459.1791925184195</v>
          </cell>
          <cell r="Y453">
            <v>1373.7212462879506</v>
          </cell>
          <cell r="Z453">
            <v>1016.7848467307556</v>
          </cell>
          <cell r="AA453">
            <v>524.08927735872635</v>
          </cell>
          <cell r="AB453">
            <v>919.26923976182422</v>
          </cell>
          <cell r="AC453">
            <v>1128.4974322454548</v>
          </cell>
          <cell r="AD453">
            <v>1321.5613708447222</v>
          </cell>
          <cell r="AE453">
            <v>1537.5933642147704</v>
          </cell>
          <cell r="AF453">
            <v>1653.5669577101355</v>
          </cell>
          <cell r="AG453">
            <v>1601.4038299835511</v>
          </cell>
          <cell r="AH453">
            <v>1583.7361651091089</v>
          </cell>
          <cell r="AI453">
            <v>1274.2845950871426</v>
          </cell>
          <cell r="AJ453">
            <v>1360.4686939382702</v>
          </cell>
        </row>
        <row r="454">
          <cell r="E454" t="str">
            <v>NV Industrial Other Coal</v>
          </cell>
          <cell r="F454">
            <v>3830.2772115126363</v>
          </cell>
          <cell r="G454">
            <v>4410.2821809555098</v>
          </cell>
          <cell r="H454">
            <v>3866.2571337957365</v>
          </cell>
          <cell r="I454">
            <v>4457.8992982908694</v>
          </cell>
          <cell r="J454">
            <v>4465.1017546629528</v>
          </cell>
          <cell r="K454">
            <v>5639.3058229008575</v>
          </cell>
          <cell r="L454">
            <v>3820.306673992096</v>
          </cell>
          <cell r="M454">
            <v>4016.1679955591412</v>
          </cell>
          <cell r="N454">
            <v>5672.4640581844815</v>
          </cell>
          <cell r="O454">
            <v>6806.3462427722789</v>
          </cell>
          <cell r="P454">
            <v>5048.2020342390397</v>
          </cell>
          <cell r="Q454">
            <v>4599.6111242804236</v>
          </cell>
          <cell r="R454">
            <v>3984.377215124583</v>
          </cell>
          <cell r="S454">
            <v>4885.8405753093248</v>
          </cell>
          <cell r="T454">
            <v>4530.6695268227786</v>
          </cell>
          <cell r="U454">
            <v>4315.2840311113869</v>
          </cell>
          <cell r="V454">
            <v>4378.2963555330216</v>
          </cell>
          <cell r="W454">
            <v>4352.7249469466851</v>
          </cell>
          <cell r="X454">
            <v>4086.4481222702543</v>
          </cell>
          <cell r="Y454">
            <v>3188.1232480540466</v>
          </cell>
          <cell r="Z454">
            <v>3903.2619757283214</v>
          </cell>
          <cell r="AA454">
            <v>2294.6115471047565</v>
          </cell>
          <cell r="AB454">
            <v>6269.1445099816228</v>
          </cell>
          <cell r="AC454">
            <v>6901.1258296107135</v>
          </cell>
          <cell r="AD454">
            <v>6671.6063686781836</v>
          </cell>
          <cell r="AE454">
            <v>6201.2931661411794</v>
          </cell>
          <cell r="AF454">
            <v>5894.4906208195926</v>
          </cell>
          <cell r="AG454">
            <v>5228.669117368916</v>
          </cell>
          <cell r="AH454">
            <v>6048.7592072878851</v>
          </cell>
          <cell r="AI454">
            <v>5836.53808367074</v>
          </cell>
          <cell r="AJ454">
            <v>5154.4025854475631</v>
          </cell>
        </row>
        <row r="455">
          <cell r="E455" t="str">
            <v>NY Industrial Other Coal</v>
          </cell>
          <cell r="F455">
            <v>45265.312773725906</v>
          </cell>
          <cell r="G455">
            <v>47741.304608843398</v>
          </cell>
          <cell r="H455">
            <v>39182.135922754242</v>
          </cell>
          <cell r="I455">
            <v>42007.39195818537</v>
          </cell>
          <cell r="J455">
            <v>38723.498885341149</v>
          </cell>
          <cell r="K455">
            <v>34568.974019945555</v>
          </cell>
          <cell r="L455">
            <v>34199.762659816646</v>
          </cell>
          <cell r="M455">
            <v>35228.50108578198</v>
          </cell>
          <cell r="N455">
            <v>38317.146946166118</v>
          </cell>
          <cell r="O455">
            <v>36919.800671851051</v>
          </cell>
          <cell r="P455">
            <v>40168.782010262403</v>
          </cell>
          <cell r="Q455">
            <v>38809.573040617433</v>
          </cell>
          <cell r="R455">
            <v>28039.318275692502</v>
          </cell>
          <cell r="S455">
            <v>26815.571919738646</v>
          </cell>
          <cell r="T455">
            <v>28317.844349504649</v>
          </cell>
          <cell r="U455">
            <v>29231.023892937581</v>
          </cell>
          <cell r="V455">
            <v>26992.765093043814</v>
          </cell>
          <cell r="W455">
            <v>24975.461852679728</v>
          </cell>
          <cell r="X455">
            <v>22781.481792144994</v>
          </cell>
          <cell r="Y455">
            <v>17994.620784993531</v>
          </cell>
          <cell r="Z455">
            <v>19101.029620727764</v>
          </cell>
          <cell r="AA455">
            <v>18931.463108233082</v>
          </cell>
          <cell r="AB455">
            <v>17446.190507913321</v>
          </cell>
          <cell r="AC455">
            <v>15500.458279035958</v>
          </cell>
          <cell r="AD455">
            <v>13811.683457779944</v>
          </cell>
          <cell r="AE455">
            <v>13561.918998972975</v>
          </cell>
          <cell r="AF455">
            <v>9868.3559035909075</v>
          </cell>
          <cell r="AG455">
            <v>9074.0209139585677</v>
          </cell>
          <cell r="AH455">
            <v>6456.8384645552624</v>
          </cell>
          <cell r="AI455">
            <v>7768.9408544098842</v>
          </cell>
          <cell r="AJ455">
            <v>3524.8109899466808</v>
          </cell>
        </row>
        <row r="456">
          <cell r="E456" t="str">
            <v>OH Industrial Other Coal</v>
          </cell>
          <cell r="F456">
            <v>112937.45395170643</v>
          </cell>
          <cell r="G456">
            <v>113795.91910724658</v>
          </cell>
          <cell r="H456">
            <v>93798.339362602972</v>
          </cell>
          <cell r="I456">
            <v>98697.321829545152</v>
          </cell>
          <cell r="J456">
            <v>91786.370013476524</v>
          </cell>
          <cell r="K456">
            <v>86472.288507476638</v>
          </cell>
          <cell r="L456">
            <v>87572.748395081042</v>
          </cell>
          <cell r="M456">
            <v>86480.163373484669</v>
          </cell>
          <cell r="N456">
            <v>86707.940894843778</v>
          </cell>
          <cell r="O456">
            <v>79496.534708227497</v>
          </cell>
          <cell r="P456">
            <v>62616.291018591226</v>
          </cell>
          <cell r="Q456">
            <v>55035.716596087179</v>
          </cell>
          <cell r="R456">
            <v>50218.488227708462</v>
          </cell>
          <cell r="S456">
            <v>49263.14441180932</v>
          </cell>
          <cell r="T456">
            <v>46179.797874154516</v>
          </cell>
          <cell r="U456">
            <v>45738.817006292287</v>
          </cell>
          <cell r="V456">
            <v>45405.45896651638</v>
          </cell>
          <cell r="W456">
            <v>44031.926751142411</v>
          </cell>
          <cell r="X456">
            <v>42738.836080611436</v>
          </cell>
          <cell r="Y456">
            <v>34021.681864291459</v>
          </cell>
          <cell r="Z456">
            <v>38236.510742672595</v>
          </cell>
          <cell r="AA456">
            <v>35142.434766218765</v>
          </cell>
          <cell r="AB456">
            <v>29973.611320115833</v>
          </cell>
          <cell r="AC456">
            <v>29216.252473690191</v>
          </cell>
          <cell r="AD456">
            <v>29833.564380593303</v>
          </cell>
          <cell r="AE456">
            <v>23783.141356831184</v>
          </cell>
          <cell r="AF456">
            <v>15781.138194296675</v>
          </cell>
          <cell r="AG456">
            <v>12431.832208566733</v>
          </cell>
          <cell r="AH456">
            <v>11117.068251011291</v>
          </cell>
          <cell r="AI456">
            <v>9777.3811832920892</v>
          </cell>
          <cell r="AJ456">
            <v>8741.2516468583526</v>
          </cell>
        </row>
        <row r="457">
          <cell r="E457" t="str">
            <v>OK Industrial Other Coal</v>
          </cell>
          <cell r="F457">
            <v>12410.76294031468</v>
          </cell>
          <cell r="G457">
            <v>15570.423866491832</v>
          </cell>
          <cell r="H457">
            <v>16071.670983353597</v>
          </cell>
          <cell r="I457">
            <v>26332.684682822623</v>
          </cell>
          <cell r="J457">
            <v>15878.654728069778</v>
          </cell>
          <cell r="K457">
            <v>32251.277000341131</v>
          </cell>
          <cell r="L457">
            <v>15474.600243664279</v>
          </cell>
          <cell r="M457">
            <v>14491.979464360809</v>
          </cell>
          <cell r="N457">
            <v>15719.06252635863</v>
          </cell>
          <cell r="O457">
            <v>16258.474237327033</v>
          </cell>
          <cell r="P457">
            <v>13330.144493906397</v>
          </cell>
          <cell r="Q457">
            <v>13651.494700277051</v>
          </cell>
          <cell r="R457">
            <v>13640.951610945182</v>
          </cell>
          <cell r="S457">
            <v>13399.373378048434</v>
          </cell>
          <cell r="T457">
            <v>14035.518724605401</v>
          </cell>
          <cell r="U457">
            <v>14449.72012420254</v>
          </cell>
          <cell r="V457">
            <v>14101.062549301934</v>
          </cell>
          <cell r="W457">
            <v>14386.567537893652</v>
          </cell>
          <cell r="X457">
            <v>13616.828845784101</v>
          </cell>
          <cell r="Y457">
            <v>11329.911619521277</v>
          </cell>
          <cell r="Z457">
            <v>11551.495245917356</v>
          </cell>
          <cell r="AA457">
            <v>10835.15572542866</v>
          </cell>
          <cell r="AB457">
            <v>10447.970393982665</v>
          </cell>
          <cell r="AC457">
            <v>11092.037664683552</v>
          </cell>
          <cell r="AD457">
            <v>12131.933384354548</v>
          </cell>
          <cell r="AE457">
            <v>10481.276587406066</v>
          </cell>
          <cell r="AF457">
            <v>10261.626806143649</v>
          </cell>
          <cell r="AG457">
            <v>7969.1694251798208</v>
          </cell>
          <cell r="AH457">
            <v>6197.1516644760222</v>
          </cell>
          <cell r="AI457">
            <v>4305.2989817553262</v>
          </cell>
          <cell r="AJ457">
            <v>3246.9503318398279</v>
          </cell>
        </row>
        <row r="458">
          <cell r="E458" t="str">
            <v>OR Industrial Other Coal</v>
          </cell>
          <cell r="F458">
            <v>1391.1394772798574</v>
          </cell>
          <cell r="G458">
            <v>1810.5368953396305</v>
          </cell>
          <cell r="H458">
            <v>2233.0634296297699</v>
          </cell>
          <cell r="I458">
            <v>2179.4392214868271</v>
          </cell>
          <cell r="J458">
            <v>2814.4627259583744</v>
          </cell>
          <cell r="K458">
            <v>2734.1200184873805</v>
          </cell>
          <cell r="L458">
            <v>1816.7680627429079</v>
          </cell>
          <cell r="M458">
            <v>1838.7388826273823</v>
          </cell>
          <cell r="N458">
            <v>726.4463507756692</v>
          </cell>
          <cell r="O458">
            <v>0</v>
          </cell>
          <cell r="P458">
            <v>0</v>
          </cell>
          <cell r="Q458">
            <v>0</v>
          </cell>
          <cell r="R458">
            <v>1049.1601115629624</v>
          </cell>
          <cell r="S458">
            <v>1404.9011640883709</v>
          </cell>
          <cell r="T458">
            <v>1306.406449675706</v>
          </cell>
          <cell r="U458">
            <v>196.32006149374834</v>
          </cell>
          <cell r="V458">
            <v>2504.1639245564161</v>
          </cell>
          <cell r="W458">
            <v>2172.6310333130796</v>
          </cell>
          <cell r="X458">
            <v>1574.8685914137418</v>
          </cell>
          <cell r="Y458">
            <v>1816.2812373971331</v>
          </cell>
          <cell r="Z458">
            <v>1731.8862773985397</v>
          </cell>
          <cell r="AA458">
            <v>1687.9162540502589</v>
          </cell>
          <cell r="AB458">
            <v>1579.5128612262281</v>
          </cell>
          <cell r="AC458">
            <v>1803.7757344439449</v>
          </cell>
          <cell r="AD458">
            <v>2309.5424232555351</v>
          </cell>
          <cell r="AE458">
            <v>2149.5391561228371</v>
          </cell>
          <cell r="AF458">
            <v>0</v>
          </cell>
          <cell r="AG458">
            <v>858.82827798217454</v>
          </cell>
          <cell r="AH458">
            <v>1251.6197133070871</v>
          </cell>
          <cell r="AI458">
            <v>1036.5579765249322</v>
          </cell>
          <cell r="AJ458">
            <v>729.60267144409488</v>
          </cell>
        </row>
        <row r="459">
          <cell r="E459" t="str">
            <v>PA Industrial Other Coal</v>
          </cell>
          <cell r="F459">
            <v>99649.774559445141</v>
          </cell>
          <cell r="G459">
            <v>98153.9248720287</v>
          </cell>
          <cell r="H459">
            <v>101289.93820819365</v>
          </cell>
          <cell r="I459">
            <v>105986.62934720353</v>
          </cell>
          <cell r="J459">
            <v>100111.50345496683</v>
          </cell>
          <cell r="K459">
            <v>98945.428098430872</v>
          </cell>
          <cell r="L459">
            <v>105581.01375636082</v>
          </cell>
          <cell r="M459">
            <v>106632.70379000776</v>
          </cell>
          <cell r="N459">
            <v>86215.271162269855</v>
          </cell>
          <cell r="O459">
            <v>86477.328099468956</v>
          </cell>
          <cell r="P459">
            <v>80377.927108563541</v>
          </cell>
          <cell r="Q459">
            <v>77062.848144437914</v>
          </cell>
          <cell r="R459">
            <v>70372.274221038693</v>
          </cell>
          <cell r="S459">
            <v>68459.721395763336</v>
          </cell>
          <cell r="T459">
            <v>73427.836373889222</v>
          </cell>
          <cell r="U459">
            <v>63678.149706807148</v>
          </cell>
          <cell r="V459">
            <v>59479.292136811135</v>
          </cell>
          <cell r="W459">
            <v>54711.308489814859</v>
          </cell>
          <cell r="X459">
            <v>54555.948390354592</v>
          </cell>
          <cell r="Y459">
            <v>46418.059704426159</v>
          </cell>
          <cell r="Z459">
            <v>47714.398063984285</v>
          </cell>
          <cell r="AA459">
            <v>43658.197139833937</v>
          </cell>
          <cell r="AB459">
            <v>35228.38977242924</v>
          </cell>
          <cell r="AC459">
            <v>35117.201950044648</v>
          </cell>
          <cell r="AD459">
            <v>33622.344117559864</v>
          </cell>
          <cell r="AE459">
            <v>32193.986193606244</v>
          </cell>
          <cell r="AF459">
            <v>26409.512981658114</v>
          </cell>
          <cell r="AG459">
            <v>15566.149890436622</v>
          </cell>
          <cell r="AH459">
            <v>11938.526496159908</v>
          </cell>
          <cell r="AI459">
            <v>10518.528876456627</v>
          </cell>
          <cell r="AJ459">
            <v>10767.537389467761</v>
          </cell>
        </row>
        <row r="460">
          <cell r="E460" t="str">
            <v>RI Industrial Other Coal</v>
          </cell>
          <cell r="F460">
            <v>2.932830942965265</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row>
        <row r="461">
          <cell r="E461" t="str">
            <v>SC Industrial Other Coal</v>
          </cell>
          <cell r="F461">
            <v>56728.771319462801</v>
          </cell>
          <cell r="G461">
            <v>53956.320682268859</v>
          </cell>
          <cell r="H461">
            <v>53062.347344534428</v>
          </cell>
          <cell r="I461">
            <v>59110.548601837058</v>
          </cell>
          <cell r="J461">
            <v>57683.674952371657</v>
          </cell>
          <cell r="K461">
            <v>53885.72256672036</v>
          </cell>
          <cell r="L461">
            <v>47289.736910431049</v>
          </cell>
          <cell r="M461">
            <v>47619.469010065222</v>
          </cell>
          <cell r="N461">
            <v>47435.401075117639</v>
          </cell>
          <cell r="O461">
            <v>45143.045420522962</v>
          </cell>
          <cell r="P461">
            <v>47158.166976224449</v>
          </cell>
          <cell r="Q461">
            <v>50199.041325565609</v>
          </cell>
          <cell r="R461">
            <v>47345.921505140344</v>
          </cell>
          <cell r="S461">
            <v>48553.683344914396</v>
          </cell>
          <cell r="T461">
            <v>43263.579499629843</v>
          </cell>
          <cell r="U461">
            <v>36475.140229013123</v>
          </cell>
          <cell r="V461">
            <v>34787.879041925466</v>
          </cell>
          <cell r="W461">
            <v>30697.6253384429</v>
          </cell>
          <cell r="X461">
            <v>27732.801469060116</v>
          </cell>
          <cell r="Y461">
            <v>21776.582492455229</v>
          </cell>
          <cell r="Z461">
            <v>22221.218285008683</v>
          </cell>
          <cell r="AA461">
            <v>21306.844981795926</v>
          </cell>
          <cell r="AB461">
            <v>11669.738083084832</v>
          </cell>
          <cell r="AC461">
            <v>12072.192289303193</v>
          </cell>
          <cell r="AD461">
            <v>13101.686004064055</v>
          </cell>
          <cell r="AE461">
            <v>10293.964799689778</v>
          </cell>
          <cell r="AF461">
            <v>7723.6576094369984</v>
          </cell>
          <cell r="AG461">
            <v>6070.3749008267869</v>
          </cell>
          <cell r="AH461">
            <v>4701.7443429312807</v>
          </cell>
          <cell r="AI461">
            <v>3734.5802982217838</v>
          </cell>
          <cell r="AJ461">
            <v>3083.5542844625279</v>
          </cell>
        </row>
        <row r="462">
          <cell r="E462" t="str">
            <v>SD Industrial Other Coal</v>
          </cell>
          <cell r="F462">
            <v>3779.4414751679051</v>
          </cell>
          <cell r="G462">
            <v>4882.2597476893452</v>
          </cell>
          <cell r="H462">
            <v>4472.8995819663887</v>
          </cell>
          <cell r="I462">
            <v>5679.4833153725549</v>
          </cell>
          <cell r="J462">
            <v>7674.7323913738865</v>
          </cell>
          <cell r="K462">
            <v>6629.5323437187753</v>
          </cell>
          <cell r="L462">
            <v>6488.8616321954642</v>
          </cell>
          <cell r="M462">
            <v>7158.7227508345695</v>
          </cell>
          <cell r="N462">
            <v>7621.8905686436574</v>
          </cell>
          <cell r="O462">
            <v>8305.622568782348</v>
          </cell>
          <cell r="P462">
            <v>11800.101854298804</v>
          </cell>
          <cell r="Q462">
            <v>6024.8294377381562</v>
          </cell>
          <cell r="R462">
            <v>4825.9494971269596</v>
          </cell>
          <cell r="S462">
            <v>5770.0963978160435</v>
          </cell>
          <cell r="T462">
            <v>3777.2589890836639</v>
          </cell>
          <cell r="U462">
            <v>4324.6773354890784</v>
          </cell>
          <cell r="V462">
            <v>4304.119771341062</v>
          </cell>
          <cell r="W462">
            <v>4295.8204845026758</v>
          </cell>
          <cell r="X462">
            <v>3036.8467210022095</v>
          </cell>
          <cell r="Y462">
            <v>1943.1296424921215</v>
          </cell>
          <cell r="Z462">
            <v>2485.1636959014527</v>
          </cell>
          <cell r="AA462">
            <v>2855.4146092171591</v>
          </cell>
          <cell r="AB462">
            <v>3036.7583851442332</v>
          </cell>
          <cell r="AC462">
            <v>3103.3679386750009</v>
          </cell>
          <cell r="AD462">
            <v>3220.9640583208607</v>
          </cell>
          <cell r="AE462">
            <v>3044.2711906511245</v>
          </cell>
          <cell r="AF462">
            <v>3171.7755582625828</v>
          </cell>
          <cell r="AG462">
            <v>3374.9337891324694</v>
          </cell>
          <cell r="AH462">
            <v>2666.6477872082542</v>
          </cell>
          <cell r="AI462">
            <v>3207.5613607474716</v>
          </cell>
          <cell r="AJ462">
            <v>2840.6446525326373</v>
          </cell>
        </row>
        <row r="463">
          <cell r="E463" t="str">
            <v>TN Industrial Other Coal</v>
          </cell>
          <cell r="F463">
            <v>92850.494823337329</v>
          </cell>
          <cell r="G463">
            <v>89950.413148593478</v>
          </cell>
          <cell r="H463">
            <v>90056.893832976319</v>
          </cell>
          <cell r="I463">
            <v>97225.734662900199</v>
          </cell>
          <cell r="J463">
            <v>101164.95606492815</v>
          </cell>
          <cell r="K463">
            <v>92814.430330839576</v>
          </cell>
          <cell r="L463">
            <v>86612.483655791177</v>
          </cell>
          <cell r="M463">
            <v>85218.801707977836</v>
          </cell>
          <cell r="N463">
            <v>83162.650858478475</v>
          </cell>
          <cell r="O463">
            <v>79997.585684663951</v>
          </cell>
          <cell r="P463">
            <v>82010.285482966981</v>
          </cell>
          <cell r="Q463">
            <v>86921.316504856601</v>
          </cell>
          <cell r="R463">
            <v>81326.740091769621</v>
          </cell>
          <cell r="S463">
            <v>81527.265157543385</v>
          </cell>
          <cell r="T463">
            <v>77965.928664630614</v>
          </cell>
          <cell r="U463">
            <v>76646.545730647762</v>
          </cell>
          <cell r="V463">
            <v>73461.108784943717</v>
          </cell>
          <cell r="W463">
            <v>72413.260610102108</v>
          </cell>
          <cell r="X463">
            <v>71474.589999772128</v>
          </cell>
          <cell r="Y463">
            <v>62053.300154652905</v>
          </cell>
          <cell r="Z463">
            <v>64685.021339180938</v>
          </cell>
          <cell r="AA463">
            <v>61413.901291330549</v>
          </cell>
          <cell r="AB463">
            <v>57884.074533652914</v>
          </cell>
          <cell r="AC463">
            <v>58746.48205554545</v>
          </cell>
          <cell r="AD463">
            <v>55120.957645480761</v>
          </cell>
          <cell r="AE463">
            <v>50846.057559743196</v>
          </cell>
          <cell r="AF463">
            <v>46207.501882958612</v>
          </cell>
          <cell r="AG463">
            <v>35438.156561774427</v>
          </cell>
          <cell r="AH463">
            <v>32505.897720122874</v>
          </cell>
          <cell r="AI463">
            <v>28256.255801898027</v>
          </cell>
          <cell r="AJ463">
            <v>25452.211037718611</v>
          </cell>
        </row>
        <row r="464">
          <cell r="E464" t="str">
            <v>TX Industrial Other Coal</v>
          </cell>
          <cell r="F464">
            <v>60104.45973481582</v>
          </cell>
          <cell r="G464">
            <v>61112.390387727151</v>
          </cell>
          <cell r="H464">
            <v>58501.811209949752</v>
          </cell>
          <cell r="I464">
            <v>69493.032342523293</v>
          </cell>
          <cell r="J464">
            <v>81637.15726325057</v>
          </cell>
          <cell r="K464">
            <v>62242.530588904352</v>
          </cell>
          <cell r="L464">
            <v>69568.256176195326</v>
          </cell>
          <cell r="M464">
            <v>69925.852868886068</v>
          </cell>
          <cell r="N464">
            <v>60790.614904204907</v>
          </cell>
          <cell r="O464">
            <v>60636.859657060115</v>
          </cell>
          <cell r="P464">
            <v>68615.372312905412</v>
          </cell>
          <cell r="Q464">
            <v>71274.138374270609</v>
          </cell>
          <cell r="R464">
            <v>66976.997603315773</v>
          </cell>
          <cell r="S464">
            <v>67762.411835943029</v>
          </cell>
          <cell r="T464">
            <v>65818.575511822128</v>
          </cell>
          <cell r="U464">
            <v>65826.398417985154</v>
          </cell>
          <cell r="V464">
            <v>66588.976889994927</v>
          </cell>
          <cell r="W464">
            <v>37718.329999977563</v>
          </cell>
          <cell r="X464">
            <v>36363.790414065166</v>
          </cell>
          <cell r="Y464">
            <v>16032.69878619104</v>
          </cell>
          <cell r="Z464">
            <v>12875.550238638176</v>
          </cell>
          <cell r="AA464">
            <v>17852.077836475004</v>
          </cell>
          <cell r="AB464">
            <v>17974.204268288831</v>
          </cell>
          <cell r="AC464">
            <v>19669.528228323401</v>
          </cell>
          <cell r="AD464">
            <v>25045.866531595148</v>
          </cell>
          <cell r="AE464">
            <v>18564.780435939068</v>
          </cell>
          <cell r="AF464">
            <v>12624.91055543734</v>
          </cell>
          <cell r="AG464">
            <v>11276.514420137408</v>
          </cell>
          <cell r="AH464">
            <v>9497.1172600407917</v>
          </cell>
          <cell r="AI464">
            <v>8649.0537400427747</v>
          </cell>
          <cell r="AJ464">
            <v>5354.4972103106747</v>
          </cell>
        </row>
        <row r="465">
          <cell r="E465" t="str">
            <v>US Industrial Other Coal</v>
          </cell>
          <cell r="F465">
            <v>1673721.649075818</v>
          </cell>
          <cell r="G465">
            <v>1637583.2306445932</v>
          </cell>
          <cell r="H465">
            <v>1591005.4468931865</v>
          </cell>
          <cell r="I465">
            <v>1627640.1130068505</v>
          </cell>
          <cell r="J465">
            <v>1631970.5476539643</v>
          </cell>
          <cell r="K465">
            <v>1579052.5513135227</v>
          </cell>
          <cell r="L465">
            <v>1498341.2566804732</v>
          </cell>
          <cell r="M465">
            <v>1496898.5501531272</v>
          </cell>
          <cell r="N465">
            <v>1431057.7722074788</v>
          </cell>
          <cell r="O465">
            <v>1372985.3128758105</v>
          </cell>
          <cell r="P465">
            <v>1375765.5303589145</v>
          </cell>
          <cell r="Q465">
            <v>1396359.767687222</v>
          </cell>
          <cell r="R465">
            <v>1282313.9719704674</v>
          </cell>
          <cell r="S465">
            <v>1289035.6094005879</v>
          </cell>
          <cell r="T465">
            <v>1296326.3362742309</v>
          </cell>
          <cell r="U465">
            <v>1256782.7951958352</v>
          </cell>
          <cell r="V465">
            <v>1230473.1026757555</v>
          </cell>
          <cell r="W465">
            <v>1181496.1594044862</v>
          </cell>
          <cell r="X465">
            <v>1130389.9208579136</v>
          </cell>
          <cell r="Y465">
            <v>931071.99148629385</v>
          </cell>
          <cell r="Z465">
            <v>996932.40193483385</v>
          </cell>
          <cell r="AA465">
            <v>920334.73129282065</v>
          </cell>
          <cell r="AB465">
            <v>834836.85072064586</v>
          </cell>
          <cell r="AC465">
            <v>846772.59867824905</v>
          </cell>
          <cell r="AD465">
            <v>841119.12724456168</v>
          </cell>
          <cell r="AE465">
            <v>743441.39472646918</v>
          </cell>
          <cell r="AF465">
            <v>672068.87662383029</v>
          </cell>
          <cell r="AG465">
            <v>625186.43309451814</v>
          </cell>
          <cell r="AH465">
            <v>577346.47005508211</v>
          </cell>
          <cell r="AI465">
            <v>526322.36352212797</v>
          </cell>
          <cell r="AJ465">
            <v>459303.6678506278</v>
          </cell>
        </row>
        <row r="466">
          <cell r="E466" t="str">
            <v>UT Industrial Other Coal</v>
          </cell>
          <cell r="F466">
            <v>15330.884949193764</v>
          </cell>
          <cell r="G466">
            <v>11366.148287409902</v>
          </cell>
          <cell r="H466">
            <v>11735.193387339461</v>
          </cell>
          <cell r="I466">
            <v>16746.289402706476</v>
          </cell>
          <cell r="J466">
            <v>18871.485014741902</v>
          </cell>
          <cell r="K466">
            <v>20569.92761853055</v>
          </cell>
          <cell r="L466">
            <v>11237.361335127862</v>
          </cell>
          <cell r="M466">
            <v>15710.886922726422</v>
          </cell>
          <cell r="N466">
            <v>29043.363744774597</v>
          </cell>
          <cell r="O466">
            <v>16633.535606535756</v>
          </cell>
          <cell r="P466">
            <v>25411.849288010279</v>
          </cell>
          <cell r="Q466">
            <v>27357.769163430545</v>
          </cell>
          <cell r="R466">
            <v>12735.793867635959</v>
          </cell>
          <cell r="S466">
            <v>13226.448085063505</v>
          </cell>
          <cell r="T466">
            <v>25957.405423386044</v>
          </cell>
          <cell r="U466">
            <v>30998.843776819085</v>
          </cell>
          <cell r="V466">
            <v>14778.041248066531</v>
          </cell>
          <cell r="W466">
            <v>19375.503032165165</v>
          </cell>
          <cell r="X466">
            <v>18494.443179854625</v>
          </cell>
          <cell r="Y466">
            <v>15130.665683293344</v>
          </cell>
          <cell r="Z466">
            <v>15392.37207079315</v>
          </cell>
          <cell r="AA466">
            <v>12646.981003022576</v>
          </cell>
          <cell r="AB466">
            <v>12254.809934204181</v>
          </cell>
          <cell r="AC466">
            <v>13394.536457894035</v>
          </cell>
          <cell r="AD466">
            <v>12676.052100488549</v>
          </cell>
          <cell r="AE466">
            <v>13745.593664597684</v>
          </cell>
          <cell r="AF466">
            <v>12016.712531722053</v>
          </cell>
          <cell r="AG466">
            <v>10008.548641416612</v>
          </cell>
          <cell r="AH466">
            <v>7689.0258322781892</v>
          </cell>
          <cell r="AI466">
            <v>7600.2598346212571</v>
          </cell>
          <cell r="AJ466">
            <v>6204.6809220652904</v>
          </cell>
        </row>
        <row r="467">
          <cell r="E467" t="str">
            <v>VA Industrial Other Coal</v>
          </cell>
          <cell r="F467">
            <v>92063.518520308309</v>
          </cell>
          <cell r="G467">
            <v>104675.53293040217</v>
          </cell>
          <cell r="H467">
            <v>87573.239663193119</v>
          </cell>
          <cell r="I467">
            <v>70450.887546928439</v>
          </cell>
          <cell r="J467">
            <v>70062.97493958773</v>
          </cell>
          <cell r="K467">
            <v>63375.474851123465</v>
          </cell>
          <cell r="L467">
            <v>61863.499407512005</v>
          </cell>
          <cell r="M467">
            <v>58834.927109949429</v>
          </cell>
          <cell r="N467">
            <v>56870.509463450035</v>
          </cell>
          <cell r="O467">
            <v>53666.726924891773</v>
          </cell>
          <cell r="P467">
            <v>58148.191040350648</v>
          </cell>
          <cell r="Q467">
            <v>58151.551729352301</v>
          </cell>
          <cell r="R467">
            <v>51625.784099279095</v>
          </cell>
          <cell r="S467">
            <v>54626.632688282429</v>
          </cell>
          <cell r="T467">
            <v>52282.237660743383</v>
          </cell>
          <cell r="U467">
            <v>53872.479266935188</v>
          </cell>
          <cell r="V467">
            <v>49681.41041474657</v>
          </cell>
          <cell r="W467">
            <v>47222.308088167199</v>
          </cell>
          <cell r="X467">
            <v>48109.996318033773</v>
          </cell>
          <cell r="Y467">
            <v>39655.630286139989</v>
          </cell>
          <cell r="Z467">
            <v>38464.635548028855</v>
          </cell>
          <cell r="AA467">
            <v>34007.060972711333</v>
          </cell>
          <cell r="AB467">
            <v>33730.388469408492</v>
          </cell>
          <cell r="AC467">
            <v>31168.371015759949</v>
          </cell>
          <cell r="AD467">
            <v>25532.56568472003</v>
          </cell>
          <cell r="AE467">
            <v>16243.387260989153</v>
          </cell>
          <cell r="AF467">
            <v>14675.406749677451</v>
          </cell>
          <cell r="AG467">
            <v>12019.991156061116</v>
          </cell>
          <cell r="AH467">
            <v>11449.184702813312</v>
          </cell>
          <cell r="AI467">
            <v>10401.413557017891</v>
          </cell>
          <cell r="AJ467">
            <v>8141.8415479234436</v>
          </cell>
        </row>
        <row r="468">
          <cell r="E468" t="str">
            <v>VT Industrial Other Coal</v>
          </cell>
          <cell r="F468">
            <v>24.440257858043875</v>
          </cell>
          <cell r="G468">
            <v>174.09008609034908</v>
          </cell>
          <cell r="H468">
            <v>348.31145349511138</v>
          </cell>
          <cell r="I468">
            <v>0</v>
          </cell>
          <cell r="J468">
            <v>0</v>
          </cell>
          <cell r="K468">
            <v>0</v>
          </cell>
          <cell r="L468">
            <v>0</v>
          </cell>
          <cell r="M468">
            <v>2484.0428311738829</v>
          </cell>
          <cell r="N468">
            <v>0</v>
          </cell>
          <cell r="O468">
            <v>1899.535616664341</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row>
        <row r="469">
          <cell r="E469" t="str">
            <v>WA Industrial Other Coal</v>
          </cell>
          <cell r="F469">
            <v>5084.551244787448</v>
          </cell>
          <cell r="G469">
            <v>4135.6067117907369</v>
          </cell>
          <cell r="H469">
            <v>3260.5822174403484</v>
          </cell>
          <cell r="I469">
            <v>3440.2394188921621</v>
          </cell>
          <cell r="J469">
            <v>3818.6425290926823</v>
          </cell>
          <cell r="K469">
            <v>4135.8819443046505</v>
          </cell>
          <cell r="L469">
            <v>2810.9910835793694</v>
          </cell>
          <cell r="M469">
            <v>3040.6646581365071</v>
          </cell>
          <cell r="N469">
            <v>2598.5913345565828</v>
          </cell>
          <cell r="O469">
            <v>2115.656250601151</v>
          </cell>
          <cell r="P469">
            <v>2642.3742518376525</v>
          </cell>
          <cell r="Q469">
            <v>2730.4878357894672</v>
          </cell>
          <cell r="R469">
            <v>2135.7234356593635</v>
          </cell>
          <cell r="S469">
            <v>1954.5231763864163</v>
          </cell>
          <cell r="T469">
            <v>1713.7306197095377</v>
          </cell>
          <cell r="U469">
            <v>1392.087708773852</v>
          </cell>
          <cell r="V469">
            <v>1883.5218720135624</v>
          </cell>
          <cell r="W469">
            <v>2977.6892478898026</v>
          </cell>
          <cell r="X469">
            <v>2752.2881188806505</v>
          </cell>
          <cell r="Y469">
            <v>3300.8773859162588</v>
          </cell>
          <cell r="Z469">
            <v>2541.0309951723734</v>
          </cell>
          <cell r="AA469">
            <v>1681.4913417183657</v>
          </cell>
          <cell r="AB469">
            <v>1899.2193061877294</v>
          </cell>
          <cell r="AC469">
            <v>1830.1680131012981</v>
          </cell>
          <cell r="AD469">
            <v>2467.2183661218364</v>
          </cell>
          <cell r="AE469">
            <v>1745.818603957634</v>
          </cell>
          <cell r="AF469">
            <v>1720.3315527946709</v>
          </cell>
          <cell r="AG469">
            <v>1277.8788018664463</v>
          </cell>
          <cell r="AH469">
            <v>1219.8213296239148</v>
          </cell>
          <cell r="AI469">
            <v>1295.260473195573</v>
          </cell>
          <cell r="AJ469">
            <v>1352.6047130484537</v>
          </cell>
        </row>
        <row r="470">
          <cell r="E470" t="str">
            <v>WI Industrial Other Coal</v>
          </cell>
          <cell r="F470">
            <v>46264.430514962733</v>
          </cell>
          <cell r="G470">
            <v>44142.475662497905</v>
          </cell>
          <cell r="H470">
            <v>43092.899520052131</v>
          </cell>
          <cell r="I470">
            <v>42549.555651159826</v>
          </cell>
          <cell r="J470">
            <v>47232.912624364457</v>
          </cell>
          <cell r="K470">
            <v>46142.796336316875</v>
          </cell>
          <cell r="L470">
            <v>37823.865929317297</v>
          </cell>
          <cell r="M470">
            <v>40002.240822105508</v>
          </cell>
          <cell r="N470">
            <v>39564.277582936586</v>
          </cell>
          <cell r="O470">
            <v>38855.194869034058</v>
          </cell>
          <cell r="P470">
            <v>37661.577169531192</v>
          </cell>
          <cell r="Q470">
            <v>36705.274563225896</v>
          </cell>
          <cell r="R470">
            <v>37625.7616480129</v>
          </cell>
          <cell r="S470">
            <v>37345.320165550685</v>
          </cell>
          <cell r="T470">
            <v>37947.024842924024</v>
          </cell>
          <cell r="U470">
            <v>36768.211325597091</v>
          </cell>
          <cell r="V470">
            <v>37490.160172361677</v>
          </cell>
          <cell r="W470">
            <v>37435.673407837654</v>
          </cell>
          <cell r="X470">
            <v>35774.147671308361</v>
          </cell>
          <cell r="Y470">
            <v>32111.438845342484</v>
          </cell>
          <cell r="Z470">
            <v>32665.609883707293</v>
          </cell>
          <cell r="AA470">
            <v>31367.33984892202</v>
          </cell>
          <cell r="AB470">
            <v>28294.473221082906</v>
          </cell>
          <cell r="AC470">
            <v>28610.140143145454</v>
          </cell>
          <cell r="AD470">
            <v>29433.450282799626</v>
          </cell>
          <cell r="AE470">
            <v>24602.403107959221</v>
          </cell>
          <cell r="AF470">
            <v>17182.280107577608</v>
          </cell>
          <cell r="AG470">
            <v>17794.777730363083</v>
          </cell>
          <cell r="AH470">
            <v>17300.087300517014</v>
          </cell>
          <cell r="AI470">
            <v>15116.616156808794</v>
          </cell>
          <cell r="AJ470">
            <v>10984.23375176493</v>
          </cell>
        </row>
        <row r="471">
          <cell r="E471" t="str">
            <v>WV Industrial Other Coal</v>
          </cell>
          <cell r="F471">
            <v>70995.038636360172</v>
          </cell>
          <cell r="G471">
            <v>55832.624943464842</v>
          </cell>
          <cell r="H471">
            <v>54690.703389624075</v>
          </cell>
          <cell r="I471">
            <v>58830.152912522964</v>
          </cell>
          <cell r="J471">
            <v>64911.010257756359</v>
          </cell>
          <cell r="K471">
            <v>48427.257717512803</v>
          </cell>
          <cell r="L471">
            <v>38339.843151705863</v>
          </cell>
          <cell r="M471">
            <v>39805.064615605188</v>
          </cell>
          <cell r="N471">
            <v>45797.032709538471</v>
          </cell>
          <cell r="O471">
            <v>38388.064171466605</v>
          </cell>
          <cell r="P471">
            <v>37795.807904171612</v>
          </cell>
          <cell r="Q471">
            <v>38839.796358066502</v>
          </cell>
          <cell r="R471">
            <v>36543.873725483179</v>
          </cell>
          <cell r="S471">
            <v>32983.863857076743</v>
          </cell>
          <cell r="T471">
            <v>34204.096136963941</v>
          </cell>
          <cell r="U471">
            <v>26814.126676557607</v>
          </cell>
          <cell r="V471">
            <v>25685.754900699409</v>
          </cell>
          <cell r="W471">
            <v>25462.414793594035</v>
          </cell>
          <cell r="X471">
            <v>21757.07082450738</v>
          </cell>
          <cell r="Y471">
            <v>18195.698997514475</v>
          </cell>
          <cell r="Z471">
            <v>21841.320649966423</v>
          </cell>
          <cell r="AA471">
            <v>20710.24597954869</v>
          </cell>
          <cell r="AB471">
            <v>22883.011440218965</v>
          </cell>
          <cell r="AC471">
            <v>23018.617382084103</v>
          </cell>
          <cell r="AD471">
            <v>21023.762856051864</v>
          </cell>
          <cell r="AE471">
            <v>19795.036983415466</v>
          </cell>
          <cell r="AF471">
            <v>13096.83563850063</v>
          </cell>
          <cell r="AG471">
            <v>9111.8706386965023</v>
          </cell>
          <cell r="AH471">
            <v>9059.8894843971721</v>
          </cell>
          <cell r="AI471">
            <v>8155.2466095734762</v>
          </cell>
          <cell r="AJ471">
            <v>7753.011381704735</v>
          </cell>
        </row>
        <row r="472">
          <cell r="E472" t="str">
            <v>WY Industrial Other Coal</v>
          </cell>
          <cell r="F472">
            <v>40265.813626284449</v>
          </cell>
          <cell r="G472">
            <v>40431.455327338626</v>
          </cell>
          <cell r="H472">
            <v>43430.568123579331</v>
          </cell>
          <cell r="I472">
            <v>39080.884501533015</v>
          </cell>
          <cell r="J472">
            <v>40018.388248754767</v>
          </cell>
          <cell r="K472">
            <v>41541.615454293249</v>
          </cell>
          <cell r="L472">
            <v>37896.498920403079</v>
          </cell>
          <cell r="M472">
            <v>39883.369042110098</v>
          </cell>
          <cell r="N472">
            <v>41082.859582164441</v>
          </cell>
          <cell r="O472">
            <v>41095.871576038116</v>
          </cell>
          <cell r="P472">
            <v>36113.699677069279</v>
          </cell>
          <cell r="Q472">
            <v>31337.802280005024</v>
          </cell>
          <cell r="R472">
            <v>28922.034091481662</v>
          </cell>
          <cell r="S472">
            <v>29951.595476303173</v>
          </cell>
          <cell r="T472">
            <v>30052.915415480198</v>
          </cell>
          <cell r="U472">
            <v>29637.753972491617</v>
          </cell>
          <cell r="V472">
            <v>31367.305672162056</v>
          </cell>
          <cell r="W472">
            <v>32173.409921826882</v>
          </cell>
          <cell r="X472">
            <v>32285.739103005057</v>
          </cell>
          <cell r="Y472">
            <v>28625.456749769091</v>
          </cell>
          <cell r="Z472">
            <v>28918.776345937549</v>
          </cell>
          <cell r="AA472">
            <v>29880.43156639814</v>
          </cell>
          <cell r="AB472">
            <v>28134.167156612126</v>
          </cell>
          <cell r="AC472">
            <v>28581.92770733932</v>
          </cell>
          <cell r="AD472">
            <v>29106.249915811171</v>
          </cell>
          <cell r="AE472">
            <v>26680.109102773386</v>
          </cell>
          <cell r="AF472">
            <v>29338.923913928891</v>
          </cell>
          <cell r="AG472">
            <v>28391.79947306234</v>
          </cell>
          <cell r="AH472">
            <v>27670.7768234094</v>
          </cell>
          <cell r="AI472">
            <v>26940.019450594024</v>
          </cell>
          <cell r="AJ472">
            <v>20910.325186022317</v>
          </cell>
        </row>
        <row r="473">
          <cell r="E473" t="str">
            <v>AK Residential Coal</v>
          </cell>
          <cell r="F473">
            <v>1560</v>
          </cell>
          <cell r="G473">
            <v>1433</v>
          </cell>
          <cell r="H473">
            <v>1463</v>
          </cell>
          <cell r="I473">
            <v>1601</v>
          </cell>
          <cell r="J473">
            <v>1231</v>
          </cell>
          <cell r="K473">
            <v>1074</v>
          </cell>
          <cell r="L473">
            <v>899</v>
          </cell>
          <cell r="M473">
            <v>877</v>
          </cell>
          <cell r="N473">
            <v>916</v>
          </cell>
          <cell r="O473">
            <v>1034</v>
          </cell>
          <cell r="P473">
            <v>898</v>
          </cell>
          <cell r="Q473">
            <v>812</v>
          </cell>
          <cell r="R473">
            <v>881</v>
          </cell>
          <cell r="S473">
            <v>909</v>
          </cell>
          <cell r="T473">
            <v>776</v>
          </cell>
          <cell r="U473">
            <v>631</v>
          </cell>
          <cell r="V473">
            <v>783</v>
          </cell>
          <cell r="W473">
            <v>739</v>
          </cell>
          <cell r="X473">
            <v>0</v>
          </cell>
          <cell r="Y473">
            <v>0</v>
          </cell>
          <cell r="Z473">
            <v>0</v>
          </cell>
          <cell r="AA473">
            <v>0</v>
          </cell>
          <cell r="AB473">
            <v>0</v>
          </cell>
          <cell r="AC473">
            <v>0</v>
          </cell>
          <cell r="AD473">
            <v>0</v>
          </cell>
          <cell r="AE473">
            <v>0</v>
          </cell>
          <cell r="AF473">
            <v>0</v>
          </cell>
          <cell r="AG473">
            <v>0</v>
          </cell>
          <cell r="AH473">
            <v>0</v>
          </cell>
          <cell r="AI473">
            <v>0</v>
          </cell>
          <cell r="AJ473">
            <v>0</v>
          </cell>
        </row>
        <row r="474">
          <cell r="E474" t="str">
            <v>AL Residential Coal</v>
          </cell>
          <cell r="F474">
            <v>515</v>
          </cell>
          <cell r="G474">
            <v>74</v>
          </cell>
          <cell r="H474">
            <v>386</v>
          </cell>
          <cell r="I474">
            <v>175</v>
          </cell>
          <cell r="J474">
            <v>39</v>
          </cell>
          <cell r="K474">
            <v>23</v>
          </cell>
          <cell r="L474">
            <v>130</v>
          </cell>
          <cell r="M474">
            <v>197</v>
          </cell>
          <cell r="N474">
            <v>25</v>
          </cell>
          <cell r="O474">
            <v>71</v>
          </cell>
          <cell r="P474">
            <v>148</v>
          </cell>
          <cell r="Q474">
            <v>34</v>
          </cell>
          <cell r="R474">
            <v>11</v>
          </cell>
          <cell r="S474">
            <v>9</v>
          </cell>
          <cell r="T474">
            <v>1</v>
          </cell>
          <cell r="U474">
            <v>4</v>
          </cell>
          <cell r="V474">
            <v>56</v>
          </cell>
          <cell r="W474">
            <v>2</v>
          </cell>
          <cell r="X474">
            <v>0</v>
          </cell>
          <cell r="Y474">
            <v>0</v>
          </cell>
          <cell r="Z474">
            <v>0</v>
          </cell>
          <cell r="AA474">
            <v>0</v>
          </cell>
          <cell r="AB474">
            <v>0</v>
          </cell>
          <cell r="AC474">
            <v>0</v>
          </cell>
          <cell r="AD474">
            <v>0</v>
          </cell>
          <cell r="AE474">
            <v>0</v>
          </cell>
          <cell r="AF474">
            <v>0</v>
          </cell>
          <cell r="AG474">
            <v>0</v>
          </cell>
          <cell r="AH474">
            <v>0</v>
          </cell>
          <cell r="AI474">
            <v>0</v>
          </cell>
          <cell r="AJ474">
            <v>0</v>
          </cell>
        </row>
        <row r="475">
          <cell r="E475" t="str">
            <v>AR Residential Coal</v>
          </cell>
          <cell r="F475">
            <v>1</v>
          </cell>
          <cell r="G475">
            <v>2</v>
          </cell>
          <cell r="H475">
            <v>9</v>
          </cell>
          <cell r="I475">
            <v>4</v>
          </cell>
          <cell r="J475">
            <v>1</v>
          </cell>
          <cell r="K475">
            <v>0</v>
          </cell>
          <cell r="L475">
            <v>0</v>
          </cell>
          <cell r="M475">
            <v>0</v>
          </cell>
          <cell r="N475">
            <v>0</v>
          </cell>
          <cell r="O475">
            <v>0</v>
          </cell>
          <cell r="P475">
            <v>0</v>
          </cell>
          <cell r="Q475">
            <v>0</v>
          </cell>
          <cell r="R475">
            <v>0</v>
          </cell>
          <cell r="S475">
            <v>0</v>
          </cell>
          <cell r="T475">
            <v>0</v>
          </cell>
          <cell r="U475">
            <v>0</v>
          </cell>
          <cell r="V475">
            <v>0</v>
          </cell>
          <cell r="W475">
            <v>3</v>
          </cell>
          <cell r="X475">
            <v>0</v>
          </cell>
          <cell r="Y475">
            <v>0</v>
          </cell>
          <cell r="Z475">
            <v>0</v>
          </cell>
          <cell r="AA475">
            <v>0</v>
          </cell>
          <cell r="AB475">
            <v>0</v>
          </cell>
          <cell r="AC475">
            <v>0</v>
          </cell>
          <cell r="AD475">
            <v>0</v>
          </cell>
          <cell r="AE475">
            <v>0</v>
          </cell>
          <cell r="AF475">
            <v>0</v>
          </cell>
          <cell r="AG475">
            <v>0</v>
          </cell>
          <cell r="AH475">
            <v>0</v>
          </cell>
          <cell r="AI475">
            <v>0</v>
          </cell>
          <cell r="AJ475">
            <v>0</v>
          </cell>
        </row>
        <row r="476">
          <cell r="E476" t="str">
            <v>AZ Residential Coal</v>
          </cell>
          <cell r="F476">
            <v>0</v>
          </cell>
          <cell r="G476">
            <v>1</v>
          </cell>
          <cell r="H476">
            <v>14</v>
          </cell>
          <cell r="I476">
            <v>4</v>
          </cell>
          <cell r="J476">
            <v>0</v>
          </cell>
          <cell r="K476">
            <v>14</v>
          </cell>
          <cell r="L476">
            <v>0</v>
          </cell>
          <cell r="M476">
            <v>0</v>
          </cell>
          <cell r="N476">
            <v>1</v>
          </cell>
          <cell r="O476">
            <v>0</v>
          </cell>
          <cell r="P476">
            <v>0</v>
          </cell>
          <cell r="Q476">
            <v>1</v>
          </cell>
          <cell r="R476">
            <v>2</v>
          </cell>
          <cell r="S476">
            <v>2</v>
          </cell>
          <cell r="T476">
            <v>2</v>
          </cell>
          <cell r="U476">
            <v>2</v>
          </cell>
          <cell r="V476">
            <v>1</v>
          </cell>
          <cell r="W476">
            <v>1</v>
          </cell>
          <cell r="X476">
            <v>0</v>
          </cell>
          <cell r="Y476">
            <v>0</v>
          </cell>
          <cell r="Z476">
            <v>0</v>
          </cell>
          <cell r="AA476">
            <v>0</v>
          </cell>
          <cell r="AB476">
            <v>0</v>
          </cell>
          <cell r="AC476">
            <v>0</v>
          </cell>
          <cell r="AD476">
            <v>0</v>
          </cell>
          <cell r="AE476">
            <v>0</v>
          </cell>
          <cell r="AF476">
            <v>0</v>
          </cell>
          <cell r="AG476">
            <v>0</v>
          </cell>
          <cell r="AH476">
            <v>0</v>
          </cell>
          <cell r="AI476">
            <v>0</v>
          </cell>
          <cell r="AJ476">
            <v>0</v>
          </cell>
        </row>
        <row r="477">
          <cell r="E477" t="str">
            <v>CA Residential Coal</v>
          </cell>
          <cell r="F477">
            <v>116</v>
          </cell>
          <cell r="G477">
            <v>185</v>
          </cell>
          <cell r="H477">
            <v>1</v>
          </cell>
          <cell r="I477">
            <v>593</v>
          </cell>
          <cell r="J477">
            <v>579</v>
          </cell>
          <cell r="K477">
            <v>402</v>
          </cell>
          <cell r="L477">
            <v>495</v>
          </cell>
          <cell r="M477">
            <v>276</v>
          </cell>
          <cell r="N477">
            <v>300</v>
          </cell>
          <cell r="O477">
            <v>79</v>
          </cell>
          <cell r="P477">
            <v>62</v>
          </cell>
          <cell r="Q477">
            <v>0</v>
          </cell>
          <cell r="R477">
            <v>0</v>
          </cell>
          <cell r="S477">
            <v>1</v>
          </cell>
          <cell r="T477">
            <v>19</v>
          </cell>
          <cell r="U477">
            <v>36</v>
          </cell>
          <cell r="V477">
            <v>3</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row>
        <row r="478">
          <cell r="E478" t="str">
            <v>CO Residential Coal</v>
          </cell>
          <cell r="F478">
            <v>248</v>
          </cell>
          <cell r="G478">
            <v>251</v>
          </cell>
          <cell r="H478">
            <v>220</v>
          </cell>
          <cell r="I478">
            <v>148</v>
          </cell>
          <cell r="J478">
            <v>76</v>
          </cell>
          <cell r="K478">
            <v>57</v>
          </cell>
          <cell r="L478">
            <v>35</v>
          </cell>
          <cell r="M478">
            <v>133</v>
          </cell>
          <cell r="N478">
            <v>43</v>
          </cell>
          <cell r="O478">
            <v>276</v>
          </cell>
          <cell r="P478">
            <v>191</v>
          </cell>
          <cell r="Q478">
            <v>718</v>
          </cell>
          <cell r="R478">
            <v>615</v>
          </cell>
          <cell r="S478">
            <v>807</v>
          </cell>
          <cell r="T478">
            <v>499</v>
          </cell>
          <cell r="U478">
            <v>237</v>
          </cell>
          <cell r="V478">
            <v>133</v>
          </cell>
          <cell r="W478">
            <v>29</v>
          </cell>
          <cell r="X478">
            <v>0</v>
          </cell>
          <cell r="Y478">
            <v>0</v>
          </cell>
          <cell r="Z478">
            <v>0</v>
          </cell>
          <cell r="AA478">
            <v>0</v>
          </cell>
          <cell r="AB478">
            <v>0</v>
          </cell>
          <cell r="AC478">
            <v>0</v>
          </cell>
          <cell r="AD478">
            <v>0</v>
          </cell>
          <cell r="AE478">
            <v>0</v>
          </cell>
          <cell r="AF478">
            <v>0</v>
          </cell>
          <cell r="AG478">
            <v>0</v>
          </cell>
          <cell r="AH478">
            <v>0</v>
          </cell>
          <cell r="AI478">
            <v>0</v>
          </cell>
          <cell r="AJ478">
            <v>0</v>
          </cell>
        </row>
        <row r="479">
          <cell r="E479" t="str">
            <v>CT Residential Coal</v>
          </cell>
          <cell r="F479">
            <v>60</v>
          </cell>
          <cell r="G479">
            <v>59</v>
          </cell>
          <cell r="H479">
            <v>89</v>
          </cell>
          <cell r="I479">
            <v>56</v>
          </cell>
          <cell r="J479">
            <v>45</v>
          </cell>
          <cell r="K479">
            <v>77</v>
          </cell>
          <cell r="L479">
            <v>17</v>
          </cell>
          <cell r="M479">
            <v>20</v>
          </cell>
          <cell r="N479">
            <v>19</v>
          </cell>
          <cell r="O479">
            <v>17</v>
          </cell>
          <cell r="P479">
            <v>11</v>
          </cell>
          <cell r="Q479">
            <v>11</v>
          </cell>
          <cell r="R479">
            <v>12</v>
          </cell>
          <cell r="S479">
            <v>13</v>
          </cell>
          <cell r="T479">
            <v>10</v>
          </cell>
          <cell r="U479">
            <v>10</v>
          </cell>
          <cell r="V479">
            <v>8</v>
          </cell>
          <cell r="W479">
            <v>8</v>
          </cell>
          <cell r="X479">
            <v>0</v>
          </cell>
          <cell r="Y479">
            <v>0</v>
          </cell>
          <cell r="Z479">
            <v>0</v>
          </cell>
          <cell r="AA479">
            <v>0</v>
          </cell>
          <cell r="AB479">
            <v>0</v>
          </cell>
          <cell r="AC479">
            <v>0</v>
          </cell>
          <cell r="AD479">
            <v>0</v>
          </cell>
          <cell r="AE479">
            <v>0</v>
          </cell>
          <cell r="AF479">
            <v>0</v>
          </cell>
          <cell r="AG479">
            <v>0</v>
          </cell>
          <cell r="AH479">
            <v>0</v>
          </cell>
          <cell r="AI479">
            <v>0</v>
          </cell>
          <cell r="AJ479">
            <v>0</v>
          </cell>
        </row>
        <row r="480">
          <cell r="E480" t="str">
            <v>DC Residential Coal</v>
          </cell>
          <cell r="F480">
            <v>347</v>
          </cell>
          <cell r="G480">
            <v>298</v>
          </cell>
          <cell r="H480">
            <v>226</v>
          </cell>
          <cell r="I480">
            <v>230</v>
          </cell>
          <cell r="J480">
            <v>175</v>
          </cell>
          <cell r="K480">
            <v>19</v>
          </cell>
          <cell r="L480">
            <v>69</v>
          </cell>
          <cell r="M480">
            <v>108</v>
          </cell>
          <cell r="N480">
            <v>17</v>
          </cell>
          <cell r="O480">
            <v>18</v>
          </cell>
          <cell r="P480">
            <v>19</v>
          </cell>
          <cell r="Q480">
            <v>82</v>
          </cell>
          <cell r="R480">
            <v>12</v>
          </cell>
          <cell r="S480">
            <v>22</v>
          </cell>
          <cell r="T480">
            <v>74</v>
          </cell>
          <cell r="U480">
            <v>75</v>
          </cell>
          <cell r="V480">
            <v>0</v>
          </cell>
          <cell r="W480">
            <v>50</v>
          </cell>
          <cell r="X480">
            <v>0</v>
          </cell>
          <cell r="Y480">
            <v>0</v>
          </cell>
          <cell r="Z480">
            <v>0</v>
          </cell>
          <cell r="AA480">
            <v>0</v>
          </cell>
          <cell r="AB480">
            <v>0</v>
          </cell>
          <cell r="AC480">
            <v>0</v>
          </cell>
          <cell r="AD480">
            <v>0</v>
          </cell>
          <cell r="AE480">
            <v>0</v>
          </cell>
          <cell r="AF480">
            <v>0</v>
          </cell>
          <cell r="AG480">
            <v>0</v>
          </cell>
          <cell r="AH480">
            <v>0</v>
          </cell>
          <cell r="AI480">
            <v>0</v>
          </cell>
          <cell r="AJ480">
            <v>0</v>
          </cell>
        </row>
        <row r="481">
          <cell r="E481" t="str">
            <v>DE Residential Coal</v>
          </cell>
          <cell r="F481">
            <v>109</v>
          </cell>
          <cell r="G481">
            <v>90</v>
          </cell>
          <cell r="H481">
            <v>1</v>
          </cell>
          <cell r="I481">
            <v>210</v>
          </cell>
          <cell r="J481">
            <v>107</v>
          </cell>
          <cell r="K481">
            <v>3</v>
          </cell>
          <cell r="L481">
            <v>15</v>
          </cell>
          <cell r="M481">
            <v>17</v>
          </cell>
          <cell r="N481">
            <v>21</v>
          </cell>
          <cell r="O481">
            <v>3</v>
          </cell>
          <cell r="P481">
            <v>3</v>
          </cell>
          <cell r="Q481">
            <v>3</v>
          </cell>
          <cell r="R481">
            <v>0</v>
          </cell>
          <cell r="S481">
            <v>0</v>
          </cell>
          <cell r="T481">
            <v>0</v>
          </cell>
          <cell r="U481">
            <v>0</v>
          </cell>
          <cell r="V481">
            <v>1</v>
          </cell>
          <cell r="W481">
            <v>1</v>
          </cell>
          <cell r="X481">
            <v>0</v>
          </cell>
          <cell r="Y481">
            <v>0</v>
          </cell>
          <cell r="Z481">
            <v>0</v>
          </cell>
          <cell r="AA481">
            <v>0</v>
          </cell>
          <cell r="AB481">
            <v>0</v>
          </cell>
          <cell r="AC481">
            <v>0</v>
          </cell>
          <cell r="AD481">
            <v>0</v>
          </cell>
          <cell r="AE481">
            <v>0</v>
          </cell>
          <cell r="AF481">
            <v>0</v>
          </cell>
          <cell r="AG481">
            <v>0</v>
          </cell>
          <cell r="AH481">
            <v>0</v>
          </cell>
          <cell r="AI481">
            <v>0</v>
          </cell>
          <cell r="AJ481">
            <v>0</v>
          </cell>
        </row>
        <row r="482">
          <cell r="E482" t="str">
            <v>FL Residential Coal</v>
          </cell>
          <cell r="F482">
            <v>23</v>
          </cell>
          <cell r="G482">
            <v>1</v>
          </cell>
          <cell r="H482">
            <v>69</v>
          </cell>
          <cell r="I482">
            <v>71</v>
          </cell>
          <cell r="J482">
            <v>76</v>
          </cell>
          <cell r="K482">
            <v>4</v>
          </cell>
          <cell r="L482">
            <v>3</v>
          </cell>
          <cell r="M482">
            <v>0</v>
          </cell>
          <cell r="N482">
            <v>16</v>
          </cell>
          <cell r="O482">
            <v>20</v>
          </cell>
          <cell r="P482">
            <v>26</v>
          </cell>
          <cell r="Q482">
            <v>154</v>
          </cell>
          <cell r="R482">
            <v>29</v>
          </cell>
          <cell r="S482">
            <v>25</v>
          </cell>
          <cell r="T482">
            <v>0</v>
          </cell>
          <cell r="U482">
            <v>1</v>
          </cell>
          <cell r="V482">
            <v>1</v>
          </cell>
          <cell r="W482">
            <v>1</v>
          </cell>
          <cell r="X482">
            <v>0</v>
          </cell>
          <cell r="Y482">
            <v>0</v>
          </cell>
          <cell r="Z482">
            <v>0</v>
          </cell>
          <cell r="AA482">
            <v>0</v>
          </cell>
          <cell r="AB482">
            <v>0</v>
          </cell>
          <cell r="AC482">
            <v>0</v>
          </cell>
          <cell r="AD482">
            <v>0</v>
          </cell>
          <cell r="AE482">
            <v>0</v>
          </cell>
          <cell r="AF482">
            <v>0</v>
          </cell>
          <cell r="AG482">
            <v>0</v>
          </cell>
          <cell r="AH482">
            <v>0</v>
          </cell>
          <cell r="AI482">
            <v>0</v>
          </cell>
          <cell r="AJ482">
            <v>0</v>
          </cell>
        </row>
        <row r="483">
          <cell r="E483" t="str">
            <v>GA Residential Coal</v>
          </cell>
          <cell r="F483">
            <v>112</v>
          </cell>
          <cell r="G483">
            <v>36</v>
          </cell>
          <cell r="H483">
            <v>174</v>
          </cell>
          <cell r="I483">
            <v>99</v>
          </cell>
          <cell r="J483">
            <v>108</v>
          </cell>
          <cell r="K483">
            <v>193</v>
          </cell>
          <cell r="L483">
            <v>9</v>
          </cell>
          <cell r="M483">
            <v>47</v>
          </cell>
          <cell r="N483">
            <v>31</v>
          </cell>
          <cell r="O483">
            <v>51</v>
          </cell>
          <cell r="P483">
            <v>24</v>
          </cell>
          <cell r="Q483">
            <v>32</v>
          </cell>
          <cell r="R483">
            <v>16</v>
          </cell>
          <cell r="S483">
            <v>0</v>
          </cell>
          <cell r="T483">
            <v>17</v>
          </cell>
          <cell r="U483">
            <v>97</v>
          </cell>
          <cell r="V483">
            <v>0</v>
          </cell>
          <cell r="W483">
            <v>5</v>
          </cell>
          <cell r="X483">
            <v>0</v>
          </cell>
          <cell r="Y483">
            <v>0</v>
          </cell>
          <cell r="Z483">
            <v>0</v>
          </cell>
          <cell r="AA483">
            <v>0</v>
          </cell>
          <cell r="AB483">
            <v>0</v>
          </cell>
          <cell r="AC483">
            <v>0</v>
          </cell>
          <cell r="AD483">
            <v>0</v>
          </cell>
          <cell r="AE483">
            <v>0</v>
          </cell>
          <cell r="AF483">
            <v>0</v>
          </cell>
          <cell r="AG483">
            <v>0</v>
          </cell>
          <cell r="AH483">
            <v>0</v>
          </cell>
          <cell r="AI483">
            <v>0</v>
          </cell>
          <cell r="AJ483">
            <v>0</v>
          </cell>
        </row>
        <row r="484">
          <cell r="E484" t="str">
            <v>HI Residential Coal</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row>
        <row r="485">
          <cell r="E485" t="str">
            <v>IA Residential Coal</v>
          </cell>
          <cell r="F485">
            <v>1176</v>
          </cell>
          <cell r="G485">
            <v>966</v>
          </cell>
          <cell r="H485">
            <v>273</v>
          </cell>
          <cell r="I485">
            <v>297</v>
          </cell>
          <cell r="J485">
            <v>143</v>
          </cell>
          <cell r="K485">
            <v>284</v>
          </cell>
          <cell r="L485">
            <v>653</v>
          </cell>
          <cell r="M485">
            <v>968</v>
          </cell>
          <cell r="N485">
            <v>750</v>
          </cell>
          <cell r="O485">
            <v>1213</v>
          </cell>
          <cell r="P485">
            <v>749</v>
          </cell>
          <cell r="Q485">
            <v>732</v>
          </cell>
          <cell r="R485">
            <v>908</v>
          </cell>
          <cell r="S485">
            <v>905</v>
          </cell>
          <cell r="T485">
            <v>414</v>
          </cell>
          <cell r="U485">
            <v>517</v>
          </cell>
          <cell r="V485">
            <v>639</v>
          </cell>
          <cell r="W485">
            <v>755</v>
          </cell>
          <cell r="X485">
            <v>0</v>
          </cell>
          <cell r="Y485">
            <v>0</v>
          </cell>
          <cell r="Z485">
            <v>0</v>
          </cell>
          <cell r="AA485">
            <v>0</v>
          </cell>
          <cell r="AB485">
            <v>0</v>
          </cell>
          <cell r="AC485">
            <v>0</v>
          </cell>
          <cell r="AD485">
            <v>0</v>
          </cell>
          <cell r="AE485">
            <v>0</v>
          </cell>
          <cell r="AF485">
            <v>0</v>
          </cell>
          <cell r="AG485">
            <v>0</v>
          </cell>
          <cell r="AH485">
            <v>0</v>
          </cell>
          <cell r="AI485">
            <v>0</v>
          </cell>
          <cell r="AJ485">
            <v>0</v>
          </cell>
        </row>
        <row r="486">
          <cell r="E486" t="str">
            <v>ID Residential Coal</v>
          </cell>
          <cell r="F486">
            <v>272</v>
          </cell>
          <cell r="G486">
            <v>277</v>
          </cell>
          <cell r="H486">
            <v>205</v>
          </cell>
          <cell r="I486">
            <v>173</v>
          </cell>
          <cell r="J486">
            <v>135</v>
          </cell>
          <cell r="K486">
            <v>110</v>
          </cell>
          <cell r="L486">
            <v>73</v>
          </cell>
          <cell r="M486">
            <v>75</v>
          </cell>
          <cell r="N486">
            <v>125</v>
          </cell>
          <cell r="O486">
            <v>139</v>
          </cell>
          <cell r="P486">
            <v>47</v>
          </cell>
          <cell r="Q486">
            <v>47</v>
          </cell>
          <cell r="R486">
            <v>49</v>
          </cell>
          <cell r="S486">
            <v>38</v>
          </cell>
          <cell r="T486">
            <v>12</v>
          </cell>
          <cell r="U486">
            <v>21</v>
          </cell>
          <cell r="V486">
            <v>23</v>
          </cell>
          <cell r="W486">
            <v>103</v>
          </cell>
          <cell r="X486">
            <v>0</v>
          </cell>
          <cell r="Y486">
            <v>0</v>
          </cell>
          <cell r="Z486">
            <v>0</v>
          </cell>
          <cell r="AA486">
            <v>0</v>
          </cell>
          <cell r="AB486">
            <v>0</v>
          </cell>
          <cell r="AC486">
            <v>0</v>
          </cell>
          <cell r="AD486">
            <v>0</v>
          </cell>
          <cell r="AE486">
            <v>0</v>
          </cell>
          <cell r="AF486">
            <v>0</v>
          </cell>
          <cell r="AG486">
            <v>0</v>
          </cell>
          <cell r="AH486">
            <v>0</v>
          </cell>
          <cell r="AI486">
            <v>0</v>
          </cell>
          <cell r="AJ486">
            <v>0</v>
          </cell>
        </row>
        <row r="487">
          <cell r="E487" t="str">
            <v>IL Residential Coal</v>
          </cell>
          <cell r="F487">
            <v>1190</v>
          </cell>
          <cell r="G487">
            <v>1045</v>
          </cell>
          <cell r="H487">
            <v>1163</v>
          </cell>
          <cell r="I487">
            <v>1062</v>
          </cell>
          <cell r="J487">
            <v>863</v>
          </cell>
          <cell r="K487">
            <v>653</v>
          </cell>
          <cell r="L487">
            <v>509</v>
          </cell>
          <cell r="M487">
            <v>740</v>
          </cell>
          <cell r="N487">
            <v>573</v>
          </cell>
          <cell r="O487">
            <v>477</v>
          </cell>
          <cell r="P487">
            <v>556</v>
          </cell>
          <cell r="Q487">
            <v>579</v>
          </cell>
          <cell r="R487">
            <v>479</v>
          </cell>
          <cell r="S487">
            <v>793</v>
          </cell>
          <cell r="T487">
            <v>572</v>
          </cell>
          <cell r="U487">
            <v>267</v>
          </cell>
          <cell r="V487">
            <v>276</v>
          </cell>
          <cell r="W487">
            <v>370</v>
          </cell>
          <cell r="X487">
            <v>0</v>
          </cell>
          <cell r="Y487">
            <v>0</v>
          </cell>
          <cell r="Z487">
            <v>0</v>
          </cell>
          <cell r="AA487">
            <v>0</v>
          </cell>
          <cell r="AB487">
            <v>0</v>
          </cell>
          <cell r="AC487">
            <v>0</v>
          </cell>
          <cell r="AD487">
            <v>0</v>
          </cell>
          <cell r="AE487">
            <v>0</v>
          </cell>
          <cell r="AF487">
            <v>0</v>
          </cell>
          <cell r="AG487">
            <v>0</v>
          </cell>
          <cell r="AH487">
            <v>0</v>
          </cell>
          <cell r="AI487">
            <v>0</v>
          </cell>
          <cell r="AJ487">
            <v>0</v>
          </cell>
        </row>
        <row r="488">
          <cell r="E488" t="str">
            <v>IN Residential Coal</v>
          </cell>
          <cell r="F488">
            <v>2475</v>
          </cell>
          <cell r="G488">
            <v>1749</v>
          </cell>
          <cell r="H488">
            <v>1662</v>
          </cell>
          <cell r="I488">
            <v>1380</v>
          </cell>
          <cell r="J488">
            <v>1209</v>
          </cell>
          <cell r="K488">
            <v>831</v>
          </cell>
          <cell r="L488">
            <v>951</v>
          </cell>
          <cell r="M488">
            <v>965</v>
          </cell>
          <cell r="N488">
            <v>928</v>
          </cell>
          <cell r="O488">
            <v>1029</v>
          </cell>
          <cell r="P488">
            <v>712</v>
          </cell>
          <cell r="Q488">
            <v>615</v>
          </cell>
          <cell r="R488">
            <v>883</v>
          </cell>
          <cell r="S488">
            <v>1039</v>
          </cell>
          <cell r="T488">
            <v>959</v>
          </cell>
          <cell r="U488">
            <v>461</v>
          </cell>
          <cell r="V488">
            <v>116</v>
          </cell>
          <cell r="W488">
            <v>392</v>
          </cell>
          <cell r="X488">
            <v>0</v>
          </cell>
          <cell r="Y488">
            <v>0</v>
          </cell>
          <cell r="Z488">
            <v>0</v>
          </cell>
          <cell r="AA488">
            <v>0</v>
          </cell>
          <cell r="AB488">
            <v>0</v>
          </cell>
          <cell r="AC488">
            <v>0</v>
          </cell>
          <cell r="AD488">
            <v>0</v>
          </cell>
          <cell r="AE488">
            <v>0</v>
          </cell>
          <cell r="AF488">
            <v>0</v>
          </cell>
          <cell r="AG488">
            <v>0</v>
          </cell>
          <cell r="AH488">
            <v>0</v>
          </cell>
          <cell r="AI488">
            <v>0</v>
          </cell>
          <cell r="AJ488">
            <v>0</v>
          </cell>
        </row>
        <row r="489">
          <cell r="E489" t="str">
            <v>KS Residential Coal</v>
          </cell>
          <cell r="F489">
            <v>2</v>
          </cell>
          <cell r="G489">
            <v>2</v>
          </cell>
          <cell r="H489">
            <v>1</v>
          </cell>
          <cell r="I489">
            <v>94</v>
          </cell>
          <cell r="J489">
            <v>119</v>
          </cell>
          <cell r="K489">
            <v>117</v>
          </cell>
          <cell r="L489">
            <v>226</v>
          </cell>
          <cell r="M489">
            <v>6</v>
          </cell>
          <cell r="N489">
            <v>0</v>
          </cell>
          <cell r="O489">
            <v>20</v>
          </cell>
          <cell r="P489">
            <v>29</v>
          </cell>
          <cell r="Q489">
            <v>1</v>
          </cell>
          <cell r="R489">
            <v>1</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row>
        <row r="490">
          <cell r="E490" t="str">
            <v>KY Residential Coal</v>
          </cell>
          <cell r="F490">
            <v>737</v>
          </cell>
          <cell r="G490">
            <v>832</v>
          </cell>
          <cell r="H490">
            <v>946</v>
          </cell>
          <cell r="I490">
            <v>1191</v>
          </cell>
          <cell r="J490">
            <v>1064</v>
          </cell>
          <cell r="K490">
            <v>421</v>
          </cell>
          <cell r="L490">
            <v>342</v>
          </cell>
          <cell r="M490">
            <v>906</v>
          </cell>
          <cell r="N490">
            <v>650</v>
          </cell>
          <cell r="O490">
            <v>1263</v>
          </cell>
          <cell r="P490">
            <v>555</v>
          </cell>
          <cell r="Q490">
            <v>596</v>
          </cell>
          <cell r="R490">
            <v>748</v>
          </cell>
          <cell r="S490">
            <v>643</v>
          </cell>
          <cell r="T490">
            <v>661</v>
          </cell>
          <cell r="U490">
            <v>557</v>
          </cell>
          <cell r="V490">
            <v>279</v>
          </cell>
          <cell r="W490">
            <v>322</v>
          </cell>
          <cell r="X490">
            <v>0</v>
          </cell>
          <cell r="Y490">
            <v>0</v>
          </cell>
          <cell r="Z490">
            <v>0</v>
          </cell>
          <cell r="AA490">
            <v>0</v>
          </cell>
          <cell r="AB490">
            <v>0</v>
          </cell>
          <cell r="AC490">
            <v>0</v>
          </cell>
          <cell r="AD490">
            <v>0</v>
          </cell>
          <cell r="AE490">
            <v>0</v>
          </cell>
          <cell r="AF490">
            <v>0</v>
          </cell>
          <cell r="AG490">
            <v>0</v>
          </cell>
          <cell r="AH490">
            <v>0</v>
          </cell>
          <cell r="AI490">
            <v>0</v>
          </cell>
          <cell r="AJ490">
            <v>0</v>
          </cell>
        </row>
        <row r="491">
          <cell r="E491" t="str">
            <v>LA Residential Coal</v>
          </cell>
          <cell r="F491">
            <v>0</v>
          </cell>
          <cell r="G491">
            <v>0</v>
          </cell>
          <cell r="H491">
            <v>0</v>
          </cell>
          <cell r="I491">
            <v>4</v>
          </cell>
          <cell r="J491">
            <v>0</v>
          </cell>
          <cell r="K491">
            <v>16</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row>
        <row r="492">
          <cell r="E492" t="str">
            <v>MA Residential Coal</v>
          </cell>
          <cell r="F492">
            <v>316</v>
          </cell>
          <cell r="G492">
            <v>120</v>
          </cell>
          <cell r="H492">
            <v>259</v>
          </cell>
          <cell r="I492">
            <v>193</v>
          </cell>
          <cell r="J492">
            <v>83</v>
          </cell>
          <cell r="K492">
            <v>87</v>
          </cell>
          <cell r="L492">
            <v>98</v>
          </cell>
          <cell r="M492">
            <v>79</v>
          </cell>
          <cell r="N492">
            <v>78</v>
          </cell>
          <cell r="O492">
            <v>122</v>
          </cell>
          <cell r="P492">
            <v>48</v>
          </cell>
          <cell r="Q492">
            <v>45</v>
          </cell>
          <cell r="R492">
            <v>260</v>
          </cell>
          <cell r="S492">
            <v>166</v>
          </cell>
          <cell r="T492">
            <v>86</v>
          </cell>
          <cell r="U492">
            <v>86</v>
          </cell>
          <cell r="V492">
            <v>36</v>
          </cell>
          <cell r="W492">
            <v>58</v>
          </cell>
          <cell r="X492">
            <v>0</v>
          </cell>
          <cell r="Y492">
            <v>0</v>
          </cell>
          <cell r="Z492">
            <v>0</v>
          </cell>
          <cell r="AA492">
            <v>0</v>
          </cell>
          <cell r="AB492">
            <v>0</v>
          </cell>
          <cell r="AC492">
            <v>0</v>
          </cell>
          <cell r="AD492">
            <v>0</v>
          </cell>
          <cell r="AE492">
            <v>0</v>
          </cell>
          <cell r="AF492">
            <v>0</v>
          </cell>
          <cell r="AG492">
            <v>0</v>
          </cell>
          <cell r="AH492">
            <v>0</v>
          </cell>
          <cell r="AI492">
            <v>0</v>
          </cell>
          <cell r="AJ492">
            <v>0</v>
          </cell>
        </row>
        <row r="493">
          <cell r="E493" t="str">
            <v>MD Residential Coal</v>
          </cell>
          <cell r="F493">
            <v>241</v>
          </cell>
          <cell r="G493">
            <v>190</v>
          </cell>
          <cell r="H493">
            <v>60</v>
          </cell>
          <cell r="I493">
            <v>67</v>
          </cell>
          <cell r="J493">
            <v>136</v>
          </cell>
          <cell r="K493">
            <v>959</v>
          </cell>
          <cell r="L493">
            <v>123</v>
          </cell>
          <cell r="M493">
            <v>152</v>
          </cell>
          <cell r="N493">
            <v>148</v>
          </cell>
          <cell r="O493">
            <v>140</v>
          </cell>
          <cell r="P493">
            <v>230</v>
          </cell>
          <cell r="Q493">
            <v>207</v>
          </cell>
          <cell r="R493">
            <v>9</v>
          </cell>
          <cell r="S493">
            <v>18</v>
          </cell>
          <cell r="T493">
            <v>139</v>
          </cell>
          <cell r="U493">
            <v>62</v>
          </cell>
          <cell r="V493">
            <v>94</v>
          </cell>
          <cell r="W493">
            <v>90</v>
          </cell>
          <cell r="X493">
            <v>0</v>
          </cell>
          <cell r="Y493">
            <v>0</v>
          </cell>
          <cell r="Z493">
            <v>0</v>
          </cell>
          <cell r="AA493">
            <v>0</v>
          </cell>
          <cell r="AB493">
            <v>0</v>
          </cell>
          <cell r="AC493">
            <v>0</v>
          </cell>
          <cell r="AD493">
            <v>0</v>
          </cell>
          <cell r="AE493">
            <v>0</v>
          </cell>
          <cell r="AF493">
            <v>0</v>
          </cell>
          <cell r="AG493">
            <v>0</v>
          </cell>
          <cell r="AH493">
            <v>0</v>
          </cell>
          <cell r="AI493">
            <v>0</v>
          </cell>
          <cell r="AJ493">
            <v>0</v>
          </cell>
        </row>
        <row r="494">
          <cell r="E494" t="str">
            <v>ME Residential Coal</v>
          </cell>
          <cell r="F494">
            <v>214</v>
          </cell>
          <cell r="G494">
            <v>59</v>
          </cell>
          <cell r="H494">
            <v>162</v>
          </cell>
          <cell r="I494">
            <v>115</v>
          </cell>
          <cell r="J494">
            <v>23</v>
          </cell>
          <cell r="K494">
            <v>10</v>
          </cell>
          <cell r="L494">
            <v>12</v>
          </cell>
          <cell r="M494">
            <v>11</v>
          </cell>
          <cell r="N494">
            <v>9</v>
          </cell>
          <cell r="O494">
            <v>9</v>
          </cell>
          <cell r="P494">
            <v>9</v>
          </cell>
          <cell r="Q494">
            <v>8</v>
          </cell>
          <cell r="R494">
            <v>6</v>
          </cell>
          <cell r="S494">
            <v>7</v>
          </cell>
          <cell r="T494">
            <v>5</v>
          </cell>
          <cell r="U494">
            <v>6</v>
          </cell>
          <cell r="V494">
            <v>6</v>
          </cell>
          <cell r="W494">
            <v>6</v>
          </cell>
          <cell r="X494">
            <v>0</v>
          </cell>
          <cell r="Y494">
            <v>0</v>
          </cell>
          <cell r="Z494">
            <v>0</v>
          </cell>
          <cell r="AA494">
            <v>0</v>
          </cell>
          <cell r="AB494">
            <v>0</v>
          </cell>
          <cell r="AC494">
            <v>0</v>
          </cell>
          <cell r="AD494">
            <v>0</v>
          </cell>
          <cell r="AE494">
            <v>0</v>
          </cell>
          <cell r="AF494">
            <v>0</v>
          </cell>
          <cell r="AG494">
            <v>0</v>
          </cell>
          <cell r="AH494">
            <v>0</v>
          </cell>
          <cell r="AI494">
            <v>0</v>
          </cell>
          <cell r="AJ494">
            <v>0</v>
          </cell>
        </row>
        <row r="495">
          <cell r="E495" t="str">
            <v>MI Residential Coal</v>
          </cell>
          <cell r="F495">
            <v>1328</v>
          </cell>
          <cell r="G495">
            <v>1183</v>
          </cell>
          <cell r="H495">
            <v>848</v>
          </cell>
          <cell r="I495">
            <v>1054</v>
          </cell>
          <cell r="J495">
            <v>1066</v>
          </cell>
          <cell r="K495">
            <v>814</v>
          </cell>
          <cell r="L495">
            <v>805</v>
          </cell>
          <cell r="M495">
            <v>509</v>
          </cell>
          <cell r="N495">
            <v>396</v>
          </cell>
          <cell r="O495">
            <v>60</v>
          </cell>
          <cell r="P495">
            <v>38</v>
          </cell>
          <cell r="Q495">
            <v>23</v>
          </cell>
          <cell r="R495">
            <v>754</v>
          </cell>
          <cell r="S495">
            <v>99</v>
          </cell>
          <cell r="T495">
            <v>439</v>
          </cell>
          <cell r="U495">
            <v>298</v>
          </cell>
          <cell r="V495">
            <v>19</v>
          </cell>
          <cell r="W495">
            <v>422</v>
          </cell>
          <cell r="X495">
            <v>0</v>
          </cell>
          <cell r="Y495">
            <v>0</v>
          </cell>
          <cell r="Z495">
            <v>0</v>
          </cell>
          <cell r="AA495">
            <v>0</v>
          </cell>
          <cell r="AB495">
            <v>0</v>
          </cell>
          <cell r="AC495">
            <v>0</v>
          </cell>
          <cell r="AD495">
            <v>0</v>
          </cell>
          <cell r="AE495">
            <v>0</v>
          </cell>
          <cell r="AF495">
            <v>0</v>
          </cell>
          <cell r="AG495">
            <v>0</v>
          </cell>
          <cell r="AH495">
            <v>0</v>
          </cell>
          <cell r="AI495">
            <v>0</v>
          </cell>
          <cell r="AJ495">
            <v>0</v>
          </cell>
        </row>
        <row r="496">
          <cell r="E496" t="str">
            <v>MN Residential Coal</v>
          </cell>
          <cell r="F496">
            <v>639</v>
          </cell>
          <cell r="G496">
            <v>301</v>
          </cell>
          <cell r="H496">
            <v>79</v>
          </cell>
          <cell r="I496">
            <v>355</v>
          </cell>
          <cell r="J496">
            <v>673</v>
          </cell>
          <cell r="K496">
            <v>694</v>
          </cell>
          <cell r="L496">
            <v>328</v>
          </cell>
          <cell r="M496">
            <v>213</v>
          </cell>
          <cell r="N496">
            <v>88</v>
          </cell>
          <cell r="O496">
            <v>34</v>
          </cell>
          <cell r="P496">
            <v>11</v>
          </cell>
          <cell r="Q496">
            <v>4</v>
          </cell>
          <cell r="R496">
            <v>221</v>
          </cell>
          <cell r="S496">
            <v>3</v>
          </cell>
          <cell r="T496">
            <v>0</v>
          </cell>
          <cell r="U496">
            <v>113</v>
          </cell>
          <cell r="V496">
            <v>145</v>
          </cell>
          <cell r="W496">
            <v>123</v>
          </cell>
          <cell r="X496">
            <v>0</v>
          </cell>
          <cell r="Y496">
            <v>0</v>
          </cell>
          <cell r="Z496">
            <v>0</v>
          </cell>
          <cell r="AA496">
            <v>0</v>
          </cell>
          <cell r="AB496">
            <v>0</v>
          </cell>
          <cell r="AC496">
            <v>0</v>
          </cell>
          <cell r="AD496">
            <v>0</v>
          </cell>
          <cell r="AE496">
            <v>0</v>
          </cell>
          <cell r="AF496">
            <v>0</v>
          </cell>
          <cell r="AG496">
            <v>0</v>
          </cell>
          <cell r="AH496">
            <v>0</v>
          </cell>
          <cell r="AI496">
            <v>0</v>
          </cell>
          <cell r="AJ496">
            <v>0</v>
          </cell>
        </row>
        <row r="497">
          <cell r="E497" t="str">
            <v>MO Residential Coal</v>
          </cell>
          <cell r="F497">
            <v>1246</v>
          </cell>
          <cell r="G497">
            <v>996</v>
          </cell>
          <cell r="H497">
            <v>900</v>
          </cell>
          <cell r="I497">
            <v>1048</v>
          </cell>
          <cell r="J497">
            <v>750</v>
          </cell>
          <cell r="K497">
            <v>620</v>
          </cell>
          <cell r="L497">
            <v>556</v>
          </cell>
          <cell r="M497">
            <v>668</v>
          </cell>
          <cell r="N497">
            <v>402</v>
          </cell>
          <cell r="O497">
            <v>608</v>
          </cell>
          <cell r="P497">
            <v>427</v>
          </cell>
          <cell r="Q497">
            <v>536</v>
          </cell>
          <cell r="R497">
            <v>521</v>
          </cell>
          <cell r="S497">
            <v>581</v>
          </cell>
          <cell r="T497">
            <v>448</v>
          </cell>
          <cell r="U497">
            <v>399</v>
          </cell>
          <cell r="V497">
            <v>452</v>
          </cell>
          <cell r="W497">
            <v>452</v>
          </cell>
          <cell r="X497">
            <v>0</v>
          </cell>
          <cell r="Y497">
            <v>0</v>
          </cell>
          <cell r="Z497">
            <v>0</v>
          </cell>
          <cell r="AA497">
            <v>0</v>
          </cell>
          <cell r="AB497">
            <v>0</v>
          </cell>
          <cell r="AC497">
            <v>0</v>
          </cell>
          <cell r="AD497">
            <v>0</v>
          </cell>
          <cell r="AE497">
            <v>0</v>
          </cell>
          <cell r="AF497">
            <v>0</v>
          </cell>
          <cell r="AG497">
            <v>0</v>
          </cell>
          <cell r="AH497">
            <v>0</v>
          </cell>
          <cell r="AI497">
            <v>0</v>
          </cell>
          <cell r="AJ497">
            <v>0</v>
          </cell>
        </row>
        <row r="498">
          <cell r="E498" t="str">
            <v>MS Residential Coal</v>
          </cell>
          <cell r="F498">
            <v>0</v>
          </cell>
          <cell r="G498">
            <v>0</v>
          </cell>
          <cell r="H498">
            <v>1</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row>
        <row r="499">
          <cell r="E499" t="str">
            <v>MT Residential Coal</v>
          </cell>
          <cell r="F499">
            <v>214</v>
          </cell>
          <cell r="G499">
            <v>146</v>
          </cell>
          <cell r="H499">
            <v>69</v>
          </cell>
          <cell r="I499">
            <v>37</v>
          </cell>
          <cell r="J499">
            <v>11</v>
          </cell>
          <cell r="K499">
            <v>28</v>
          </cell>
          <cell r="L499">
            <v>10</v>
          </cell>
          <cell r="M499">
            <v>163</v>
          </cell>
          <cell r="N499">
            <v>11</v>
          </cell>
          <cell r="O499">
            <v>6</v>
          </cell>
          <cell r="P499">
            <v>5</v>
          </cell>
          <cell r="Q499">
            <v>6</v>
          </cell>
          <cell r="R499">
            <v>7</v>
          </cell>
          <cell r="S499">
            <v>5</v>
          </cell>
          <cell r="T499">
            <v>196</v>
          </cell>
          <cell r="U499">
            <v>210</v>
          </cell>
          <cell r="V499">
            <v>228</v>
          </cell>
          <cell r="W499">
            <v>3</v>
          </cell>
          <cell r="X499">
            <v>0</v>
          </cell>
          <cell r="Y499">
            <v>0</v>
          </cell>
          <cell r="Z499">
            <v>0</v>
          </cell>
          <cell r="AA499">
            <v>0</v>
          </cell>
          <cell r="AB499">
            <v>0</v>
          </cell>
          <cell r="AC499">
            <v>0</v>
          </cell>
          <cell r="AD499">
            <v>0</v>
          </cell>
          <cell r="AE499">
            <v>0</v>
          </cell>
          <cell r="AF499">
            <v>0</v>
          </cell>
          <cell r="AG499">
            <v>0</v>
          </cell>
          <cell r="AH499">
            <v>0</v>
          </cell>
          <cell r="AI499">
            <v>0</v>
          </cell>
          <cell r="AJ499">
            <v>0</v>
          </cell>
        </row>
        <row r="500">
          <cell r="E500" t="str">
            <v>NC Residential Coal</v>
          </cell>
          <cell r="F500">
            <v>788</v>
          </cell>
          <cell r="G500">
            <v>443</v>
          </cell>
          <cell r="H500">
            <v>917</v>
          </cell>
          <cell r="I500">
            <v>1031</v>
          </cell>
          <cell r="J500">
            <v>985</v>
          </cell>
          <cell r="K500">
            <v>732</v>
          </cell>
          <cell r="L500">
            <v>613</v>
          </cell>
          <cell r="M500">
            <v>528</v>
          </cell>
          <cell r="N500">
            <v>588</v>
          </cell>
          <cell r="O500">
            <v>486</v>
          </cell>
          <cell r="P500">
            <v>336</v>
          </cell>
          <cell r="Q500">
            <v>352</v>
          </cell>
          <cell r="R500">
            <v>393</v>
          </cell>
          <cell r="S500">
            <v>428</v>
          </cell>
          <cell r="T500">
            <v>873</v>
          </cell>
          <cell r="U500">
            <v>303</v>
          </cell>
          <cell r="V500">
            <v>263</v>
          </cell>
          <cell r="W500">
            <v>114</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E501" t="str">
            <v>ND Residential Coal</v>
          </cell>
          <cell r="F501">
            <v>375</v>
          </cell>
          <cell r="G501">
            <v>339</v>
          </cell>
          <cell r="H501">
            <v>317</v>
          </cell>
          <cell r="I501">
            <v>364</v>
          </cell>
          <cell r="J501">
            <v>311</v>
          </cell>
          <cell r="K501">
            <v>222</v>
          </cell>
          <cell r="L501">
            <v>263</v>
          </cell>
          <cell r="M501">
            <v>230</v>
          </cell>
          <cell r="N501">
            <v>185</v>
          </cell>
          <cell r="O501">
            <v>219</v>
          </cell>
          <cell r="P501">
            <v>210</v>
          </cell>
          <cell r="Q501">
            <v>236</v>
          </cell>
          <cell r="R501">
            <v>282</v>
          </cell>
          <cell r="S501">
            <v>360</v>
          </cell>
          <cell r="T501">
            <v>426</v>
          </cell>
          <cell r="U501">
            <v>377</v>
          </cell>
          <cell r="V501">
            <v>167</v>
          </cell>
          <cell r="W501">
            <v>417</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E502" t="str">
            <v>NE Residential Coal</v>
          </cell>
          <cell r="F502">
            <v>17</v>
          </cell>
          <cell r="G502">
            <v>45</v>
          </cell>
          <cell r="H502">
            <v>23</v>
          </cell>
          <cell r="I502">
            <v>20</v>
          </cell>
          <cell r="J502">
            <v>23</v>
          </cell>
          <cell r="K502">
            <v>24</v>
          </cell>
          <cell r="L502">
            <v>3</v>
          </cell>
          <cell r="M502">
            <v>225</v>
          </cell>
          <cell r="N502">
            <v>0</v>
          </cell>
          <cell r="O502">
            <v>0</v>
          </cell>
          <cell r="P502">
            <v>0</v>
          </cell>
          <cell r="Q502">
            <v>14</v>
          </cell>
          <cell r="R502">
            <v>17</v>
          </cell>
          <cell r="S502">
            <v>16</v>
          </cell>
          <cell r="T502">
            <v>7</v>
          </cell>
          <cell r="U502">
            <v>6</v>
          </cell>
          <cell r="V502">
            <v>11</v>
          </cell>
          <cell r="W502">
            <v>12</v>
          </cell>
          <cell r="X502">
            <v>0</v>
          </cell>
          <cell r="Y502">
            <v>0</v>
          </cell>
          <cell r="Z502">
            <v>0</v>
          </cell>
          <cell r="AA502">
            <v>0</v>
          </cell>
          <cell r="AB502">
            <v>0</v>
          </cell>
          <cell r="AC502">
            <v>0</v>
          </cell>
          <cell r="AD502">
            <v>0</v>
          </cell>
          <cell r="AE502">
            <v>0</v>
          </cell>
          <cell r="AF502">
            <v>0</v>
          </cell>
          <cell r="AG502">
            <v>0</v>
          </cell>
          <cell r="AH502">
            <v>0</v>
          </cell>
          <cell r="AI502">
            <v>0</v>
          </cell>
          <cell r="AJ502">
            <v>0</v>
          </cell>
        </row>
        <row r="503">
          <cell r="E503" t="str">
            <v>NH Residential Coal</v>
          </cell>
          <cell r="F503">
            <v>60</v>
          </cell>
          <cell r="G503">
            <v>100</v>
          </cell>
          <cell r="H503">
            <v>71</v>
          </cell>
          <cell r="I503">
            <v>43</v>
          </cell>
          <cell r="J503">
            <v>30</v>
          </cell>
          <cell r="K503">
            <v>26</v>
          </cell>
          <cell r="L503">
            <v>24</v>
          </cell>
          <cell r="M503">
            <v>16</v>
          </cell>
          <cell r="N503">
            <v>13</v>
          </cell>
          <cell r="O503">
            <v>10</v>
          </cell>
          <cell r="P503">
            <v>11</v>
          </cell>
          <cell r="Q503">
            <v>11</v>
          </cell>
          <cell r="R503">
            <v>12</v>
          </cell>
          <cell r="S503">
            <v>7</v>
          </cell>
          <cell r="T503">
            <v>5</v>
          </cell>
          <cell r="U503">
            <v>8</v>
          </cell>
          <cell r="V503">
            <v>9</v>
          </cell>
          <cell r="W503">
            <v>9</v>
          </cell>
          <cell r="X503">
            <v>0</v>
          </cell>
          <cell r="Y503">
            <v>0</v>
          </cell>
          <cell r="Z503">
            <v>0</v>
          </cell>
          <cell r="AA503">
            <v>0</v>
          </cell>
          <cell r="AB503">
            <v>0</v>
          </cell>
          <cell r="AC503">
            <v>0</v>
          </cell>
          <cell r="AD503">
            <v>0</v>
          </cell>
          <cell r="AE503">
            <v>0</v>
          </cell>
          <cell r="AF503">
            <v>0</v>
          </cell>
          <cell r="AG503">
            <v>0</v>
          </cell>
          <cell r="AH503">
            <v>0</v>
          </cell>
          <cell r="AI503">
            <v>0</v>
          </cell>
          <cell r="AJ503">
            <v>0</v>
          </cell>
        </row>
        <row r="504">
          <cell r="E504" t="str">
            <v>NJ Residential Coal</v>
          </cell>
          <cell r="F504">
            <v>65</v>
          </cell>
          <cell r="G504">
            <v>50</v>
          </cell>
          <cell r="H504">
            <v>67</v>
          </cell>
          <cell r="I504">
            <v>35</v>
          </cell>
          <cell r="J504">
            <v>38</v>
          </cell>
          <cell r="K504">
            <v>22</v>
          </cell>
          <cell r="L504">
            <v>24</v>
          </cell>
          <cell r="M504">
            <v>16</v>
          </cell>
          <cell r="N504">
            <v>14</v>
          </cell>
          <cell r="O504">
            <v>15</v>
          </cell>
          <cell r="P504">
            <v>14</v>
          </cell>
          <cell r="Q504">
            <v>11</v>
          </cell>
          <cell r="R504">
            <v>12</v>
          </cell>
          <cell r="S504">
            <v>13</v>
          </cell>
          <cell r="T504">
            <v>13</v>
          </cell>
          <cell r="U504">
            <v>6</v>
          </cell>
          <cell r="V504">
            <v>5</v>
          </cell>
          <cell r="W504">
            <v>6</v>
          </cell>
          <cell r="X504">
            <v>0</v>
          </cell>
          <cell r="Y504">
            <v>0</v>
          </cell>
          <cell r="Z504">
            <v>0</v>
          </cell>
          <cell r="AA504">
            <v>0</v>
          </cell>
          <cell r="AB504">
            <v>0</v>
          </cell>
          <cell r="AC504">
            <v>0</v>
          </cell>
          <cell r="AD504">
            <v>0</v>
          </cell>
          <cell r="AE504">
            <v>0</v>
          </cell>
          <cell r="AF504">
            <v>0</v>
          </cell>
          <cell r="AG504">
            <v>0</v>
          </cell>
          <cell r="AH504">
            <v>0</v>
          </cell>
          <cell r="AI504">
            <v>0</v>
          </cell>
          <cell r="AJ504">
            <v>0</v>
          </cell>
        </row>
        <row r="505">
          <cell r="E505" t="str">
            <v>NM Residential Coal</v>
          </cell>
          <cell r="F505">
            <v>19</v>
          </cell>
          <cell r="G505">
            <v>27</v>
          </cell>
          <cell r="H505">
            <v>32</v>
          </cell>
          <cell r="I505">
            <v>35</v>
          </cell>
          <cell r="J505">
            <v>26</v>
          </cell>
          <cell r="K505">
            <v>20</v>
          </cell>
          <cell r="L505">
            <v>19</v>
          </cell>
          <cell r="M505">
            <v>17</v>
          </cell>
          <cell r="N505">
            <v>25</v>
          </cell>
          <cell r="O505">
            <v>18</v>
          </cell>
          <cell r="P505">
            <v>17</v>
          </cell>
          <cell r="Q505">
            <v>10</v>
          </cell>
          <cell r="R505">
            <v>11</v>
          </cell>
          <cell r="S505">
            <v>10</v>
          </cell>
          <cell r="T505">
            <v>8</v>
          </cell>
          <cell r="U505">
            <v>6</v>
          </cell>
          <cell r="V505">
            <v>7</v>
          </cell>
          <cell r="W505">
            <v>7</v>
          </cell>
          <cell r="X505">
            <v>0</v>
          </cell>
          <cell r="Y505">
            <v>0</v>
          </cell>
          <cell r="Z505">
            <v>0</v>
          </cell>
          <cell r="AA505">
            <v>0</v>
          </cell>
          <cell r="AB505">
            <v>0</v>
          </cell>
          <cell r="AC505">
            <v>0</v>
          </cell>
          <cell r="AD505">
            <v>0</v>
          </cell>
          <cell r="AE505">
            <v>0</v>
          </cell>
          <cell r="AF505">
            <v>0</v>
          </cell>
          <cell r="AG505">
            <v>0</v>
          </cell>
          <cell r="AH505">
            <v>0</v>
          </cell>
          <cell r="AI505">
            <v>0</v>
          </cell>
          <cell r="AJ505">
            <v>0</v>
          </cell>
        </row>
        <row r="506">
          <cell r="E506" t="str">
            <v>NV Residential Coal</v>
          </cell>
          <cell r="F506">
            <v>14</v>
          </cell>
          <cell r="G506">
            <v>8</v>
          </cell>
          <cell r="H506">
            <v>4</v>
          </cell>
          <cell r="I506">
            <v>8</v>
          </cell>
          <cell r="J506">
            <v>3</v>
          </cell>
          <cell r="K506">
            <v>3</v>
          </cell>
          <cell r="L506">
            <v>3</v>
          </cell>
          <cell r="M506">
            <v>3</v>
          </cell>
          <cell r="N506">
            <v>3</v>
          </cell>
          <cell r="O506">
            <v>1</v>
          </cell>
          <cell r="P506">
            <v>0</v>
          </cell>
          <cell r="Q506">
            <v>2</v>
          </cell>
          <cell r="R506">
            <v>2</v>
          </cell>
          <cell r="S506">
            <v>2</v>
          </cell>
          <cell r="T506">
            <v>2</v>
          </cell>
          <cell r="U506">
            <v>1</v>
          </cell>
          <cell r="V506">
            <v>4</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row>
        <row r="507">
          <cell r="E507" t="str">
            <v>NY Residential Coal</v>
          </cell>
          <cell r="F507">
            <v>1357</v>
          </cell>
          <cell r="G507">
            <v>1255</v>
          </cell>
          <cell r="H507">
            <v>1225</v>
          </cell>
          <cell r="I507">
            <v>1018</v>
          </cell>
          <cell r="J507">
            <v>695</v>
          </cell>
          <cell r="K507">
            <v>714</v>
          </cell>
          <cell r="L507">
            <v>843</v>
          </cell>
          <cell r="M507">
            <v>694</v>
          </cell>
          <cell r="N507">
            <v>412</v>
          </cell>
          <cell r="O507">
            <v>551</v>
          </cell>
          <cell r="P507">
            <v>283</v>
          </cell>
          <cell r="Q507">
            <v>312</v>
          </cell>
          <cell r="R507">
            <v>136</v>
          </cell>
          <cell r="S507">
            <v>276</v>
          </cell>
          <cell r="T507">
            <v>402</v>
          </cell>
          <cell r="U507">
            <v>320</v>
          </cell>
          <cell r="V507">
            <v>313</v>
          </cell>
          <cell r="W507">
            <v>330</v>
          </cell>
          <cell r="X507">
            <v>0</v>
          </cell>
          <cell r="Y507">
            <v>0</v>
          </cell>
          <cell r="Z507">
            <v>0</v>
          </cell>
          <cell r="AA507">
            <v>0</v>
          </cell>
          <cell r="AB507">
            <v>0</v>
          </cell>
          <cell r="AC507">
            <v>0</v>
          </cell>
          <cell r="AD507">
            <v>0</v>
          </cell>
          <cell r="AE507">
            <v>0</v>
          </cell>
          <cell r="AF507">
            <v>0</v>
          </cell>
          <cell r="AG507">
            <v>0</v>
          </cell>
          <cell r="AH507">
            <v>0</v>
          </cell>
          <cell r="AI507">
            <v>0</v>
          </cell>
          <cell r="AJ507">
            <v>0</v>
          </cell>
        </row>
        <row r="508">
          <cell r="E508" t="str">
            <v>OH Residential Coal</v>
          </cell>
          <cell r="F508">
            <v>3158</v>
          </cell>
          <cell r="G508">
            <v>2130</v>
          </cell>
          <cell r="H508">
            <v>2580</v>
          </cell>
          <cell r="I508">
            <v>2555</v>
          </cell>
          <cell r="J508">
            <v>1819</v>
          </cell>
          <cell r="K508">
            <v>1299</v>
          </cell>
          <cell r="L508">
            <v>1873</v>
          </cell>
          <cell r="M508">
            <v>864</v>
          </cell>
          <cell r="N508">
            <v>1086</v>
          </cell>
          <cell r="O508">
            <v>629</v>
          </cell>
          <cell r="P508">
            <v>571</v>
          </cell>
          <cell r="Q508">
            <v>610</v>
          </cell>
          <cell r="R508">
            <v>1036</v>
          </cell>
          <cell r="S508">
            <v>636</v>
          </cell>
          <cell r="T508">
            <v>973</v>
          </cell>
          <cell r="U508">
            <v>640</v>
          </cell>
          <cell r="V508">
            <v>238</v>
          </cell>
          <cell r="W508">
            <v>341</v>
          </cell>
          <cell r="X508">
            <v>0</v>
          </cell>
          <cell r="Y508">
            <v>0</v>
          </cell>
          <cell r="Z508">
            <v>0</v>
          </cell>
          <cell r="AA508">
            <v>0</v>
          </cell>
          <cell r="AB508">
            <v>0</v>
          </cell>
          <cell r="AC508">
            <v>0</v>
          </cell>
          <cell r="AD508">
            <v>0</v>
          </cell>
          <cell r="AE508">
            <v>0</v>
          </cell>
          <cell r="AF508">
            <v>0</v>
          </cell>
          <cell r="AG508">
            <v>0</v>
          </cell>
          <cell r="AH508">
            <v>0</v>
          </cell>
          <cell r="AI508">
            <v>0</v>
          </cell>
          <cell r="AJ508">
            <v>0</v>
          </cell>
        </row>
        <row r="509">
          <cell r="E509" t="str">
            <v>OK Residential Coal</v>
          </cell>
          <cell r="F509">
            <v>0</v>
          </cell>
          <cell r="G509">
            <v>5</v>
          </cell>
          <cell r="H509">
            <v>4</v>
          </cell>
          <cell r="I509">
            <v>2</v>
          </cell>
          <cell r="J509">
            <v>4</v>
          </cell>
          <cell r="K509">
            <v>37</v>
          </cell>
          <cell r="L509">
            <v>3</v>
          </cell>
          <cell r="M509">
            <v>556</v>
          </cell>
          <cell r="N509">
            <v>2</v>
          </cell>
          <cell r="O509">
            <v>5</v>
          </cell>
          <cell r="P509">
            <v>0</v>
          </cell>
          <cell r="Q509">
            <v>2</v>
          </cell>
          <cell r="R509">
            <v>3</v>
          </cell>
          <cell r="S509">
            <v>3</v>
          </cell>
          <cell r="T509">
            <v>0</v>
          </cell>
          <cell r="U509">
            <v>2</v>
          </cell>
          <cell r="V509">
            <v>6</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row>
        <row r="510">
          <cell r="E510" t="str">
            <v>OR Residential Coal</v>
          </cell>
          <cell r="F510">
            <v>9</v>
          </cell>
          <cell r="G510">
            <v>4</v>
          </cell>
          <cell r="H510">
            <v>4</v>
          </cell>
          <cell r="I510">
            <v>9</v>
          </cell>
          <cell r="J510">
            <v>4</v>
          </cell>
          <cell r="K510">
            <v>3</v>
          </cell>
          <cell r="L510">
            <v>0</v>
          </cell>
          <cell r="M510">
            <v>3</v>
          </cell>
          <cell r="N510">
            <v>0</v>
          </cell>
          <cell r="O510">
            <v>1</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row>
        <row r="511">
          <cell r="E511" t="str">
            <v>PA Residential Coal</v>
          </cell>
          <cell r="F511">
            <v>6570</v>
          </cell>
          <cell r="G511">
            <v>6381</v>
          </cell>
          <cell r="H511">
            <v>7280</v>
          </cell>
          <cell r="I511">
            <v>5533</v>
          </cell>
          <cell r="J511">
            <v>4346</v>
          </cell>
          <cell r="K511">
            <v>3836</v>
          </cell>
          <cell r="L511">
            <v>2949</v>
          </cell>
          <cell r="M511">
            <v>3375</v>
          </cell>
          <cell r="N511">
            <v>2337</v>
          </cell>
          <cell r="O511">
            <v>2107</v>
          </cell>
          <cell r="P511">
            <v>2154</v>
          </cell>
          <cell r="Q511">
            <v>2170</v>
          </cell>
          <cell r="R511">
            <v>1767</v>
          </cell>
          <cell r="S511">
            <v>2285</v>
          </cell>
          <cell r="T511">
            <v>1708</v>
          </cell>
          <cell r="U511">
            <v>1253</v>
          </cell>
          <cell r="V511">
            <v>1411</v>
          </cell>
          <cell r="W511">
            <v>1801</v>
          </cell>
          <cell r="X511">
            <v>0</v>
          </cell>
          <cell r="Y511">
            <v>0</v>
          </cell>
          <cell r="Z511">
            <v>0</v>
          </cell>
          <cell r="AA511">
            <v>0</v>
          </cell>
          <cell r="AB511">
            <v>0</v>
          </cell>
          <cell r="AC511">
            <v>0</v>
          </cell>
          <cell r="AD511">
            <v>0</v>
          </cell>
          <cell r="AE511">
            <v>0</v>
          </cell>
          <cell r="AF511">
            <v>0</v>
          </cell>
          <cell r="AG511">
            <v>0</v>
          </cell>
          <cell r="AH511">
            <v>0</v>
          </cell>
          <cell r="AI511">
            <v>0</v>
          </cell>
          <cell r="AJ511">
            <v>0</v>
          </cell>
        </row>
        <row r="512">
          <cell r="E512" t="str">
            <v>RI Residential Coal</v>
          </cell>
          <cell r="F512">
            <v>25</v>
          </cell>
          <cell r="G512">
            <v>18</v>
          </cell>
          <cell r="H512">
            <v>22</v>
          </cell>
          <cell r="I512">
            <v>13</v>
          </cell>
          <cell r="J512">
            <v>11</v>
          </cell>
          <cell r="K512">
            <v>10</v>
          </cell>
          <cell r="L512">
            <v>10</v>
          </cell>
          <cell r="M512">
            <v>8</v>
          </cell>
          <cell r="N512">
            <v>6</v>
          </cell>
          <cell r="O512">
            <v>5</v>
          </cell>
          <cell r="P512">
            <v>6</v>
          </cell>
          <cell r="Q512">
            <v>6</v>
          </cell>
          <cell r="R512">
            <v>9</v>
          </cell>
          <cell r="S512">
            <v>13</v>
          </cell>
          <cell r="T512">
            <v>8</v>
          </cell>
          <cell r="U512">
            <v>6</v>
          </cell>
          <cell r="V512">
            <v>4</v>
          </cell>
          <cell r="W512">
            <v>4</v>
          </cell>
          <cell r="X512">
            <v>0</v>
          </cell>
          <cell r="Y512">
            <v>0</v>
          </cell>
          <cell r="Z512">
            <v>0</v>
          </cell>
          <cell r="AA512">
            <v>0</v>
          </cell>
          <cell r="AB512">
            <v>0</v>
          </cell>
          <cell r="AC512">
            <v>0</v>
          </cell>
          <cell r="AD512">
            <v>0</v>
          </cell>
          <cell r="AE512">
            <v>0</v>
          </cell>
          <cell r="AF512">
            <v>0</v>
          </cell>
          <cell r="AG512">
            <v>0</v>
          </cell>
          <cell r="AH512">
            <v>0</v>
          </cell>
          <cell r="AI512">
            <v>0</v>
          </cell>
          <cell r="AJ512">
            <v>0</v>
          </cell>
        </row>
        <row r="513">
          <cell r="E513" t="str">
            <v>SC Residential Coal</v>
          </cell>
          <cell r="F513">
            <v>32</v>
          </cell>
          <cell r="G513">
            <v>100</v>
          </cell>
          <cell r="H513">
            <v>138</v>
          </cell>
          <cell r="I513">
            <v>488</v>
          </cell>
          <cell r="J513">
            <v>229</v>
          </cell>
          <cell r="K513">
            <v>56</v>
          </cell>
          <cell r="L513">
            <v>56</v>
          </cell>
          <cell r="M513">
            <v>2</v>
          </cell>
          <cell r="N513">
            <v>66</v>
          </cell>
          <cell r="O513">
            <v>749</v>
          </cell>
          <cell r="P513">
            <v>0</v>
          </cell>
          <cell r="Q513">
            <v>0</v>
          </cell>
          <cell r="R513">
            <v>0</v>
          </cell>
          <cell r="S513">
            <v>0</v>
          </cell>
          <cell r="T513">
            <v>0</v>
          </cell>
          <cell r="U513">
            <v>0</v>
          </cell>
          <cell r="V513">
            <v>193</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row>
        <row r="514">
          <cell r="E514" t="str">
            <v>SD Residential Coal</v>
          </cell>
          <cell r="F514">
            <v>11</v>
          </cell>
          <cell r="G514">
            <v>13</v>
          </cell>
          <cell r="H514">
            <v>3</v>
          </cell>
          <cell r="I514">
            <v>3</v>
          </cell>
          <cell r="J514">
            <v>46</v>
          </cell>
          <cell r="K514">
            <v>17</v>
          </cell>
          <cell r="L514">
            <v>4</v>
          </cell>
          <cell r="M514">
            <v>2</v>
          </cell>
          <cell r="N514">
            <v>0</v>
          </cell>
          <cell r="O514">
            <v>2</v>
          </cell>
          <cell r="P514">
            <v>3</v>
          </cell>
          <cell r="Q514">
            <v>24</v>
          </cell>
          <cell r="R514">
            <v>3</v>
          </cell>
          <cell r="S514">
            <v>2</v>
          </cell>
          <cell r="T514">
            <v>2</v>
          </cell>
          <cell r="U514">
            <v>1</v>
          </cell>
          <cell r="V514">
            <v>2</v>
          </cell>
          <cell r="W514">
            <v>2</v>
          </cell>
          <cell r="X514">
            <v>0</v>
          </cell>
          <cell r="Y514">
            <v>0</v>
          </cell>
          <cell r="Z514">
            <v>0</v>
          </cell>
          <cell r="AA514">
            <v>0</v>
          </cell>
          <cell r="AB514">
            <v>0</v>
          </cell>
          <cell r="AC514">
            <v>0</v>
          </cell>
          <cell r="AD514">
            <v>0</v>
          </cell>
          <cell r="AE514">
            <v>0</v>
          </cell>
          <cell r="AF514">
            <v>0</v>
          </cell>
          <cell r="AG514">
            <v>0</v>
          </cell>
          <cell r="AH514">
            <v>0</v>
          </cell>
          <cell r="AI514">
            <v>0</v>
          </cell>
          <cell r="AJ514">
            <v>0</v>
          </cell>
        </row>
        <row r="515">
          <cell r="E515" t="str">
            <v>TN Residential Coal</v>
          </cell>
          <cell r="F515">
            <v>1079</v>
          </cell>
          <cell r="G515">
            <v>777</v>
          </cell>
          <cell r="H515">
            <v>686</v>
          </cell>
          <cell r="I515">
            <v>502</v>
          </cell>
          <cell r="J515">
            <v>341</v>
          </cell>
          <cell r="K515">
            <v>477</v>
          </cell>
          <cell r="L515">
            <v>333</v>
          </cell>
          <cell r="M515">
            <v>361</v>
          </cell>
          <cell r="N515">
            <v>72</v>
          </cell>
          <cell r="O515">
            <v>306</v>
          </cell>
          <cell r="P515">
            <v>321</v>
          </cell>
          <cell r="Q515">
            <v>375</v>
          </cell>
          <cell r="R515">
            <v>189</v>
          </cell>
          <cell r="S515">
            <v>414</v>
          </cell>
          <cell r="T515">
            <v>164</v>
          </cell>
          <cell r="U515">
            <v>64</v>
          </cell>
          <cell r="V515">
            <v>91</v>
          </cell>
          <cell r="W515">
            <v>174</v>
          </cell>
          <cell r="X515">
            <v>0</v>
          </cell>
          <cell r="Y515">
            <v>0</v>
          </cell>
          <cell r="Z515">
            <v>0</v>
          </cell>
          <cell r="AA515">
            <v>0</v>
          </cell>
          <cell r="AB515">
            <v>0</v>
          </cell>
          <cell r="AC515">
            <v>0</v>
          </cell>
          <cell r="AD515">
            <v>0</v>
          </cell>
          <cell r="AE515">
            <v>0</v>
          </cell>
          <cell r="AF515">
            <v>0</v>
          </cell>
          <cell r="AG515">
            <v>0</v>
          </cell>
          <cell r="AH515">
            <v>0</v>
          </cell>
          <cell r="AI515">
            <v>0</v>
          </cell>
          <cell r="AJ515">
            <v>0</v>
          </cell>
        </row>
        <row r="516">
          <cell r="E516" t="str">
            <v>TX Residential Coal</v>
          </cell>
          <cell r="F516">
            <v>54</v>
          </cell>
          <cell r="G516">
            <v>49</v>
          </cell>
          <cell r="H516">
            <v>39</v>
          </cell>
          <cell r="I516">
            <v>21</v>
          </cell>
          <cell r="J516">
            <v>0</v>
          </cell>
          <cell r="K516">
            <v>0</v>
          </cell>
          <cell r="L516">
            <v>0</v>
          </cell>
          <cell r="M516">
            <v>0</v>
          </cell>
          <cell r="N516">
            <v>39</v>
          </cell>
          <cell r="O516">
            <v>16</v>
          </cell>
          <cell r="P516">
            <v>22</v>
          </cell>
          <cell r="Q516">
            <v>48</v>
          </cell>
          <cell r="R516">
            <v>147</v>
          </cell>
          <cell r="S516">
            <v>351</v>
          </cell>
          <cell r="T516">
            <v>28</v>
          </cell>
          <cell r="U516">
            <v>25</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row>
        <row r="517">
          <cell r="E517" t="str">
            <v>US Residential Coal</v>
          </cell>
          <cell r="F517">
            <v>30957</v>
          </cell>
          <cell r="G517">
            <v>25339</v>
          </cell>
          <cell r="H517">
            <v>25630</v>
          </cell>
          <cell r="I517">
            <v>25575</v>
          </cell>
          <cell r="J517">
            <v>20667</v>
          </cell>
          <cell r="K517">
            <v>17382</v>
          </cell>
          <cell r="L517">
            <v>16372</v>
          </cell>
          <cell r="M517">
            <v>15910</v>
          </cell>
          <cell r="N517">
            <v>12433</v>
          </cell>
          <cell r="O517">
            <v>13857</v>
          </cell>
          <cell r="P517">
            <v>10606</v>
          </cell>
          <cell r="Q517">
            <v>10913</v>
          </cell>
          <cell r="R517">
            <v>11975</v>
          </cell>
          <cell r="S517">
            <v>12383</v>
          </cell>
          <cell r="T517">
            <v>11429</v>
          </cell>
          <cell r="U517">
            <v>8325</v>
          </cell>
          <cell r="V517">
            <v>6364</v>
          </cell>
          <cell r="W517">
            <v>7820</v>
          </cell>
          <cell r="X517">
            <v>0</v>
          </cell>
          <cell r="Y517">
            <v>0</v>
          </cell>
          <cell r="Z517">
            <v>0</v>
          </cell>
          <cell r="AA517">
            <v>0</v>
          </cell>
          <cell r="AB517">
            <v>0</v>
          </cell>
          <cell r="AC517">
            <v>0</v>
          </cell>
          <cell r="AD517">
            <v>0</v>
          </cell>
          <cell r="AE517">
            <v>0</v>
          </cell>
          <cell r="AF517">
            <v>0</v>
          </cell>
          <cell r="AG517">
            <v>0</v>
          </cell>
          <cell r="AH517">
            <v>0</v>
          </cell>
          <cell r="AI517">
            <v>0</v>
          </cell>
          <cell r="AJ517">
            <v>0</v>
          </cell>
        </row>
        <row r="518">
          <cell r="E518" t="str">
            <v>UT Residential Coal</v>
          </cell>
          <cell r="F518">
            <v>1236</v>
          </cell>
          <cell r="G518">
            <v>1271</v>
          </cell>
          <cell r="H518">
            <v>927</v>
          </cell>
          <cell r="I518">
            <v>505</v>
          </cell>
          <cell r="J518">
            <v>366</v>
          </cell>
          <cell r="K518">
            <v>233</v>
          </cell>
          <cell r="L518">
            <v>263</v>
          </cell>
          <cell r="M518">
            <v>313</v>
          </cell>
          <cell r="N518">
            <v>293</v>
          </cell>
          <cell r="O518">
            <v>320</v>
          </cell>
          <cell r="P518">
            <v>150</v>
          </cell>
          <cell r="Q518">
            <v>154</v>
          </cell>
          <cell r="R518">
            <v>560</v>
          </cell>
          <cell r="S518">
            <v>188</v>
          </cell>
          <cell r="T518">
            <v>503</v>
          </cell>
          <cell r="U518">
            <v>84</v>
          </cell>
          <cell r="V518">
            <v>75</v>
          </cell>
          <cell r="W518">
            <v>53</v>
          </cell>
          <cell r="X518">
            <v>0</v>
          </cell>
          <cell r="Y518">
            <v>0</v>
          </cell>
          <cell r="Z518">
            <v>0</v>
          </cell>
          <cell r="AA518">
            <v>0</v>
          </cell>
          <cell r="AB518">
            <v>0</v>
          </cell>
          <cell r="AC518">
            <v>0</v>
          </cell>
          <cell r="AD518">
            <v>0</v>
          </cell>
          <cell r="AE518">
            <v>0</v>
          </cell>
          <cell r="AF518">
            <v>0</v>
          </cell>
          <cell r="AG518">
            <v>0</v>
          </cell>
          <cell r="AH518">
            <v>0</v>
          </cell>
          <cell r="AI518">
            <v>0</v>
          </cell>
          <cell r="AJ518">
            <v>0</v>
          </cell>
        </row>
        <row r="519">
          <cell r="E519" t="str">
            <v>VA Residential Coal</v>
          </cell>
          <cell r="F519">
            <v>1184</v>
          </cell>
          <cell r="G519">
            <v>629</v>
          </cell>
          <cell r="H519">
            <v>869</v>
          </cell>
          <cell r="I519">
            <v>1395</v>
          </cell>
          <cell r="J519">
            <v>1181</v>
          </cell>
          <cell r="K519">
            <v>926</v>
          </cell>
          <cell r="L519">
            <v>1190</v>
          </cell>
          <cell r="M519">
            <v>499</v>
          </cell>
          <cell r="N519">
            <v>500</v>
          </cell>
          <cell r="O519">
            <v>394</v>
          </cell>
          <cell r="P519">
            <v>239</v>
          </cell>
          <cell r="Q519">
            <v>356</v>
          </cell>
          <cell r="R519">
            <v>232</v>
          </cell>
          <cell r="S519">
            <v>341</v>
          </cell>
          <cell r="T519">
            <v>232</v>
          </cell>
          <cell r="U519">
            <v>240</v>
          </cell>
          <cell r="V519">
            <v>59</v>
          </cell>
          <cell r="W519">
            <v>206</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E520" t="str">
            <v>VT Residential Coal</v>
          </cell>
          <cell r="F520">
            <v>35</v>
          </cell>
          <cell r="G520">
            <v>23</v>
          </cell>
          <cell r="H520">
            <v>27</v>
          </cell>
          <cell r="I520">
            <v>26</v>
          </cell>
          <cell r="J520">
            <v>19</v>
          </cell>
          <cell r="K520">
            <v>10</v>
          </cell>
          <cell r="L520">
            <v>5</v>
          </cell>
          <cell r="M520">
            <v>7</v>
          </cell>
          <cell r="N520">
            <v>6</v>
          </cell>
          <cell r="O520">
            <v>7</v>
          </cell>
          <cell r="P520">
            <v>3</v>
          </cell>
          <cell r="Q520">
            <v>6</v>
          </cell>
          <cell r="R520">
            <v>3</v>
          </cell>
          <cell r="S520">
            <v>3</v>
          </cell>
          <cell r="T520">
            <v>3</v>
          </cell>
          <cell r="U520">
            <v>2</v>
          </cell>
          <cell r="V520">
            <v>2</v>
          </cell>
          <cell r="W520">
            <v>3</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E521" t="str">
            <v>WA Residential Coal</v>
          </cell>
          <cell r="F521">
            <v>287</v>
          </cell>
          <cell r="G521">
            <v>323</v>
          </cell>
          <cell r="H521">
            <v>365</v>
          </cell>
          <cell r="I521">
            <v>462</v>
          </cell>
          <cell r="J521">
            <v>290</v>
          </cell>
          <cell r="K521">
            <v>229</v>
          </cell>
          <cell r="L521">
            <v>65</v>
          </cell>
          <cell r="M521">
            <v>54</v>
          </cell>
          <cell r="N521">
            <v>40</v>
          </cell>
          <cell r="O521">
            <v>52</v>
          </cell>
          <cell r="P521">
            <v>57</v>
          </cell>
          <cell r="Q521">
            <v>57</v>
          </cell>
          <cell r="R521">
            <v>65</v>
          </cell>
          <cell r="S521">
            <v>80</v>
          </cell>
          <cell r="T521">
            <v>54</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row>
        <row r="522">
          <cell r="E522" t="str">
            <v>WI Residential Coal</v>
          </cell>
          <cell r="F522">
            <v>25</v>
          </cell>
          <cell r="G522">
            <v>45</v>
          </cell>
          <cell r="H522">
            <v>19</v>
          </cell>
          <cell r="I522">
            <v>165</v>
          </cell>
          <cell r="J522">
            <v>193</v>
          </cell>
          <cell r="K522">
            <v>422</v>
          </cell>
          <cell r="L522">
            <v>316</v>
          </cell>
          <cell r="M522">
            <v>444</v>
          </cell>
          <cell r="N522">
            <v>387</v>
          </cell>
          <cell r="O522">
            <v>505</v>
          </cell>
          <cell r="P522">
            <v>494</v>
          </cell>
          <cell r="Q522">
            <v>509</v>
          </cell>
          <cell r="R522">
            <v>370</v>
          </cell>
          <cell r="S522">
            <v>499</v>
          </cell>
          <cell r="T522">
            <v>371</v>
          </cell>
          <cell r="U522">
            <v>633</v>
          </cell>
          <cell r="V522">
            <v>64</v>
          </cell>
          <cell r="W522">
            <v>136</v>
          </cell>
          <cell r="X522">
            <v>0</v>
          </cell>
          <cell r="Y522">
            <v>0</v>
          </cell>
          <cell r="Z522">
            <v>0</v>
          </cell>
          <cell r="AA522">
            <v>0</v>
          </cell>
          <cell r="AB522">
            <v>0</v>
          </cell>
          <cell r="AC522">
            <v>0</v>
          </cell>
          <cell r="AD522">
            <v>0</v>
          </cell>
          <cell r="AE522">
            <v>0</v>
          </cell>
          <cell r="AF522">
            <v>0</v>
          </cell>
          <cell r="AG522">
            <v>0</v>
          </cell>
          <cell r="AH522">
            <v>0</v>
          </cell>
          <cell r="AI522">
            <v>0</v>
          </cell>
          <cell r="AJ522">
            <v>0</v>
          </cell>
        </row>
        <row r="523">
          <cell r="E523" t="str">
            <v>WV Residential Coal</v>
          </cell>
          <cell r="F523">
            <v>894</v>
          </cell>
          <cell r="G523">
            <v>432</v>
          </cell>
          <cell r="H523">
            <v>391</v>
          </cell>
          <cell r="I523">
            <v>456</v>
          </cell>
          <cell r="J523">
            <v>323</v>
          </cell>
          <cell r="K523">
            <v>210</v>
          </cell>
          <cell r="L523">
            <v>323</v>
          </cell>
          <cell r="M523">
            <v>286</v>
          </cell>
          <cell r="N523">
            <v>459</v>
          </cell>
          <cell r="O523">
            <v>518</v>
          </cell>
          <cell r="P523">
            <v>613</v>
          </cell>
          <cell r="Q523">
            <v>130</v>
          </cell>
          <cell r="R523">
            <v>100</v>
          </cell>
          <cell r="S523">
            <v>137</v>
          </cell>
          <cell r="T523">
            <v>138</v>
          </cell>
          <cell r="U523">
            <v>159</v>
          </cell>
          <cell r="V523">
            <v>55</v>
          </cell>
          <cell r="W523">
            <v>163</v>
          </cell>
          <cell r="X523">
            <v>0</v>
          </cell>
          <cell r="Y523">
            <v>0</v>
          </cell>
          <cell r="Z523">
            <v>0</v>
          </cell>
          <cell r="AA523">
            <v>0</v>
          </cell>
          <cell r="AB523">
            <v>0</v>
          </cell>
          <cell r="AC523">
            <v>0</v>
          </cell>
          <cell r="AD523">
            <v>0</v>
          </cell>
          <cell r="AE523">
            <v>0</v>
          </cell>
          <cell r="AF523">
            <v>0</v>
          </cell>
          <cell r="AG523">
            <v>0</v>
          </cell>
          <cell r="AH523">
            <v>0</v>
          </cell>
          <cell r="AI523">
            <v>0</v>
          </cell>
          <cell r="AJ523">
            <v>0</v>
          </cell>
        </row>
        <row r="524">
          <cell r="E524" t="str">
            <v>WY Residential Coal</v>
          </cell>
          <cell r="F524">
            <v>519</v>
          </cell>
          <cell r="G524">
            <v>577</v>
          </cell>
          <cell r="H524">
            <v>339</v>
          </cell>
          <cell r="I524">
            <v>624</v>
          </cell>
          <cell r="J524">
            <v>669</v>
          </cell>
          <cell r="K524">
            <v>345</v>
          </cell>
          <cell r="L524">
            <v>833</v>
          </cell>
          <cell r="M524">
            <v>279</v>
          </cell>
          <cell r="N524">
            <v>355</v>
          </cell>
          <cell r="O524">
            <v>252</v>
          </cell>
          <cell r="P524">
            <v>305</v>
          </cell>
          <cell r="Q524">
            <v>271</v>
          </cell>
          <cell r="R524">
            <v>202</v>
          </cell>
          <cell r="S524">
            <v>232</v>
          </cell>
          <cell r="T524">
            <v>182</v>
          </cell>
          <cell r="U524">
            <v>99</v>
          </cell>
          <cell r="V524">
            <v>83</v>
          </cell>
          <cell r="W524">
            <v>105</v>
          </cell>
          <cell r="X524">
            <v>0</v>
          </cell>
          <cell r="Y524">
            <v>0</v>
          </cell>
          <cell r="Z524">
            <v>0</v>
          </cell>
          <cell r="AA524">
            <v>0</v>
          </cell>
          <cell r="AB524">
            <v>0</v>
          </cell>
          <cell r="AC524">
            <v>0</v>
          </cell>
          <cell r="AD524">
            <v>0</v>
          </cell>
          <cell r="AE524">
            <v>0</v>
          </cell>
          <cell r="AF524">
            <v>0</v>
          </cell>
          <cell r="AG524">
            <v>0</v>
          </cell>
          <cell r="AH524">
            <v>0</v>
          </cell>
          <cell r="AI524">
            <v>0</v>
          </cell>
          <cell r="AJ524">
            <v>0</v>
          </cell>
        </row>
        <row r="525">
          <cell r="E525" t="str">
            <v>AK Industrial Crude Oil</v>
          </cell>
          <cell r="F525">
            <v>8701</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row>
        <row r="526">
          <cell r="E526" t="str">
            <v>AL Industrial Crude Oil</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row>
        <row r="527">
          <cell r="E527" t="str">
            <v>AR Industrial Crude Oil</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row>
        <row r="528">
          <cell r="E528" t="str">
            <v>AZ Industrial Crude Oil</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row>
        <row r="529">
          <cell r="E529" t="str">
            <v>CA Industrial Crude Oil</v>
          </cell>
          <cell r="F529">
            <v>42182</v>
          </cell>
          <cell r="G529">
            <v>38947</v>
          </cell>
          <cell r="H529">
            <v>27364</v>
          </cell>
          <cell r="I529">
            <v>21153</v>
          </cell>
          <cell r="J529">
            <v>18682</v>
          </cell>
          <cell r="K529">
            <v>14535</v>
          </cell>
          <cell r="L529">
            <v>13729</v>
          </cell>
          <cell r="M529">
            <v>4623</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row>
        <row r="530">
          <cell r="E530" t="str">
            <v>CO Industrial Crude Oil</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row>
        <row r="531">
          <cell r="E531" t="str">
            <v>CT Industrial Crude Oil</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row>
        <row r="532">
          <cell r="E532" t="str">
            <v>DC Industrial Crude Oil</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row>
        <row r="533">
          <cell r="E533" t="str">
            <v>DE Industrial Crude Oil</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row>
        <row r="534">
          <cell r="E534" t="str">
            <v>FL Industrial Crude Oil</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row>
        <row r="535">
          <cell r="E535" t="str">
            <v>GA Industrial Crude Oil</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row>
        <row r="536">
          <cell r="E536" t="str">
            <v>HI Industrial Crude Oil</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row>
        <row r="537">
          <cell r="E537" t="str">
            <v>IA Industrial Crude Oil</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row>
        <row r="538">
          <cell r="E538" t="str">
            <v>ID Industrial Crude Oil</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row>
        <row r="539">
          <cell r="E539" t="str">
            <v>IL Industrial Crude Oil</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row>
        <row r="540">
          <cell r="E540" t="str">
            <v>IN Industrial Crude Oil</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row>
        <row r="541">
          <cell r="E541" t="str">
            <v>KS Industrial Crude Oil</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row>
        <row r="542">
          <cell r="E542" t="str">
            <v>KY Industrial Crude Oil</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row>
        <row r="543">
          <cell r="E543" t="str">
            <v>LA Industrial Crude Oil</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row>
        <row r="544">
          <cell r="E544" t="str">
            <v>MA Industrial Crude Oil</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row>
        <row r="545">
          <cell r="E545" t="str">
            <v>MD Industrial Crude Oil</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row>
        <row r="546">
          <cell r="E546" t="str">
            <v>ME Industrial Crude Oil</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row>
        <row r="547">
          <cell r="E547" t="str">
            <v>MI Industrial Crude Oil</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E548" t="str">
            <v>MN Industrial Crude Oil</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E549" t="str">
            <v>MO Industrial Crude Oil</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row>
        <row r="550">
          <cell r="E550" t="str">
            <v>MS Industrial Crude Oil</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row>
        <row r="551">
          <cell r="E551" t="str">
            <v>MT Industrial Crude Oil</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row>
        <row r="552">
          <cell r="E552" t="str">
            <v>NC Industrial Crude Oil</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row>
        <row r="553">
          <cell r="E553" t="str">
            <v>ND Industrial Crude Oil</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row>
        <row r="554">
          <cell r="E554" t="str">
            <v>NE Industrial Crude Oil</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row>
        <row r="555">
          <cell r="E555" t="str">
            <v>NH Industrial Crude Oil</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row>
        <row r="556">
          <cell r="E556" t="str">
            <v>NJ Industrial Crude Oil</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row>
        <row r="557">
          <cell r="E557" t="str">
            <v>NM Industrial Crude Oil</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row>
        <row r="558">
          <cell r="E558" t="str">
            <v>NV Industrial Crude Oil</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row>
        <row r="559">
          <cell r="E559" t="str">
            <v>NY Industrial Crude Oil</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row>
        <row r="560">
          <cell r="E560" t="str">
            <v>OH Industrial Crude Oil</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row>
        <row r="561">
          <cell r="E561" t="str">
            <v>OK Industrial Crude Oil</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row>
        <row r="562">
          <cell r="E562" t="str">
            <v>OR Industrial Crude Oil</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row>
        <row r="563">
          <cell r="E563" t="str">
            <v>PA Industrial Crude Oil</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row>
        <row r="564">
          <cell r="E564" t="str">
            <v>RI Industrial Crude Oil</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row>
        <row r="565">
          <cell r="E565" t="str">
            <v>SC Industrial Crude Oil</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row>
        <row r="566">
          <cell r="E566" t="str">
            <v>SD Industrial Crude Oil</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row>
        <row r="567">
          <cell r="E567" t="str">
            <v>TN Industrial Crude Oil</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row>
        <row r="568">
          <cell r="E568" t="str">
            <v>TX Industrial Crude Oil</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row>
        <row r="569">
          <cell r="E569" t="str">
            <v>US Industrial Crude Oil</v>
          </cell>
          <cell r="F569">
            <v>50883</v>
          </cell>
          <cell r="G569">
            <v>38947</v>
          </cell>
          <cell r="H569">
            <v>27364</v>
          </cell>
          <cell r="I569">
            <v>21153</v>
          </cell>
          <cell r="J569">
            <v>18682</v>
          </cell>
          <cell r="K569">
            <v>14535</v>
          </cell>
          <cell r="L569">
            <v>13729</v>
          </cell>
          <cell r="M569">
            <v>4623</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row>
        <row r="570">
          <cell r="E570" t="str">
            <v>UT Industrial Crude Oil</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row>
        <row r="571">
          <cell r="E571" t="str">
            <v>VA Industrial Crude Oil</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row>
        <row r="572">
          <cell r="E572" t="str">
            <v>VT Industrial Crude Oil</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row>
        <row r="573">
          <cell r="E573" t="str">
            <v>WA Industrial Crude Oil</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row>
        <row r="574">
          <cell r="E574" t="str">
            <v>WI Industrial Crude Oil</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row>
        <row r="575">
          <cell r="E575" t="str">
            <v>WV Industrial Crude Oil</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row>
        <row r="576">
          <cell r="E576" t="str">
            <v>WY Industrial Crude Oil</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row>
        <row r="577">
          <cell r="E577" t="str">
            <v>AK Transportation Distillate Fuel</v>
          </cell>
          <cell r="F577">
            <v>35193</v>
          </cell>
          <cell r="G577">
            <v>27509</v>
          </cell>
          <cell r="H577">
            <v>31014</v>
          </cell>
          <cell r="I577">
            <v>33928</v>
          </cell>
          <cell r="J577">
            <v>27242</v>
          </cell>
          <cell r="K577">
            <v>35228</v>
          </cell>
          <cell r="L577">
            <v>25260</v>
          </cell>
          <cell r="M577">
            <v>29112</v>
          </cell>
          <cell r="N577">
            <v>26951</v>
          </cell>
          <cell r="O577">
            <v>28499</v>
          </cell>
          <cell r="P577">
            <v>30885</v>
          </cell>
          <cell r="Q577">
            <v>31327</v>
          </cell>
          <cell r="R577">
            <v>30230</v>
          </cell>
          <cell r="S577">
            <v>28481</v>
          </cell>
          <cell r="T577">
            <v>50009</v>
          </cell>
          <cell r="U577">
            <v>43689</v>
          </cell>
          <cell r="V577">
            <v>46801</v>
          </cell>
          <cell r="W577">
            <v>44946</v>
          </cell>
          <cell r="X577">
            <v>41535</v>
          </cell>
          <cell r="Y577">
            <v>46138</v>
          </cell>
          <cell r="Z577">
            <v>42666</v>
          </cell>
          <cell r="AA577">
            <v>44100</v>
          </cell>
          <cell r="AB577">
            <v>36765</v>
          </cell>
          <cell r="AC577">
            <v>31986</v>
          </cell>
          <cell r="AD577">
            <v>33070</v>
          </cell>
          <cell r="AE577">
            <v>34276</v>
          </cell>
          <cell r="AF577">
            <v>26589</v>
          </cell>
          <cell r="AG577">
            <v>28258</v>
          </cell>
          <cell r="AH577">
            <v>34277</v>
          </cell>
          <cell r="AI577">
            <v>36849</v>
          </cell>
          <cell r="AJ577">
            <v>30027</v>
          </cell>
        </row>
        <row r="578">
          <cell r="E578" t="str">
            <v>AL Transportation Distillate Fuel</v>
          </cell>
          <cell r="F578">
            <v>93843</v>
          </cell>
          <cell r="G578">
            <v>94009</v>
          </cell>
          <cell r="H578">
            <v>95652</v>
          </cell>
          <cell r="I578">
            <v>94663</v>
          </cell>
          <cell r="J578">
            <v>104012</v>
          </cell>
          <cell r="K578">
            <v>107209</v>
          </cell>
          <cell r="L578">
            <v>102871</v>
          </cell>
          <cell r="M578">
            <v>103840</v>
          </cell>
          <cell r="N578">
            <v>102627</v>
          </cell>
          <cell r="O578">
            <v>113196</v>
          </cell>
          <cell r="P578">
            <v>118941</v>
          </cell>
          <cell r="Q578">
            <v>108868</v>
          </cell>
          <cell r="R578">
            <v>106250</v>
          </cell>
          <cell r="S578">
            <v>112743</v>
          </cell>
          <cell r="T578">
            <v>134620</v>
          </cell>
          <cell r="U578">
            <v>130136</v>
          </cell>
          <cell r="V578">
            <v>132016</v>
          </cell>
          <cell r="W578">
            <v>132820</v>
          </cell>
          <cell r="X578">
            <v>113591</v>
          </cell>
          <cell r="Y578">
            <v>108517</v>
          </cell>
          <cell r="Z578">
            <v>117233</v>
          </cell>
          <cell r="AA578">
            <v>123579</v>
          </cell>
          <cell r="AB578">
            <v>119078</v>
          </cell>
          <cell r="AC578">
            <v>117059</v>
          </cell>
          <cell r="AD578">
            <v>118527</v>
          </cell>
          <cell r="AE578">
            <v>126697</v>
          </cell>
          <cell r="AF578">
            <v>140956</v>
          </cell>
          <cell r="AG578">
            <v>137809</v>
          </cell>
          <cell r="AH578">
            <v>127745</v>
          </cell>
          <cell r="AI578">
            <v>130946</v>
          </cell>
          <cell r="AJ578">
            <v>126992</v>
          </cell>
        </row>
        <row r="579">
          <cell r="E579" t="str">
            <v>AR Transportation Distillate Fuel</v>
          </cell>
          <cell r="F579">
            <v>56629</v>
          </cell>
          <cell r="G579">
            <v>57962</v>
          </cell>
          <cell r="H579">
            <v>57886</v>
          </cell>
          <cell r="I579">
            <v>62549</v>
          </cell>
          <cell r="J579">
            <v>71483</v>
          </cell>
          <cell r="K579">
            <v>73149</v>
          </cell>
          <cell r="L579">
            <v>76046</v>
          </cell>
          <cell r="M579">
            <v>79046</v>
          </cell>
          <cell r="N579">
            <v>83476</v>
          </cell>
          <cell r="O579">
            <v>80444</v>
          </cell>
          <cell r="P579">
            <v>83479</v>
          </cell>
          <cell r="Q579">
            <v>90968</v>
          </cell>
          <cell r="R579">
            <v>97823</v>
          </cell>
          <cell r="S579">
            <v>96381</v>
          </cell>
          <cell r="T579">
            <v>100007</v>
          </cell>
          <cell r="U579">
            <v>97389</v>
          </cell>
          <cell r="V579">
            <v>95916</v>
          </cell>
          <cell r="W579">
            <v>97317</v>
          </cell>
          <cell r="X579">
            <v>94981</v>
          </cell>
          <cell r="Y579">
            <v>94337</v>
          </cell>
          <cell r="Z579">
            <v>97842</v>
          </cell>
          <cell r="AA579">
            <v>99064</v>
          </cell>
          <cell r="AB579">
            <v>90155</v>
          </cell>
          <cell r="AC579">
            <v>91015</v>
          </cell>
          <cell r="AD579">
            <v>89026</v>
          </cell>
          <cell r="AE579">
            <v>88795</v>
          </cell>
          <cell r="AF579">
            <v>89470</v>
          </cell>
          <cell r="AG579">
            <v>92883</v>
          </cell>
          <cell r="AH579">
            <v>97731</v>
          </cell>
          <cell r="AI579">
            <v>95310</v>
          </cell>
          <cell r="AJ579">
            <v>94234</v>
          </cell>
        </row>
        <row r="580">
          <cell r="E580" t="str">
            <v>AZ Transportation Distillate Fuel</v>
          </cell>
          <cell r="F580">
            <v>46230</v>
          </cell>
          <cell r="G580">
            <v>42088</v>
          </cell>
          <cell r="H580">
            <v>48422</v>
          </cell>
          <cell r="I580">
            <v>65756</v>
          </cell>
          <cell r="J580">
            <v>61830</v>
          </cell>
          <cell r="K580">
            <v>64416</v>
          </cell>
          <cell r="L580">
            <v>73439</v>
          </cell>
          <cell r="M580">
            <v>75132</v>
          </cell>
          <cell r="N580">
            <v>80331</v>
          </cell>
          <cell r="O580">
            <v>87212</v>
          </cell>
          <cell r="P580">
            <v>84223</v>
          </cell>
          <cell r="Q580">
            <v>93368</v>
          </cell>
          <cell r="R580">
            <v>88663</v>
          </cell>
          <cell r="S580">
            <v>100509</v>
          </cell>
          <cell r="T580">
            <v>110159</v>
          </cell>
          <cell r="U580">
            <v>119013</v>
          </cell>
          <cell r="V580">
            <v>125945</v>
          </cell>
          <cell r="W580">
            <v>123215</v>
          </cell>
          <cell r="X580">
            <v>107936</v>
          </cell>
          <cell r="Y580">
            <v>106231</v>
          </cell>
          <cell r="Z580">
            <v>107630</v>
          </cell>
          <cell r="AA580">
            <v>110575</v>
          </cell>
          <cell r="AB580">
            <v>105909</v>
          </cell>
          <cell r="AC580">
            <v>106405</v>
          </cell>
          <cell r="AD580">
            <v>106337</v>
          </cell>
          <cell r="AE580">
            <v>109443</v>
          </cell>
          <cell r="AF580">
            <v>112704</v>
          </cell>
          <cell r="AG580">
            <v>113087</v>
          </cell>
          <cell r="AH580">
            <v>119914</v>
          </cell>
          <cell r="AI580">
            <v>126670</v>
          </cell>
          <cell r="AJ580">
            <v>127131</v>
          </cell>
        </row>
        <row r="581">
          <cell r="E581" t="str">
            <v>CA Transportation Distillate Fuel</v>
          </cell>
          <cell r="F581">
            <v>323856</v>
          </cell>
          <cell r="G581">
            <v>325205</v>
          </cell>
          <cell r="H581">
            <v>313881</v>
          </cell>
          <cell r="I581">
            <v>286878</v>
          </cell>
          <cell r="J581">
            <v>324431</v>
          </cell>
          <cell r="K581">
            <v>337210</v>
          </cell>
          <cell r="L581">
            <v>343147</v>
          </cell>
          <cell r="M581">
            <v>364674</v>
          </cell>
          <cell r="N581">
            <v>364004</v>
          </cell>
          <cell r="O581">
            <v>376996</v>
          </cell>
          <cell r="P581">
            <v>410387</v>
          </cell>
          <cell r="Q581">
            <v>414150</v>
          </cell>
          <cell r="R581">
            <v>421152</v>
          </cell>
          <cell r="S581">
            <v>405115</v>
          </cell>
          <cell r="T581">
            <v>452446</v>
          </cell>
          <cell r="U581">
            <v>473042</v>
          </cell>
          <cell r="V581">
            <v>485179</v>
          </cell>
          <cell r="W581">
            <v>494331</v>
          </cell>
          <cell r="X581">
            <v>430665</v>
          </cell>
          <cell r="Y581">
            <v>424069</v>
          </cell>
          <cell r="Z581">
            <v>429426</v>
          </cell>
          <cell r="AA581">
            <v>437864</v>
          </cell>
          <cell r="AB581">
            <v>420676</v>
          </cell>
          <cell r="AC581">
            <v>437249</v>
          </cell>
          <cell r="AD581">
            <v>459631</v>
          </cell>
          <cell r="AE581">
            <v>463767</v>
          </cell>
          <cell r="AF581">
            <v>461816</v>
          </cell>
          <cell r="AG581">
            <v>476923</v>
          </cell>
          <cell r="AH581">
            <v>483816</v>
          </cell>
          <cell r="AI581">
            <v>478672</v>
          </cell>
          <cell r="AJ581">
            <v>449676</v>
          </cell>
        </row>
        <row r="582">
          <cell r="E582" t="str">
            <v>CO Transportation Distillate Fuel</v>
          </cell>
          <cell r="F582">
            <v>40100</v>
          </cell>
          <cell r="G582">
            <v>41290</v>
          </cell>
          <cell r="H582">
            <v>38793</v>
          </cell>
          <cell r="I582">
            <v>46423</v>
          </cell>
          <cell r="J582">
            <v>47520</v>
          </cell>
          <cell r="K582">
            <v>50454</v>
          </cell>
          <cell r="L582">
            <v>50128</v>
          </cell>
          <cell r="M582">
            <v>45527</v>
          </cell>
          <cell r="N582">
            <v>59231</v>
          </cell>
          <cell r="O582">
            <v>63698</v>
          </cell>
          <cell r="P582">
            <v>66538</v>
          </cell>
          <cell r="Q582">
            <v>75877</v>
          </cell>
          <cell r="R582">
            <v>78590</v>
          </cell>
          <cell r="S582">
            <v>85725</v>
          </cell>
          <cell r="T582">
            <v>75483</v>
          </cell>
          <cell r="U582">
            <v>76952</v>
          </cell>
          <cell r="V582">
            <v>81134</v>
          </cell>
          <cell r="W582">
            <v>83219</v>
          </cell>
          <cell r="X582">
            <v>77130</v>
          </cell>
          <cell r="Y582">
            <v>79216</v>
          </cell>
          <cell r="Z582">
            <v>84312</v>
          </cell>
          <cell r="AA582">
            <v>82647</v>
          </cell>
          <cell r="AB582">
            <v>82520</v>
          </cell>
          <cell r="AC582">
            <v>80248</v>
          </cell>
          <cell r="AD582">
            <v>85613</v>
          </cell>
          <cell r="AE582">
            <v>81875</v>
          </cell>
          <cell r="AF582">
            <v>80903</v>
          </cell>
          <cell r="AG582">
            <v>82835</v>
          </cell>
          <cell r="AH582">
            <v>89134</v>
          </cell>
          <cell r="AI582">
            <v>89794</v>
          </cell>
          <cell r="AJ582">
            <v>87404</v>
          </cell>
        </row>
        <row r="583">
          <cell r="E583" t="str">
            <v>CT Transportation Distillate Fuel</v>
          </cell>
          <cell r="F583">
            <v>27958</v>
          </cell>
          <cell r="G583">
            <v>25810</v>
          </cell>
          <cell r="H583">
            <v>27946</v>
          </cell>
          <cell r="I583">
            <v>27180</v>
          </cell>
          <cell r="J583">
            <v>25088</v>
          </cell>
          <cell r="K583">
            <v>27681</v>
          </cell>
          <cell r="L583">
            <v>29598</v>
          </cell>
          <cell r="M583">
            <v>30960</v>
          </cell>
          <cell r="N583">
            <v>30854</v>
          </cell>
          <cell r="O583">
            <v>32578</v>
          </cell>
          <cell r="P583">
            <v>31832</v>
          </cell>
          <cell r="Q583">
            <v>38886</v>
          </cell>
          <cell r="R583">
            <v>31876</v>
          </cell>
          <cell r="S583">
            <v>31243</v>
          </cell>
          <cell r="T583">
            <v>41186</v>
          </cell>
          <cell r="U583">
            <v>43997</v>
          </cell>
          <cell r="V583">
            <v>44367</v>
          </cell>
          <cell r="W583">
            <v>44357</v>
          </cell>
          <cell r="X583">
            <v>40747</v>
          </cell>
          <cell r="Y583">
            <v>38650</v>
          </cell>
          <cell r="Z583">
            <v>38892</v>
          </cell>
          <cell r="AA583">
            <v>39632</v>
          </cell>
          <cell r="AB583">
            <v>38144</v>
          </cell>
          <cell r="AC583">
            <v>38180</v>
          </cell>
          <cell r="AD583">
            <v>38670</v>
          </cell>
          <cell r="AE583">
            <v>38278</v>
          </cell>
          <cell r="AF583">
            <v>37444</v>
          </cell>
          <cell r="AG583">
            <v>37128</v>
          </cell>
          <cell r="AH583">
            <v>39277</v>
          </cell>
          <cell r="AI583">
            <v>39649</v>
          </cell>
          <cell r="AJ583">
            <v>38070</v>
          </cell>
        </row>
        <row r="584">
          <cell r="E584" t="str">
            <v>DC Transportation Distillate Fuel</v>
          </cell>
          <cell r="F584">
            <v>4682</v>
          </cell>
          <cell r="G584">
            <v>4481</v>
          </cell>
          <cell r="H584">
            <v>4608</v>
          </cell>
          <cell r="I584">
            <v>3534</v>
          </cell>
          <cell r="J584">
            <v>4137</v>
          </cell>
          <cell r="K584">
            <v>3692</v>
          </cell>
          <cell r="L584">
            <v>3921</v>
          </cell>
          <cell r="M584">
            <v>3602</v>
          </cell>
          <cell r="N584">
            <v>3478</v>
          </cell>
          <cell r="O584">
            <v>3423</v>
          </cell>
          <cell r="P584">
            <v>4234</v>
          </cell>
          <cell r="Q584">
            <v>4839</v>
          </cell>
          <cell r="R584">
            <v>4618</v>
          </cell>
          <cell r="S584">
            <v>5106</v>
          </cell>
          <cell r="T584">
            <v>5460</v>
          </cell>
          <cell r="U584">
            <v>3145</v>
          </cell>
          <cell r="V584">
            <v>1407</v>
          </cell>
          <cell r="W584">
            <v>1587</v>
          </cell>
          <cell r="X584">
            <v>2179</v>
          </cell>
          <cell r="Y584">
            <v>1717</v>
          </cell>
          <cell r="Z584">
            <v>1925</v>
          </cell>
          <cell r="AA584">
            <v>2281</v>
          </cell>
          <cell r="AB584">
            <v>2167</v>
          </cell>
          <cell r="AC584">
            <v>1949</v>
          </cell>
          <cell r="AD584">
            <v>2258</v>
          </cell>
          <cell r="AE584">
            <v>1938</v>
          </cell>
          <cell r="AF584">
            <v>1860</v>
          </cell>
          <cell r="AG584">
            <v>1277</v>
          </cell>
          <cell r="AH584">
            <v>972</v>
          </cell>
          <cell r="AI584">
            <v>2208</v>
          </cell>
          <cell r="AJ584">
            <v>1526</v>
          </cell>
        </row>
        <row r="585">
          <cell r="E585" t="str">
            <v>DE Transportation Distillate Fuel</v>
          </cell>
          <cell r="F585">
            <v>7816</v>
          </cell>
          <cell r="G585">
            <v>8266</v>
          </cell>
          <cell r="H585">
            <v>7957</v>
          </cell>
          <cell r="I585">
            <v>9322</v>
          </cell>
          <cell r="J585">
            <v>8626</v>
          </cell>
          <cell r="K585">
            <v>8688</v>
          </cell>
          <cell r="L585">
            <v>9048</v>
          </cell>
          <cell r="M585">
            <v>8859</v>
          </cell>
          <cell r="N585">
            <v>8838</v>
          </cell>
          <cell r="O585">
            <v>8135</v>
          </cell>
          <cell r="P585">
            <v>12518</v>
          </cell>
          <cell r="Q585">
            <v>8051</v>
          </cell>
          <cell r="R585">
            <v>8631</v>
          </cell>
          <cell r="S585">
            <v>8799</v>
          </cell>
          <cell r="T585">
            <v>9282</v>
          </cell>
          <cell r="U585">
            <v>9667</v>
          </cell>
          <cell r="V585">
            <v>9764</v>
          </cell>
          <cell r="W585">
            <v>9601</v>
          </cell>
          <cell r="X585">
            <v>8313</v>
          </cell>
          <cell r="Y585">
            <v>8139</v>
          </cell>
          <cell r="Z585">
            <v>8107</v>
          </cell>
          <cell r="AA585">
            <v>8332</v>
          </cell>
          <cell r="AB585">
            <v>7956</v>
          </cell>
          <cell r="AC585">
            <v>8054</v>
          </cell>
          <cell r="AD585">
            <v>8512</v>
          </cell>
          <cell r="AE585">
            <v>8568</v>
          </cell>
          <cell r="AF585">
            <v>8990</v>
          </cell>
          <cell r="AG585">
            <v>9605</v>
          </cell>
          <cell r="AH585">
            <v>10858</v>
          </cell>
          <cell r="AI585">
            <v>10832</v>
          </cell>
          <cell r="AJ585">
            <v>10027</v>
          </cell>
        </row>
        <row r="586">
          <cell r="E586" t="str">
            <v>FL Transportation Distillate Fuel</v>
          </cell>
          <cell r="F586">
            <v>146530</v>
          </cell>
          <cell r="G586">
            <v>138018</v>
          </cell>
          <cell r="H586">
            <v>154368</v>
          </cell>
          <cell r="I586">
            <v>85171</v>
          </cell>
          <cell r="J586">
            <v>150452</v>
          </cell>
          <cell r="K586">
            <v>168284</v>
          </cell>
          <cell r="L586">
            <v>166736</v>
          </cell>
          <cell r="M586">
            <v>188108</v>
          </cell>
          <cell r="N586">
            <v>192860</v>
          </cell>
          <cell r="O586">
            <v>200695</v>
          </cell>
          <cell r="P586">
            <v>204487</v>
          </cell>
          <cell r="Q586">
            <v>212041</v>
          </cell>
          <cell r="R586">
            <v>213030</v>
          </cell>
          <cell r="S586">
            <v>225572</v>
          </cell>
          <cell r="T586">
            <v>248842</v>
          </cell>
          <cell r="U586">
            <v>267803</v>
          </cell>
          <cell r="V586">
            <v>284164</v>
          </cell>
          <cell r="W586">
            <v>265672</v>
          </cell>
          <cell r="X586">
            <v>232979</v>
          </cell>
          <cell r="Y586">
            <v>204911</v>
          </cell>
          <cell r="Z586">
            <v>215220</v>
          </cell>
          <cell r="AA586">
            <v>219516</v>
          </cell>
          <cell r="AB586">
            <v>214648</v>
          </cell>
          <cell r="AC586">
            <v>224747</v>
          </cell>
          <cell r="AD586">
            <v>229982</v>
          </cell>
          <cell r="AE586">
            <v>247996</v>
          </cell>
          <cell r="AF586">
            <v>255928</v>
          </cell>
          <cell r="AG586">
            <v>252785</v>
          </cell>
          <cell r="AH586">
            <v>279743</v>
          </cell>
          <cell r="AI586">
            <v>278673</v>
          </cell>
          <cell r="AJ586">
            <v>262020</v>
          </cell>
        </row>
        <row r="587">
          <cell r="E587" t="str">
            <v>GA Transportation Distillate Fuel</v>
          </cell>
          <cell r="F587">
            <v>128552</v>
          </cell>
          <cell r="G587">
            <v>130414</v>
          </cell>
          <cell r="H587">
            <v>132279</v>
          </cell>
          <cell r="I587">
            <v>145531</v>
          </cell>
          <cell r="J587">
            <v>149382</v>
          </cell>
          <cell r="K587">
            <v>158887</v>
          </cell>
          <cell r="L587">
            <v>192508</v>
          </cell>
          <cell r="M587">
            <v>174011</v>
          </cell>
          <cell r="N587">
            <v>174891</v>
          </cell>
          <cell r="O587">
            <v>186687</v>
          </cell>
          <cell r="P587">
            <v>196706</v>
          </cell>
          <cell r="Q587">
            <v>206220</v>
          </cell>
          <cell r="R587">
            <v>197074</v>
          </cell>
          <cell r="S587">
            <v>209800</v>
          </cell>
          <cell r="T587">
            <v>222233</v>
          </cell>
          <cell r="U587">
            <v>248718</v>
          </cell>
          <cell r="V587">
            <v>238273</v>
          </cell>
          <cell r="W587">
            <v>224856</v>
          </cell>
          <cell r="X587">
            <v>189676</v>
          </cell>
          <cell r="Y587">
            <v>180564</v>
          </cell>
          <cell r="Z587">
            <v>191421</v>
          </cell>
          <cell r="AA587">
            <v>183565</v>
          </cell>
          <cell r="AB587">
            <v>166330</v>
          </cell>
          <cell r="AC587">
            <v>180669</v>
          </cell>
          <cell r="AD587">
            <v>184706</v>
          </cell>
          <cell r="AE587">
            <v>200765</v>
          </cell>
          <cell r="AF587">
            <v>182821</v>
          </cell>
          <cell r="AG587">
            <v>210519</v>
          </cell>
          <cell r="AH587">
            <v>178964</v>
          </cell>
          <cell r="AI587">
            <v>190531</v>
          </cell>
          <cell r="AJ587">
            <v>195613</v>
          </cell>
        </row>
        <row r="588">
          <cell r="E588" t="str">
            <v>HI Transportation Distillate Fuel</v>
          </cell>
          <cell r="F588">
            <v>20374</v>
          </cell>
          <cell r="G588">
            <v>24473</v>
          </cell>
          <cell r="H588">
            <v>16661</v>
          </cell>
          <cell r="I588">
            <v>15579</v>
          </cell>
          <cell r="J588">
            <v>18755</v>
          </cell>
          <cell r="K588">
            <v>15613</v>
          </cell>
          <cell r="L588">
            <v>11218</v>
          </cell>
          <cell r="M588">
            <v>7695</v>
          </cell>
          <cell r="N588">
            <v>7229</v>
          </cell>
          <cell r="O588">
            <v>12051</v>
          </cell>
          <cell r="P588">
            <v>9470</v>
          </cell>
          <cell r="Q588">
            <v>14287</v>
          </cell>
          <cell r="R588">
            <v>19372</v>
          </cell>
          <cell r="S588">
            <v>30179</v>
          </cell>
          <cell r="T588">
            <v>31181</v>
          </cell>
          <cell r="U588">
            <v>22263</v>
          </cell>
          <cell r="V588">
            <v>19653</v>
          </cell>
          <cell r="W588">
            <v>36125</v>
          </cell>
          <cell r="X588">
            <v>15772</v>
          </cell>
          <cell r="Y588">
            <v>18045</v>
          </cell>
          <cell r="Z588">
            <v>23211</v>
          </cell>
          <cell r="AA588">
            <v>19670</v>
          </cell>
          <cell r="AB588">
            <v>18880</v>
          </cell>
          <cell r="AC588">
            <v>17632</v>
          </cell>
          <cell r="AD588">
            <v>9171</v>
          </cell>
          <cell r="AE588">
            <v>11808</v>
          </cell>
          <cell r="AF588">
            <v>12544</v>
          </cell>
          <cell r="AG588">
            <v>12365</v>
          </cell>
          <cell r="AH588">
            <v>15024</v>
          </cell>
          <cell r="AI588">
            <v>11988</v>
          </cell>
          <cell r="AJ588">
            <v>12159</v>
          </cell>
        </row>
        <row r="589">
          <cell r="E589" t="str">
            <v>IA Transportation Distillate Fuel</v>
          </cell>
          <cell r="F589">
            <v>54476</v>
          </cell>
          <cell r="G589">
            <v>48708</v>
          </cell>
          <cell r="H589">
            <v>49776</v>
          </cell>
          <cell r="I589">
            <v>53707</v>
          </cell>
          <cell r="J589">
            <v>56930</v>
          </cell>
          <cell r="K589">
            <v>62634</v>
          </cell>
          <cell r="L589">
            <v>71442</v>
          </cell>
          <cell r="M589">
            <v>69338</v>
          </cell>
          <cell r="N589">
            <v>70978</v>
          </cell>
          <cell r="O589">
            <v>71814</v>
          </cell>
          <cell r="P589">
            <v>70113</v>
          </cell>
          <cell r="Q589">
            <v>70474</v>
          </cell>
          <cell r="R589">
            <v>71730</v>
          </cell>
          <cell r="S589">
            <v>75123</v>
          </cell>
          <cell r="T589">
            <v>86517</v>
          </cell>
          <cell r="U589">
            <v>87928</v>
          </cell>
          <cell r="V589">
            <v>91410</v>
          </cell>
          <cell r="W589">
            <v>99904</v>
          </cell>
          <cell r="X589">
            <v>95686</v>
          </cell>
          <cell r="Y589">
            <v>91634</v>
          </cell>
          <cell r="Z589">
            <v>97148</v>
          </cell>
          <cell r="AA589">
            <v>98396</v>
          </cell>
          <cell r="AB589">
            <v>94222</v>
          </cell>
          <cell r="AC589">
            <v>95663</v>
          </cell>
          <cell r="AD589">
            <v>100324</v>
          </cell>
          <cell r="AE589">
            <v>97369</v>
          </cell>
          <cell r="AF589">
            <v>97565</v>
          </cell>
          <cell r="AG589">
            <v>98778</v>
          </cell>
          <cell r="AH589">
            <v>101161</v>
          </cell>
          <cell r="AI589">
            <v>102982</v>
          </cell>
          <cell r="AJ589">
            <v>102716</v>
          </cell>
        </row>
        <row r="590">
          <cell r="E590" t="str">
            <v>ID Transportation Distillate Fuel</v>
          </cell>
          <cell r="F590">
            <v>20054</v>
          </cell>
          <cell r="G590">
            <v>20201</v>
          </cell>
          <cell r="H590">
            <v>20568</v>
          </cell>
          <cell r="I590">
            <v>24947</v>
          </cell>
          <cell r="J590">
            <v>25025</v>
          </cell>
          <cell r="K590">
            <v>26018</v>
          </cell>
          <cell r="L590">
            <v>29147</v>
          </cell>
          <cell r="M590">
            <v>31082</v>
          </cell>
          <cell r="N590">
            <v>29031</v>
          </cell>
          <cell r="O590">
            <v>31911</v>
          </cell>
          <cell r="P590">
            <v>33744</v>
          </cell>
          <cell r="Q590">
            <v>34021</v>
          </cell>
          <cell r="R590">
            <v>33912</v>
          </cell>
          <cell r="S590">
            <v>34170</v>
          </cell>
          <cell r="T590">
            <v>35996</v>
          </cell>
          <cell r="U590">
            <v>38213</v>
          </cell>
          <cell r="V590">
            <v>40126</v>
          </cell>
          <cell r="W590">
            <v>41653</v>
          </cell>
          <cell r="X590">
            <v>34815</v>
          </cell>
          <cell r="Y590">
            <v>33366</v>
          </cell>
          <cell r="Z590">
            <v>40800</v>
          </cell>
          <cell r="AA590">
            <v>40966</v>
          </cell>
          <cell r="AB590">
            <v>38960</v>
          </cell>
          <cell r="AC590">
            <v>41363</v>
          </cell>
          <cell r="AD590">
            <v>42968</v>
          </cell>
          <cell r="AE590">
            <v>52674</v>
          </cell>
          <cell r="AF590">
            <v>54767</v>
          </cell>
          <cell r="AG590">
            <v>53770</v>
          </cell>
          <cell r="AH590">
            <v>60260</v>
          </cell>
          <cell r="AI590">
            <v>60699</v>
          </cell>
          <cell r="AJ590">
            <v>56774</v>
          </cell>
        </row>
        <row r="591">
          <cell r="E591" t="str">
            <v>IL Transportation Distillate Fuel</v>
          </cell>
          <cell r="F591">
            <v>178800</v>
          </cell>
          <cell r="G591">
            <v>144663</v>
          </cell>
          <cell r="H591">
            <v>140089</v>
          </cell>
          <cell r="I591">
            <v>158544</v>
          </cell>
          <cell r="J591">
            <v>124594</v>
          </cell>
          <cell r="K591">
            <v>141386</v>
          </cell>
          <cell r="L591">
            <v>152487</v>
          </cell>
          <cell r="M591">
            <v>150838</v>
          </cell>
          <cell r="N591">
            <v>163574</v>
          </cell>
          <cell r="O591">
            <v>195190</v>
          </cell>
          <cell r="P591">
            <v>190686</v>
          </cell>
          <cell r="Q591">
            <v>187456</v>
          </cell>
          <cell r="R591">
            <v>176114</v>
          </cell>
          <cell r="S591">
            <v>227088</v>
          </cell>
          <cell r="T591">
            <v>217243</v>
          </cell>
          <cell r="U591">
            <v>224168</v>
          </cell>
          <cell r="V591">
            <v>229136</v>
          </cell>
          <cell r="W591">
            <v>228349</v>
          </cell>
          <cell r="X591">
            <v>214062</v>
          </cell>
          <cell r="Y591">
            <v>213402</v>
          </cell>
          <cell r="Z591">
            <v>209865</v>
          </cell>
          <cell r="AA591">
            <v>226169</v>
          </cell>
          <cell r="AB591">
            <v>209584</v>
          </cell>
          <cell r="AC591">
            <v>218748</v>
          </cell>
          <cell r="AD591">
            <v>231418</v>
          </cell>
          <cell r="AE591">
            <v>261543</v>
          </cell>
          <cell r="AF591">
            <v>246438</v>
          </cell>
          <cell r="AG591">
            <v>255516</v>
          </cell>
          <cell r="AH591">
            <v>260996</v>
          </cell>
          <cell r="AI591">
            <v>244268</v>
          </cell>
          <cell r="AJ591">
            <v>229639</v>
          </cell>
        </row>
        <row r="592">
          <cell r="E592" t="str">
            <v>IN Transportation Distillate Fuel</v>
          </cell>
          <cell r="F592">
            <v>139798</v>
          </cell>
          <cell r="G592">
            <v>136409</v>
          </cell>
          <cell r="H592">
            <v>129903</v>
          </cell>
          <cell r="I592">
            <v>136842</v>
          </cell>
          <cell r="J592">
            <v>148344</v>
          </cell>
          <cell r="K592">
            <v>149330</v>
          </cell>
          <cell r="L592">
            <v>158752</v>
          </cell>
          <cell r="M592">
            <v>169537</v>
          </cell>
          <cell r="N592">
            <v>162484</v>
          </cell>
          <cell r="O592">
            <v>178730</v>
          </cell>
          <cell r="P592">
            <v>185061</v>
          </cell>
          <cell r="Q592">
            <v>139345</v>
          </cell>
          <cell r="R592">
            <v>195609</v>
          </cell>
          <cell r="S592">
            <v>213591</v>
          </cell>
          <cell r="T592">
            <v>185547</v>
          </cell>
          <cell r="U592">
            <v>199447</v>
          </cell>
          <cell r="V592">
            <v>207217</v>
          </cell>
          <cell r="W592">
            <v>203621</v>
          </cell>
          <cell r="X592">
            <v>185539</v>
          </cell>
          <cell r="Y592">
            <v>165025</v>
          </cell>
          <cell r="Z592">
            <v>182536</v>
          </cell>
          <cell r="AA592">
            <v>188797</v>
          </cell>
          <cell r="AB592">
            <v>183579</v>
          </cell>
          <cell r="AC592">
            <v>204989</v>
          </cell>
          <cell r="AD592">
            <v>213477</v>
          </cell>
          <cell r="AE592">
            <v>206775</v>
          </cell>
          <cell r="AF592">
            <v>197106</v>
          </cell>
          <cell r="AG592">
            <v>174199</v>
          </cell>
          <cell r="AH592">
            <v>174981</v>
          </cell>
          <cell r="AI592">
            <v>177059</v>
          </cell>
          <cell r="AJ592">
            <v>169900</v>
          </cell>
        </row>
        <row r="593">
          <cell r="E593" t="str">
            <v>KS Transportation Distillate Fuel</v>
          </cell>
          <cell r="F593">
            <v>67949</v>
          </cell>
          <cell r="G593">
            <v>61266</v>
          </cell>
          <cell r="H593">
            <v>56825</v>
          </cell>
          <cell r="I593">
            <v>58803</v>
          </cell>
          <cell r="J593">
            <v>53385</v>
          </cell>
          <cell r="K593">
            <v>73788</v>
          </cell>
          <cell r="L593">
            <v>64008</v>
          </cell>
          <cell r="M593">
            <v>60734</v>
          </cell>
          <cell r="N593">
            <v>60130</v>
          </cell>
          <cell r="O593">
            <v>58506</v>
          </cell>
          <cell r="P593">
            <v>55356</v>
          </cell>
          <cell r="Q593">
            <v>55881</v>
          </cell>
          <cell r="R593">
            <v>64575</v>
          </cell>
          <cell r="S593">
            <v>65945</v>
          </cell>
          <cell r="T593">
            <v>64342</v>
          </cell>
          <cell r="U593">
            <v>74628</v>
          </cell>
          <cell r="V593">
            <v>75762</v>
          </cell>
          <cell r="W593">
            <v>81710</v>
          </cell>
          <cell r="X593">
            <v>82239</v>
          </cell>
          <cell r="Y593">
            <v>83507</v>
          </cell>
          <cell r="Z593">
            <v>79215</v>
          </cell>
          <cell r="AA593">
            <v>78997</v>
          </cell>
          <cell r="AB593">
            <v>79629</v>
          </cell>
          <cell r="AC593">
            <v>97172</v>
          </cell>
          <cell r="AD593">
            <v>109296</v>
          </cell>
          <cell r="AE593">
            <v>99704</v>
          </cell>
          <cell r="AF593">
            <v>87950</v>
          </cell>
          <cell r="AG593">
            <v>88488</v>
          </cell>
          <cell r="AH593">
            <v>95671</v>
          </cell>
          <cell r="AI593">
            <v>97484</v>
          </cell>
          <cell r="AJ593">
            <v>88176</v>
          </cell>
        </row>
        <row r="594">
          <cell r="E594" t="str">
            <v>KY Transportation Distillate Fuel</v>
          </cell>
          <cell r="F594">
            <v>95813</v>
          </cell>
          <cell r="G594">
            <v>91316</v>
          </cell>
          <cell r="H594">
            <v>102209</v>
          </cell>
          <cell r="I594">
            <v>119159</v>
          </cell>
          <cell r="J594">
            <v>107067</v>
          </cell>
          <cell r="K594">
            <v>111083</v>
          </cell>
          <cell r="L594">
            <v>113098</v>
          </cell>
          <cell r="M594">
            <v>119381</v>
          </cell>
          <cell r="N594">
            <v>118000</v>
          </cell>
          <cell r="O594">
            <v>120087</v>
          </cell>
          <cell r="P594">
            <v>135501</v>
          </cell>
          <cell r="Q594">
            <v>137193</v>
          </cell>
          <cell r="R594">
            <v>155717</v>
          </cell>
          <cell r="S594">
            <v>120718</v>
          </cell>
          <cell r="T594">
            <v>143322</v>
          </cell>
          <cell r="U594">
            <v>148035</v>
          </cell>
          <cell r="V594">
            <v>154177</v>
          </cell>
          <cell r="W594">
            <v>159544</v>
          </cell>
          <cell r="X594">
            <v>137477</v>
          </cell>
          <cell r="Y594">
            <v>126701</v>
          </cell>
          <cell r="Z594">
            <v>132323</v>
          </cell>
          <cell r="AA594">
            <v>136121</v>
          </cell>
          <cell r="AB594">
            <v>128464</v>
          </cell>
          <cell r="AC594">
            <v>127082</v>
          </cell>
          <cell r="AD594">
            <v>133764</v>
          </cell>
          <cell r="AE594">
            <v>130342</v>
          </cell>
          <cell r="AF594">
            <v>127803</v>
          </cell>
          <cell r="AG594">
            <v>127680</v>
          </cell>
          <cell r="AH594">
            <v>136366</v>
          </cell>
          <cell r="AI594">
            <v>128096</v>
          </cell>
          <cell r="AJ594">
            <v>120545</v>
          </cell>
        </row>
        <row r="595">
          <cell r="E595" t="str">
            <v>LA Transportation Distillate Fuel</v>
          </cell>
          <cell r="F595">
            <v>116588</v>
          </cell>
          <cell r="G595">
            <v>104183</v>
          </cell>
          <cell r="H595">
            <v>95891</v>
          </cell>
          <cell r="I595">
            <v>114049</v>
          </cell>
          <cell r="J595">
            <v>128624</v>
          </cell>
          <cell r="K595">
            <v>144917</v>
          </cell>
          <cell r="L595">
            <v>173336</v>
          </cell>
          <cell r="M595">
            <v>180302</v>
          </cell>
          <cell r="N595">
            <v>163979</v>
          </cell>
          <cell r="O595">
            <v>144552</v>
          </cell>
          <cell r="P595">
            <v>154688</v>
          </cell>
          <cell r="Q595">
            <v>170857</v>
          </cell>
          <cell r="R595">
            <v>162968</v>
          </cell>
          <cell r="S595">
            <v>160940</v>
          </cell>
          <cell r="T595">
            <v>159529</v>
          </cell>
          <cell r="U595">
            <v>159857</v>
          </cell>
          <cell r="V595">
            <v>177772</v>
          </cell>
          <cell r="W595">
            <v>155635</v>
          </cell>
          <cell r="X595">
            <v>151230</v>
          </cell>
          <cell r="Y595">
            <v>154902</v>
          </cell>
          <cell r="Z595">
            <v>177449</v>
          </cell>
          <cell r="AA595">
            <v>194339</v>
          </cell>
          <cell r="AB595">
            <v>149771</v>
          </cell>
          <cell r="AC595">
            <v>150461</v>
          </cell>
          <cell r="AD595">
            <v>146639</v>
          </cell>
          <cell r="AE595">
            <v>174718</v>
          </cell>
          <cell r="AF595">
            <v>160794</v>
          </cell>
          <cell r="AG595">
            <v>151962</v>
          </cell>
          <cell r="AH595">
            <v>144173</v>
          </cell>
          <cell r="AI595">
            <v>155158</v>
          </cell>
          <cell r="AJ595">
            <v>155828</v>
          </cell>
        </row>
        <row r="596">
          <cell r="E596" t="str">
            <v>MA Transportation Distillate Fuel</v>
          </cell>
          <cell r="F596">
            <v>43437</v>
          </cell>
          <cell r="G596">
            <v>43302</v>
          </cell>
          <cell r="H596">
            <v>43504</v>
          </cell>
          <cell r="I596">
            <v>45686</v>
          </cell>
          <cell r="J596">
            <v>47611</v>
          </cell>
          <cell r="K596">
            <v>51102</v>
          </cell>
          <cell r="L596">
            <v>50212</v>
          </cell>
          <cell r="M596">
            <v>52059</v>
          </cell>
          <cell r="N596">
            <v>51695</v>
          </cell>
          <cell r="O596">
            <v>54121</v>
          </cell>
          <cell r="P596">
            <v>58480</v>
          </cell>
          <cell r="Q596">
            <v>60984</v>
          </cell>
          <cell r="R596">
            <v>60698</v>
          </cell>
          <cell r="S596">
            <v>60127</v>
          </cell>
          <cell r="T596">
            <v>68191</v>
          </cell>
          <cell r="U596">
            <v>71301</v>
          </cell>
          <cell r="V596">
            <v>69554</v>
          </cell>
          <cell r="W596">
            <v>68743</v>
          </cell>
          <cell r="X596">
            <v>62896</v>
          </cell>
          <cell r="Y596">
            <v>62960</v>
          </cell>
          <cell r="Z596">
            <v>63677</v>
          </cell>
          <cell r="AA596">
            <v>66714</v>
          </cell>
          <cell r="AB596">
            <v>61721</v>
          </cell>
          <cell r="AC596">
            <v>80303</v>
          </cell>
          <cell r="AD596">
            <v>61737</v>
          </cell>
          <cell r="AE596">
            <v>66102</v>
          </cell>
          <cell r="AF596">
            <v>66125</v>
          </cell>
          <cell r="AG596">
            <v>60953</v>
          </cell>
          <cell r="AH596">
            <v>65300</v>
          </cell>
          <cell r="AI596">
            <v>64128</v>
          </cell>
          <cell r="AJ596">
            <v>61876</v>
          </cell>
        </row>
        <row r="597">
          <cell r="E597" t="str">
            <v>MD Transportation Distillate Fuel</v>
          </cell>
          <cell r="F597">
            <v>47129</v>
          </cell>
          <cell r="G597">
            <v>51226</v>
          </cell>
          <cell r="H597">
            <v>54881</v>
          </cell>
          <cell r="I597">
            <v>53662</v>
          </cell>
          <cell r="J597">
            <v>49512</v>
          </cell>
          <cell r="K597">
            <v>50890</v>
          </cell>
          <cell r="L597">
            <v>56686</v>
          </cell>
          <cell r="M597">
            <v>56623</v>
          </cell>
          <cell r="N597">
            <v>60354</v>
          </cell>
          <cell r="O597">
            <v>69596</v>
          </cell>
          <cell r="P597">
            <v>71272</v>
          </cell>
          <cell r="Q597">
            <v>72815</v>
          </cell>
          <cell r="R597">
            <v>70433</v>
          </cell>
          <cell r="S597">
            <v>73936</v>
          </cell>
          <cell r="T597">
            <v>78135</v>
          </cell>
          <cell r="U597">
            <v>84418</v>
          </cell>
          <cell r="V597">
            <v>86085</v>
          </cell>
          <cell r="W597">
            <v>85912</v>
          </cell>
          <cell r="X597">
            <v>74741</v>
          </cell>
          <cell r="Y597">
            <v>77236</v>
          </cell>
          <cell r="Z597">
            <v>83369</v>
          </cell>
          <cell r="AA597">
            <v>78583</v>
          </cell>
          <cell r="AB597">
            <v>74037</v>
          </cell>
          <cell r="AC597">
            <v>67711</v>
          </cell>
          <cell r="AD597">
            <v>73512</v>
          </cell>
          <cell r="AE597">
            <v>74721</v>
          </cell>
          <cell r="AF597">
            <v>72699</v>
          </cell>
          <cell r="AG597">
            <v>72289</v>
          </cell>
          <cell r="AH597">
            <v>74309</v>
          </cell>
          <cell r="AI597">
            <v>76697</v>
          </cell>
          <cell r="AJ597">
            <v>72224</v>
          </cell>
        </row>
        <row r="598">
          <cell r="E598" t="str">
            <v>ME Transportation Distillate Fuel</v>
          </cell>
          <cell r="F598">
            <v>26062</v>
          </cell>
          <cell r="G598">
            <v>17534</v>
          </cell>
          <cell r="H598">
            <v>18135</v>
          </cell>
          <cell r="I598">
            <v>20157</v>
          </cell>
          <cell r="J598">
            <v>24496</v>
          </cell>
          <cell r="K598">
            <v>20940</v>
          </cell>
          <cell r="L598">
            <v>21091</v>
          </cell>
          <cell r="M598">
            <v>21150</v>
          </cell>
          <cell r="N598">
            <v>20783</v>
          </cell>
          <cell r="O598">
            <v>21049</v>
          </cell>
          <cell r="P598">
            <v>24007</v>
          </cell>
          <cell r="Q598">
            <v>24021</v>
          </cell>
          <cell r="R598">
            <v>24606</v>
          </cell>
          <cell r="S598">
            <v>30100</v>
          </cell>
          <cell r="T598">
            <v>26562</v>
          </cell>
          <cell r="U598">
            <v>26622</v>
          </cell>
          <cell r="V598">
            <v>27474</v>
          </cell>
          <cell r="W598">
            <v>27313</v>
          </cell>
          <cell r="X598">
            <v>26508</v>
          </cell>
          <cell r="Y598">
            <v>28403</v>
          </cell>
          <cell r="Z598">
            <v>27717</v>
          </cell>
          <cell r="AA598">
            <v>27174</v>
          </cell>
          <cell r="AB598">
            <v>26922</v>
          </cell>
          <cell r="AC598">
            <v>28353</v>
          </cell>
          <cell r="AD598">
            <v>27387</v>
          </cell>
          <cell r="AE598">
            <v>29085</v>
          </cell>
          <cell r="AF598">
            <v>28317</v>
          </cell>
          <cell r="AG598">
            <v>39434</v>
          </cell>
          <cell r="AH598">
            <v>26790</v>
          </cell>
          <cell r="AI598">
            <v>26856</v>
          </cell>
          <cell r="AJ598">
            <v>26227</v>
          </cell>
        </row>
        <row r="599">
          <cell r="E599" t="str">
            <v>MI Transportation Distillate Fuel</v>
          </cell>
          <cell r="F599">
            <v>76929</v>
          </cell>
          <cell r="G599">
            <v>78565</v>
          </cell>
          <cell r="H599">
            <v>81391</v>
          </cell>
          <cell r="I599">
            <v>102726</v>
          </cell>
          <cell r="J599">
            <v>104304</v>
          </cell>
          <cell r="K599">
            <v>105485</v>
          </cell>
          <cell r="L599">
            <v>110229</v>
          </cell>
          <cell r="M599">
            <v>115325</v>
          </cell>
          <cell r="N599">
            <v>123045</v>
          </cell>
          <cell r="O599">
            <v>126642</v>
          </cell>
          <cell r="P599">
            <v>127522</v>
          </cell>
          <cell r="Q599">
            <v>124945</v>
          </cell>
          <cell r="R599">
            <v>131011</v>
          </cell>
          <cell r="S599">
            <v>134784</v>
          </cell>
          <cell r="T599">
            <v>139590</v>
          </cell>
          <cell r="U599">
            <v>135303</v>
          </cell>
          <cell r="V599">
            <v>137921</v>
          </cell>
          <cell r="W599">
            <v>135475</v>
          </cell>
          <cell r="X599">
            <v>119927</v>
          </cell>
          <cell r="Y599">
            <v>115587</v>
          </cell>
          <cell r="Z599">
            <v>122202</v>
          </cell>
          <cell r="AA599">
            <v>122624</v>
          </cell>
          <cell r="AB599">
            <v>121088</v>
          </cell>
          <cell r="AC599">
            <v>133407</v>
          </cell>
          <cell r="AD599">
            <v>136846</v>
          </cell>
          <cell r="AE599">
            <v>138930</v>
          </cell>
          <cell r="AF599">
            <v>138519</v>
          </cell>
          <cell r="AG599">
            <v>127685</v>
          </cell>
          <cell r="AH599">
            <v>148376</v>
          </cell>
          <cell r="AI599">
            <v>139631</v>
          </cell>
          <cell r="AJ599">
            <v>127144</v>
          </cell>
        </row>
        <row r="600">
          <cell r="E600" t="str">
            <v>MN Transportation Distillate Fuel</v>
          </cell>
          <cell r="F600">
            <v>53401</v>
          </cell>
          <cell r="G600">
            <v>60715</v>
          </cell>
          <cell r="H600">
            <v>63550</v>
          </cell>
          <cell r="I600">
            <v>64279</v>
          </cell>
          <cell r="J600">
            <v>70895</v>
          </cell>
          <cell r="K600">
            <v>75228</v>
          </cell>
          <cell r="L600">
            <v>75087</v>
          </cell>
          <cell r="M600">
            <v>77379</v>
          </cell>
          <cell r="N600">
            <v>85774</v>
          </cell>
          <cell r="O600">
            <v>89740</v>
          </cell>
          <cell r="P600">
            <v>96359</v>
          </cell>
          <cell r="Q600">
            <v>94389</v>
          </cell>
          <cell r="R600">
            <v>95984</v>
          </cell>
          <cell r="S600">
            <v>95085</v>
          </cell>
          <cell r="T600">
            <v>100759</v>
          </cell>
          <cell r="U600">
            <v>101861</v>
          </cell>
          <cell r="V600">
            <v>106674</v>
          </cell>
          <cell r="W600">
            <v>112878</v>
          </cell>
          <cell r="X600">
            <v>102565</v>
          </cell>
          <cell r="Y600">
            <v>89887</v>
          </cell>
          <cell r="Z600">
            <v>95071</v>
          </cell>
          <cell r="AA600">
            <v>101561</v>
          </cell>
          <cell r="AB600">
            <v>103652</v>
          </cell>
          <cell r="AC600">
            <v>103073</v>
          </cell>
          <cell r="AD600">
            <v>105684</v>
          </cell>
          <cell r="AE600">
            <v>101710</v>
          </cell>
          <cell r="AF600">
            <v>115125</v>
          </cell>
          <cell r="AG600">
            <v>114964</v>
          </cell>
          <cell r="AH600">
            <v>123908</v>
          </cell>
          <cell r="AI600">
            <v>128590</v>
          </cell>
          <cell r="AJ600">
            <v>105104</v>
          </cell>
        </row>
        <row r="601">
          <cell r="E601" t="str">
            <v>MO Transportation Distillate Fuel</v>
          </cell>
          <cell r="F601">
            <v>93484</v>
          </cell>
          <cell r="G601">
            <v>89883</v>
          </cell>
          <cell r="H601">
            <v>98981</v>
          </cell>
          <cell r="I601">
            <v>101658</v>
          </cell>
          <cell r="J601">
            <v>106591</v>
          </cell>
          <cell r="K601">
            <v>111712</v>
          </cell>
          <cell r="L601">
            <v>128561</v>
          </cell>
          <cell r="M601">
            <v>136510</v>
          </cell>
          <cell r="N601">
            <v>175921</v>
          </cell>
          <cell r="O601">
            <v>170637</v>
          </cell>
          <cell r="P601">
            <v>134764</v>
          </cell>
          <cell r="Q601">
            <v>136799</v>
          </cell>
          <cell r="R601">
            <v>135286</v>
          </cell>
          <cell r="S601">
            <v>150644</v>
          </cell>
          <cell r="T601">
            <v>156997</v>
          </cell>
          <cell r="U601">
            <v>156546</v>
          </cell>
          <cell r="V601">
            <v>159946</v>
          </cell>
          <cell r="W601">
            <v>161427</v>
          </cell>
          <cell r="X601">
            <v>140557</v>
          </cell>
          <cell r="Y601">
            <v>143453</v>
          </cell>
          <cell r="Z601">
            <v>152100</v>
          </cell>
          <cell r="AA601">
            <v>153621</v>
          </cell>
          <cell r="AB601">
            <v>144961</v>
          </cell>
          <cell r="AC601">
            <v>145382</v>
          </cell>
          <cell r="AD601">
            <v>150950</v>
          </cell>
          <cell r="AE601">
            <v>152872</v>
          </cell>
          <cell r="AF601">
            <v>152355</v>
          </cell>
          <cell r="AG601">
            <v>150865</v>
          </cell>
          <cell r="AH601">
            <v>153873</v>
          </cell>
          <cell r="AI601">
            <v>158788</v>
          </cell>
          <cell r="AJ601">
            <v>150024</v>
          </cell>
        </row>
        <row r="602">
          <cell r="E602" t="str">
            <v>MS Transportation Distillate Fuel</v>
          </cell>
          <cell r="F602">
            <v>51958</v>
          </cell>
          <cell r="G602">
            <v>53971</v>
          </cell>
          <cell r="H602">
            <v>55258</v>
          </cell>
          <cell r="I602">
            <v>57453</v>
          </cell>
          <cell r="J602">
            <v>59351</v>
          </cell>
          <cell r="K602">
            <v>57181</v>
          </cell>
          <cell r="L602">
            <v>61144</v>
          </cell>
          <cell r="M602">
            <v>67683</v>
          </cell>
          <cell r="N602">
            <v>72495</v>
          </cell>
          <cell r="O602">
            <v>77158</v>
          </cell>
          <cell r="P602">
            <v>75224</v>
          </cell>
          <cell r="Q602">
            <v>75120</v>
          </cell>
          <cell r="R602">
            <v>84004</v>
          </cell>
          <cell r="S602">
            <v>95311</v>
          </cell>
          <cell r="T602">
            <v>97161</v>
          </cell>
          <cell r="U602">
            <v>96951</v>
          </cell>
          <cell r="V602">
            <v>106388</v>
          </cell>
          <cell r="W602">
            <v>107527</v>
          </cell>
          <cell r="X602">
            <v>102609</v>
          </cell>
          <cell r="Y602">
            <v>102164</v>
          </cell>
          <cell r="Z602">
            <v>96355</v>
          </cell>
          <cell r="AA602">
            <v>93639</v>
          </cell>
          <cell r="AB602">
            <v>92684</v>
          </cell>
          <cell r="AC602">
            <v>88294</v>
          </cell>
          <cell r="AD602">
            <v>91417</v>
          </cell>
          <cell r="AE602">
            <v>100393</v>
          </cell>
          <cell r="AF602">
            <v>104429</v>
          </cell>
          <cell r="AG602">
            <v>102331</v>
          </cell>
          <cell r="AH602">
            <v>106092</v>
          </cell>
          <cell r="AI602">
            <v>106273</v>
          </cell>
          <cell r="AJ602">
            <v>102594</v>
          </cell>
        </row>
        <row r="603">
          <cell r="E603" t="str">
            <v>MT Transportation Distillate Fuel</v>
          </cell>
          <cell r="F603">
            <v>23258</v>
          </cell>
          <cell r="G603">
            <v>22463</v>
          </cell>
          <cell r="H603">
            <v>25277</v>
          </cell>
          <cell r="I603">
            <v>25961</v>
          </cell>
          <cell r="J603">
            <v>29682</v>
          </cell>
          <cell r="K603">
            <v>31368</v>
          </cell>
          <cell r="L603">
            <v>28435</v>
          </cell>
          <cell r="M603">
            <v>33281</v>
          </cell>
          <cell r="N603">
            <v>31133</v>
          </cell>
          <cell r="O603">
            <v>32212</v>
          </cell>
          <cell r="P603">
            <v>33818</v>
          </cell>
          <cell r="Q603">
            <v>36079</v>
          </cell>
          <cell r="R603">
            <v>35020</v>
          </cell>
          <cell r="S603">
            <v>29387</v>
          </cell>
          <cell r="T603">
            <v>36286</v>
          </cell>
          <cell r="U603">
            <v>44197</v>
          </cell>
          <cell r="V603">
            <v>47134</v>
          </cell>
          <cell r="W603">
            <v>52132</v>
          </cell>
          <cell r="X603">
            <v>46556</v>
          </cell>
          <cell r="Y603">
            <v>43059</v>
          </cell>
          <cell r="Z603">
            <v>43169</v>
          </cell>
          <cell r="AA603">
            <v>45759</v>
          </cell>
          <cell r="AB603">
            <v>41793</v>
          </cell>
          <cell r="AC603">
            <v>44688</v>
          </cell>
          <cell r="AD603">
            <v>41547</v>
          </cell>
          <cell r="AE603">
            <v>38411</v>
          </cell>
          <cell r="AF603">
            <v>40692</v>
          </cell>
          <cell r="AG603">
            <v>42415</v>
          </cell>
          <cell r="AH603">
            <v>43235</v>
          </cell>
          <cell r="AI603">
            <v>42939</v>
          </cell>
          <cell r="AJ603">
            <v>46780</v>
          </cell>
        </row>
        <row r="604">
          <cell r="E604" t="str">
            <v>NC Transportation Distillate Fuel</v>
          </cell>
          <cell r="F604">
            <v>92060</v>
          </cell>
          <cell r="G604">
            <v>91292</v>
          </cell>
          <cell r="H604">
            <v>97889</v>
          </cell>
          <cell r="I604">
            <v>98621</v>
          </cell>
          <cell r="J604">
            <v>111747</v>
          </cell>
          <cell r="K604">
            <v>115555</v>
          </cell>
          <cell r="L604">
            <v>119536</v>
          </cell>
          <cell r="M604">
            <v>127508</v>
          </cell>
          <cell r="N604">
            <v>129414</v>
          </cell>
          <cell r="O604">
            <v>125893</v>
          </cell>
          <cell r="P604">
            <v>145000</v>
          </cell>
          <cell r="Q604">
            <v>144465</v>
          </cell>
          <cell r="R604">
            <v>145831</v>
          </cell>
          <cell r="S604">
            <v>150267</v>
          </cell>
          <cell r="T604">
            <v>162696</v>
          </cell>
          <cell r="U604">
            <v>161296</v>
          </cell>
          <cell r="V604">
            <v>161328</v>
          </cell>
          <cell r="W604">
            <v>159412</v>
          </cell>
          <cell r="X604">
            <v>136172</v>
          </cell>
          <cell r="Y604">
            <v>141931</v>
          </cell>
          <cell r="Z604">
            <v>146783</v>
          </cell>
          <cell r="AA604">
            <v>144601</v>
          </cell>
          <cell r="AB604">
            <v>134351</v>
          </cell>
          <cell r="AC604">
            <v>142498</v>
          </cell>
          <cell r="AD604">
            <v>150021</v>
          </cell>
          <cell r="AE604">
            <v>151082</v>
          </cell>
          <cell r="AF604">
            <v>151781</v>
          </cell>
          <cell r="AG604">
            <v>154179</v>
          </cell>
          <cell r="AH604">
            <v>164842</v>
          </cell>
          <cell r="AI604">
            <v>165837</v>
          </cell>
          <cell r="AJ604">
            <v>164469</v>
          </cell>
        </row>
        <row r="605">
          <cell r="E605" t="str">
            <v>ND Transportation Distillate Fuel</v>
          </cell>
          <cell r="F605">
            <v>17415</v>
          </cell>
          <cell r="G605">
            <v>18603</v>
          </cell>
          <cell r="H605">
            <v>18400</v>
          </cell>
          <cell r="I605">
            <v>20007</v>
          </cell>
          <cell r="J605">
            <v>22329</v>
          </cell>
          <cell r="K605">
            <v>23363</v>
          </cell>
          <cell r="L605">
            <v>24680</v>
          </cell>
          <cell r="M605">
            <v>25660</v>
          </cell>
          <cell r="N605">
            <v>21691</v>
          </cell>
          <cell r="O605">
            <v>25521</v>
          </cell>
          <cell r="P605">
            <v>24196</v>
          </cell>
          <cell r="Q605">
            <v>26951</v>
          </cell>
          <cell r="R605">
            <v>27539</v>
          </cell>
          <cell r="S605">
            <v>28341</v>
          </cell>
          <cell r="T605">
            <v>29307</v>
          </cell>
          <cell r="U605">
            <v>31300</v>
          </cell>
          <cell r="V605">
            <v>31854</v>
          </cell>
          <cell r="W605">
            <v>42440</v>
          </cell>
          <cell r="X605">
            <v>34029</v>
          </cell>
          <cell r="Y605">
            <v>29627</v>
          </cell>
          <cell r="Z605">
            <v>35418</v>
          </cell>
          <cell r="AA605">
            <v>47321</v>
          </cell>
          <cell r="AB605">
            <v>58417</v>
          </cell>
          <cell r="AC605">
            <v>61662</v>
          </cell>
          <cell r="AD605">
            <v>67854</v>
          </cell>
          <cell r="AE605">
            <v>59117</v>
          </cell>
          <cell r="AF605">
            <v>49687</v>
          </cell>
          <cell r="AG605">
            <v>54782</v>
          </cell>
          <cell r="AH605">
            <v>59755</v>
          </cell>
          <cell r="AI605">
            <v>57536</v>
          </cell>
          <cell r="AJ605">
            <v>49045</v>
          </cell>
        </row>
        <row r="606">
          <cell r="E606" t="str">
            <v>NE Transportation Distillate Fuel</v>
          </cell>
          <cell r="F606">
            <v>43829</v>
          </cell>
          <cell r="G606">
            <v>46020</v>
          </cell>
          <cell r="H606">
            <v>49718</v>
          </cell>
          <cell r="I606">
            <v>48879</v>
          </cell>
          <cell r="J606">
            <v>50723</v>
          </cell>
          <cell r="K606">
            <v>55524</v>
          </cell>
          <cell r="L606">
            <v>67798</v>
          </cell>
          <cell r="M606">
            <v>68824</v>
          </cell>
          <cell r="N606">
            <v>77114</v>
          </cell>
          <cell r="O606">
            <v>76784</v>
          </cell>
          <cell r="P606">
            <v>58093</v>
          </cell>
          <cell r="Q606">
            <v>50341</v>
          </cell>
          <cell r="R606">
            <v>50735</v>
          </cell>
          <cell r="S606">
            <v>56449</v>
          </cell>
          <cell r="T606">
            <v>61605</v>
          </cell>
          <cell r="U606">
            <v>62478</v>
          </cell>
          <cell r="V606">
            <v>64042</v>
          </cell>
          <cell r="W606">
            <v>62661</v>
          </cell>
          <cell r="X606">
            <v>58425</v>
          </cell>
          <cell r="Y606">
            <v>65511</v>
          </cell>
          <cell r="Z606">
            <v>91384</v>
          </cell>
          <cell r="AA606">
            <v>86931</v>
          </cell>
          <cell r="AB606">
            <v>81079</v>
          </cell>
          <cell r="AC606">
            <v>79486</v>
          </cell>
          <cell r="AD606">
            <v>81915</v>
          </cell>
          <cell r="AE606">
            <v>83215</v>
          </cell>
          <cell r="AF606">
            <v>80940</v>
          </cell>
          <cell r="AG606">
            <v>81386</v>
          </cell>
          <cell r="AH606">
            <v>86784</v>
          </cell>
          <cell r="AI606">
            <v>88410</v>
          </cell>
          <cell r="AJ606">
            <v>83008</v>
          </cell>
        </row>
        <row r="607">
          <cell r="E607" t="str">
            <v>NH Transportation Distillate Fuel</v>
          </cell>
          <cell r="F607">
            <v>7175</v>
          </cell>
          <cell r="G607">
            <v>6738</v>
          </cell>
          <cell r="H607">
            <v>7225</v>
          </cell>
          <cell r="I607">
            <v>7394</v>
          </cell>
          <cell r="J607">
            <v>7601</v>
          </cell>
          <cell r="K607">
            <v>8571</v>
          </cell>
          <cell r="L607">
            <v>8289</v>
          </cell>
          <cell r="M607">
            <v>8694</v>
          </cell>
          <cell r="N607">
            <v>13823</v>
          </cell>
          <cell r="O607">
            <v>13762</v>
          </cell>
          <cell r="P607">
            <v>13459</v>
          </cell>
          <cell r="Q607">
            <v>13960</v>
          </cell>
          <cell r="R607">
            <v>22520</v>
          </cell>
          <cell r="S607">
            <v>14381</v>
          </cell>
          <cell r="T607">
            <v>16271</v>
          </cell>
          <cell r="U607">
            <v>14745</v>
          </cell>
          <cell r="V607">
            <v>15068</v>
          </cell>
          <cell r="W607">
            <v>14295</v>
          </cell>
          <cell r="X607">
            <v>13969</v>
          </cell>
          <cell r="Y607">
            <v>13806</v>
          </cell>
          <cell r="Z607">
            <v>13574</v>
          </cell>
          <cell r="AA607">
            <v>13472</v>
          </cell>
          <cell r="AB607">
            <v>12924</v>
          </cell>
          <cell r="AC607">
            <v>12884</v>
          </cell>
          <cell r="AD607">
            <v>13677</v>
          </cell>
          <cell r="AE607">
            <v>13942</v>
          </cell>
          <cell r="AF607">
            <v>13271</v>
          </cell>
          <cell r="AG607">
            <v>13475</v>
          </cell>
          <cell r="AH607">
            <v>14202</v>
          </cell>
          <cell r="AI607">
            <v>13942</v>
          </cell>
          <cell r="AJ607">
            <v>14170</v>
          </cell>
        </row>
        <row r="608">
          <cell r="E608" t="str">
            <v>NJ Transportation Distillate Fuel</v>
          </cell>
          <cell r="F608">
            <v>75620</v>
          </cell>
          <cell r="G608">
            <v>75325</v>
          </cell>
          <cell r="H608">
            <v>82898</v>
          </cell>
          <cell r="I608">
            <v>83380</v>
          </cell>
          <cell r="J608">
            <v>98522</v>
          </cell>
          <cell r="K608">
            <v>89101</v>
          </cell>
          <cell r="L608">
            <v>91402</v>
          </cell>
          <cell r="M608">
            <v>106150</v>
          </cell>
          <cell r="N608">
            <v>113366</v>
          </cell>
          <cell r="O608">
            <v>115031</v>
          </cell>
          <cell r="P608">
            <v>119497</v>
          </cell>
          <cell r="Q608">
            <v>127852</v>
          </cell>
          <cell r="R608">
            <v>128243</v>
          </cell>
          <cell r="S608">
            <v>133043</v>
          </cell>
          <cell r="T608">
            <v>139067</v>
          </cell>
          <cell r="U608">
            <v>146205</v>
          </cell>
          <cell r="V608">
            <v>145788</v>
          </cell>
          <cell r="W608">
            <v>153668</v>
          </cell>
          <cell r="X608">
            <v>134208</v>
          </cell>
          <cell r="Y608">
            <v>107493</v>
          </cell>
          <cell r="Z608">
            <v>119233</v>
          </cell>
          <cell r="AA608">
            <v>137426</v>
          </cell>
          <cell r="AB608">
            <v>117251</v>
          </cell>
          <cell r="AC608">
            <v>118836</v>
          </cell>
          <cell r="AD608">
            <v>125529</v>
          </cell>
          <cell r="AE608">
            <v>119542</v>
          </cell>
          <cell r="AF608">
            <v>134798</v>
          </cell>
          <cell r="AG608">
            <v>121228</v>
          </cell>
          <cell r="AH608">
            <v>126577</v>
          </cell>
          <cell r="AI608">
            <v>123796</v>
          </cell>
          <cell r="AJ608">
            <v>116231</v>
          </cell>
        </row>
        <row r="609">
          <cell r="E609" t="str">
            <v>NM Transportation Distillate Fuel</v>
          </cell>
          <cell r="F609">
            <v>35041</v>
          </cell>
          <cell r="G609">
            <v>35909</v>
          </cell>
          <cell r="H609">
            <v>40736</v>
          </cell>
          <cell r="I609">
            <v>34896</v>
          </cell>
          <cell r="J609">
            <v>31915</v>
          </cell>
          <cell r="K609">
            <v>16709</v>
          </cell>
          <cell r="L609">
            <v>45418</v>
          </cell>
          <cell r="M609">
            <v>49495</v>
          </cell>
          <cell r="N609">
            <v>54093</v>
          </cell>
          <cell r="O609">
            <v>52501</v>
          </cell>
          <cell r="P609">
            <v>54274</v>
          </cell>
          <cell r="Q609">
            <v>57166</v>
          </cell>
          <cell r="R609">
            <v>57770</v>
          </cell>
          <cell r="S609">
            <v>61198</v>
          </cell>
          <cell r="T609">
            <v>66391</v>
          </cell>
          <cell r="U609">
            <v>68372</v>
          </cell>
          <cell r="V609">
            <v>76477</v>
          </cell>
          <cell r="W609">
            <v>75440</v>
          </cell>
          <cell r="X609">
            <v>64162</v>
          </cell>
          <cell r="Y609">
            <v>61472</v>
          </cell>
          <cell r="Z609">
            <v>67823</v>
          </cell>
          <cell r="AA609">
            <v>71742</v>
          </cell>
          <cell r="AB609">
            <v>71391</v>
          </cell>
          <cell r="AC609">
            <v>72595</v>
          </cell>
          <cell r="AD609">
            <v>77056</v>
          </cell>
          <cell r="AE609">
            <v>79965</v>
          </cell>
          <cell r="AF609">
            <v>78126</v>
          </cell>
          <cell r="AG609">
            <v>84245</v>
          </cell>
          <cell r="AH609">
            <v>92249</v>
          </cell>
          <cell r="AI609">
            <v>93943</v>
          </cell>
          <cell r="AJ609">
            <v>93746</v>
          </cell>
        </row>
        <row r="610">
          <cell r="E610" t="str">
            <v>NV Transportation Distillate Fuel</v>
          </cell>
          <cell r="F610">
            <v>19186</v>
          </cell>
          <cell r="G610">
            <v>20392</v>
          </cell>
          <cell r="H610">
            <v>21461</v>
          </cell>
          <cell r="I610">
            <v>23731</v>
          </cell>
          <cell r="J610">
            <v>24767</v>
          </cell>
          <cell r="K610">
            <v>24950</v>
          </cell>
          <cell r="L610">
            <v>34058</v>
          </cell>
          <cell r="M610">
            <v>31076</v>
          </cell>
          <cell r="N610">
            <v>31154</v>
          </cell>
          <cell r="O610">
            <v>35372</v>
          </cell>
          <cell r="P610">
            <v>36462</v>
          </cell>
          <cell r="Q610">
            <v>37986</v>
          </cell>
          <cell r="R610">
            <v>39915</v>
          </cell>
          <cell r="S610">
            <v>41268</v>
          </cell>
          <cell r="T610">
            <v>46799</v>
          </cell>
          <cell r="U610">
            <v>49716</v>
          </cell>
          <cell r="V610">
            <v>56784</v>
          </cell>
          <cell r="W610">
            <v>54259</v>
          </cell>
          <cell r="X610">
            <v>45512</v>
          </cell>
          <cell r="Y610">
            <v>44716</v>
          </cell>
          <cell r="Z610">
            <v>43995</v>
          </cell>
          <cell r="AA610">
            <v>41829</v>
          </cell>
          <cell r="AB610">
            <v>40380</v>
          </cell>
          <cell r="AC610">
            <v>42917</v>
          </cell>
          <cell r="AD610">
            <v>40868</v>
          </cell>
          <cell r="AE610">
            <v>41255</v>
          </cell>
          <cell r="AF610">
            <v>43867</v>
          </cell>
          <cell r="AG610">
            <v>48037</v>
          </cell>
          <cell r="AH610">
            <v>47853</v>
          </cell>
          <cell r="AI610">
            <v>51159</v>
          </cell>
          <cell r="AJ610">
            <v>51023</v>
          </cell>
        </row>
        <row r="611">
          <cell r="E611" t="str">
            <v>NY Transportation Distillate Fuel</v>
          </cell>
          <cell r="F611">
            <v>126401</v>
          </cell>
          <cell r="G611">
            <v>115496</v>
          </cell>
          <cell r="H611">
            <v>115945</v>
          </cell>
          <cell r="I611">
            <v>121927</v>
          </cell>
          <cell r="J611">
            <v>125163</v>
          </cell>
          <cell r="K611">
            <v>124057</v>
          </cell>
          <cell r="L611">
            <v>127002</v>
          </cell>
          <cell r="M611">
            <v>132924</v>
          </cell>
          <cell r="N611">
            <v>125445</v>
          </cell>
          <cell r="O611">
            <v>139821</v>
          </cell>
          <cell r="P611">
            <v>134095</v>
          </cell>
          <cell r="Q611">
            <v>136863</v>
          </cell>
          <cell r="R611">
            <v>137565</v>
          </cell>
          <cell r="S611">
            <v>182898</v>
          </cell>
          <cell r="T611">
            <v>208922</v>
          </cell>
          <cell r="U611">
            <v>166074</v>
          </cell>
          <cell r="V611">
            <v>170539</v>
          </cell>
          <cell r="W611">
            <v>168581</v>
          </cell>
          <cell r="X611">
            <v>158863</v>
          </cell>
          <cell r="Y611">
            <v>159848</v>
          </cell>
          <cell r="Z611">
            <v>163115</v>
          </cell>
          <cell r="AA611">
            <v>164642</v>
          </cell>
          <cell r="AB611">
            <v>159118</v>
          </cell>
          <cell r="AC611">
            <v>152114</v>
          </cell>
          <cell r="AD611">
            <v>161665</v>
          </cell>
          <cell r="AE611">
            <v>169003</v>
          </cell>
          <cell r="AF611">
            <v>180884</v>
          </cell>
          <cell r="AG611">
            <v>182258</v>
          </cell>
          <cell r="AH611">
            <v>194357</v>
          </cell>
          <cell r="AI611">
            <v>181415</v>
          </cell>
          <cell r="AJ611">
            <v>168516</v>
          </cell>
        </row>
        <row r="612">
          <cell r="E612" t="str">
            <v>OH Transportation Distillate Fuel</v>
          </cell>
          <cell r="F612">
            <v>142686</v>
          </cell>
          <cell r="G612">
            <v>138553</v>
          </cell>
          <cell r="H612">
            <v>142466</v>
          </cell>
          <cell r="I612">
            <v>150573</v>
          </cell>
          <cell r="J612">
            <v>159404</v>
          </cell>
          <cell r="K612">
            <v>162917</v>
          </cell>
          <cell r="L612">
            <v>190494</v>
          </cell>
          <cell r="M612">
            <v>209825</v>
          </cell>
          <cell r="N612">
            <v>208050</v>
          </cell>
          <cell r="O612">
            <v>212336</v>
          </cell>
          <cell r="P612">
            <v>223531</v>
          </cell>
          <cell r="Q612">
            <v>224378</v>
          </cell>
          <cell r="R612">
            <v>227835</v>
          </cell>
          <cell r="S612">
            <v>232171</v>
          </cell>
          <cell r="T612">
            <v>251104</v>
          </cell>
          <cell r="U612">
            <v>248470</v>
          </cell>
          <cell r="V612">
            <v>261351</v>
          </cell>
          <cell r="W612">
            <v>272452</v>
          </cell>
          <cell r="X612">
            <v>246397</v>
          </cell>
          <cell r="Y612">
            <v>220585</v>
          </cell>
          <cell r="Z612">
            <v>234927</v>
          </cell>
          <cell r="AA612">
            <v>243453</v>
          </cell>
          <cell r="AB612">
            <v>228557</v>
          </cell>
          <cell r="AC612">
            <v>236024</v>
          </cell>
          <cell r="AD612">
            <v>245696</v>
          </cell>
          <cell r="AE612">
            <v>244342</v>
          </cell>
          <cell r="AF612">
            <v>234487</v>
          </cell>
          <cell r="AG612">
            <v>235848</v>
          </cell>
          <cell r="AH612">
            <v>243023</v>
          </cell>
          <cell r="AI612">
            <v>242983</v>
          </cell>
          <cell r="AJ612">
            <v>231358</v>
          </cell>
        </row>
        <row r="613">
          <cell r="E613" t="str">
            <v>OK Transportation Distillate Fuel</v>
          </cell>
          <cell r="F613">
            <v>65396</v>
          </cell>
          <cell r="G613">
            <v>60421</v>
          </cell>
          <cell r="H613">
            <v>66325</v>
          </cell>
          <cell r="I613">
            <v>73031</v>
          </cell>
          <cell r="J613">
            <v>74823</v>
          </cell>
          <cell r="K613">
            <v>78576</v>
          </cell>
          <cell r="L613">
            <v>93525</v>
          </cell>
          <cell r="M613">
            <v>98152</v>
          </cell>
          <cell r="N613">
            <v>102838</v>
          </cell>
          <cell r="O613">
            <v>109641</v>
          </cell>
          <cell r="P613">
            <v>143068</v>
          </cell>
          <cell r="Q613">
            <v>178069</v>
          </cell>
          <cell r="R613">
            <v>156668</v>
          </cell>
          <cell r="S613">
            <v>154881</v>
          </cell>
          <cell r="T613">
            <v>109301</v>
          </cell>
          <cell r="U613">
            <v>141357</v>
          </cell>
          <cell r="V613">
            <v>161425</v>
          </cell>
          <cell r="W613">
            <v>168324</v>
          </cell>
          <cell r="X613">
            <v>175307</v>
          </cell>
          <cell r="Y613">
            <v>153436</v>
          </cell>
          <cell r="Z613">
            <v>155710</v>
          </cell>
          <cell r="AA613">
            <v>158900</v>
          </cell>
          <cell r="AB613">
            <v>147040</v>
          </cell>
          <cell r="AC613">
            <v>140195</v>
          </cell>
          <cell r="AD613">
            <v>150907</v>
          </cell>
          <cell r="AE613">
            <v>151201</v>
          </cell>
          <cell r="AF613">
            <v>145746</v>
          </cell>
          <cell r="AG613">
            <v>156257</v>
          </cell>
          <cell r="AH613">
            <v>153588</v>
          </cell>
          <cell r="AI613">
            <v>147952</v>
          </cell>
          <cell r="AJ613">
            <v>139616</v>
          </cell>
        </row>
        <row r="614">
          <cell r="E614" t="str">
            <v>OR Transportation Distillate Fuel</v>
          </cell>
          <cell r="F614">
            <v>61313</v>
          </cell>
          <cell r="G614">
            <v>65584</v>
          </cell>
          <cell r="H614">
            <v>66749</v>
          </cell>
          <cell r="I614">
            <v>63046</v>
          </cell>
          <cell r="J614">
            <v>65953</v>
          </cell>
          <cell r="K614">
            <v>61836</v>
          </cell>
          <cell r="L614">
            <v>66312</v>
          </cell>
          <cell r="M614">
            <v>68568</v>
          </cell>
          <cell r="N614">
            <v>66121</v>
          </cell>
          <cell r="O614">
            <v>74301</v>
          </cell>
          <cell r="P614">
            <v>74687</v>
          </cell>
          <cell r="Q614">
            <v>69560</v>
          </cell>
          <cell r="R614">
            <v>74488</v>
          </cell>
          <cell r="S614">
            <v>72610</v>
          </cell>
          <cell r="T614">
            <v>82515</v>
          </cell>
          <cell r="U614">
            <v>85971</v>
          </cell>
          <cell r="V614">
            <v>90470</v>
          </cell>
          <cell r="W614">
            <v>93317</v>
          </cell>
          <cell r="X614">
            <v>88192</v>
          </cell>
          <cell r="Y614">
            <v>87324</v>
          </cell>
          <cell r="Z614">
            <v>91807</v>
          </cell>
          <cell r="AA614">
            <v>89955</v>
          </cell>
          <cell r="AB614">
            <v>89694</v>
          </cell>
          <cell r="AC614">
            <v>89747</v>
          </cell>
          <cell r="AD614">
            <v>92449</v>
          </cell>
          <cell r="AE614">
            <v>83373</v>
          </cell>
          <cell r="AF614">
            <v>79610</v>
          </cell>
          <cell r="AG614">
            <v>81964</v>
          </cell>
          <cell r="AH614">
            <v>85903</v>
          </cell>
          <cell r="AI614">
            <v>82875</v>
          </cell>
          <cell r="AJ614">
            <v>86206</v>
          </cell>
        </row>
        <row r="615">
          <cell r="E615" t="str">
            <v>PA Transportation Distillate Fuel</v>
          </cell>
          <cell r="F615">
            <v>135063</v>
          </cell>
          <cell r="G615">
            <v>138736</v>
          </cell>
          <cell r="H615">
            <v>143211</v>
          </cell>
          <cell r="I615">
            <v>154560</v>
          </cell>
          <cell r="J615">
            <v>163346</v>
          </cell>
          <cell r="K615">
            <v>170082</v>
          </cell>
          <cell r="L615">
            <v>165663</v>
          </cell>
          <cell r="M615">
            <v>175922</v>
          </cell>
          <cell r="N615">
            <v>181280</v>
          </cell>
          <cell r="O615">
            <v>187576</v>
          </cell>
          <cell r="P615">
            <v>197783</v>
          </cell>
          <cell r="Q615">
            <v>206136</v>
          </cell>
          <cell r="R615">
            <v>202682</v>
          </cell>
          <cell r="S615">
            <v>190344</v>
          </cell>
          <cell r="T615">
            <v>213570</v>
          </cell>
          <cell r="U615">
            <v>225678</v>
          </cell>
          <cell r="V615">
            <v>236175</v>
          </cell>
          <cell r="W615">
            <v>228310</v>
          </cell>
          <cell r="X615">
            <v>198964</v>
          </cell>
          <cell r="Y615">
            <v>200962</v>
          </cell>
          <cell r="Z615">
            <v>208177</v>
          </cell>
          <cell r="AA615">
            <v>216608</v>
          </cell>
          <cell r="AB615">
            <v>220788</v>
          </cell>
          <cell r="AC615">
            <v>215510</v>
          </cell>
          <cell r="AD615">
            <v>220987</v>
          </cell>
          <cell r="AE615">
            <v>214410</v>
          </cell>
          <cell r="AF615">
            <v>198257</v>
          </cell>
          <cell r="AG615">
            <v>198552</v>
          </cell>
          <cell r="AH615">
            <v>210825</v>
          </cell>
          <cell r="AI615">
            <v>214525</v>
          </cell>
          <cell r="AJ615">
            <v>203729</v>
          </cell>
        </row>
        <row r="616">
          <cell r="E616" t="str">
            <v>RI Transportation Distillate Fuel</v>
          </cell>
          <cell r="F616">
            <v>6723</v>
          </cell>
          <cell r="G616">
            <v>8198</v>
          </cell>
          <cell r="H616">
            <v>6692</v>
          </cell>
          <cell r="I616">
            <v>7182</v>
          </cell>
          <cell r="J616">
            <v>7397</v>
          </cell>
          <cell r="K616">
            <v>7731</v>
          </cell>
          <cell r="L616">
            <v>7508</v>
          </cell>
          <cell r="M616">
            <v>11297</v>
          </cell>
          <cell r="N616">
            <v>8132</v>
          </cell>
          <cell r="O616">
            <v>8828</v>
          </cell>
          <cell r="P616">
            <v>7937</v>
          </cell>
          <cell r="Q616">
            <v>8118</v>
          </cell>
          <cell r="R616">
            <v>8596</v>
          </cell>
          <cell r="S616">
            <v>8630</v>
          </cell>
          <cell r="T616">
            <v>8674</v>
          </cell>
          <cell r="U616">
            <v>8881</v>
          </cell>
          <cell r="V616">
            <v>9338</v>
          </cell>
          <cell r="W616">
            <v>11164</v>
          </cell>
          <cell r="X616">
            <v>8519</v>
          </cell>
          <cell r="Y616">
            <v>8709</v>
          </cell>
          <cell r="Z616">
            <v>9419</v>
          </cell>
          <cell r="AA616">
            <v>9533</v>
          </cell>
          <cell r="AB616">
            <v>8756</v>
          </cell>
          <cell r="AC616">
            <v>8901</v>
          </cell>
          <cell r="AD616">
            <v>10613</v>
          </cell>
          <cell r="AE616">
            <v>9486</v>
          </cell>
          <cell r="AF616">
            <v>7204</v>
          </cell>
          <cell r="AG616">
            <v>8206</v>
          </cell>
          <cell r="AH616">
            <v>9183</v>
          </cell>
          <cell r="AI616">
            <v>9538</v>
          </cell>
          <cell r="AJ616">
            <v>9146</v>
          </cell>
        </row>
        <row r="617">
          <cell r="E617" t="str">
            <v>SC Transportation Distillate Fuel</v>
          </cell>
          <cell r="F617">
            <v>61231</v>
          </cell>
          <cell r="G617">
            <v>69382</v>
          </cell>
          <cell r="H617">
            <v>59636</v>
          </cell>
          <cell r="I617">
            <v>57937</v>
          </cell>
          <cell r="J617">
            <v>70257</v>
          </cell>
          <cell r="K617">
            <v>62293</v>
          </cell>
          <cell r="L617">
            <v>64642</v>
          </cell>
          <cell r="M617">
            <v>69222</v>
          </cell>
          <cell r="N617">
            <v>79190</v>
          </cell>
          <cell r="O617">
            <v>81336</v>
          </cell>
          <cell r="P617">
            <v>86068</v>
          </cell>
          <cell r="Q617">
            <v>89284</v>
          </cell>
          <cell r="R617">
            <v>90312</v>
          </cell>
          <cell r="S617">
            <v>91021</v>
          </cell>
          <cell r="T617">
            <v>106297</v>
          </cell>
          <cell r="U617">
            <v>100550</v>
          </cell>
          <cell r="V617">
            <v>105331</v>
          </cell>
          <cell r="W617">
            <v>106494</v>
          </cell>
          <cell r="X617">
            <v>95438</v>
          </cell>
          <cell r="Y617">
            <v>93233</v>
          </cell>
          <cell r="Z617">
            <v>104060</v>
          </cell>
          <cell r="AA617">
            <v>104611</v>
          </cell>
          <cell r="AB617">
            <v>91152</v>
          </cell>
          <cell r="AC617">
            <v>107242</v>
          </cell>
          <cell r="AD617">
            <v>102075</v>
          </cell>
          <cell r="AE617">
            <v>107170</v>
          </cell>
          <cell r="AF617">
            <v>115363</v>
          </cell>
          <cell r="AG617">
            <v>114905</v>
          </cell>
          <cell r="AH617">
            <v>118225</v>
          </cell>
          <cell r="AI617">
            <v>124111</v>
          </cell>
          <cell r="AJ617">
            <v>119144</v>
          </cell>
        </row>
        <row r="618">
          <cell r="E618" t="str">
            <v>SD Transportation Distillate Fuel</v>
          </cell>
          <cell r="F618">
            <v>13703</v>
          </cell>
          <cell r="G618">
            <v>14363</v>
          </cell>
          <cell r="H618">
            <v>15136</v>
          </cell>
          <cell r="I618">
            <v>15899</v>
          </cell>
          <cell r="J618">
            <v>18413</v>
          </cell>
          <cell r="K618">
            <v>18641</v>
          </cell>
          <cell r="L618">
            <v>19473</v>
          </cell>
          <cell r="M618">
            <v>19349</v>
          </cell>
          <cell r="N618">
            <v>19052</v>
          </cell>
          <cell r="O618">
            <v>20057</v>
          </cell>
          <cell r="P618">
            <v>19929</v>
          </cell>
          <cell r="Q618">
            <v>21033</v>
          </cell>
          <cell r="R618">
            <v>26483</v>
          </cell>
          <cell r="S618">
            <v>23435</v>
          </cell>
          <cell r="T618">
            <v>25082</v>
          </cell>
          <cell r="U618">
            <v>26540</v>
          </cell>
          <cell r="V618">
            <v>27578</v>
          </cell>
          <cell r="W618">
            <v>29742</v>
          </cell>
          <cell r="X618">
            <v>28127</v>
          </cell>
          <cell r="Y618">
            <v>28797</v>
          </cell>
          <cell r="Z618">
            <v>31295</v>
          </cell>
          <cell r="AA618">
            <v>30897</v>
          </cell>
          <cell r="AB618">
            <v>33082</v>
          </cell>
          <cell r="AC618">
            <v>31443</v>
          </cell>
          <cell r="AD618">
            <v>33215</v>
          </cell>
          <cell r="AE618">
            <v>33486</v>
          </cell>
          <cell r="AF618">
            <v>31869</v>
          </cell>
          <cell r="AG618">
            <v>31893</v>
          </cell>
          <cell r="AH618">
            <v>33914</v>
          </cell>
          <cell r="AI618">
            <v>34239</v>
          </cell>
          <cell r="AJ618">
            <v>35166</v>
          </cell>
        </row>
        <row r="619">
          <cell r="E619" t="str">
            <v>TN Transportation Distillate Fuel</v>
          </cell>
          <cell r="F619">
            <v>115668</v>
          </cell>
          <cell r="G619">
            <v>108465</v>
          </cell>
          <cell r="H619">
            <v>107094</v>
          </cell>
          <cell r="I619">
            <v>107603</v>
          </cell>
          <cell r="J619">
            <v>106114</v>
          </cell>
          <cell r="K619">
            <v>120488</v>
          </cell>
          <cell r="L619">
            <v>124922</v>
          </cell>
          <cell r="M619">
            <v>123237</v>
          </cell>
          <cell r="N619">
            <v>130566</v>
          </cell>
          <cell r="O619">
            <v>126460</v>
          </cell>
          <cell r="P619">
            <v>135540</v>
          </cell>
          <cell r="Q619">
            <v>139524</v>
          </cell>
          <cell r="R619">
            <v>150837</v>
          </cell>
          <cell r="S619">
            <v>164130</v>
          </cell>
          <cell r="T619">
            <v>164449</v>
          </cell>
          <cell r="U619">
            <v>171535</v>
          </cell>
          <cell r="V619">
            <v>172315</v>
          </cell>
          <cell r="W619">
            <v>175770</v>
          </cell>
          <cell r="X619">
            <v>154917</v>
          </cell>
          <cell r="Y619">
            <v>137285</v>
          </cell>
          <cell r="Z619">
            <v>147356</v>
          </cell>
          <cell r="AA619">
            <v>152131</v>
          </cell>
          <cell r="AB619">
            <v>142981</v>
          </cell>
          <cell r="AC619">
            <v>143976</v>
          </cell>
          <cell r="AD619">
            <v>151730</v>
          </cell>
          <cell r="AE619">
            <v>153642</v>
          </cell>
          <cell r="AF619">
            <v>148185</v>
          </cell>
          <cell r="AG619">
            <v>150331</v>
          </cell>
          <cell r="AH619">
            <v>163077</v>
          </cell>
          <cell r="AI619">
            <v>166534</v>
          </cell>
          <cell r="AJ619">
            <v>153312</v>
          </cell>
        </row>
        <row r="620">
          <cell r="E620" t="str">
            <v>TX Transportation Distillate Fuel</v>
          </cell>
          <cell r="F620">
            <v>275924</v>
          </cell>
          <cell r="G620">
            <v>306723</v>
          </cell>
          <cell r="H620">
            <v>327288</v>
          </cell>
          <cell r="I620">
            <v>355099</v>
          </cell>
          <cell r="J620">
            <v>367366</v>
          </cell>
          <cell r="K620">
            <v>378048</v>
          </cell>
          <cell r="L620">
            <v>408509</v>
          </cell>
          <cell r="M620">
            <v>427327</v>
          </cell>
          <cell r="N620">
            <v>460070</v>
          </cell>
          <cell r="O620">
            <v>463049</v>
          </cell>
          <cell r="P620">
            <v>482095</v>
          </cell>
          <cell r="Q620">
            <v>535027</v>
          </cell>
          <cell r="R620">
            <v>533226</v>
          </cell>
          <cell r="S620">
            <v>542106</v>
          </cell>
          <cell r="T620">
            <v>590562</v>
          </cell>
          <cell r="U620">
            <v>609750</v>
          </cell>
          <cell r="V620">
            <v>687151</v>
          </cell>
          <cell r="W620">
            <v>689893</v>
          </cell>
          <cell r="X620">
            <v>649283</v>
          </cell>
          <cell r="Y620">
            <v>619110</v>
          </cell>
          <cell r="Z620">
            <v>667266</v>
          </cell>
          <cell r="AA620">
            <v>712464</v>
          </cell>
          <cell r="AB620">
            <v>703803</v>
          </cell>
          <cell r="AC620">
            <v>747785</v>
          </cell>
          <cell r="AD620">
            <v>846367</v>
          </cell>
          <cell r="AE620">
            <v>840235</v>
          </cell>
          <cell r="AF620">
            <v>828191</v>
          </cell>
          <cell r="AG620">
            <v>853295</v>
          </cell>
          <cell r="AH620">
            <v>931930</v>
          </cell>
          <cell r="AI620">
            <v>949169</v>
          </cell>
          <cell r="AJ620">
            <v>825832</v>
          </cell>
        </row>
        <row r="621">
          <cell r="E621" t="str">
            <v>US Transportation Distillate Fuel</v>
          </cell>
          <cell r="F621">
            <v>3661134</v>
          </cell>
          <cell r="G621">
            <v>3600618</v>
          </cell>
          <cell r="H621">
            <v>3683913</v>
          </cell>
          <cell r="I621">
            <v>3795822</v>
          </cell>
          <cell r="J621">
            <v>4028540</v>
          </cell>
          <cell r="K621">
            <v>4191382</v>
          </cell>
          <cell r="L621">
            <v>4465494</v>
          </cell>
          <cell r="M621">
            <v>4668258</v>
          </cell>
          <cell r="N621">
            <v>4806575</v>
          </cell>
          <cell r="O621">
            <v>4995878</v>
          </cell>
          <cell r="P621">
            <v>5159213</v>
          </cell>
          <cell r="Q621">
            <v>5286255</v>
          </cell>
          <cell r="R621">
            <v>5386829</v>
          </cell>
          <cell r="S621">
            <v>5583956</v>
          </cell>
          <cell r="T621">
            <v>5925059</v>
          </cell>
          <cell r="U621">
            <v>6068261</v>
          </cell>
          <cell r="V621">
            <v>6390016</v>
          </cell>
          <cell r="W621">
            <v>6411418</v>
          </cell>
          <cell r="X621">
            <v>5792125</v>
          </cell>
          <cell r="Y621">
            <v>5537791</v>
          </cell>
          <cell r="Z621">
            <v>5826023</v>
          </cell>
          <cell r="AA621">
            <v>5999681</v>
          </cell>
          <cell r="AB621">
            <v>5738306</v>
          </cell>
          <cell r="AC621">
            <v>5898360</v>
          </cell>
          <cell r="AD621">
            <v>6158652</v>
          </cell>
          <cell r="AE621">
            <v>6255035</v>
          </cell>
          <cell r="AF621">
            <v>6202233</v>
          </cell>
          <cell r="AG621">
            <v>6252857</v>
          </cell>
          <cell r="AH621">
            <v>6554711</v>
          </cell>
          <cell r="AI621">
            <v>6572260</v>
          </cell>
          <cell r="AJ621">
            <v>6182862</v>
          </cell>
        </row>
        <row r="622">
          <cell r="E622" t="str">
            <v>UT Transportation Distillate Fuel</v>
          </cell>
          <cell r="F622">
            <v>29449</v>
          </cell>
          <cell r="G622">
            <v>28680</v>
          </cell>
          <cell r="H622">
            <v>29884</v>
          </cell>
          <cell r="I622">
            <v>30886</v>
          </cell>
          <cell r="J622">
            <v>32513</v>
          </cell>
          <cell r="K622">
            <v>38213</v>
          </cell>
          <cell r="L622">
            <v>40028</v>
          </cell>
          <cell r="M622">
            <v>44357</v>
          </cell>
          <cell r="N622">
            <v>43929</v>
          </cell>
          <cell r="O622">
            <v>42382</v>
          </cell>
          <cell r="P622">
            <v>48604</v>
          </cell>
          <cell r="Q622">
            <v>49678</v>
          </cell>
          <cell r="R622">
            <v>51940</v>
          </cell>
          <cell r="S622">
            <v>51994</v>
          </cell>
          <cell r="T622">
            <v>55477</v>
          </cell>
          <cell r="U622">
            <v>58302</v>
          </cell>
          <cell r="V622">
            <v>75541</v>
          </cell>
          <cell r="W622">
            <v>73718</v>
          </cell>
          <cell r="X622">
            <v>63390</v>
          </cell>
          <cell r="Y622">
            <v>59654</v>
          </cell>
          <cell r="Z622">
            <v>61040</v>
          </cell>
          <cell r="AA622">
            <v>73354</v>
          </cell>
          <cell r="AB622">
            <v>67485</v>
          </cell>
          <cell r="AC622">
            <v>68015</v>
          </cell>
          <cell r="AD622">
            <v>65263</v>
          </cell>
          <cell r="AE622">
            <v>66233</v>
          </cell>
          <cell r="AF622">
            <v>65757</v>
          </cell>
          <cell r="AG622">
            <v>68403</v>
          </cell>
          <cell r="AH622">
            <v>70838</v>
          </cell>
          <cell r="AI622">
            <v>68579</v>
          </cell>
          <cell r="AJ622">
            <v>73887</v>
          </cell>
        </row>
        <row r="623">
          <cell r="E623" t="str">
            <v>VA Transportation Distillate Fuel</v>
          </cell>
          <cell r="F623">
            <v>97565</v>
          </cell>
          <cell r="G623">
            <v>100903</v>
          </cell>
          <cell r="H623">
            <v>98813</v>
          </cell>
          <cell r="I623">
            <v>100469</v>
          </cell>
          <cell r="J623">
            <v>107549</v>
          </cell>
          <cell r="K623">
            <v>107193</v>
          </cell>
          <cell r="L623">
            <v>124674</v>
          </cell>
          <cell r="M623">
            <v>129633</v>
          </cell>
          <cell r="N623">
            <v>132918</v>
          </cell>
          <cell r="O623">
            <v>135098</v>
          </cell>
          <cell r="P623">
            <v>144542</v>
          </cell>
          <cell r="Q623">
            <v>143250</v>
          </cell>
          <cell r="R623">
            <v>145066</v>
          </cell>
          <cell r="S623">
            <v>152144</v>
          </cell>
          <cell r="T623">
            <v>168875</v>
          </cell>
          <cell r="U623">
            <v>165382</v>
          </cell>
          <cell r="V623">
            <v>182149</v>
          </cell>
          <cell r="W623">
            <v>173034</v>
          </cell>
          <cell r="X623">
            <v>150859</v>
          </cell>
          <cell r="Y623">
            <v>144530</v>
          </cell>
          <cell r="Z623">
            <v>147624</v>
          </cell>
          <cell r="AA623">
            <v>146715</v>
          </cell>
          <cell r="AB623">
            <v>148291</v>
          </cell>
          <cell r="AC623">
            <v>148343</v>
          </cell>
          <cell r="AD623">
            <v>151560</v>
          </cell>
          <cell r="AE623">
            <v>148349</v>
          </cell>
          <cell r="AF623">
            <v>146567</v>
          </cell>
          <cell r="AG623">
            <v>145659</v>
          </cell>
          <cell r="AH623">
            <v>162866</v>
          </cell>
          <cell r="AI623">
            <v>172992</v>
          </cell>
          <cell r="AJ623">
            <v>164145</v>
          </cell>
        </row>
        <row r="624">
          <cell r="E624" t="str">
            <v>VT Transportation Distillate Fuel</v>
          </cell>
          <cell r="F624">
            <v>6075</v>
          </cell>
          <cell r="G624">
            <v>6189</v>
          </cell>
          <cell r="H624">
            <v>8369</v>
          </cell>
          <cell r="I624">
            <v>9625</v>
          </cell>
          <cell r="J624">
            <v>9784</v>
          </cell>
          <cell r="K624">
            <v>11532</v>
          </cell>
          <cell r="L624">
            <v>12963</v>
          </cell>
          <cell r="M624">
            <v>10529</v>
          </cell>
          <cell r="N624">
            <v>10378</v>
          </cell>
          <cell r="O624">
            <v>11670</v>
          </cell>
          <cell r="P624">
            <v>7245</v>
          </cell>
          <cell r="Q624">
            <v>9832</v>
          </cell>
          <cell r="R624">
            <v>8835</v>
          </cell>
          <cell r="S624">
            <v>9104</v>
          </cell>
          <cell r="T624">
            <v>8713</v>
          </cell>
          <cell r="U624">
            <v>8764</v>
          </cell>
          <cell r="V624">
            <v>9494</v>
          </cell>
          <cell r="W624">
            <v>9191</v>
          </cell>
          <cell r="X624">
            <v>8461</v>
          </cell>
          <cell r="Y624">
            <v>8940</v>
          </cell>
          <cell r="Z624">
            <v>9869</v>
          </cell>
          <cell r="AA624">
            <v>9756</v>
          </cell>
          <cell r="AB624">
            <v>9581</v>
          </cell>
          <cell r="AC624">
            <v>9764</v>
          </cell>
          <cell r="AD624">
            <v>9589</v>
          </cell>
          <cell r="AE624">
            <v>10692</v>
          </cell>
          <cell r="AF624">
            <v>10970</v>
          </cell>
          <cell r="AG624">
            <v>10317</v>
          </cell>
          <cell r="AH624">
            <v>10101</v>
          </cell>
          <cell r="AI624">
            <v>9568</v>
          </cell>
          <cell r="AJ624">
            <v>8744</v>
          </cell>
        </row>
        <row r="625">
          <cell r="E625" t="str">
            <v>WA Transportation Distillate Fuel</v>
          </cell>
          <cell r="F625">
            <v>67623</v>
          </cell>
          <cell r="G625">
            <v>68517</v>
          </cell>
          <cell r="H625">
            <v>73582</v>
          </cell>
          <cell r="I625">
            <v>68032</v>
          </cell>
          <cell r="J625">
            <v>86729</v>
          </cell>
          <cell r="K625">
            <v>81956</v>
          </cell>
          <cell r="L625">
            <v>88654</v>
          </cell>
          <cell r="M625">
            <v>102825</v>
          </cell>
          <cell r="N625">
            <v>86486</v>
          </cell>
          <cell r="O625">
            <v>103387</v>
          </cell>
          <cell r="P625">
            <v>109092</v>
          </cell>
          <cell r="Q625">
            <v>98479</v>
          </cell>
          <cell r="R625">
            <v>107892</v>
          </cell>
          <cell r="S625">
            <v>108599</v>
          </cell>
          <cell r="T625">
            <v>112955</v>
          </cell>
          <cell r="U625">
            <v>113703</v>
          </cell>
          <cell r="V625">
            <v>138834</v>
          </cell>
          <cell r="W625">
            <v>142220</v>
          </cell>
          <cell r="X625">
            <v>130879</v>
          </cell>
          <cell r="Y625">
            <v>114162</v>
          </cell>
          <cell r="Z625">
            <v>110442</v>
          </cell>
          <cell r="AA625">
            <v>120700</v>
          </cell>
          <cell r="AB625">
            <v>111033</v>
          </cell>
          <cell r="AC625">
            <v>106379</v>
          </cell>
          <cell r="AD625">
            <v>113174</v>
          </cell>
          <cell r="AE625">
            <v>121055</v>
          </cell>
          <cell r="AF625">
            <v>126369</v>
          </cell>
          <cell r="AG625">
            <v>122972</v>
          </cell>
          <cell r="AH625">
            <v>130575</v>
          </cell>
          <cell r="AI625">
            <v>130322</v>
          </cell>
          <cell r="AJ625">
            <v>115714</v>
          </cell>
        </row>
        <row r="626">
          <cell r="E626" t="str">
            <v>WI Transportation Distillate Fuel</v>
          </cell>
          <cell r="F626">
            <v>72159</v>
          </cell>
          <cell r="G626">
            <v>67358</v>
          </cell>
          <cell r="H626">
            <v>68878</v>
          </cell>
          <cell r="I626">
            <v>72453</v>
          </cell>
          <cell r="J626">
            <v>81195</v>
          </cell>
          <cell r="K626">
            <v>84532</v>
          </cell>
          <cell r="L626">
            <v>88345</v>
          </cell>
          <cell r="M626">
            <v>90936</v>
          </cell>
          <cell r="N626">
            <v>93642</v>
          </cell>
          <cell r="O626">
            <v>96722</v>
          </cell>
          <cell r="P626">
            <v>94767</v>
          </cell>
          <cell r="Q626">
            <v>98885</v>
          </cell>
          <cell r="R626">
            <v>98401</v>
          </cell>
          <cell r="S626">
            <v>95785</v>
          </cell>
          <cell r="T626">
            <v>105579</v>
          </cell>
          <cell r="U626">
            <v>101813</v>
          </cell>
          <cell r="V626">
            <v>112060</v>
          </cell>
          <cell r="W626">
            <v>110622</v>
          </cell>
          <cell r="X626">
            <v>107570</v>
          </cell>
          <cell r="Y626">
            <v>99773</v>
          </cell>
          <cell r="Z626">
            <v>105555</v>
          </cell>
          <cell r="AA626">
            <v>103642</v>
          </cell>
          <cell r="AB626">
            <v>108246</v>
          </cell>
          <cell r="AC626">
            <v>105179</v>
          </cell>
          <cell r="AD626">
            <v>116643</v>
          </cell>
          <cell r="AE626">
            <v>115398</v>
          </cell>
          <cell r="AF626">
            <v>111153</v>
          </cell>
          <cell r="AG626">
            <v>107850</v>
          </cell>
          <cell r="AH626">
            <v>120779</v>
          </cell>
          <cell r="AI626">
            <v>120909</v>
          </cell>
          <cell r="AJ626">
            <v>117024</v>
          </cell>
        </row>
        <row r="627">
          <cell r="E627" t="str">
            <v>WV Transportation Distillate Fuel</v>
          </cell>
          <cell r="F627">
            <v>34074</v>
          </cell>
          <cell r="G627">
            <v>34061</v>
          </cell>
          <cell r="H627">
            <v>36608</v>
          </cell>
          <cell r="I627">
            <v>38396</v>
          </cell>
          <cell r="J627">
            <v>38869</v>
          </cell>
          <cell r="K627">
            <v>39466</v>
          </cell>
          <cell r="L627">
            <v>28166</v>
          </cell>
          <cell r="M627">
            <v>37668</v>
          </cell>
          <cell r="N627">
            <v>47069</v>
          </cell>
          <cell r="O627">
            <v>44771</v>
          </cell>
          <cell r="P627">
            <v>48115</v>
          </cell>
          <cell r="Q627">
            <v>46776</v>
          </cell>
          <cell r="R627">
            <v>44438</v>
          </cell>
          <cell r="S627">
            <v>47672</v>
          </cell>
          <cell r="T627">
            <v>52534</v>
          </cell>
          <cell r="U627">
            <v>53398</v>
          </cell>
          <cell r="V627">
            <v>52053</v>
          </cell>
          <cell r="W627">
            <v>49922</v>
          </cell>
          <cell r="X627">
            <v>44556</v>
          </cell>
          <cell r="Y627">
            <v>40029</v>
          </cell>
          <cell r="Z627">
            <v>43193</v>
          </cell>
          <cell r="AA627">
            <v>42397</v>
          </cell>
          <cell r="AB627">
            <v>42354</v>
          </cell>
          <cell r="AC627">
            <v>41240</v>
          </cell>
          <cell r="AD627">
            <v>38368</v>
          </cell>
          <cell r="AE627">
            <v>45157</v>
          </cell>
          <cell r="AF627">
            <v>61457</v>
          </cell>
          <cell r="AG627">
            <v>55455</v>
          </cell>
          <cell r="AH627">
            <v>71566</v>
          </cell>
          <cell r="AI627">
            <v>59062</v>
          </cell>
          <cell r="AJ627">
            <v>54349</v>
          </cell>
        </row>
        <row r="628">
          <cell r="E628" t="str">
            <v>WY Transportation Distillate Fuel</v>
          </cell>
          <cell r="F628">
            <v>38857</v>
          </cell>
          <cell r="G628">
            <v>30781</v>
          </cell>
          <cell r="H628">
            <v>33204</v>
          </cell>
          <cell r="I628">
            <v>38047</v>
          </cell>
          <cell r="J628">
            <v>36691</v>
          </cell>
          <cell r="K628">
            <v>46473</v>
          </cell>
          <cell r="L628">
            <v>45800</v>
          </cell>
          <cell r="M628">
            <v>47291</v>
          </cell>
          <cell r="N628">
            <v>46609</v>
          </cell>
          <cell r="O628">
            <v>58021</v>
          </cell>
          <cell r="P628">
            <v>50840</v>
          </cell>
          <cell r="Q628">
            <v>53379</v>
          </cell>
          <cell r="R628">
            <v>54039</v>
          </cell>
          <cell r="S628">
            <v>64884</v>
          </cell>
          <cell r="T628">
            <v>61230</v>
          </cell>
          <cell r="U628">
            <v>62694</v>
          </cell>
          <cell r="V628">
            <v>65477</v>
          </cell>
          <cell r="W628">
            <v>66619</v>
          </cell>
          <cell r="X628">
            <v>63012</v>
          </cell>
          <cell r="Y628">
            <v>55039</v>
          </cell>
          <cell r="Z628">
            <v>56075</v>
          </cell>
          <cell r="AA628">
            <v>52317</v>
          </cell>
          <cell r="AB628">
            <v>56255</v>
          </cell>
          <cell r="AC628">
            <v>53742</v>
          </cell>
          <cell r="AD628">
            <v>58965</v>
          </cell>
          <cell r="AE628">
            <v>54131</v>
          </cell>
          <cell r="AF628">
            <v>54984</v>
          </cell>
          <cell r="AG628">
            <v>54558</v>
          </cell>
          <cell r="AH628">
            <v>58753</v>
          </cell>
          <cell r="AI628">
            <v>61096</v>
          </cell>
          <cell r="AJ628">
            <v>54851</v>
          </cell>
        </row>
        <row r="629">
          <cell r="E629" t="str">
            <v>AK Commercial Distillate Fuel</v>
          </cell>
          <cell r="F629">
            <v>6111</v>
          </cell>
          <cell r="G629">
            <v>5649</v>
          </cell>
          <cell r="H629">
            <v>9143</v>
          </cell>
          <cell r="I629">
            <v>10464</v>
          </cell>
          <cell r="J629">
            <v>10660</v>
          </cell>
          <cell r="K629">
            <v>6022</v>
          </cell>
          <cell r="L629">
            <v>6873</v>
          </cell>
          <cell r="M629">
            <v>5512</v>
          </cell>
          <cell r="N629">
            <v>6215</v>
          </cell>
          <cell r="O629">
            <v>7622</v>
          </cell>
          <cell r="P629">
            <v>6722</v>
          </cell>
          <cell r="Q629">
            <v>9810</v>
          </cell>
          <cell r="R629">
            <v>7208</v>
          </cell>
          <cell r="S629">
            <v>5423</v>
          </cell>
          <cell r="T629">
            <v>6736</v>
          </cell>
          <cell r="U629">
            <v>5850</v>
          </cell>
          <cell r="V629">
            <v>6769</v>
          </cell>
          <cell r="W629">
            <v>5675</v>
          </cell>
          <cell r="X629">
            <v>7089</v>
          </cell>
          <cell r="Y629">
            <v>6315</v>
          </cell>
          <cell r="Z629">
            <v>11111</v>
          </cell>
          <cell r="AA629">
            <v>10060</v>
          </cell>
          <cell r="AB629">
            <v>8541</v>
          </cell>
          <cell r="AC629">
            <v>6743</v>
          </cell>
          <cell r="AD629">
            <v>7287</v>
          </cell>
          <cell r="AE629">
            <v>8756</v>
          </cell>
          <cell r="AF629">
            <v>5951</v>
          </cell>
          <cell r="AG629">
            <v>6568</v>
          </cell>
          <cell r="AH629">
            <v>7422</v>
          </cell>
          <cell r="AI629">
            <v>7309</v>
          </cell>
          <cell r="AJ629">
            <v>6584</v>
          </cell>
        </row>
        <row r="630">
          <cell r="E630" t="str">
            <v>AL Commercial Distillate Fuel</v>
          </cell>
          <cell r="F630">
            <v>4305</v>
          </cell>
          <cell r="G630">
            <v>4312</v>
          </cell>
          <cell r="H630">
            <v>4522</v>
          </cell>
          <cell r="I630">
            <v>4465</v>
          </cell>
          <cell r="J630">
            <v>5467</v>
          </cell>
          <cell r="K630">
            <v>3748</v>
          </cell>
          <cell r="L630">
            <v>3236</v>
          </cell>
          <cell r="M630">
            <v>3127</v>
          </cell>
          <cell r="N630">
            <v>3300</v>
          </cell>
          <cell r="O630">
            <v>3318</v>
          </cell>
          <cell r="P630">
            <v>4351</v>
          </cell>
          <cell r="Q630">
            <v>4871</v>
          </cell>
          <cell r="R630">
            <v>4557</v>
          </cell>
          <cell r="S630">
            <v>6352</v>
          </cell>
          <cell r="T630">
            <v>6427</v>
          </cell>
          <cell r="U630">
            <v>4359</v>
          </cell>
          <cell r="V630">
            <v>8894</v>
          </cell>
          <cell r="W630">
            <v>7315</v>
          </cell>
          <cell r="X630">
            <v>5729</v>
          </cell>
          <cell r="Y630">
            <v>5642</v>
          </cell>
          <cell r="Z630">
            <v>6569</v>
          </cell>
          <cell r="AA630">
            <v>6981</v>
          </cell>
          <cell r="AB630">
            <v>6471</v>
          </cell>
          <cell r="AC630">
            <v>4236</v>
          </cell>
          <cell r="AD630">
            <v>3900</v>
          </cell>
          <cell r="AE630">
            <v>4327</v>
          </cell>
          <cell r="AF630">
            <v>4860</v>
          </cell>
          <cell r="AG630">
            <v>4841</v>
          </cell>
          <cell r="AH630">
            <v>4950</v>
          </cell>
          <cell r="AI630">
            <v>4622</v>
          </cell>
          <cell r="AJ630">
            <v>3705</v>
          </cell>
        </row>
        <row r="631">
          <cell r="E631" t="str">
            <v>AR Commercial Distillate Fuel</v>
          </cell>
          <cell r="F631">
            <v>1738</v>
          </cell>
          <cell r="G631">
            <v>1501</v>
          </cell>
          <cell r="H631">
            <v>1658</v>
          </cell>
          <cell r="I631">
            <v>2074</v>
          </cell>
          <cell r="J631">
            <v>2223</v>
          </cell>
          <cell r="K631">
            <v>1752</v>
          </cell>
          <cell r="L631">
            <v>1692</v>
          </cell>
          <cell r="M631">
            <v>1573</v>
          </cell>
          <cell r="N631">
            <v>2084</v>
          </cell>
          <cell r="O631">
            <v>1515</v>
          </cell>
          <cell r="P631">
            <v>2186</v>
          </cell>
          <cell r="Q631">
            <v>3453</v>
          </cell>
          <cell r="R631">
            <v>2598</v>
          </cell>
          <cell r="S631">
            <v>4329</v>
          </cell>
          <cell r="T631">
            <v>2999</v>
          </cell>
          <cell r="U631">
            <v>4157</v>
          </cell>
          <cell r="V631">
            <v>538</v>
          </cell>
          <cell r="W631">
            <v>521</v>
          </cell>
          <cell r="X631">
            <v>591</v>
          </cell>
          <cell r="Y631">
            <v>5630</v>
          </cell>
          <cell r="Z631">
            <v>3812</v>
          </cell>
          <cell r="AA631">
            <v>3586</v>
          </cell>
          <cell r="AB631">
            <v>2191</v>
          </cell>
          <cell r="AC631">
            <v>2105</v>
          </cell>
          <cell r="AD631">
            <v>3286</v>
          </cell>
          <cell r="AE631">
            <v>3420</v>
          </cell>
          <cell r="AF631">
            <v>3075</v>
          </cell>
          <cell r="AG631">
            <v>3184</v>
          </cell>
          <cell r="AH631">
            <v>3401</v>
          </cell>
          <cell r="AI631">
            <v>4001</v>
          </cell>
          <cell r="AJ631">
            <v>2771</v>
          </cell>
        </row>
        <row r="632">
          <cell r="E632" t="str">
            <v>AZ Commercial Distillate Fuel</v>
          </cell>
          <cell r="F632">
            <v>2655</v>
          </cell>
          <cell r="G632">
            <v>1757</v>
          </cell>
          <cell r="H632">
            <v>1499</v>
          </cell>
          <cell r="I632">
            <v>1447</v>
          </cell>
          <cell r="J632">
            <v>2277</v>
          </cell>
          <cell r="K632">
            <v>2062</v>
          </cell>
          <cell r="L632">
            <v>3443</v>
          </cell>
          <cell r="M632">
            <v>3810</v>
          </cell>
          <cell r="N632">
            <v>6527</v>
          </cell>
          <cell r="O632">
            <v>5499</v>
          </cell>
          <cell r="P632">
            <v>5047</v>
          </cell>
          <cell r="Q632">
            <v>4456</v>
          </cell>
          <cell r="R632">
            <v>4841</v>
          </cell>
          <cell r="S632">
            <v>2857</v>
          </cell>
          <cell r="T632">
            <v>2014</v>
          </cell>
          <cell r="U632">
            <v>2751</v>
          </cell>
          <cell r="V632">
            <v>2661</v>
          </cell>
          <cell r="W632">
            <v>3705</v>
          </cell>
          <cell r="X632">
            <v>7086</v>
          </cell>
          <cell r="Y632">
            <v>5016</v>
          </cell>
          <cell r="Z632">
            <v>6928</v>
          </cell>
          <cell r="AA632">
            <v>6727</v>
          </cell>
          <cell r="AB632">
            <v>6606</v>
          </cell>
          <cell r="AC632">
            <v>5861</v>
          </cell>
          <cell r="AD632">
            <v>5910</v>
          </cell>
          <cell r="AE632">
            <v>6277</v>
          </cell>
          <cell r="AF632">
            <v>5001</v>
          </cell>
          <cell r="AG632">
            <v>5026</v>
          </cell>
          <cell r="AH632">
            <v>4533</v>
          </cell>
          <cell r="AI632">
            <v>3941</v>
          </cell>
          <cell r="AJ632">
            <v>3411</v>
          </cell>
        </row>
        <row r="633">
          <cell r="E633" t="str">
            <v>CA Commercial Distillate Fuel</v>
          </cell>
          <cell r="F633">
            <v>23846</v>
          </cell>
          <cell r="G633">
            <v>25793</v>
          </cell>
          <cell r="H633">
            <v>13247</v>
          </cell>
          <cell r="I633">
            <v>13748</v>
          </cell>
          <cell r="J633">
            <v>13550</v>
          </cell>
          <cell r="K633">
            <v>18413</v>
          </cell>
          <cell r="L633">
            <v>14896</v>
          </cell>
          <cell r="M633">
            <v>14476</v>
          </cell>
          <cell r="N633">
            <v>15463</v>
          </cell>
          <cell r="O633">
            <v>15975</v>
          </cell>
          <cell r="P633">
            <v>18063</v>
          </cell>
          <cell r="Q633">
            <v>16515</v>
          </cell>
          <cell r="R633">
            <v>12744</v>
          </cell>
          <cell r="S633">
            <v>10453</v>
          </cell>
          <cell r="T633">
            <v>9676</v>
          </cell>
          <cell r="U633">
            <v>11451</v>
          </cell>
          <cell r="V633">
            <v>8594</v>
          </cell>
          <cell r="W633">
            <v>10606</v>
          </cell>
          <cell r="X633">
            <v>16453</v>
          </cell>
          <cell r="Y633">
            <v>20282</v>
          </cell>
          <cell r="Z633">
            <v>27279</v>
          </cell>
          <cell r="AA633">
            <v>24180</v>
          </cell>
          <cell r="AB633">
            <v>21730</v>
          </cell>
          <cell r="AC633">
            <v>20122</v>
          </cell>
          <cell r="AD633">
            <v>19282</v>
          </cell>
          <cell r="AE633">
            <v>20982</v>
          </cell>
          <cell r="AF633">
            <v>21149</v>
          </cell>
          <cell r="AG633">
            <v>21509</v>
          </cell>
          <cell r="AH633">
            <v>20776</v>
          </cell>
          <cell r="AI633">
            <v>20026</v>
          </cell>
          <cell r="AJ633">
            <v>15543</v>
          </cell>
        </row>
        <row r="634">
          <cell r="E634" t="str">
            <v>CO Commercial Distillate Fuel</v>
          </cell>
          <cell r="F634">
            <v>2576</v>
          </cell>
          <cell r="G634">
            <v>2772</v>
          </cell>
          <cell r="H634">
            <v>4016</v>
          </cell>
          <cell r="I634">
            <v>3883</v>
          </cell>
          <cell r="J634">
            <v>5982</v>
          </cell>
          <cell r="K634">
            <v>4089</v>
          </cell>
          <cell r="L634">
            <v>4262</v>
          </cell>
          <cell r="M634">
            <v>5192</v>
          </cell>
          <cell r="N634">
            <v>5048</v>
          </cell>
          <cell r="O634">
            <v>4726</v>
          </cell>
          <cell r="P634">
            <v>3521</v>
          </cell>
          <cell r="Q634">
            <v>3680</v>
          </cell>
          <cell r="R634">
            <v>2891</v>
          </cell>
          <cell r="S634">
            <v>1818</v>
          </cell>
          <cell r="T634">
            <v>1880</v>
          </cell>
          <cell r="U634">
            <v>3637</v>
          </cell>
          <cell r="V634">
            <v>3817</v>
          </cell>
          <cell r="W634">
            <v>2585</v>
          </cell>
          <cell r="X634">
            <v>2915</v>
          </cell>
          <cell r="Y634">
            <v>8266</v>
          </cell>
          <cell r="Z634">
            <v>5823</v>
          </cell>
          <cell r="AA634">
            <v>5853</v>
          </cell>
          <cell r="AB634">
            <v>4580</v>
          </cell>
          <cell r="AC634">
            <v>4390</v>
          </cell>
          <cell r="AD634">
            <v>4723</v>
          </cell>
          <cell r="AE634">
            <v>5152</v>
          </cell>
          <cell r="AF634">
            <v>3061</v>
          </cell>
          <cell r="AG634">
            <v>5123</v>
          </cell>
          <cell r="AH634">
            <v>4111</v>
          </cell>
          <cell r="AI634">
            <v>6149</v>
          </cell>
          <cell r="AJ634">
            <v>4481</v>
          </cell>
        </row>
        <row r="635">
          <cell r="E635" t="str">
            <v>CT Commercial Distillate Fuel</v>
          </cell>
          <cell r="F635">
            <v>20275</v>
          </cell>
          <cell r="G635">
            <v>20122</v>
          </cell>
          <cell r="H635">
            <v>19936</v>
          </cell>
          <cell r="I635">
            <v>15928</v>
          </cell>
          <cell r="J635">
            <v>15984</v>
          </cell>
          <cell r="K635">
            <v>17561</v>
          </cell>
          <cell r="L635">
            <v>17217</v>
          </cell>
          <cell r="M635">
            <v>17082</v>
          </cell>
          <cell r="N635">
            <v>15307</v>
          </cell>
          <cell r="O635">
            <v>15416</v>
          </cell>
          <cell r="P635">
            <v>17359</v>
          </cell>
          <cell r="Q635">
            <v>19805</v>
          </cell>
          <cell r="R635">
            <v>16790</v>
          </cell>
          <cell r="S635">
            <v>20955</v>
          </cell>
          <cell r="T635">
            <v>20634</v>
          </cell>
          <cell r="U635">
            <v>17503</v>
          </cell>
          <cell r="V635">
            <v>15817</v>
          </cell>
          <cell r="W635">
            <v>15082</v>
          </cell>
          <cell r="X635">
            <v>14190</v>
          </cell>
          <cell r="Y635">
            <v>11442</v>
          </cell>
          <cell r="Z635">
            <v>12047</v>
          </cell>
          <cell r="AA635">
            <v>12299</v>
          </cell>
          <cell r="AB635">
            <v>9944</v>
          </cell>
          <cell r="AC635">
            <v>11213</v>
          </cell>
          <cell r="AD635">
            <v>10796</v>
          </cell>
          <cell r="AE635">
            <v>12616</v>
          </cell>
          <cell r="AF635">
            <v>8692</v>
          </cell>
          <cell r="AG635">
            <v>8240</v>
          </cell>
          <cell r="AH635">
            <v>8700</v>
          </cell>
          <cell r="AI635">
            <v>7212</v>
          </cell>
          <cell r="AJ635">
            <v>5892</v>
          </cell>
        </row>
        <row r="636">
          <cell r="E636" t="str">
            <v>DC Commercial Distillate Fuel</v>
          </cell>
          <cell r="F636">
            <v>3470</v>
          </cell>
          <cell r="G636">
            <v>3959</v>
          </cell>
          <cell r="H636">
            <v>3731</v>
          </cell>
          <cell r="I636">
            <v>4970</v>
          </cell>
          <cell r="J636">
            <v>5877</v>
          </cell>
          <cell r="K636">
            <v>4829</v>
          </cell>
          <cell r="L636">
            <v>5593</v>
          </cell>
          <cell r="M636">
            <v>2944</v>
          </cell>
          <cell r="N636">
            <v>1852</v>
          </cell>
          <cell r="O636">
            <v>1950</v>
          </cell>
          <cell r="P636">
            <v>3266</v>
          </cell>
          <cell r="Q636">
            <v>3151</v>
          </cell>
          <cell r="R636">
            <v>1721</v>
          </cell>
          <cell r="S636">
            <v>2227</v>
          </cell>
          <cell r="T636">
            <v>2662</v>
          </cell>
          <cell r="U636">
            <v>2349</v>
          </cell>
          <cell r="V636">
            <v>2022</v>
          </cell>
          <cell r="W636">
            <v>1758</v>
          </cell>
          <cell r="X636">
            <v>1164</v>
          </cell>
          <cell r="Y636">
            <v>1726</v>
          </cell>
          <cell r="Z636">
            <v>1046</v>
          </cell>
          <cell r="AA636">
            <v>675</v>
          </cell>
          <cell r="AB636">
            <v>736</v>
          </cell>
          <cell r="AC636">
            <v>645</v>
          </cell>
          <cell r="AD636">
            <v>574</v>
          </cell>
          <cell r="AE636">
            <v>719</v>
          </cell>
          <cell r="AF636">
            <v>642</v>
          </cell>
          <cell r="AG636">
            <v>392</v>
          </cell>
          <cell r="AH636">
            <v>547</v>
          </cell>
          <cell r="AI636">
            <v>391</v>
          </cell>
          <cell r="AJ636">
            <v>268</v>
          </cell>
        </row>
        <row r="637">
          <cell r="E637" t="str">
            <v>DE Commercial Distillate Fuel</v>
          </cell>
          <cell r="F637">
            <v>2338</v>
          </cell>
          <cell r="G637">
            <v>2966</v>
          </cell>
          <cell r="H637">
            <v>2362</v>
          </cell>
          <cell r="I637">
            <v>2066</v>
          </cell>
          <cell r="J637">
            <v>1675</v>
          </cell>
          <cell r="K637">
            <v>1638</v>
          </cell>
          <cell r="L637">
            <v>2228</v>
          </cell>
          <cell r="M637">
            <v>1970</v>
          </cell>
          <cell r="N637">
            <v>1685</v>
          </cell>
          <cell r="O637">
            <v>1883</v>
          </cell>
          <cell r="P637">
            <v>1592</v>
          </cell>
          <cell r="Q637">
            <v>1765</v>
          </cell>
          <cell r="R637">
            <v>1974</v>
          </cell>
          <cell r="S637">
            <v>1758</v>
          </cell>
          <cell r="T637">
            <v>1748</v>
          </cell>
          <cell r="U637">
            <v>1385</v>
          </cell>
          <cell r="V637">
            <v>1642</v>
          </cell>
          <cell r="W637">
            <v>1383</v>
          </cell>
          <cell r="X637">
            <v>1097</v>
          </cell>
          <cell r="Y637">
            <v>1557</v>
          </cell>
          <cell r="Z637">
            <v>1278</v>
          </cell>
          <cell r="AA637">
            <v>1057</v>
          </cell>
          <cell r="AB637">
            <v>1068</v>
          </cell>
          <cell r="AC637">
            <v>1019</v>
          </cell>
          <cell r="AD637">
            <v>1336</v>
          </cell>
          <cell r="AE637">
            <v>1659</v>
          </cell>
          <cell r="AF637">
            <v>1171</v>
          </cell>
          <cell r="AG637">
            <v>947</v>
          </cell>
          <cell r="AH637">
            <v>1311</v>
          </cell>
          <cell r="AI637">
            <v>1009</v>
          </cell>
          <cell r="AJ637">
            <v>740</v>
          </cell>
        </row>
        <row r="638">
          <cell r="E638" t="str">
            <v>FL Commercial Distillate Fuel</v>
          </cell>
          <cell r="F638">
            <v>22443</v>
          </cell>
          <cell r="G638">
            <v>20231</v>
          </cell>
          <cell r="H638">
            <v>20336</v>
          </cell>
          <cell r="I638">
            <v>19114</v>
          </cell>
          <cell r="J638">
            <v>14180</v>
          </cell>
          <cell r="K638">
            <v>17133</v>
          </cell>
          <cell r="L638">
            <v>12341</v>
          </cell>
          <cell r="M638">
            <v>10391</v>
          </cell>
          <cell r="N638">
            <v>8104</v>
          </cell>
          <cell r="O638">
            <v>10478</v>
          </cell>
          <cell r="P638">
            <v>15366</v>
          </cell>
          <cell r="Q638">
            <v>17670</v>
          </cell>
          <cell r="R638">
            <v>14942</v>
          </cell>
          <cell r="S638">
            <v>15957</v>
          </cell>
          <cell r="T638">
            <v>23154</v>
          </cell>
          <cell r="U638">
            <v>20605</v>
          </cell>
          <cell r="V638">
            <v>21657</v>
          </cell>
          <cell r="W638">
            <v>13337</v>
          </cell>
          <cell r="X638">
            <v>16613</v>
          </cell>
          <cell r="Y638">
            <v>17904</v>
          </cell>
          <cell r="Z638">
            <v>16179</v>
          </cell>
          <cell r="AA638">
            <v>14515</v>
          </cell>
          <cell r="AB638">
            <v>14544</v>
          </cell>
          <cell r="AC638">
            <v>15796</v>
          </cell>
          <cell r="AD638">
            <v>15402</v>
          </cell>
          <cell r="AE638">
            <v>15483</v>
          </cell>
          <cell r="AF638">
            <v>14335</v>
          </cell>
          <cell r="AG638">
            <v>15456</v>
          </cell>
          <cell r="AH638">
            <v>14932</v>
          </cell>
          <cell r="AI638">
            <v>13545</v>
          </cell>
          <cell r="AJ638">
            <v>12348</v>
          </cell>
        </row>
        <row r="639">
          <cell r="E639" t="str">
            <v>GA Commercial Distillate Fuel</v>
          </cell>
          <cell r="F639">
            <v>8793</v>
          </cell>
          <cell r="G639">
            <v>5815</v>
          </cell>
          <cell r="H639">
            <v>7030</v>
          </cell>
          <cell r="I639">
            <v>7043</v>
          </cell>
          <cell r="J639">
            <v>6702</v>
          </cell>
          <cell r="K639">
            <v>8455</v>
          </cell>
          <cell r="L639">
            <v>6727</v>
          </cell>
          <cell r="M639">
            <v>5056</v>
          </cell>
          <cell r="N639">
            <v>4166</v>
          </cell>
          <cell r="O639">
            <v>7047</v>
          </cell>
          <cell r="P639">
            <v>7202</v>
          </cell>
          <cell r="Q639">
            <v>9376</v>
          </cell>
          <cell r="R639">
            <v>5973</v>
          </cell>
          <cell r="S639">
            <v>5477</v>
          </cell>
          <cell r="T639">
            <v>6268</v>
          </cell>
          <cell r="U639">
            <v>4908</v>
          </cell>
          <cell r="V639">
            <v>4719</v>
          </cell>
          <cell r="W639">
            <v>4828</v>
          </cell>
          <cell r="X639">
            <v>4362</v>
          </cell>
          <cell r="Y639">
            <v>5386</v>
          </cell>
          <cell r="Z639">
            <v>6193</v>
          </cell>
          <cell r="AA639">
            <v>6272</v>
          </cell>
          <cell r="AB639">
            <v>8584</v>
          </cell>
          <cell r="AC639">
            <v>8932</v>
          </cell>
          <cell r="AD639">
            <v>9179</v>
          </cell>
          <cell r="AE639">
            <v>9426</v>
          </cell>
          <cell r="AF639">
            <v>10075</v>
          </cell>
          <cell r="AG639">
            <v>8855</v>
          </cell>
          <cell r="AH639">
            <v>8094</v>
          </cell>
          <cell r="AI639">
            <v>6245</v>
          </cell>
          <cell r="AJ639">
            <v>6205</v>
          </cell>
        </row>
        <row r="640">
          <cell r="E640" t="str">
            <v>HI Commercial Distillate Fuel</v>
          </cell>
          <cell r="F640">
            <v>2636</v>
          </cell>
          <cell r="G640">
            <v>3552</v>
          </cell>
          <cell r="H640">
            <v>2901</v>
          </cell>
          <cell r="I640">
            <v>2414</v>
          </cell>
          <cell r="J640">
            <v>2265</v>
          </cell>
          <cell r="K640">
            <v>1998</v>
          </cell>
          <cell r="L640">
            <v>1302</v>
          </cell>
          <cell r="M640">
            <v>2282</v>
          </cell>
          <cell r="N640">
            <v>1225</v>
          </cell>
          <cell r="O640">
            <v>1512</v>
          </cell>
          <cell r="P640">
            <v>1271</v>
          </cell>
          <cell r="Q640">
            <v>793</v>
          </cell>
          <cell r="R640">
            <v>1805</v>
          </cell>
          <cell r="S640">
            <v>1644</v>
          </cell>
          <cell r="T640">
            <v>2220</v>
          </cell>
          <cell r="U640">
            <v>2237</v>
          </cell>
          <cell r="V640">
            <v>2274</v>
          </cell>
          <cell r="W640">
            <v>1629</v>
          </cell>
          <cell r="X640">
            <v>1277</v>
          </cell>
          <cell r="Y640">
            <v>1573</v>
          </cell>
          <cell r="Z640">
            <v>1528</v>
          </cell>
          <cell r="AA640">
            <v>1728</v>
          </cell>
          <cell r="AB640">
            <v>1537</v>
          </cell>
          <cell r="AC640">
            <v>1471</v>
          </cell>
          <cell r="AD640">
            <v>1862</v>
          </cell>
          <cell r="AE640">
            <v>1298</v>
          </cell>
          <cell r="AF640">
            <v>904</v>
          </cell>
          <cell r="AG640">
            <v>1181</v>
          </cell>
          <cell r="AH640">
            <v>1361</v>
          </cell>
          <cell r="AI640">
            <v>1823</v>
          </cell>
          <cell r="AJ640">
            <v>1298</v>
          </cell>
        </row>
        <row r="641">
          <cell r="E641" t="str">
            <v>IA Commercial Distillate Fuel</v>
          </cell>
          <cell r="F641">
            <v>3353</v>
          </cell>
          <cell r="G641">
            <v>3273</v>
          </cell>
          <cell r="H641">
            <v>2821</v>
          </cell>
          <cell r="I641">
            <v>2082</v>
          </cell>
          <cell r="J641">
            <v>2072</v>
          </cell>
          <cell r="K641">
            <v>2416</v>
          </cell>
          <cell r="L641">
            <v>2073</v>
          </cell>
          <cell r="M641">
            <v>1863</v>
          </cell>
          <cell r="N641">
            <v>2694</v>
          </cell>
          <cell r="O641">
            <v>2833</v>
          </cell>
          <cell r="P641">
            <v>2797</v>
          </cell>
          <cell r="Q641">
            <v>3164</v>
          </cell>
          <cell r="R641">
            <v>2640</v>
          </cell>
          <cell r="S641">
            <v>4056</v>
          </cell>
          <cell r="T641">
            <v>2712</v>
          </cell>
          <cell r="U641">
            <v>1839</v>
          </cell>
          <cell r="V641">
            <v>3666</v>
          </cell>
          <cell r="W641">
            <v>1428</v>
          </cell>
          <cell r="X641">
            <v>2159</v>
          </cell>
          <cell r="Y641">
            <v>2957</v>
          </cell>
          <cell r="Z641">
            <v>2694</v>
          </cell>
          <cell r="AA641">
            <v>3924</v>
          </cell>
          <cell r="AB641">
            <v>5588</v>
          </cell>
          <cell r="AC641">
            <v>5566</v>
          </cell>
          <cell r="AD641">
            <v>5110</v>
          </cell>
          <cell r="AE641">
            <v>5208</v>
          </cell>
          <cell r="AF641">
            <v>5118</v>
          </cell>
          <cell r="AG641">
            <v>5774</v>
          </cell>
          <cell r="AH641">
            <v>5870</v>
          </cell>
          <cell r="AI641">
            <v>7117</v>
          </cell>
          <cell r="AJ641">
            <v>7114</v>
          </cell>
        </row>
        <row r="642">
          <cell r="E642" t="str">
            <v>ID Commercial Distillate Fuel</v>
          </cell>
          <cell r="F642">
            <v>2004</v>
          </cell>
          <cell r="G642">
            <v>2036</v>
          </cell>
          <cell r="H642">
            <v>1996</v>
          </cell>
          <cell r="I642">
            <v>1733</v>
          </cell>
          <cell r="J642">
            <v>2165</v>
          </cell>
          <cell r="K642">
            <v>2280</v>
          </cell>
          <cell r="L642">
            <v>2646</v>
          </cell>
          <cell r="M642">
            <v>2043</v>
          </cell>
          <cell r="N642">
            <v>2398</v>
          </cell>
          <cell r="O642">
            <v>2996</v>
          </cell>
          <cell r="P642">
            <v>2514</v>
          </cell>
          <cell r="Q642">
            <v>2162</v>
          </cell>
          <cell r="R642">
            <v>1911</v>
          </cell>
          <cell r="S642">
            <v>1780</v>
          </cell>
          <cell r="T642">
            <v>2331</v>
          </cell>
          <cell r="U642">
            <v>1955</v>
          </cell>
          <cell r="V642">
            <v>1658</v>
          </cell>
          <cell r="W642">
            <v>1488</v>
          </cell>
          <cell r="X642">
            <v>1294</v>
          </cell>
          <cell r="Y642">
            <v>1446</v>
          </cell>
          <cell r="Z642">
            <v>2255</v>
          </cell>
          <cell r="AA642">
            <v>2380</v>
          </cell>
          <cell r="AB642">
            <v>2159</v>
          </cell>
          <cell r="AC642">
            <v>2076</v>
          </cell>
          <cell r="AD642">
            <v>2115</v>
          </cell>
          <cell r="AE642">
            <v>1948</v>
          </cell>
          <cell r="AF642">
            <v>2492</v>
          </cell>
          <cell r="AG642">
            <v>2121</v>
          </cell>
          <cell r="AH642">
            <v>2297</v>
          </cell>
          <cell r="AI642">
            <v>3037</v>
          </cell>
          <cell r="AJ642">
            <v>3216</v>
          </cell>
        </row>
        <row r="643">
          <cell r="E643" t="str">
            <v>IL Commercial Distillate Fuel</v>
          </cell>
          <cell r="F643">
            <v>10478</v>
          </cell>
          <cell r="G643">
            <v>9817</v>
          </cell>
          <cell r="H643">
            <v>10411</v>
          </cell>
          <cell r="I643">
            <v>11652</v>
          </cell>
          <cell r="J643">
            <v>11737</v>
          </cell>
          <cell r="K643">
            <v>10885</v>
          </cell>
          <cell r="L643">
            <v>10580</v>
          </cell>
          <cell r="M643">
            <v>12833</v>
          </cell>
          <cell r="N643">
            <v>10835</v>
          </cell>
          <cell r="O643">
            <v>8531</v>
          </cell>
          <cell r="P643">
            <v>9324</v>
          </cell>
          <cell r="Q643">
            <v>10563</v>
          </cell>
          <cell r="R643">
            <v>9546</v>
          </cell>
          <cell r="S643">
            <v>8327</v>
          </cell>
          <cell r="T643">
            <v>4869</v>
          </cell>
          <cell r="U643">
            <v>4846</v>
          </cell>
          <cell r="V643">
            <v>5354</v>
          </cell>
          <cell r="W643">
            <v>4301</v>
          </cell>
          <cell r="X643">
            <v>7082</v>
          </cell>
          <cell r="Y643">
            <v>4908</v>
          </cell>
          <cell r="Z643">
            <v>5145</v>
          </cell>
          <cell r="AA643">
            <v>5400</v>
          </cell>
          <cell r="AB643">
            <v>5821</v>
          </cell>
          <cell r="AC643">
            <v>7391</v>
          </cell>
          <cell r="AD643">
            <v>7588</v>
          </cell>
          <cell r="AE643">
            <v>6880</v>
          </cell>
          <cell r="AF643">
            <v>6630</v>
          </cell>
          <cell r="AG643">
            <v>6163</v>
          </cell>
          <cell r="AH643">
            <v>5849</v>
          </cell>
          <cell r="AI643">
            <v>6844</v>
          </cell>
          <cell r="AJ643">
            <v>5682</v>
          </cell>
        </row>
        <row r="644">
          <cell r="E644" t="str">
            <v>IN Commercial Distillate Fuel</v>
          </cell>
          <cell r="F644">
            <v>7246</v>
          </cell>
          <cell r="G644">
            <v>6834</v>
          </cell>
          <cell r="H644">
            <v>8180</v>
          </cell>
          <cell r="I644">
            <v>9464</v>
          </cell>
          <cell r="J644">
            <v>8140</v>
          </cell>
          <cell r="K644">
            <v>6424</v>
          </cell>
          <cell r="L644">
            <v>5614</v>
          </cell>
          <cell r="M644">
            <v>6370</v>
          </cell>
          <cell r="N644">
            <v>8277</v>
          </cell>
          <cell r="O644">
            <v>7500</v>
          </cell>
          <cell r="P644">
            <v>7819</v>
          </cell>
          <cell r="Q644">
            <v>9170</v>
          </cell>
          <cell r="R644">
            <v>8023</v>
          </cell>
          <cell r="S644">
            <v>10082</v>
          </cell>
          <cell r="T644">
            <v>9836</v>
          </cell>
          <cell r="U644">
            <v>7413</v>
          </cell>
          <cell r="V644">
            <v>7781</v>
          </cell>
          <cell r="W644">
            <v>5762</v>
          </cell>
          <cell r="X644">
            <v>6868</v>
          </cell>
          <cell r="Y644">
            <v>5543</v>
          </cell>
          <cell r="Z644">
            <v>4096</v>
          </cell>
          <cell r="AA644">
            <v>3196</v>
          </cell>
          <cell r="AB644">
            <v>3843</v>
          </cell>
          <cell r="AC644">
            <v>3818</v>
          </cell>
          <cell r="AD644">
            <v>4790</v>
          </cell>
          <cell r="AE644">
            <v>4530</v>
          </cell>
          <cell r="AF644">
            <v>4437</v>
          </cell>
          <cell r="AG644">
            <v>4060</v>
          </cell>
          <cell r="AH644">
            <v>4446</v>
          </cell>
          <cell r="AI644">
            <v>4980</v>
          </cell>
          <cell r="AJ644">
            <v>2819</v>
          </cell>
        </row>
        <row r="645">
          <cell r="E645" t="str">
            <v>KS Commercial Distillate Fuel</v>
          </cell>
          <cell r="F645">
            <v>1915</v>
          </cell>
          <cell r="G645">
            <v>2108</v>
          </cell>
          <cell r="H645">
            <v>2899</v>
          </cell>
          <cell r="I645">
            <v>3767</v>
          </cell>
          <cell r="J645">
            <v>2642</v>
          </cell>
          <cell r="K645">
            <v>3273</v>
          </cell>
          <cell r="L645">
            <v>3225</v>
          </cell>
          <cell r="M645">
            <v>2754</v>
          </cell>
          <cell r="N645">
            <v>2566</v>
          </cell>
          <cell r="O645">
            <v>2758</v>
          </cell>
          <cell r="P645">
            <v>3323</v>
          </cell>
          <cell r="Q645">
            <v>4694</v>
          </cell>
          <cell r="R645">
            <v>3698</v>
          </cell>
          <cell r="S645">
            <v>3812</v>
          </cell>
          <cell r="T645">
            <v>3352</v>
          </cell>
          <cell r="U645">
            <v>1422</v>
          </cell>
          <cell r="V645">
            <v>1684</v>
          </cell>
          <cell r="W645">
            <v>1542</v>
          </cell>
          <cell r="X645">
            <v>1737</v>
          </cell>
          <cell r="Y645">
            <v>1783</v>
          </cell>
          <cell r="Z645">
            <v>1414</v>
          </cell>
          <cell r="AA645">
            <v>1609</v>
          </cell>
          <cell r="AB645">
            <v>2154</v>
          </cell>
          <cell r="AC645">
            <v>1890</v>
          </cell>
          <cell r="AD645">
            <v>1906</v>
          </cell>
          <cell r="AE645">
            <v>2335</v>
          </cell>
          <cell r="AF645">
            <v>2578</v>
          </cell>
          <cell r="AG645">
            <v>2974</v>
          </cell>
          <cell r="AH645">
            <v>2176</v>
          </cell>
          <cell r="AI645">
            <v>1858</v>
          </cell>
          <cell r="AJ645">
            <v>2297</v>
          </cell>
        </row>
        <row r="646">
          <cell r="E646" t="str">
            <v>KY Commercial Distillate Fuel</v>
          </cell>
          <cell r="F646">
            <v>4441</v>
          </cell>
          <cell r="G646">
            <v>4158</v>
          </cell>
          <cell r="H646">
            <v>5075</v>
          </cell>
          <cell r="I646">
            <v>3871</v>
          </cell>
          <cell r="J646">
            <v>5238</v>
          </cell>
          <cell r="K646">
            <v>6481</v>
          </cell>
          <cell r="L646">
            <v>6943</v>
          </cell>
          <cell r="M646">
            <v>5436</v>
          </cell>
          <cell r="N646">
            <v>6160</v>
          </cell>
          <cell r="O646">
            <v>6382</v>
          </cell>
          <cell r="P646">
            <v>6297</v>
          </cell>
          <cell r="Q646">
            <v>6533</v>
          </cell>
          <cell r="R646">
            <v>6212</v>
          </cell>
          <cell r="S646">
            <v>4591</v>
          </cell>
          <cell r="T646">
            <v>4676</v>
          </cell>
          <cell r="U646">
            <v>4496</v>
          </cell>
          <cell r="V646">
            <v>4346</v>
          </cell>
          <cell r="W646">
            <v>3821</v>
          </cell>
          <cell r="X646">
            <v>3189</v>
          </cell>
          <cell r="Y646">
            <v>2364</v>
          </cell>
          <cell r="Z646">
            <v>1910</v>
          </cell>
          <cell r="AA646">
            <v>2256</v>
          </cell>
          <cell r="AB646">
            <v>2314</v>
          </cell>
          <cell r="AC646">
            <v>2600</v>
          </cell>
          <cell r="AD646">
            <v>3004</v>
          </cell>
          <cell r="AE646">
            <v>3887</v>
          </cell>
          <cell r="AF646">
            <v>6782</v>
          </cell>
          <cell r="AG646">
            <v>3594</v>
          </cell>
          <cell r="AH646">
            <v>4255</v>
          </cell>
          <cell r="AI646">
            <v>4826</v>
          </cell>
          <cell r="AJ646">
            <v>4136</v>
          </cell>
        </row>
        <row r="647">
          <cell r="E647" t="str">
            <v>LA Commercial Distillate Fuel</v>
          </cell>
          <cell r="F647">
            <v>4317</v>
          </cell>
          <cell r="G647">
            <v>3944</v>
          </cell>
          <cell r="H647">
            <v>2659</v>
          </cell>
          <cell r="I647">
            <v>4208</v>
          </cell>
          <cell r="J647">
            <v>4419</v>
          </cell>
          <cell r="K647">
            <v>1498</v>
          </cell>
          <cell r="L647">
            <v>782</v>
          </cell>
          <cell r="M647">
            <v>1811</v>
          </cell>
          <cell r="N647">
            <v>1761</v>
          </cell>
          <cell r="O647">
            <v>3202</v>
          </cell>
          <cell r="P647">
            <v>1959</v>
          </cell>
          <cell r="Q647">
            <v>1611</v>
          </cell>
          <cell r="R647">
            <v>2208</v>
          </cell>
          <cell r="S647">
            <v>2067</v>
          </cell>
          <cell r="T647">
            <v>1704</v>
          </cell>
          <cell r="U647">
            <v>2061</v>
          </cell>
          <cell r="V647">
            <v>2008</v>
          </cell>
          <cell r="W647">
            <v>3537</v>
          </cell>
          <cell r="X647">
            <v>3370</v>
          </cell>
          <cell r="Y647">
            <v>8462</v>
          </cell>
          <cell r="Z647">
            <v>5525</v>
          </cell>
          <cell r="AA647">
            <v>5711</v>
          </cell>
          <cell r="AB647">
            <v>5110</v>
          </cell>
          <cell r="AC647">
            <v>2440</v>
          </cell>
          <cell r="AD647">
            <v>2966</v>
          </cell>
          <cell r="AE647">
            <v>3150</v>
          </cell>
          <cell r="AF647">
            <v>3706</v>
          </cell>
          <cell r="AG647">
            <v>3598</v>
          </cell>
          <cell r="AH647">
            <v>3406</v>
          </cell>
          <cell r="AI647">
            <v>3229</v>
          </cell>
          <cell r="AJ647">
            <v>3887</v>
          </cell>
        </row>
        <row r="648">
          <cell r="E648" t="str">
            <v>MA Commercial Distillate Fuel</v>
          </cell>
          <cell r="F648">
            <v>43159</v>
          </cell>
          <cell r="G648">
            <v>51312</v>
          </cell>
          <cell r="H648">
            <v>45278</v>
          </cell>
          <cell r="I648">
            <v>39353</v>
          </cell>
          <cell r="J648">
            <v>35921</v>
          </cell>
          <cell r="K648">
            <v>37705</v>
          </cell>
          <cell r="L648">
            <v>32807</v>
          </cell>
          <cell r="M648">
            <v>33044</v>
          </cell>
          <cell r="N648">
            <v>31447</v>
          </cell>
          <cell r="O648">
            <v>22289</v>
          </cell>
          <cell r="P648">
            <v>30290</v>
          </cell>
          <cell r="Q648">
            <v>24543</v>
          </cell>
          <cell r="R648">
            <v>22313</v>
          </cell>
          <cell r="S648">
            <v>33388</v>
          </cell>
          <cell r="T648">
            <v>25085</v>
          </cell>
          <cell r="U648">
            <v>27413</v>
          </cell>
          <cell r="V648">
            <v>18945</v>
          </cell>
          <cell r="W648">
            <v>18816</v>
          </cell>
          <cell r="X648">
            <v>14068</v>
          </cell>
          <cell r="Y648">
            <v>18296</v>
          </cell>
          <cell r="Z648">
            <v>31402</v>
          </cell>
          <cell r="AA648">
            <v>20729</v>
          </cell>
          <cell r="AB648">
            <v>13068</v>
          </cell>
          <cell r="AC648">
            <v>13464</v>
          </cell>
          <cell r="AD648">
            <v>15211</v>
          </cell>
          <cell r="AE648">
            <v>15511</v>
          </cell>
          <cell r="AF648">
            <v>8476</v>
          </cell>
          <cell r="AG648">
            <v>9713</v>
          </cell>
          <cell r="AH648">
            <v>9197</v>
          </cell>
          <cell r="AI648">
            <v>9838</v>
          </cell>
          <cell r="AJ648">
            <v>7331</v>
          </cell>
        </row>
        <row r="649">
          <cell r="E649" t="str">
            <v>MD Commercial Distillate Fuel</v>
          </cell>
          <cell r="F649">
            <v>14499</v>
          </cell>
          <cell r="G649">
            <v>15490</v>
          </cell>
          <cell r="H649">
            <v>17442</v>
          </cell>
          <cell r="I649">
            <v>16704</v>
          </cell>
          <cell r="J649">
            <v>19828</v>
          </cell>
          <cell r="K649">
            <v>18027</v>
          </cell>
          <cell r="L649">
            <v>19030</v>
          </cell>
          <cell r="M649">
            <v>14438</v>
          </cell>
          <cell r="N649">
            <v>14868</v>
          </cell>
          <cell r="O649">
            <v>12872</v>
          </cell>
          <cell r="P649">
            <v>15023</v>
          </cell>
          <cell r="Q649">
            <v>14623</v>
          </cell>
          <cell r="R649">
            <v>14540</v>
          </cell>
          <cell r="S649">
            <v>13383</v>
          </cell>
          <cell r="T649">
            <v>12266</v>
          </cell>
          <cell r="U649">
            <v>10383</v>
          </cell>
          <cell r="V649">
            <v>10454</v>
          </cell>
          <cell r="W649">
            <v>6874</v>
          </cell>
          <cell r="X649">
            <v>6721</v>
          </cell>
          <cell r="Y649">
            <v>9199</v>
          </cell>
          <cell r="Z649">
            <v>8352</v>
          </cell>
          <cell r="AA649">
            <v>8308</v>
          </cell>
          <cell r="AB649">
            <v>8537</v>
          </cell>
          <cell r="AC649">
            <v>7757</v>
          </cell>
          <cell r="AD649">
            <v>9198</v>
          </cell>
          <cell r="AE649">
            <v>8845</v>
          </cell>
          <cell r="AF649">
            <v>6255</v>
          </cell>
          <cell r="AG649">
            <v>5563</v>
          </cell>
          <cell r="AH649">
            <v>7412</v>
          </cell>
          <cell r="AI649">
            <v>7969</v>
          </cell>
          <cell r="AJ649">
            <v>6899</v>
          </cell>
        </row>
        <row r="650">
          <cell r="E650" t="str">
            <v>ME Commercial Distillate Fuel</v>
          </cell>
          <cell r="F650">
            <v>11683</v>
          </cell>
          <cell r="G650">
            <v>9737</v>
          </cell>
          <cell r="H650">
            <v>11617</v>
          </cell>
          <cell r="I650">
            <v>14052</v>
          </cell>
          <cell r="J650">
            <v>14842</v>
          </cell>
          <cell r="K650">
            <v>13297</v>
          </cell>
          <cell r="L650">
            <v>14105</v>
          </cell>
          <cell r="M650">
            <v>13682</v>
          </cell>
          <cell r="N650">
            <v>15993</v>
          </cell>
          <cell r="O650">
            <v>16246</v>
          </cell>
          <cell r="P650">
            <v>18758</v>
          </cell>
          <cell r="Q650">
            <v>14643</v>
          </cell>
          <cell r="R650">
            <v>15835</v>
          </cell>
          <cell r="S650">
            <v>22004</v>
          </cell>
          <cell r="T650">
            <v>20236</v>
          </cell>
          <cell r="U650">
            <v>16769</v>
          </cell>
          <cell r="V650">
            <v>15131</v>
          </cell>
          <cell r="W650">
            <v>16950</v>
          </cell>
          <cell r="X650">
            <v>15382</v>
          </cell>
          <cell r="Y650">
            <v>12174</v>
          </cell>
          <cell r="Z650">
            <v>12640</v>
          </cell>
          <cell r="AA650">
            <v>13820</v>
          </cell>
          <cell r="AB650">
            <v>10389</v>
          </cell>
          <cell r="AC650">
            <v>8237</v>
          </cell>
          <cell r="AD650">
            <v>10050</v>
          </cell>
          <cell r="AE650">
            <v>8692</v>
          </cell>
          <cell r="AF650">
            <v>8187</v>
          </cell>
          <cell r="AG650">
            <v>8560</v>
          </cell>
          <cell r="AH650">
            <v>8731</v>
          </cell>
          <cell r="AI650">
            <v>9138</v>
          </cell>
          <cell r="AJ650">
            <v>8154</v>
          </cell>
        </row>
        <row r="651">
          <cell r="E651" t="str">
            <v>MI Commercial Distillate Fuel</v>
          </cell>
          <cell r="F651">
            <v>11709</v>
          </cell>
          <cell r="G651">
            <v>11262</v>
          </cell>
          <cell r="H651">
            <v>10215</v>
          </cell>
          <cell r="I651">
            <v>8606</v>
          </cell>
          <cell r="J651">
            <v>7615</v>
          </cell>
          <cell r="K651">
            <v>9532</v>
          </cell>
          <cell r="L651">
            <v>10278</v>
          </cell>
          <cell r="M651">
            <v>11154</v>
          </cell>
          <cell r="N651">
            <v>8763</v>
          </cell>
          <cell r="O651">
            <v>8155</v>
          </cell>
          <cell r="P651">
            <v>9176</v>
          </cell>
          <cell r="Q651">
            <v>8873</v>
          </cell>
          <cell r="R651">
            <v>5623</v>
          </cell>
          <cell r="S651">
            <v>6891</v>
          </cell>
          <cell r="T651">
            <v>6182</v>
          </cell>
          <cell r="U651">
            <v>7370</v>
          </cell>
          <cell r="V651">
            <v>7756</v>
          </cell>
          <cell r="W651">
            <v>6527</v>
          </cell>
          <cell r="X651">
            <v>6097</v>
          </cell>
          <cell r="Y651">
            <v>7844</v>
          </cell>
          <cell r="Z651">
            <v>6523</v>
          </cell>
          <cell r="AA651">
            <v>7154</v>
          </cell>
          <cell r="AB651">
            <v>6760</v>
          </cell>
          <cell r="AC651">
            <v>7705</v>
          </cell>
          <cell r="AD651">
            <v>6692</v>
          </cell>
          <cell r="AE651">
            <v>7695</v>
          </cell>
          <cell r="AF651">
            <v>6517</v>
          </cell>
          <cell r="AG651">
            <v>7702</v>
          </cell>
          <cell r="AH651">
            <v>6170</v>
          </cell>
          <cell r="AI651">
            <v>8164</v>
          </cell>
          <cell r="AJ651">
            <v>6422</v>
          </cell>
        </row>
        <row r="652">
          <cell r="E652" t="str">
            <v>MN Commercial Distillate Fuel</v>
          </cell>
          <cell r="F652">
            <v>6358</v>
          </cell>
          <cell r="G652">
            <v>5289</v>
          </cell>
          <cell r="H652">
            <v>4390</v>
          </cell>
          <cell r="I652">
            <v>3816</v>
          </cell>
          <cell r="J652">
            <v>4787</v>
          </cell>
          <cell r="K652">
            <v>5014</v>
          </cell>
          <cell r="L652">
            <v>5899</v>
          </cell>
          <cell r="M652">
            <v>5083</v>
          </cell>
          <cell r="N652">
            <v>4903</v>
          </cell>
          <cell r="O652">
            <v>5171</v>
          </cell>
          <cell r="P652">
            <v>5171</v>
          </cell>
          <cell r="Q652">
            <v>6596</v>
          </cell>
          <cell r="R652">
            <v>4776</v>
          </cell>
          <cell r="S652">
            <v>4423</v>
          </cell>
          <cell r="T652">
            <v>4678</v>
          </cell>
          <cell r="U652">
            <v>5828</v>
          </cell>
          <cell r="V652">
            <v>3862</v>
          </cell>
          <cell r="W652">
            <v>4206</v>
          </cell>
          <cell r="X652">
            <v>5389</v>
          </cell>
          <cell r="Y652">
            <v>6038</v>
          </cell>
          <cell r="Z652">
            <v>4667</v>
          </cell>
          <cell r="AA652">
            <v>6045</v>
          </cell>
          <cell r="AB652">
            <v>5581</v>
          </cell>
          <cell r="AC652">
            <v>7018</v>
          </cell>
          <cell r="AD652">
            <v>7152</v>
          </cell>
          <cell r="AE652">
            <v>6074</v>
          </cell>
          <cell r="AF652">
            <v>5587</v>
          </cell>
          <cell r="AG652">
            <v>6221</v>
          </cell>
          <cell r="AH652">
            <v>4905</v>
          </cell>
          <cell r="AI652">
            <v>4462</v>
          </cell>
          <cell r="AJ652">
            <v>3551</v>
          </cell>
        </row>
        <row r="653">
          <cell r="E653" t="str">
            <v>MO Commercial Distillate Fuel</v>
          </cell>
          <cell r="F653">
            <v>5976</v>
          </cell>
          <cell r="G653">
            <v>6456</v>
          </cell>
          <cell r="H653">
            <v>6787</v>
          </cell>
          <cell r="I653">
            <v>6707</v>
          </cell>
          <cell r="J653">
            <v>6330</v>
          </cell>
          <cell r="K653">
            <v>6927</v>
          </cell>
          <cell r="L653">
            <v>7618</v>
          </cell>
          <cell r="M653">
            <v>6803</v>
          </cell>
          <cell r="N653">
            <v>6750</v>
          </cell>
          <cell r="O653">
            <v>5950</v>
          </cell>
          <cell r="P653">
            <v>6503</v>
          </cell>
          <cell r="Q653">
            <v>9067</v>
          </cell>
          <cell r="R653">
            <v>5787</v>
          </cell>
          <cell r="S653">
            <v>4890</v>
          </cell>
          <cell r="T653">
            <v>4949</v>
          </cell>
          <cell r="U653">
            <v>3026</v>
          </cell>
          <cell r="V653">
            <v>2523</v>
          </cell>
          <cell r="W653">
            <v>2131</v>
          </cell>
          <cell r="X653">
            <v>3136</v>
          </cell>
          <cell r="Y653">
            <v>3355</v>
          </cell>
          <cell r="Z653">
            <v>3026</v>
          </cell>
          <cell r="AA653">
            <v>2625</v>
          </cell>
          <cell r="AB653">
            <v>3679</v>
          </cell>
          <cell r="AC653">
            <v>3999</v>
          </cell>
          <cell r="AD653">
            <v>4599</v>
          </cell>
          <cell r="AE653">
            <v>5491</v>
          </cell>
          <cell r="AF653">
            <v>4906</v>
          </cell>
          <cell r="AG653">
            <v>4337</v>
          </cell>
          <cell r="AH653">
            <v>4571</v>
          </cell>
          <cell r="AI653">
            <v>3646</v>
          </cell>
          <cell r="AJ653">
            <v>3081</v>
          </cell>
        </row>
        <row r="654">
          <cell r="E654" t="str">
            <v>MS Commercial Distillate Fuel</v>
          </cell>
          <cell r="F654">
            <v>2330</v>
          </cell>
          <cell r="G654">
            <v>2666</v>
          </cell>
          <cell r="H654">
            <v>2242</v>
          </cell>
          <cell r="I654">
            <v>1601</v>
          </cell>
          <cell r="J654">
            <v>2207</v>
          </cell>
          <cell r="K654">
            <v>1850</v>
          </cell>
          <cell r="L654">
            <v>2312</v>
          </cell>
          <cell r="M654">
            <v>1920</v>
          </cell>
          <cell r="N654">
            <v>2127</v>
          </cell>
          <cell r="O654">
            <v>1512</v>
          </cell>
          <cell r="P654">
            <v>1516</v>
          </cell>
          <cell r="Q654">
            <v>1930</v>
          </cell>
          <cell r="R654">
            <v>1525</v>
          </cell>
          <cell r="S654">
            <v>2590</v>
          </cell>
          <cell r="T654">
            <v>1204</v>
          </cell>
          <cell r="U654">
            <v>1121</v>
          </cell>
          <cell r="V654">
            <v>1163</v>
          </cell>
          <cell r="W654">
            <v>6575</v>
          </cell>
          <cell r="X654">
            <v>3675</v>
          </cell>
          <cell r="Y654">
            <v>3777</v>
          </cell>
          <cell r="Z654">
            <v>3386</v>
          </cell>
          <cell r="AA654">
            <v>3799</v>
          </cell>
          <cell r="AB654">
            <v>3660</v>
          </cell>
          <cell r="AC654">
            <v>3332</v>
          </cell>
          <cell r="AD654">
            <v>4030</v>
          </cell>
          <cell r="AE654">
            <v>3752</v>
          </cell>
          <cell r="AF654">
            <v>3892</v>
          </cell>
          <cell r="AG654">
            <v>4172</v>
          </cell>
          <cell r="AH654">
            <v>3866</v>
          </cell>
          <cell r="AI654">
            <v>3142</v>
          </cell>
          <cell r="AJ654">
            <v>3621</v>
          </cell>
        </row>
        <row r="655">
          <cell r="E655" t="str">
            <v>MT Commercial Distillate Fuel</v>
          </cell>
          <cell r="F655">
            <v>898</v>
          </cell>
          <cell r="G655">
            <v>955</v>
          </cell>
          <cell r="H655">
            <v>815</v>
          </cell>
          <cell r="I655">
            <v>993</v>
          </cell>
          <cell r="J655">
            <v>928</v>
          </cell>
          <cell r="K655">
            <v>593</v>
          </cell>
          <cell r="L655">
            <v>1331</v>
          </cell>
          <cell r="M655">
            <v>941</v>
          </cell>
          <cell r="N655">
            <v>663</v>
          </cell>
          <cell r="O655">
            <v>826</v>
          </cell>
          <cell r="P655">
            <v>830</v>
          </cell>
          <cell r="Q655">
            <v>1145</v>
          </cell>
          <cell r="R655">
            <v>799</v>
          </cell>
          <cell r="S655">
            <v>1004</v>
          </cell>
          <cell r="T655">
            <v>1713</v>
          </cell>
          <cell r="U655">
            <v>948</v>
          </cell>
          <cell r="V655">
            <v>1248</v>
          </cell>
          <cell r="W655">
            <v>1011</v>
          </cell>
          <cell r="X655">
            <v>1323</v>
          </cell>
          <cell r="Y655">
            <v>840</v>
          </cell>
          <cell r="Z655">
            <v>604</v>
          </cell>
          <cell r="AA655">
            <v>711</v>
          </cell>
          <cell r="AB655">
            <v>614</v>
          </cell>
          <cell r="AC655">
            <v>602</v>
          </cell>
          <cell r="AD655">
            <v>492</v>
          </cell>
          <cell r="AE655">
            <v>306</v>
          </cell>
          <cell r="AF655">
            <v>742</v>
          </cell>
          <cell r="AG655">
            <v>669</v>
          </cell>
          <cell r="AH655">
            <v>552</v>
          </cell>
          <cell r="AI655">
            <v>502</v>
          </cell>
          <cell r="AJ655">
            <v>564</v>
          </cell>
        </row>
        <row r="656">
          <cell r="E656" t="str">
            <v>NC Commercial Distillate Fuel</v>
          </cell>
          <cell r="F656">
            <v>13412</v>
          </cell>
          <cell r="G656">
            <v>12280</v>
          </cell>
          <cell r="H656">
            <v>11104</v>
          </cell>
          <cell r="I656">
            <v>11719</v>
          </cell>
          <cell r="J656">
            <v>12681</v>
          </cell>
          <cell r="K656">
            <v>13648</v>
          </cell>
          <cell r="L656">
            <v>16435</v>
          </cell>
          <cell r="M656">
            <v>16652</v>
          </cell>
          <cell r="N656">
            <v>15037</v>
          </cell>
          <cell r="O656">
            <v>12578</v>
          </cell>
          <cell r="P656">
            <v>15588</v>
          </cell>
          <cell r="Q656">
            <v>18014</v>
          </cell>
          <cell r="R656">
            <v>11589</v>
          </cell>
          <cell r="S656">
            <v>12743</v>
          </cell>
          <cell r="T656">
            <v>9774</v>
          </cell>
          <cell r="U656">
            <v>9711</v>
          </cell>
          <cell r="V656">
            <v>8537</v>
          </cell>
          <cell r="W656">
            <v>8685</v>
          </cell>
          <cell r="X656">
            <v>7855</v>
          </cell>
          <cell r="Y656">
            <v>10470</v>
          </cell>
          <cell r="Z656">
            <v>9448</v>
          </cell>
          <cell r="AA656">
            <v>8780</v>
          </cell>
          <cell r="AB656">
            <v>8591</v>
          </cell>
          <cell r="AC656">
            <v>5517</v>
          </cell>
          <cell r="AD656">
            <v>7073</v>
          </cell>
          <cell r="AE656">
            <v>7383</v>
          </cell>
          <cell r="AF656">
            <v>6806</v>
          </cell>
          <cell r="AG656">
            <v>6917</v>
          </cell>
          <cell r="AH656">
            <v>7413</v>
          </cell>
          <cell r="AI656">
            <v>7541</v>
          </cell>
          <cell r="AJ656">
            <v>6685</v>
          </cell>
        </row>
        <row r="657">
          <cell r="E657" t="str">
            <v>ND Commercial Distillate Fuel</v>
          </cell>
          <cell r="F657">
            <v>1021</v>
          </cell>
          <cell r="G657">
            <v>928</v>
          </cell>
          <cell r="H657">
            <v>910</v>
          </cell>
          <cell r="I657">
            <v>837</v>
          </cell>
          <cell r="J657">
            <v>1019</v>
          </cell>
          <cell r="K657">
            <v>861</v>
          </cell>
          <cell r="L657">
            <v>1213</v>
          </cell>
          <cell r="M657">
            <v>1497</v>
          </cell>
          <cell r="N657">
            <v>1566</v>
          </cell>
          <cell r="O657">
            <v>1361</v>
          </cell>
          <cell r="P657">
            <v>1348</v>
          </cell>
          <cell r="Q657">
            <v>1522</v>
          </cell>
          <cell r="R657">
            <v>824</v>
          </cell>
          <cell r="S657">
            <v>1068</v>
          </cell>
          <cell r="T657">
            <v>1047</v>
          </cell>
          <cell r="U657">
            <v>821</v>
          </cell>
          <cell r="V657">
            <v>867</v>
          </cell>
          <cell r="W657">
            <v>926</v>
          </cell>
          <cell r="X657">
            <v>1321</v>
          </cell>
          <cell r="Y657">
            <v>1142</v>
          </cell>
          <cell r="Z657">
            <v>2431</v>
          </cell>
          <cell r="AA657">
            <v>6105</v>
          </cell>
          <cell r="AB657">
            <v>5187</v>
          </cell>
          <cell r="AC657">
            <v>6484</v>
          </cell>
          <cell r="AD657">
            <v>6964</v>
          </cell>
          <cell r="AE657">
            <v>1763</v>
          </cell>
          <cell r="AF657">
            <v>1255</v>
          </cell>
          <cell r="AG657">
            <v>1879</v>
          </cell>
          <cell r="AH657">
            <v>1816</v>
          </cell>
          <cell r="AI657">
            <v>1336</v>
          </cell>
          <cell r="AJ657">
            <v>1398</v>
          </cell>
        </row>
        <row r="658">
          <cell r="E658" t="str">
            <v>NE Commercial Distillate Fuel</v>
          </cell>
          <cell r="F658">
            <v>1673</v>
          </cell>
          <cell r="G658">
            <v>1063</v>
          </cell>
          <cell r="H658">
            <v>1559</v>
          </cell>
          <cell r="I658">
            <v>1786</v>
          </cell>
          <cell r="J658">
            <v>1919</v>
          </cell>
          <cell r="K658">
            <v>941</v>
          </cell>
          <cell r="L658">
            <v>1341</v>
          </cell>
          <cell r="M658">
            <v>960</v>
          </cell>
          <cell r="N658">
            <v>1290</v>
          </cell>
          <cell r="O658">
            <v>1273</v>
          </cell>
          <cell r="P658">
            <v>1151</v>
          </cell>
          <cell r="Q658">
            <v>1415</v>
          </cell>
          <cell r="R658">
            <v>538</v>
          </cell>
          <cell r="S658">
            <v>1230</v>
          </cell>
          <cell r="T658">
            <v>1057</v>
          </cell>
          <cell r="U658">
            <v>1196</v>
          </cell>
          <cell r="V658">
            <v>1096</v>
          </cell>
          <cell r="W658">
            <v>1093</v>
          </cell>
          <cell r="X658">
            <v>1707</v>
          </cell>
          <cell r="Y658">
            <v>1311</v>
          </cell>
          <cell r="Z658">
            <v>1419</v>
          </cell>
          <cell r="AA658">
            <v>1140</v>
          </cell>
          <cell r="AB658">
            <v>1187</v>
          </cell>
          <cell r="AC658">
            <v>1871</v>
          </cell>
          <cell r="AD658">
            <v>1890</v>
          </cell>
          <cell r="AE658">
            <v>1873</v>
          </cell>
          <cell r="AF658">
            <v>1934</v>
          </cell>
          <cell r="AG658">
            <v>1818</v>
          </cell>
          <cell r="AH658">
            <v>2261</v>
          </cell>
          <cell r="AI658">
            <v>2440</v>
          </cell>
          <cell r="AJ658">
            <v>2165</v>
          </cell>
        </row>
        <row r="659">
          <cell r="E659" t="str">
            <v>NH Commercial Distillate Fuel</v>
          </cell>
          <cell r="F659">
            <v>8240</v>
          </cell>
          <cell r="G659">
            <v>7686</v>
          </cell>
          <cell r="H659">
            <v>7646</v>
          </cell>
          <cell r="I659">
            <v>6978</v>
          </cell>
          <cell r="J659">
            <v>8281</v>
          </cell>
          <cell r="K659">
            <v>6569</v>
          </cell>
          <cell r="L659">
            <v>7684</v>
          </cell>
          <cell r="M659">
            <v>7712</v>
          </cell>
          <cell r="N659">
            <v>7187</v>
          </cell>
          <cell r="O659">
            <v>8348</v>
          </cell>
          <cell r="P659">
            <v>11076</v>
          </cell>
          <cell r="Q659">
            <v>10158</v>
          </cell>
          <cell r="R659">
            <v>9002</v>
          </cell>
          <cell r="S659">
            <v>11685</v>
          </cell>
          <cell r="T659">
            <v>10677</v>
          </cell>
          <cell r="U659">
            <v>8947</v>
          </cell>
          <cell r="V659">
            <v>6579</v>
          </cell>
          <cell r="W659">
            <v>6434</v>
          </cell>
          <cell r="X659">
            <v>5555</v>
          </cell>
          <cell r="Y659">
            <v>6033</v>
          </cell>
          <cell r="Z659">
            <v>5664</v>
          </cell>
          <cell r="AA659">
            <v>6235</v>
          </cell>
          <cell r="AB659">
            <v>4492</v>
          </cell>
          <cell r="AC659">
            <v>4341</v>
          </cell>
          <cell r="AD659">
            <v>5606</v>
          </cell>
          <cell r="AE659">
            <v>5267</v>
          </cell>
          <cell r="AF659">
            <v>4751</v>
          </cell>
          <cell r="AG659">
            <v>4576</v>
          </cell>
          <cell r="AH659">
            <v>4981</v>
          </cell>
          <cell r="AI659">
            <v>5141</v>
          </cell>
          <cell r="AJ659">
            <v>4704</v>
          </cell>
        </row>
        <row r="660">
          <cell r="E660" t="str">
            <v>NJ Commercial Distillate Fuel</v>
          </cell>
          <cell r="F660">
            <v>47862</v>
          </cell>
          <cell r="G660">
            <v>44223</v>
          </cell>
          <cell r="H660">
            <v>43102</v>
          </cell>
          <cell r="I660">
            <v>34821</v>
          </cell>
          <cell r="J660">
            <v>32262</v>
          </cell>
          <cell r="K660">
            <v>20178</v>
          </cell>
          <cell r="L660">
            <v>28774</v>
          </cell>
          <cell r="M660">
            <v>19823</v>
          </cell>
          <cell r="N660">
            <v>17814</v>
          </cell>
          <cell r="O660">
            <v>23982</v>
          </cell>
          <cell r="P660">
            <v>19436</v>
          </cell>
          <cell r="Q660">
            <v>19749</v>
          </cell>
          <cell r="R660">
            <v>14045</v>
          </cell>
          <cell r="S660">
            <v>18299</v>
          </cell>
          <cell r="T660">
            <v>15592</v>
          </cell>
          <cell r="U660">
            <v>20352</v>
          </cell>
          <cell r="V660">
            <v>12142</v>
          </cell>
          <cell r="W660">
            <v>19369</v>
          </cell>
          <cell r="X660">
            <v>14149</v>
          </cell>
          <cell r="Y660">
            <v>12818</v>
          </cell>
          <cell r="Z660">
            <v>11226</v>
          </cell>
          <cell r="AA660">
            <v>14235</v>
          </cell>
          <cell r="AB660">
            <v>10907</v>
          </cell>
          <cell r="AC660">
            <v>11630</v>
          </cell>
          <cell r="AD660">
            <v>12586</v>
          </cell>
          <cell r="AE660">
            <v>10981</v>
          </cell>
          <cell r="AF660">
            <v>9336</v>
          </cell>
          <cell r="AG660">
            <v>8701</v>
          </cell>
          <cell r="AH660">
            <v>8341</v>
          </cell>
          <cell r="AI660">
            <v>9488</v>
          </cell>
          <cell r="AJ660">
            <v>6621</v>
          </cell>
        </row>
        <row r="661">
          <cell r="E661" t="str">
            <v>NM Commercial Distillate Fuel</v>
          </cell>
          <cell r="F661">
            <v>2481</v>
          </cell>
          <cell r="G661">
            <v>2028</v>
          </cell>
          <cell r="H661">
            <v>1056</v>
          </cell>
          <cell r="I661">
            <v>1651</v>
          </cell>
          <cell r="J661">
            <v>1081</v>
          </cell>
          <cell r="K661">
            <v>1409</v>
          </cell>
          <cell r="L661">
            <v>1023</v>
          </cell>
          <cell r="M661">
            <v>983</v>
          </cell>
          <cell r="N661">
            <v>804</v>
          </cell>
          <cell r="O661">
            <v>1838</v>
          </cell>
          <cell r="P661">
            <v>1545</v>
          </cell>
          <cell r="Q661">
            <v>2036</v>
          </cell>
          <cell r="R661">
            <v>1913</v>
          </cell>
          <cell r="S661">
            <v>2333</v>
          </cell>
          <cell r="T661">
            <v>2345</v>
          </cell>
          <cell r="U661">
            <v>3656</v>
          </cell>
          <cell r="V661">
            <v>1749</v>
          </cell>
          <cell r="W661">
            <v>1093</v>
          </cell>
          <cell r="X661">
            <v>3461</v>
          </cell>
          <cell r="Y661">
            <v>1564</v>
          </cell>
          <cell r="Z661">
            <v>1347</v>
          </cell>
          <cell r="AA661">
            <v>1384</v>
          </cell>
          <cell r="AB661">
            <v>1268</v>
          </cell>
          <cell r="AC661">
            <v>1264</v>
          </cell>
          <cell r="AD661">
            <v>1695</v>
          </cell>
          <cell r="AE661">
            <v>1717</v>
          </cell>
          <cell r="AF661">
            <v>1498</v>
          </cell>
          <cell r="AG661">
            <v>997</v>
          </cell>
          <cell r="AH661">
            <v>730</v>
          </cell>
          <cell r="AI661">
            <v>1713</v>
          </cell>
          <cell r="AJ661">
            <v>1318</v>
          </cell>
        </row>
        <row r="662">
          <cell r="E662" t="str">
            <v>NV Commercial Distillate Fuel</v>
          </cell>
          <cell r="F662">
            <v>1813</v>
          </cell>
          <cell r="G662">
            <v>1703</v>
          </cell>
          <cell r="H662">
            <v>1976</v>
          </cell>
          <cell r="I662">
            <v>5257</v>
          </cell>
          <cell r="J662">
            <v>4752</v>
          </cell>
          <cell r="K662">
            <v>4839</v>
          </cell>
          <cell r="L662">
            <v>5746</v>
          </cell>
          <cell r="M662">
            <v>1640</v>
          </cell>
          <cell r="N662">
            <v>1795</v>
          </cell>
          <cell r="O662">
            <v>2121</v>
          </cell>
          <cell r="P662">
            <v>2333</v>
          </cell>
          <cell r="Q662">
            <v>1952</v>
          </cell>
          <cell r="R662">
            <v>2080</v>
          </cell>
          <cell r="S662">
            <v>1631</v>
          </cell>
          <cell r="T662">
            <v>2165</v>
          </cell>
          <cell r="U662">
            <v>2872</v>
          </cell>
          <cell r="V662">
            <v>3022</v>
          </cell>
          <cell r="W662">
            <v>1768</v>
          </cell>
          <cell r="X662">
            <v>1742</v>
          </cell>
          <cell r="Y662">
            <v>1419</v>
          </cell>
          <cell r="Z662">
            <v>1991</v>
          </cell>
          <cell r="AA662">
            <v>2044</v>
          </cell>
          <cell r="AB662">
            <v>1183</v>
          </cell>
          <cell r="AC662">
            <v>1844</v>
          </cell>
          <cell r="AD662">
            <v>1666</v>
          </cell>
          <cell r="AE662">
            <v>2369</v>
          </cell>
          <cell r="AF662">
            <v>2549</v>
          </cell>
          <cell r="AG662">
            <v>2765</v>
          </cell>
          <cell r="AH662">
            <v>2985</v>
          </cell>
          <cell r="AI662">
            <v>2571</v>
          </cell>
          <cell r="AJ662">
            <v>2281</v>
          </cell>
        </row>
        <row r="663">
          <cell r="E663" t="str">
            <v>NY Commercial Distillate Fuel</v>
          </cell>
          <cell r="F663">
            <v>89791</v>
          </cell>
          <cell r="G663">
            <v>86020</v>
          </cell>
          <cell r="H663">
            <v>94139</v>
          </cell>
          <cell r="I663">
            <v>93956</v>
          </cell>
          <cell r="J663">
            <v>94473</v>
          </cell>
          <cell r="K663">
            <v>91436</v>
          </cell>
          <cell r="L663">
            <v>90391</v>
          </cell>
          <cell r="M663">
            <v>83439</v>
          </cell>
          <cell r="N663">
            <v>69330</v>
          </cell>
          <cell r="O663">
            <v>81153</v>
          </cell>
          <cell r="P663">
            <v>88028</v>
          </cell>
          <cell r="Q663">
            <v>98138</v>
          </cell>
          <cell r="R663">
            <v>87469</v>
          </cell>
          <cell r="S663">
            <v>115109</v>
          </cell>
          <cell r="T663">
            <v>115819</v>
          </cell>
          <cell r="U663">
            <v>105227</v>
          </cell>
          <cell r="V663">
            <v>90538</v>
          </cell>
          <cell r="W663">
            <v>84479</v>
          </cell>
          <cell r="X663">
            <v>77725</v>
          </cell>
          <cell r="Y663">
            <v>69682</v>
          </cell>
          <cell r="Z663">
            <v>58038</v>
          </cell>
          <cell r="AA663">
            <v>59489</v>
          </cell>
          <cell r="AB663">
            <v>49609</v>
          </cell>
          <cell r="AC663">
            <v>53152</v>
          </cell>
          <cell r="AD663">
            <v>48604</v>
          </cell>
          <cell r="AE663">
            <v>55509</v>
          </cell>
          <cell r="AF663">
            <v>46602</v>
          </cell>
          <cell r="AG663">
            <v>45681</v>
          </cell>
          <cell r="AH663">
            <v>46711</v>
          </cell>
          <cell r="AI663">
            <v>48168</v>
          </cell>
          <cell r="AJ663">
            <v>37051</v>
          </cell>
        </row>
        <row r="664">
          <cell r="E664" t="str">
            <v>OH Commercial Distillate Fuel</v>
          </cell>
          <cell r="F664">
            <v>11182</v>
          </cell>
          <cell r="G664">
            <v>9386</v>
          </cell>
          <cell r="H664">
            <v>9726</v>
          </cell>
          <cell r="I664">
            <v>8088</v>
          </cell>
          <cell r="J664">
            <v>7955</v>
          </cell>
          <cell r="K664">
            <v>9946</v>
          </cell>
          <cell r="L664">
            <v>7770</v>
          </cell>
          <cell r="M664">
            <v>8161</v>
          </cell>
          <cell r="N664">
            <v>6540</v>
          </cell>
          <cell r="O664">
            <v>10535</v>
          </cell>
          <cell r="P664">
            <v>10127</v>
          </cell>
          <cell r="Q664">
            <v>10973</v>
          </cell>
          <cell r="R664">
            <v>13127</v>
          </cell>
          <cell r="S664">
            <v>10510</v>
          </cell>
          <cell r="T664">
            <v>11238</v>
          </cell>
          <cell r="U664">
            <v>7389</v>
          </cell>
          <cell r="V664">
            <v>8902</v>
          </cell>
          <cell r="W664">
            <v>10211</v>
          </cell>
          <cell r="X664">
            <v>11290</v>
          </cell>
          <cell r="Y664">
            <v>14201</v>
          </cell>
          <cell r="Z664">
            <v>14057</v>
          </cell>
          <cell r="AA664">
            <v>13243</v>
          </cell>
          <cell r="AB664">
            <v>14517</v>
          </cell>
          <cell r="AC664">
            <v>13015</v>
          </cell>
          <cell r="AD664">
            <v>11410</v>
          </cell>
          <cell r="AE664">
            <v>11812</v>
          </cell>
          <cell r="AF664">
            <v>11855</v>
          </cell>
          <cell r="AG664">
            <v>12031</v>
          </cell>
          <cell r="AH664">
            <v>12301</v>
          </cell>
          <cell r="AI664">
            <v>12366</v>
          </cell>
          <cell r="AJ664">
            <v>12580</v>
          </cell>
        </row>
        <row r="665">
          <cell r="E665" t="str">
            <v>OK Commercial Distillate Fuel</v>
          </cell>
          <cell r="F665">
            <v>3646</v>
          </cell>
          <cell r="G665">
            <v>2819</v>
          </cell>
          <cell r="H665">
            <v>2163</v>
          </cell>
          <cell r="I665">
            <v>1895</v>
          </cell>
          <cell r="J665">
            <v>1393</v>
          </cell>
          <cell r="K665">
            <v>1571</v>
          </cell>
          <cell r="L665">
            <v>2228</v>
          </cell>
          <cell r="M665">
            <v>3296</v>
          </cell>
          <cell r="N665">
            <v>3602</v>
          </cell>
          <cell r="O665">
            <v>2108</v>
          </cell>
          <cell r="P665">
            <v>1411</v>
          </cell>
          <cell r="Q665">
            <v>3914</v>
          </cell>
          <cell r="R665">
            <v>2035</v>
          </cell>
          <cell r="S665">
            <v>569</v>
          </cell>
          <cell r="T665">
            <v>1707</v>
          </cell>
          <cell r="U665">
            <v>1464</v>
          </cell>
          <cell r="V665">
            <v>1693</v>
          </cell>
          <cell r="W665">
            <v>2735</v>
          </cell>
          <cell r="X665">
            <v>3546</v>
          </cell>
          <cell r="Y665">
            <v>4285</v>
          </cell>
          <cell r="Z665">
            <v>3758</v>
          </cell>
          <cell r="AA665">
            <v>3094</v>
          </cell>
          <cell r="AB665">
            <v>3965</v>
          </cell>
          <cell r="AC665">
            <v>3388</v>
          </cell>
          <cell r="AD665">
            <v>3693</v>
          </cell>
          <cell r="AE665">
            <v>4819</v>
          </cell>
          <cell r="AF665">
            <v>5462</v>
          </cell>
          <cell r="AG665">
            <v>5913</v>
          </cell>
          <cell r="AH665">
            <v>3202</v>
          </cell>
          <cell r="AI665">
            <v>4750</v>
          </cell>
          <cell r="AJ665">
            <v>4544</v>
          </cell>
        </row>
        <row r="666">
          <cell r="E666" t="str">
            <v>OR Commercial Distillate Fuel</v>
          </cell>
          <cell r="F666">
            <v>6946</v>
          </cell>
          <cell r="G666">
            <v>5766</v>
          </cell>
          <cell r="H666">
            <v>5096</v>
          </cell>
          <cell r="I666">
            <v>4738</v>
          </cell>
          <cell r="J666">
            <v>4617</v>
          </cell>
          <cell r="K666">
            <v>6177</v>
          </cell>
          <cell r="L666">
            <v>5302</v>
          </cell>
          <cell r="M666">
            <v>5536</v>
          </cell>
          <cell r="N666">
            <v>5786</v>
          </cell>
          <cell r="O666">
            <v>4850</v>
          </cell>
          <cell r="P666">
            <v>5783</v>
          </cell>
          <cell r="Q666">
            <v>7007</v>
          </cell>
          <cell r="R666">
            <v>5976</v>
          </cell>
          <cell r="S666">
            <v>3079</v>
          </cell>
          <cell r="T666">
            <v>3446</v>
          </cell>
          <cell r="U666">
            <v>3002</v>
          </cell>
          <cell r="V666">
            <v>2766</v>
          </cell>
          <cell r="W666">
            <v>2726</v>
          </cell>
          <cell r="X666">
            <v>3405</v>
          </cell>
          <cell r="Y666">
            <v>4160</v>
          </cell>
          <cell r="Z666">
            <v>4291</v>
          </cell>
          <cell r="AA666">
            <v>2984</v>
          </cell>
          <cell r="AB666">
            <v>1782</v>
          </cell>
          <cell r="AC666">
            <v>1609</v>
          </cell>
          <cell r="AD666">
            <v>2077</v>
          </cell>
          <cell r="AE666">
            <v>2217</v>
          </cell>
          <cell r="AF666">
            <v>2291</v>
          </cell>
          <cell r="AG666">
            <v>2356</v>
          </cell>
          <cell r="AH666">
            <v>3006</v>
          </cell>
          <cell r="AI666">
            <v>2355</v>
          </cell>
          <cell r="AJ666">
            <v>3029</v>
          </cell>
        </row>
        <row r="667">
          <cell r="E667" t="str">
            <v>PA Commercial Distillate Fuel</v>
          </cell>
          <cell r="F667">
            <v>38676</v>
          </cell>
          <cell r="G667">
            <v>36747</v>
          </cell>
          <cell r="H667">
            <v>36635</v>
          </cell>
          <cell r="I667">
            <v>37282</v>
          </cell>
          <cell r="J667">
            <v>44776</v>
          </cell>
          <cell r="K667">
            <v>36862</v>
          </cell>
          <cell r="L667">
            <v>35805</v>
          </cell>
          <cell r="M667">
            <v>27974</v>
          </cell>
          <cell r="N667">
            <v>26751</v>
          </cell>
          <cell r="O667">
            <v>27643</v>
          </cell>
          <cell r="P667">
            <v>31978</v>
          </cell>
          <cell r="Q667">
            <v>34880</v>
          </cell>
          <cell r="R667">
            <v>43375</v>
          </cell>
          <cell r="S667">
            <v>37585</v>
          </cell>
          <cell r="T667">
            <v>36166</v>
          </cell>
          <cell r="U667">
            <v>35632</v>
          </cell>
          <cell r="V667">
            <v>33094</v>
          </cell>
          <cell r="W667">
            <v>28456</v>
          </cell>
          <cell r="X667">
            <v>35575</v>
          </cell>
          <cell r="Y667">
            <v>24033</v>
          </cell>
          <cell r="Z667">
            <v>23625</v>
          </cell>
          <cell r="AA667">
            <v>21041</v>
          </cell>
          <cell r="AB667">
            <v>17083</v>
          </cell>
          <cell r="AC667">
            <v>18522</v>
          </cell>
          <cell r="AD667">
            <v>19839</v>
          </cell>
          <cell r="AE667">
            <v>18765</v>
          </cell>
          <cell r="AF667">
            <v>15272</v>
          </cell>
          <cell r="AG667">
            <v>17907</v>
          </cell>
          <cell r="AH667">
            <v>20328</v>
          </cell>
          <cell r="AI667">
            <v>19943</v>
          </cell>
          <cell r="AJ667">
            <v>13707</v>
          </cell>
        </row>
        <row r="668">
          <cell r="E668" t="str">
            <v>RI Commercial Distillate Fuel</v>
          </cell>
          <cell r="F668">
            <v>4657</v>
          </cell>
          <cell r="G668">
            <v>5228</v>
          </cell>
          <cell r="H668">
            <v>4081</v>
          </cell>
          <cell r="I668">
            <v>3973</v>
          </cell>
          <cell r="J668">
            <v>5236</v>
          </cell>
          <cell r="K668">
            <v>4312</v>
          </cell>
          <cell r="L668">
            <v>4703</v>
          </cell>
          <cell r="M668">
            <v>4319</v>
          </cell>
          <cell r="N668">
            <v>3607</v>
          </cell>
          <cell r="O668">
            <v>2964</v>
          </cell>
          <cell r="P668">
            <v>3658</v>
          </cell>
          <cell r="Q668">
            <v>3666</v>
          </cell>
          <cell r="R668">
            <v>3855</v>
          </cell>
          <cell r="S668">
            <v>5878</v>
          </cell>
          <cell r="T668">
            <v>4998</v>
          </cell>
          <cell r="U668">
            <v>3993</v>
          </cell>
          <cell r="V668">
            <v>3536</v>
          </cell>
          <cell r="W668">
            <v>3977</v>
          </cell>
          <cell r="X668">
            <v>3333</v>
          </cell>
          <cell r="Y668">
            <v>4925</v>
          </cell>
          <cell r="Z668">
            <v>3996</v>
          </cell>
          <cell r="AA668">
            <v>3044</v>
          </cell>
          <cell r="AB668">
            <v>2709</v>
          </cell>
          <cell r="AC668">
            <v>3140</v>
          </cell>
          <cell r="AD668">
            <v>4892</v>
          </cell>
          <cell r="AE668">
            <v>3121</v>
          </cell>
          <cell r="AF668">
            <v>2194</v>
          </cell>
          <cell r="AG668">
            <v>2048</v>
          </cell>
          <cell r="AH668">
            <v>2195</v>
          </cell>
          <cell r="AI668">
            <v>1730</v>
          </cell>
          <cell r="AJ668">
            <v>1176</v>
          </cell>
        </row>
        <row r="669">
          <cell r="E669" t="str">
            <v>SC Commercial Distillate Fuel</v>
          </cell>
          <cell r="F669">
            <v>4199</v>
          </cell>
          <cell r="G669">
            <v>3523</v>
          </cell>
          <cell r="H669">
            <v>4545</v>
          </cell>
          <cell r="I669">
            <v>5275</v>
          </cell>
          <cell r="J669">
            <v>4217</v>
          </cell>
          <cell r="K669">
            <v>5833</v>
          </cell>
          <cell r="L669">
            <v>5609</v>
          </cell>
          <cell r="M669">
            <v>6106</v>
          </cell>
          <cell r="N669">
            <v>8741</v>
          </cell>
          <cell r="O669">
            <v>6068</v>
          </cell>
          <cell r="P669">
            <v>4414</v>
          </cell>
          <cell r="Q669">
            <v>4476</v>
          </cell>
          <cell r="R669">
            <v>3893</v>
          </cell>
          <cell r="S669">
            <v>3512</v>
          </cell>
          <cell r="T669">
            <v>3215</v>
          </cell>
          <cell r="U669">
            <v>3615</v>
          </cell>
          <cell r="V669">
            <v>4028</v>
          </cell>
          <cell r="W669">
            <v>4004</v>
          </cell>
          <cell r="X669">
            <v>3705</v>
          </cell>
          <cell r="Y669">
            <v>2954</v>
          </cell>
          <cell r="Z669">
            <v>3489</v>
          </cell>
          <cell r="AA669">
            <v>3201</v>
          </cell>
          <cell r="AB669">
            <v>3036</v>
          </cell>
          <cell r="AC669">
            <v>2868</v>
          </cell>
          <cell r="AD669">
            <v>3070</v>
          </cell>
          <cell r="AE669">
            <v>3200</v>
          </cell>
          <cell r="AF669">
            <v>3561</v>
          </cell>
          <cell r="AG669">
            <v>3532</v>
          </cell>
          <cell r="AH669">
            <v>3472</v>
          </cell>
          <cell r="AI669">
            <v>3288</v>
          </cell>
          <cell r="AJ669">
            <v>3042</v>
          </cell>
        </row>
        <row r="670">
          <cell r="E670" t="str">
            <v>SD Commercial Distillate Fuel</v>
          </cell>
          <cell r="F670">
            <v>1408</v>
          </cell>
          <cell r="G670">
            <v>1113</v>
          </cell>
          <cell r="H670">
            <v>1418</v>
          </cell>
          <cell r="I670">
            <v>1447</v>
          </cell>
          <cell r="J670">
            <v>1408</v>
          </cell>
          <cell r="K670">
            <v>1751</v>
          </cell>
          <cell r="L670">
            <v>1459</v>
          </cell>
          <cell r="M670">
            <v>1530</v>
          </cell>
          <cell r="N670">
            <v>1380</v>
          </cell>
          <cell r="O670">
            <v>1176</v>
          </cell>
          <cell r="P670">
            <v>1134</v>
          </cell>
          <cell r="Q670">
            <v>1462</v>
          </cell>
          <cell r="R670">
            <v>1045</v>
          </cell>
          <cell r="S670">
            <v>761</v>
          </cell>
          <cell r="T670">
            <v>1127</v>
          </cell>
          <cell r="U670">
            <v>1185</v>
          </cell>
          <cell r="V670">
            <v>917</v>
          </cell>
          <cell r="W670">
            <v>1302</v>
          </cell>
          <cell r="X670">
            <v>962</v>
          </cell>
          <cell r="Y670">
            <v>991</v>
          </cell>
          <cell r="Z670">
            <v>1127</v>
          </cell>
          <cell r="AA670">
            <v>1341</v>
          </cell>
          <cell r="AB670">
            <v>1027</v>
          </cell>
          <cell r="AC670">
            <v>972</v>
          </cell>
          <cell r="AD670">
            <v>828</v>
          </cell>
          <cell r="AE670">
            <v>772</v>
          </cell>
          <cell r="AF670">
            <v>694</v>
          </cell>
          <cell r="AG670">
            <v>611</v>
          </cell>
          <cell r="AH670">
            <v>655</v>
          </cell>
          <cell r="AI670">
            <v>828</v>
          </cell>
          <cell r="AJ670">
            <v>1289</v>
          </cell>
        </row>
        <row r="671">
          <cell r="E671" t="str">
            <v>TN Commercial Distillate Fuel</v>
          </cell>
          <cell r="F671">
            <v>4303</v>
          </cell>
          <cell r="G671">
            <v>3498</v>
          </cell>
          <cell r="H671">
            <v>6020</v>
          </cell>
          <cell r="I671">
            <v>5474</v>
          </cell>
          <cell r="J671">
            <v>5334</v>
          </cell>
          <cell r="K671">
            <v>4298</v>
          </cell>
          <cell r="L671">
            <v>5271</v>
          </cell>
          <cell r="M671">
            <v>4812</v>
          </cell>
          <cell r="N671">
            <v>5523</v>
          </cell>
          <cell r="O671">
            <v>5583</v>
          </cell>
          <cell r="P671">
            <v>6272</v>
          </cell>
          <cell r="Q671">
            <v>5443</v>
          </cell>
          <cell r="R671">
            <v>6017</v>
          </cell>
          <cell r="S671">
            <v>6394</v>
          </cell>
          <cell r="T671">
            <v>6231</v>
          </cell>
          <cell r="U671">
            <v>4536</v>
          </cell>
          <cell r="V671">
            <v>3773</v>
          </cell>
          <cell r="W671">
            <v>5509</v>
          </cell>
          <cell r="X671">
            <v>4195</v>
          </cell>
          <cell r="Y671">
            <v>7017</v>
          </cell>
          <cell r="Z671">
            <v>6865</v>
          </cell>
          <cell r="AA671">
            <v>5942</v>
          </cell>
          <cell r="AB671">
            <v>5856</v>
          </cell>
          <cell r="AC671">
            <v>3866</v>
          </cell>
          <cell r="AD671">
            <v>5008</v>
          </cell>
          <cell r="AE671">
            <v>4769</v>
          </cell>
          <cell r="AF671">
            <v>4524</v>
          </cell>
          <cell r="AG671">
            <v>5434</v>
          </cell>
          <cell r="AH671">
            <v>5423</v>
          </cell>
          <cell r="AI671">
            <v>5827</v>
          </cell>
          <cell r="AJ671">
            <v>4377</v>
          </cell>
        </row>
        <row r="672">
          <cell r="E672" t="str">
            <v>TX Commercial Distillate Fuel</v>
          </cell>
          <cell r="F672">
            <v>12958</v>
          </cell>
          <cell r="G672">
            <v>12948</v>
          </cell>
          <cell r="H672">
            <v>13625</v>
          </cell>
          <cell r="I672">
            <v>11397</v>
          </cell>
          <cell r="J672">
            <v>12887</v>
          </cell>
          <cell r="K672">
            <v>15536</v>
          </cell>
          <cell r="L672">
            <v>15595</v>
          </cell>
          <cell r="M672">
            <v>14029</v>
          </cell>
          <cell r="N672">
            <v>17876</v>
          </cell>
          <cell r="O672">
            <v>16704</v>
          </cell>
          <cell r="P672">
            <v>32919</v>
          </cell>
          <cell r="Q672">
            <v>21106</v>
          </cell>
          <cell r="R672">
            <v>13476</v>
          </cell>
          <cell r="S672">
            <v>15744</v>
          </cell>
          <cell r="T672">
            <v>10452</v>
          </cell>
          <cell r="U672">
            <v>15808</v>
          </cell>
          <cell r="V672">
            <v>14041</v>
          </cell>
          <cell r="W672">
            <v>14121</v>
          </cell>
          <cell r="X672">
            <v>13192</v>
          </cell>
          <cell r="Y672">
            <v>19339</v>
          </cell>
          <cell r="Z672">
            <v>14405</v>
          </cell>
          <cell r="AA672">
            <v>26543</v>
          </cell>
          <cell r="AB672">
            <v>24037</v>
          </cell>
          <cell r="AC672">
            <v>19735</v>
          </cell>
          <cell r="AD672">
            <v>18553</v>
          </cell>
          <cell r="AE672">
            <v>16657</v>
          </cell>
          <cell r="AF672">
            <v>18778</v>
          </cell>
          <cell r="AG672">
            <v>14793</v>
          </cell>
          <cell r="AH672">
            <v>11466</v>
          </cell>
          <cell r="AI672">
            <v>13802</v>
          </cell>
          <cell r="AJ672">
            <v>10245</v>
          </cell>
        </row>
        <row r="673">
          <cell r="E673" t="str">
            <v>US Commercial Distillate Fuel</v>
          </cell>
          <cell r="F673">
            <v>535830</v>
          </cell>
          <cell r="G673">
            <v>517367</v>
          </cell>
          <cell r="H673">
            <v>506666</v>
          </cell>
          <cell r="I673">
            <v>493037</v>
          </cell>
          <cell r="J673">
            <v>500513</v>
          </cell>
          <cell r="K673">
            <v>478472</v>
          </cell>
          <cell r="L673">
            <v>482505</v>
          </cell>
          <cell r="M673">
            <v>443434</v>
          </cell>
          <cell r="N673">
            <v>428401</v>
          </cell>
          <cell r="O673">
            <v>437988</v>
          </cell>
          <cell r="P673">
            <v>490457</v>
          </cell>
          <cell r="Q673">
            <v>507839</v>
          </cell>
          <cell r="R673">
            <v>443627</v>
          </cell>
          <cell r="S673">
            <v>495513</v>
          </cell>
          <cell r="T673">
            <v>469753</v>
          </cell>
          <cell r="U673">
            <v>446955</v>
          </cell>
          <cell r="V673">
            <v>399722</v>
          </cell>
          <cell r="W673">
            <v>381217</v>
          </cell>
          <cell r="X673">
            <v>383906</v>
          </cell>
          <cell r="Y673">
            <v>394846</v>
          </cell>
          <cell r="Z673">
            <v>390983</v>
          </cell>
          <cell r="AA673">
            <v>391040</v>
          </cell>
          <cell r="AB673">
            <v>354730</v>
          </cell>
          <cell r="AC673">
            <v>342887</v>
          </cell>
          <cell r="AD673">
            <v>355908</v>
          </cell>
          <cell r="AE673">
            <v>359337</v>
          </cell>
          <cell r="AF673">
            <v>325260</v>
          </cell>
          <cell r="AG673">
            <v>321865</v>
          </cell>
          <cell r="AH673">
            <v>322330</v>
          </cell>
          <cell r="AI673">
            <v>326551</v>
          </cell>
          <cell r="AJ673">
            <v>275626</v>
          </cell>
        </row>
        <row r="674">
          <cell r="E674" t="str">
            <v>UT Commercial Distillate Fuel</v>
          </cell>
          <cell r="F674">
            <v>2121</v>
          </cell>
          <cell r="G674">
            <v>2203</v>
          </cell>
          <cell r="H674">
            <v>2263</v>
          </cell>
          <cell r="I674">
            <v>1873</v>
          </cell>
          <cell r="J674">
            <v>2374</v>
          </cell>
          <cell r="K674">
            <v>2225</v>
          </cell>
          <cell r="L674">
            <v>2179</v>
          </cell>
          <cell r="M674">
            <v>2362</v>
          </cell>
          <cell r="N674">
            <v>3049</v>
          </cell>
          <cell r="O674">
            <v>3448</v>
          </cell>
          <cell r="P674">
            <v>2131</v>
          </cell>
          <cell r="Q674">
            <v>4051</v>
          </cell>
          <cell r="R674">
            <v>3248</v>
          </cell>
          <cell r="S674">
            <v>3160</v>
          </cell>
          <cell r="T674">
            <v>2849</v>
          </cell>
          <cell r="U674">
            <v>1998</v>
          </cell>
          <cell r="V674">
            <v>2534</v>
          </cell>
          <cell r="W674">
            <v>2613</v>
          </cell>
          <cell r="X674">
            <v>2447</v>
          </cell>
          <cell r="Y674">
            <v>3028</v>
          </cell>
          <cell r="Z674">
            <v>2660</v>
          </cell>
          <cell r="AA674">
            <v>3038</v>
          </cell>
          <cell r="AB674">
            <v>3767</v>
          </cell>
          <cell r="AC674">
            <v>3513</v>
          </cell>
          <cell r="AD674">
            <v>3378</v>
          </cell>
          <cell r="AE674">
            <v>2127</v>
          </cell>
          <cell r="AF674">
            <v>3086</v>
          </cell>
          <cell r="AG674">
            <v>2765</v>
          </cell>
          <cell r="AH674">
            <v>2435</v>
          </cell>
          <cell r="AI674">
            <v>2675</v>
          </cell>
          <cell r="AJ674">
            <v>2218</v>
          </cell>
        </row>
        <row r="675">
          <cell r="E675" t="str">
            <v>VA Commercial Distillate Fuel</v>
          </cell>
          <cell r="F675">
            <v>16400</v>
          </cell>
          <cell r="G675">
            <v>14378</v>
          </cell>
          <cell r="H675">
            <v>13240</v>
          </cell>
          <cell r="I675">
            <v>15048</v>
          </cell>
          <cell r="J675">
            <v>15952</v>
          </cell>
          <cell r="K675">
            <v>15461</v>
          </cell>
          <cell r="L675">
            <v>19776</v>
          </cell>
          <cell r="M675">
            <v>17306</v>
          </cell>
          <cell r="N675">
            <v>18024</v>
          </cell>
          <cell r="O675">
            <v>16666</v>
          </cell>
          <cell r="P675">
            <v>19329</v>
          </cell>
          <cell r="Q675">
            <v>17220</v>
          </cell>
          <cell r="R675">
            <v>14296</v>
          </cell>
          <cell r="S675">
            <v>18884</v>
          </cell>
          <cell r="T675">
            <v>17611</v>
          </cell>
          <cell r="U675">
            <v>17338</v>
          </cell>
          <cell r="V675">
            <v>15620</v>
          </cell>
          <cell r="W675">
            <v>12080</v>
          </cell>
          <cell r="X675">
            <v>8953</v>
          </cell>
          <cell r="Y675">
            <v>7701</v>
          </cell>
          <cell r="Z675">
            <v>8519</v>
          </cell>
          <cell r="AA675">
            <v>6656</v>
          </cell>
          <cell r="AB675">
            <v>9858</v>
          </cell>
          <cell r="AC675">
            <v>7936</v>
          </cell>
          <cell r="AD675">
            <v>9208</v>
          </cell>
          <cell r="AE675">
            <v>9224</v>
          </cell>
          <cell r="AF675">
            <v>8599</v>
          </cell>
          <cell r="AG675">
            <v>8999</v>
          </cell>
          <cell r="AH675">
            <v>10485</v>
          </cell>
          <cell r="AI675">
            <v>10824</v>
          </cell>
          <cell r="AJ675">
            <v>8624</v>
          </cell>
        </row>
        <row r="676">
          <cell r="E676" t="str">
            <v>VT Commercial Distillate Fuel</v>
          </cell>
          <cell r="F676">
            <v>3897</v>
          </cell>
          <cell r="G676">
            <v>4720</v>
          </cell>
          <cell r="H676">
            <v>5525</v>
          </cell>
          <cell r="I676">
            <v>4636</v>
          </cell>
          <cell r="J676">
            <v>4983</v>
          </cell>
          <cell r="K676">
            <v>4026</v>
          </cell>
          <cell r="L676">
            <v>4629</v>
          </cell>
          <cell r="M676">
            <v>4944</v>
          </cell>
          <cell r="N676">
            <v>5459</v>
          </cell>
          <cell r="O676">
            <v>5503</v>
          </cell>
          <cell r="P676">
            <v>6053</v>
          </cell>
          <cell r="Q676">
            <v>5872</v>
          </cell>
          <cell r="R676">
            <v>5035</v>
          </cell>
          <cell r="S676">
            <v>5650</v>
          </cell>
          <cell r="T676">
            <v>6028</v>
          </cell>
          <cell r="U676">
            <v>4992</v>
          </cell>
          <cell r="V676">
            <v>4713</v>
          </cell>
          <cell r="W676">
            <v>4431</v>
          </cell>
          <cell r="X676">
            <v>3245</v>
          </cell>
          <cell r="Y676">
            <v>4051</v>
          </cell>
          <cell r="Z676">
            <v>3855</v>
          </cell>
          <cell r="AA676">
            <v>3732</v>
          </cell>
          <cell r="AB676">
            <v>3039</v>
          </cell>
          <cell r="AC676">
            <v>3268</v>
          </cell>
          <cell r="AD676">
            <v>3566</v>
          </cell>
          <cell r="AE676">
            <v>4759</v>
          </cell>
          <cell r="AF676">
            <v>3314</v>
          </cell>
          <cell r="AG676">
            <v>3196</v>
          </cell>
          <cell r="AH676">
            <v>3155</v>
          </cell>
          <cell r="AI676">
            <v>3215</v>
          </cell>
          <cell r="AJ676">
            <v>3022</v>
          </cell>
        </row>
        <row r="677">
          <cell r="E677" t="str">
            <v>WA Commercial Distillate Fuel</v>
          </cell>
          <cell r="F677">
            <v>10862</v>
          </cell>
          <cell r="G677">
            <v>9338</v>
          </cell>
          <cell r="H677">
            <v>5419</v>
          </cell>
          <cell r="I677">
            <v>5834</v>
          </cell>
          <cell r="J677">
            <v>6494</v>
          </cell>
          <cell r="K677">
            <v>7355</v>
          </cell>
          <cell r="L677">
            <v>5756</v>
          </cell>
          <cell r="M677">
            <v>6327</v>
          </cell>
          <cell r="N677">
            <v>4983</v>
          </cell>
          <cell r="O677">
            <v>5530</v>
          </cell>
          <cell r="P677">
            <v>5247</v>
          </cell>
          <cell r="Q677">
            <v>7006</v>
          </cell>
          <cell r="R677">
            <v>6724</v>
          </cell>
          <cell r="S677">
            <v>6396</v>
          </cell>
          <cell r="T677">
            <v>4341</v>
          </cell>
          <cell r="U677">
            <v>6042</v>
          </cell>
          <cell r="V677">
            <v>5905</v>
          </cell>
          <cell r="W677">
            <v>4532</v>
          </cell>
          <cell r="X677">
            <v>7738</v>
          </cell>
          <cell r="Y677">
            <v>5879</v>
          </cell>
          <cell r="Z677">
            <v>8812</v>
          </cell>
          <cell r="AA677">
            <v>6761</v>
          </cell>
          <cell r="AB677">
            <v>6760</v>
          </cell>
          <cell r="AC677">
            <v>6773</v>
          </cell>
          <cell r="AD677">
            <v>7472</v>
          </cell>
          <cell r="AE677">
            <v>7469</v>
          </cell>
          <cell r="AF677">
            <v>7514</v>
          </cell>
          <cell r="AG677">
            <v>4248</v>
          </cell>
          <cell r="AH677">
            <v>7918</v>
          </cell>
          <cell r="AI677">
            <v>4295</v>
          </cell>
          <cell r="AJ677">
            <v>7718</v>
          </cell>
        </row>
        <row r="678">
          <cell r="E678" t="str">
            <v>WI Commercial Distillate Fuel</v>
          </cell>
          <cell r="F678">
            <v>12397</v>
          </cell>
          <cell r="G678">
            <v>11387</v>
          </cell>
          <cell r="H678">
            <v>8965</v>
          </cell>
          <cell r="I678">
            <v>9040</v>
          </cell>
          <cell r="J678">
            <v>6920</v>
          </cell>
          <cell r="K678">
            <v>5717</v>
          </cell>
          <cell r="L678">
            <v>5691</v>
          </cell>
          <cell r="M678">
            <v>7316</v>
          </cell>
          <cell r="N678">
            <v>8062</v>
          </cell>
          <cell r="O678">
            <v>8422</v>
          </cell>
          <cell r="P678">
            <v>7823</v>
          </cell>
          <cell r="Q678">
            <v>8339</v>
          </cell>
          <cell r="R678">
            <v>7042</v>
          </cell>
          <cell r="S678">
            <v>8490</v>
          </cell>
          <cell r="T678">
            <v>7695</v>
          </cell>
          <cell r="U678">
            <v>7202</v>
          </cell>
          <cell r="V678">
            <v>5193</v>
          </cell>
          <cell r="W678">
            <v>5844</v>
          </cell>
          <cell r="X678">
            <v>7305</v>
          </cell>
          <cell r="Y678">
            <v>5694</v>
          </cell>
          <cell r="Z678">
            <v>3820</v>
          </cell>
          <cell r="AA678">
            <v>4814</v>
          </cell>
          <cell r="AB678">
            <v>4437</v>
          </cell>
          <cell r="AC678">
            <v>3577</v>
          </cell>
          <cell r="AD678">
            <v>4048</v>
          </cell>
          <cell r="AE678">
            <v>4142</v>
          </cell>
          <cell r="AF678">
            <v>4111</v>
          </cell>
          <cell r="AG678">
            <v>4523</v>
          </cell>
          <cell r="AH678">
            <v>3733</v>
          </cell>
          <cell r="AI678">
            <v>3589</v>
          </cell>
          <cell r="AJ678">
            <v>2563</v>
          </cell>
        </row>
        <row r="679">
          <cell r="E679" t="str">
            <v>WV Commercial Distillate Fuel</v>
          </cell>
          <cell r="F679">
            <v>3063</v>
          </cell>
          <cell r="G679">
            <v>3486</v>
          </cell>
          <cell r="H679">
            <v>2178</v>
          </cell>
          <cell r="I679">
            <v>2713</v>
          </cell>
          <cell r="J679">
            <v>2644</v>
          </cell>
          <cell r="K679">
            <v>2076</v>
          </cell>
          <cell r="L679">
            <v>1534</v>
          </cell>
          <cell r="M679">
            <v>1838</v>
          </cell>
          <cell r="N679">
            <v>2155</v>
          </cell>
          <cell r="O679">
            <v>1849</v>
          </cell>
          <cell r="P679">
            <v>2095</v>
          </cell>
          <cell r="Q679">
            <v>2362</v>
          </cell>
          <cell r="R679">
            <v>1894</v>
          </cell>
          <cell r="S679">
            <v>1354</v>
          </cell>
          <cell r="T679">
            <v>1369</v>
          </cell>
          <cell r="U679">
            <v>1341</v>
          </cell>
          <cell r="V679">
            <v>954</v>
          </cell>
          <cell r="W679">
            <v>935</v>
          </cell>
          <cell r="X679">
            <v>790</v>
          </cell>
          <cell r="Y679">
            <v>1557</v>
          </cell>
          <cell r="Z679">
            <v>1286</v>
          </cell>
          <cell r="AA679">
            <v>2402</v>
          </cell>
          <cell r="AB679">
            <v>2181</v>
          </cell>
          <cell r="AC679">
            <v>2215</v>
          </cell>
          <cell r="AD679">
            <v>2513</v>
          </cell>
          <cell r="AE679">
            <v>2657</v>
          </cell>
          <cell r="AF679">
            <v>2389</v>
          </cell>
          <cell r="AG679">
            <v>2086</v>
          </cell>
          <cell r="AH679">
            <v>2471</v>
          </cell>
          <cell r="AI679">
            <v>2600</v>
          </cell>
          <cell r="AJ679">
            <v>2214</v>
          </cell>
        </row>
        <row r="680">
          <cell r="E680" t="str">
            <v>WY Commercial Distillate Fuel</v>
          </cell>
          <cell r="F680">
            <v>1271</v>
          </cell>
          <cell r="G680">
            <v>1128</v>
          </cell>
          <cell r="H680">
            <v>1068</v>
          </cell>
          <cell r="I680">
            <v>1094</v>
          </cell>
          <cell r="J680">
            <v>1141</v>
          </cell>
          <cell r="K680">
            <v>1544</v>
          </cell>
          <cell r="L680">
            <v>1538</v>
          </cell>
          <cell r="M680">
            <v>1277</v>
          </cell>
          <cell r="N680">
            <v>859</v>
          </cell>
          <cell r="O680">
            <v>2121</v>
          </cell>
          <cell r="P680">
            <v>2331</v>
          </cell>
          <cell r="Q680">
            <v>2418</v>
          </cell>
          <cell r="R680">
            <v>1647</v>
          </cell>
          <cell r="S680">
            <v>912</v>
          </cell>
          <cell r="T680">
            <v>593</v>
          </cell>
          <cell r="U680">
            <v>555</v>
          </cell>
          <cell r="V680">
            <v>538</v>
          </cell>
          <cell r="W680">
            <v>502</v>
          </cell>
          <cell r="X680">
            <v>653</v>
          </cell>
          <cell r="Y680">
            <v>866</v>
          </cell>
          <cell r="Z680">
            <v>1420</v>
          </cell>
          <cell r="AA680">
            <v>2193</v>
          </cell>
          <cell r="AB680">
            <v>2444</v>
          </cell>
          <cell r="AC680">
            <v>1960</v>
          </cell>
          <cell r="AD680">
            <v>1833</v>
          </cell>
          <cell r="AE680">
            <v>1547</v>
          </cell>
          <cell r="AF680">
            <v>1665</v>
          </cell>
          <cell r="AG680">
            <v>1545</v>
          </cell>
          <cell r="AH680">
            <v>1007</v>
          </cell>
          <cell r="AI680">
            <v>1040</v>
          </cell>
          <cell r="AJ680">
            <v>1035</v>
          </cell>
        </row>
        <row r="681">
          <cell r="E681" t="str">
            <v>AK Industrial Distillate Fuel</v>
          </cell>
          <cell r="F681">
            <v>8067.592275794027</v>
          </cell>
          <cell r="G681">
            <v>11110.045594040057</v>
          </cell>
          <cell r="H681">
            <v>12895.224635281618</v>
          </cell>
          <cell r="I681">
            <v>13379.925514462051</v>
          </cell>
          <cell r="J681">
            <v>13446.74159881002</v>
          </cell>
          <cell r="K681">
            <v>17763.809783138298</v>
          </cell>
          <cell r="L681">
            <v>21329.398178494208</v>
          </cell>
          <cell r="M681">
            <v>20520.88548529438</v>
          </cell>
          <cell r="N681">
            <v>20521.011118262373</v>
          </cell>
          <cell r="O681">
            <v>18866.817415527159</v>
          </cell>
          <cell r="P681">
            <v>12972.952609498408</v>
          </cell>
          <cell r="Q681">
            <v>13183.269308697689</v>
          </cell>
          <cell r="R681">
            <v>13511.584053105333</v>
          </cell>
          <cell r="S681">
            <v>12746.54395548321</v>
          </cell>
          <cell r="T681">
            <v>12123.914037914818</v>
          </cell>
          <cell r="U681">
            <v>11103.070440899672</v>
          </cell>
          <cell r="V681">
            <v>12564.557428106653</v>
          </cell>
          <cell r="W681">
            <v>15408.648242672471</v>
          </cell>
          <cell r="X681">
            <v>15548.39652183454</v>
          </cell>
          <cell r="Y681">
            <v>18959.853414767338</v>
          </cell>
          <cell r="Z681">
            <v>14131.621854805157</v>
          </cell>
          <cell r="AA681">
            <v>19049.201387931356</v>
          </cell>
          <cell r="AB681">
            <v>23336.84998481701</v>
          </cell>
          <cell r="AC681">
            <v>24294.579569779635</v>
          </cell>
          <cell r="AD681">
            <v>23134.175634890878</v>
          </cell>
          <cell r="AE681">
            <v>23982.703460654207</v>
          </cell>
          <cell r="AF681">
            <v>19884.144638339028</v>
          </cell>
          <cell r="AG681">
            <v>11395.450333260502</v>
          </cell>
          <cell r="AH681">
            <v>12265.619658549824</v>
          </cell>
          <cell r="AI681">
            <v>9063.1591465653928</v>
          </cell>
          <cell r="AJ681">
            <v>9295.0824231173501</v>
          </cell>
        </row>
        <row r="682">
          <cell r="E682" t="str">
            <v>AL Industrial Distillate Fuel</v>
          </cell>
          <cell r="F682">
            <v>26142.017093845872</v>
          </cell>
          <cell r="G682">
            <v>23345.022534863656</v>
          </cell>
          <cell r="H682">
            <v>23305.262925196534</v>
          </cell>
          <cell r="I682">
            <v>21962.958277361908</v>
          </cell>
          <cell r="J682">
            <v>25890.305718962041</v>
          </cell>
          <cell r="K682">
            <v>25201.014100815446</v>
          </cell>
          <cell r="L682">
            <v>29065.281452677409</v>
          </cell>
          <cell r="M682">
            <v>25245.875711897341</v>
          </cell>
          <cell r="N682">
            <v>21271.492689419785</v>
          </cell>
          <cell r="O682">
            <v>21385.082894680821</v>
          </cell>
          <cell r="P682">
            <v>16818.211310630442</v>
          </cell>
          <cell r="Q682">
            <v>18506.08236191277</v>
          </cell>
          <cell r="R682">
            <v>18965.892615719175</v>
          </cell>
          <cell r="S682">
            <v>40794.529496111158</v>
          </cell>
          <cell r="T682">
            <v>39588.962372551163</v>
          </cell>
          <cell r="U682">
            <v>37672.593252372128</v>
          </cell>
          <cell r="V682">
            <v>32003.388948615811</v>
          </cell>
          <cell r="W682">
            <v>28055.957415190504</v>
          </cell>
          <cell r="X682">
            <v>31599.283216757685</v>
          </cell>
          <cell r="Y682">
            <v>24029.770053437511</v>
          </cell>
          <cell r="Z682">
            <v>22170.102946544113</v>
          </cell>
          <cell r="AA682">
            <v>23683.060536763049</v>
          </cell>
          <cell r="AB682">
            <v>30081.909951786394</v>
          </cell>
          <cell r="AC682">
            <v>23034.247112840847</v>
          </cell>
          <cell r="AD682">
            <v>19826.156215921757</v>
          </cell>
          <cell r="AE682">
            <v>21755.516990106633</v>
          </cell>
          <cell r="AF682">
            <v>22802.524021747144</v>
          </cell>
          <cell r="AG682">
            <v>20465.441320252725</v>
          </cell>
          <cell r="AH682">
            <v>22826.986891231547</v>
          </cell>
          <cell r="AI682">
            <v>20170.677487342811</v>
          </cell>
          <cell r="AJ682">
            <v>21922.118999412814</v>
          </cell>
        </row>
        <row r="683">
          <cell r="E683" t="str">
            <v>AR Industrial Distillate Fuel</v>
          </cell>
          <cell r="F683">
            <v>13836.317616204502</v>
          </cell>
          <cell r="G683">
            <v>11517.060859005331</v>
          </cell>
          <cell r="H683">
            <v>18962.581797544663</v>
          </cell>
          <cell r="I683">
            <v>18194.533503924966</v>
          </cell>
          <cell r="J683">
            <v>18203.904365687224</v>
          </cell>
          <cell r="K683">
            <v>23162.479548697902</v>
          </cell>
          <cell r="L683">
            <v>19388.30905131307</v>
          </cell>
          <cell r="M683">
            <v>22896.666865635882</v>
          </cell>
          <cell r="N683">
            <v>21783.585996797785</v>
          </cell>
          <cell r="O683">
            <v>20205.168744815546</v>
          </cell>
          <cell r="P683">
            <v>23043.025089285729</v>
          </cell>
          <cell r="Q683">
            <v>26437.826292215224</v>
          </cell>
          <cell r="R683">
            <v>25128.565842293614</v>
          </cell>
          <cell r="S683">
            <v>30955.17960125452</v>
          </cell>
          <cell r="T683">
            <v>32395.592959416379</v>
          </cell>
          <cell r="U683">
            <v>40008.978681778521</v>
          </cell>
          <cell r="V683">
            <v>39939.888862036161</v>
          </cell>
          <cell r="W683">
            <v>40608.21870289863</v>
          </cell>
          <cell r="X683">
            <v>51926.301700849857</v>
          </cell>
          <cell r="Y683">
            <v>25446.276452090737</v>
          </cell>
          <cell r="Z683">
            <v>33279.072538611326</v>
          </cell>
          <cell r="AA683">
            <v>30777.005080862542</v>
          </cell>
          <cell r="AB683">
            <v>29455.390552399207</v>
          </cell>
          <cell r="AC683">
            <v>32234.773837287092</v>
          </cell>
          <cell r="AD683">
            <v>29663.37147661599</v>
          </cell>
          <cell r="AE683">
            <v>22331.789005131723</v>
          </cell>
          <cell r="AF683">
            <v>20305.766035051874</v>
          </cell>
          <cell r="AG683">
            <v>16362.159809390001</v>
          </cell>
          <cell r="AH683">
            <v>20278.104963980139</v>
          </cell>
          <cell r="AI683">
            <v>19952.745798179869</v>
          </cell>
          <cell r="AJ683">
            <v>21565.231020809577</v>
          </cell>
        </row>
        <row r="684">
          <cell r="E684" t="str">
            <v>AZ Industrial Distillate Fuel</v>
          </cell>
          <cell r="F684">
            <v>15802.015430517975</v>
          </cell>
          <cell r="G684">
            <v>14880.085783260571</v>
          </cell>
          <cell r="H684">
            <v>15691.305234462998</v>
          </cell>
          <cell r="I684">
            <v>14515.669099875013</v>
          </cell>
          <cell r="J684">
            <v>15929.903243116625</v>
          </cell>
          <cell r="K684">
            <v>20574.426986879105</v>
          </cell>
          <cell r="L684">
            <v>23235.141221417118</v>
          </cell>
          <cell r="M684">
            <v>24225.293569637961</v>
          </cell>
          <cell r="N684">
            <v>20665.221302523994</v>
          </cell>
          <cell r="O684">
            <v>23805.924269717168</v>
          </cell>
          <cell r="P684">
            <v>24165.419609109638</v>
          </cell>
          <cell r="Q684">
            <v>24992.270663923926</v>
          </cell>
          <cell r="R684">
            <v>21680.131412269453</v>
          </cell>
          <cell r="S684">
            <v>17694.662099179244</v>
          </cell>
          <cell r="T684">
            <v>18225.263555391404</v>
          </cell>
          <cell r="U684">
            <v>28571.568591647261</v>
          </cell>
          <cell r="V684">
            <v>26094.324712217403</v>
          </cell>
          <cell r="W684">
            <v>24623.342658566107</v>
          </cell>
          <cell r="X684">
            <v>34688.704024027742</v>
          </cell>
          <cell r="Y684">
            <v>26535.82007892253</v>
          </cell>
          <cell r="Z684">
            <v>28769.510557441135</v>
          </cell>
          <cell r="AA684">
            <v>32873.963515920499</v>
          </cell>
          <cell r="AB684">
            <v>32582.999337556583</v>
          </cell>
          <cell r="AC684">
            <v>32957.244699380266</v>
          </cell>
          <cell r="AD684">
            <v>29920.905879179067</v>
          </cell>
          <cell r="AE684">
            <v>25429.875297346331</v>
          </cell>
          <cell r="AF684">
            <v>30515.597914219121</v>
          </cell>
          <cell r="AG684">
            <v>33119.058098271184</v>
          </cell>
          <cell r="AH684">
            <v>27814.798976323524</v>
          </cell>
          <cell r="AI684">
            <v>29934.616973831253</v>
          </cell>
          <cell r="AJ684">
            <v>30384.462805789281</v>
          </cell>
        </row>
        <row r="685">
          <cell r="E685" t="str">
            <v>CA Industrial Distillate Fuel</v>
          </cell>
          <cell r="F685">
            <v>97471.566096590788</v>
          </cell>
          <cell r="G685">
            <v>81477.590728325551</v>
          </cell>
          <cell r="H685">
            <v>72550.519192411462</v>
          </cell>
          <cell r="I685">
            <v>74654.965053293039</v>
          </cell>
          <cell r="J685">
            <v>80591.23420444192</v>
          </cell>
          <cell r="K685">
            <v>66855.070115750612</v>
          </cell>
          <cell r="L685">
            <v>67801.644292676123</v>
          </cell>
          <cell r="M685">
            <v>80392.741439343765</v>
          </cell>
          <cell r="N685">
            <v>73348.046576112582</v>
          </cell>
          <cell r="O685">
            <v>84555.265637092642</v>
          </cell>
          <cell r="P685">
            <v>106959.96785627771</v>
          </cell>
          <cell r="Q685">
            <v>125025.71024827643</v>
          </cell>
          <cell r="R685">
            <v>84657.028584496948</v>
          </cell>
          <cell r="S685">
            <v>62424.3327491011</v>
          </cell>
          <cell r="T685">
            <v>82496.867405148441</v>
          </cell>
          <cell r="U685">
            <v>76820.273076577927</v>
          </cell>
          <cell r="V685">
            <v>79629.318140924588</v>
          </cell>
          <cell r="W685">
            <v>65630.564461239657</v>
          </cell>
          <cell r="X685">
            <v>73002.090126659052</v>
          </cell>
          <cell r="Y685">
            <v>59383.6165943491</v>
          </cell>
          <cell r="Z685">
            <v>70229.576312279227</v>
          </cell>
          <cell r="AA685">
            <v>76998.877189112012</v>
          </cell>
          <cell r="AB685">
            <v>74657.568047357912</v>
          </cell>
          <cell r="AC685">
            <v>74295.750131800014</v>
          </cell>
          <cell r="AD685">
            <v>79932.489744354374</v>
          </cell>
          <cell r="AE685">
            <v>80439.383643216192</v>
          </cell>
          <cell r="AF685">
            <v>75579.132220703061</v>
          </cell>
          <cell r="AG685">
            <v>78009.317588761551</v>
          </cell>
          <cell r="AH685">
            <v>70260.180215070141</v>
          </cell>
          <cell r="AI685">
            <v>67136.955875252446</v>
          </cell>
          <cell r="AJ685">
            <v>61954.553462064381</v>
          </cell>
        </row>
        <row r="686">
          <cell r="E686" t="str">
            <v>CO Industrial Distillate Fuel</v>
          </cell>
          <cell r="F686">
            <v>15481.585128782926</v>
          </cell>
          <cell r="G686">
            <v>16255.110847070966</v>
          </cell>
          <cell r="H686">
            <v>20608.550426126807</v>
          </cell>
          <cell r="I686">
            <v>18258.505196344242</v>
          </cell>
          <cell r="J686">
            <v>15203.293468555052</v>
          </cell>
          <cell r="K686">
            <v>15755.804009337488</v>
          </cell>
          <cell r="L686">
            <v>17472.747651651764</v>
          </cell>
          <cell r="M686">
            <v>17519.173302178566</v>
          </cell>
          <cell r="N686">
            <v>19217.233329937932</v>
          </cell>
          <cell r="O686">
            <v>18245.86176201174</v>
          </cell>
          <cell r="P686">
            <v>18741.332508050022</v>
          </cell>
          <cell r="Q686">
            <v>19415.000215865788</v>
          </cell>
          <cell r="R686">
            <v>19265.929261604309</v>
          </cell>
          <cell r="S686">
            <v>17845.36113905381</v>
          </cell>
          <cell r="T686">
            <v>18975.216944921052</v>
          </cell>
          <cell r="U686">
            <v>21242.045057447966</v>
          </cell>
          <cell r="V686">
            <v>24530.189766077434</v>
          </cell>
          <cell r="W686">
            <v>27653.984069015278</v>
          </cell>
          <cell r="X686">
            <v>34425.542174485287</v>
          </cell>
          <cell r="Y686">
            <v>20500.964528291537</v>
          </cell>
          <cell r="Z686">
            <v>21011.070773262138</v>
          </cell>
          <cell r="AA686">
            <v>22553.775594571987</v>
          </cell>
          <cell r="AB686">
            <v>22894.894421236557</v>
          </cell>
          <cell r="AC686">
            <v>24146.892155981579</v>
          </cell>
          <cell r="AD686">
            <v>28237.948504290129</v>
          </cell>
          <cell r="AE686">
            <v>24293.311080537747</v>
          </cell>
          <cell r="AF686">
            <v>19548.44608550605</v>
          </cell>
          <cell r="AG686">
            <v>26142.680059466344</v>
          </cell>
          <cell r="AH686">
            <v>31893.010059925778</v>
          </cell>
          <cell r="AI686">
            <v>31506.124383758539</v>
          </cell>
          <cell r="AJ686">
            <v>23069.75877374479</v>
          </cell>
        </row>
        <row r="687">
          <cell r="E687" t="str">
            <v>CT Industrial Distillate Fuel</v>
          </cell>
          <cell r="F687">
            <v>6902.4802612283647</v>
          </cell>
          <cell r="G687">
            <v>7138.9496715234445</v>
          </cell>
          <cell r="H687">
            <v>6212.9658634167554</v>
          </cell>
          <cell r="I687">
            <v>5027.1908442715821</v>
          </cell>
          <cell r="J687">
            <v>4886.029439036829</v>
          </cell>
          <cell r="K687">
            <v>4883.6197313772491</v>
          </cell>
          <cell r="L687">
            <v>4632.3007091758273</v>
          </cell>
          <cell r="M687">
            <v>4850.9637215009352</v>
          </cell>
          <cell r="N687">
            <v>4451.8763005389928</v>
          </cell>
          <cell r="O687">
            <v>4484.4610349758641</v>
          </cell>
          <cell r="P687">
            <v>4919.4522293070622</v>
          </cell>
          <cell r="Q687">
            <v>5908.956157289359</v>
          </cell>
          <cell r="R687">
            <v>4899.9362169055512</v>
          </cell>
          <cell r="S687">
            <v>10187.654298275336</v>
          </cell>
          <cell r="T687">
            <v>6332.7181163740306</v>
          </cell>
          <cell r="U687">
            <v>5398.3377990855115</v>
          </cell>
          <cell r="V687">
            <v>5625.9360119705416</v>
          </cell>
          <cell r="W687">
            <v>5132.5857797348899</v>
          </cell>
          <cell r="X687">
            <v>4387.3549104850863</v>
          </cell>
          <cell r="Y687">
            <v>4741.9570291297696</v>
          </cell>
          <cell r="Z687">
            <v>3844.8375963214594</v>
          </cell>
          <cell r="AA687">
            <v>3762.9530052514833</v>
          </cell>
          <cell r="AB687">
            <v>2801.3797348395246</v>
          </cell>
          <cell r="AC687">
            <v>3558.4683621882104</v>
          </cell>
          <cell r="AD687">
            <v>3128.3442543902315</v>
          </cell>
          <cell r="AE687">
            <v>2839.4130653662564</v>
          </cell>
          <cell r="AF687">
            <v>2911.385663557428</v>
          </cell>
          <cell r="AG687">
            <v>3121.9316707099715</v>
          </cell>
          <cell r="AH687">
            <v>3318.5443131273259</v>
          </cell>
          <cell r="AI687">
            <v>3068.0383212893439</v>
          </cell>
          <cell r="AJ687">
            <v>3594.8716276113128</v>
          </cell>
        </row>
        <row r="688">
          <cell r="E688" t="str">
            <v>DC Industrial Distillate Fuel</v>
          </cell>
          <cell r="F688">
            <v>13.718728514650357</v>
          </cell>
          <cell r="G688">
            <v>11.769116095381417</v>
          </cell>
          <cell r="H688">
            <v>85.594304056572881</v>
          </cell>
          <cell r="I688">
            <v>93.497088920477736</v>
          </cell>
          <cell r="J688">
            <v>80.293849576381248</v>
          </cell>
          <cell r="K688">
            <v>89.616736349128786</v>
          </cell>
          <cell r="L688">
            <v>103.09274575317123</v>
          </cell>
          <cell r="M688">
            <v>118.10015146685174</v>
          </cell>
          <cell r="N688">
            <v>99.083187826011084</v>
          </cell>
          <cell r="O688">
            <v>803.01079757303171</v>
          </cell>
          <cell r="P688">
            <v>191.82027288839777</v>
          </cell>
          <cell r="Q688">
            <v>206.93227829649396</v>
          </cell>
          <cell r="R688">
            <v>400.38002745598885</v>
          </cell>
          <cell r="S688">
            <v>560.87987026163205</v>
          </cell>
          <cell r="T688">
            <v>273.25429352543063</v>
          </cell>
          <cell r="U688">
            <v>224.55648082718434</v>
          </cell>
          <cell r="V688">
            <v>239.57003605435</v>
          </cell>
          <cell r="W688">
            <v>282.17340802940652</v>
          </cell>
          <cell r="X688">
            <v>173.78612705633549</v>
          </cell>
          <cell r="Y688">
            <v>153.51300872103943</v>
          </cell>
          <cell r="Z688">
            <v>52.819179005971321</v>
          </cell>
          <cell r="AA688">
            <v>132.68100469205919</v>
          </cell>
          <cell r="AB688">
            <v>129.69350624257061</v>
          </cell>
          <cell r="AC688">
            <v>92.80357758931676</v>
          </cell>
          <cell r="AD688">
            <v>108.8032941061057</v>
          </cell>
          <cell r="AE688">
            <v>107.86373938077935</v>
          </cell>
          <cell r="AF688">
            <v>226.79634372942215</v>
          </cell>
          <cell r="AG688">
            <v>65.956302902323344</v>
          </cell>
          <cell r="AH688">
            <v>95.957907849464846</v>
          </cell>
          <cell r="AI688">
            <v>102.96772469625364</v>
          </cell>
          <cell r="AJ688">
            <v>129.95920789473601</v>
          </cell>
        </row>
        <row r="689">
          <cell r="E689" t="str">
            <v>DE Industrial Distillate Fuel</v>
          </cell>
          <cell r="F689">
            <v>2944.6270847517371</v>
          </cell>
          <cell r="G689">
            <v>2942.279023845354</v>
          </cell>
          <cell r="H689">
            <v>2301.2077837738389</v>
          </cell>
          <cell r="I689">
            <v>2230.1516157242372</v>
          </cell>
          <cell r="J689">
            <v>2191.7247088071472</v>
          </cell>
          <cell r="K689">
            <v>1943.0090199651768</v>
          </cell>
          <cell r="L689">
            <v>2876.7785243503972</v>
          </cell>
          <cell r="M689">
            <v>2589.3458209107243</v>
          </cell>
          <cell r="N689">
            <v>2460.4023274023348</v>
          </cell>
          <cell r="O689">
            <v>2720.9863422664616</v>
          </cell>
          <cell r="P689">
            <v>2774.9999477854876</v>
          </cell>
          <cell r="Q689">
            <v>3435.6698836786318</v>
          </cell>
          <cell r="R689">
            <v>3546.7908139401497</v>
          </cell>
          <cell r="S689">
            <v>2980.04856334739</v>
          </cell>
          <cell r="T689">
            <v>2716.5864801579305</v>
          </cell>
          <cell r="U689">
            <v>3325.4319738496811</v>
          </cell>
          <cell r="V689">
            <v>2701.597637984798</v>
          </cell>
          <cell r="W689">
            <v>2514.808618928746</v>
          </cell>
          <cell r="X689">
            <v>1786.5213861391287</v>
          </cell>
          <cell r="Y689">
            <v>3177.9186480693097</v>
          </cell>
          <cell r="Z689">
            <v>1641.380902317637</v>
          </cell>
          <cell r="AA689">
            <v>1691.9322102085143</v>
          </cell>
          <cell r="AB689">
            <v>1317.8855518956595</v>
          </cell>
          <cell r="AC689">
            <v>1266.3197845251932</v>
          </cell>
          <cell r="AD689">
            <v>1580.1432529354618</v>
          </cell>
          <cell r="AE689">
            <v>1882.6217475256394</v>
          </cell>
          <cell r="AF689">
            <v>1571.588760732956</v>
          </cell>
          <cell r="AG689">
            <v>1400.0724297902273</v>
          </cell>
          <cell r="AH689">
            <v>1421.3765100201979</v>
          </cell>
          <cell r="AI689">
            <v>1781.4416059099417</v>
          </cell>
          <cell r="AJ689">
            <v>1419.5544246963473</v>
          </cell>
        </row>
        <row r="690">
          <cell r="E690" t="str">
            <v>FL Industrial Distillate Fuel</v>
          </cell>
          <cell r="F690">
            <v>23676.565597927278</v>
          </cell>
          <cell r="G690">
            <v>20385.089836875228</v>
          </cell>
          <cell r="H690">
            <v>24112.013836994116</v>
          </cell>
          <cell r="I690">
            <v>25450.891784037412</v>
          </cell>
          <cell r="J690">
            <v>24232.882058570569</v>
          </cell>
          <cell r="K690">
            <v>33196.599621898706</v>
          </cell>
          <cell r="L690">
            <v>32280.793284502513</v>
          </cell>
          <cell r="M690">
            <v>32880.066336300413</v>
          </cell>
          <cell r="N690">
            <v>31482.947165468788</v>
          </cell>
          <cell r="O690">
            <v>36424.80595755906</v>
          </cell>
          <cell r="P690">
            <v>35661.847964220942</v>
          </cell>
          <cell r="Q690">
            <v>39293.370318060573</v>
          </cell>
          <cell r="R690">
            <v>41133.831952258828</v>
          </cell>
          <cell r="S690">
            <v>61004.168949488463</v>
          </cell>
          <cell r="T690">
            <v>48744.97576254014</v>
          </cell>
          <cell r="U690">
            <v>51904.483992797228</v>
          </cell>
          <cell r="V690">
            <v>47585.340880415271</v>
          </cell>
          <cell r="W690">
            <v>36432.052264063415</v>
          </cell>
          <cell r="X690">
            <v>37199.168762304405</v>
          </cell>
          <cell r="Y690">
            <v>33301.357677556909</v>
          </cell>
          <cell r="Z690">
            <v>51352.201053201701</v>
          </cell>
          <cell r="AA690">
            <v>36329.655247148265</v>
          </cell>
          <cell r="AB690">
            <v>34439.611761536762</v>
          </cell>
          <cell r="AC690">
            <v>37770.058190920856</v>
          </cell>
          <cell r="AD690">
            <v>38013.275652740522</v>
          </cell>
          <cell r="AE690">
            <v>38672.146782992197</v>
          </cell>
          <cell r="AF690">
            <v>37705.141920725386</v>
          </cell>
          <cell r="AG690">
            <v>40847.937592916162</v>
          </cell>
          <cell r="AH690">
            <v>37749.441123363431</v>
          </cell>
          <cell r="AI690">
            <v>34623.147350777173</v>
          </cell>
          <cell r="AJ690">
            <v>29157.847820505885</v>
          </cell>
        </row>
        <row r="691">
          <cell r="E691" t="str">
            <v>GA Industrial Distillate Fuel</v>
          </cell>
          <cell r="F691">
            <v>27589.342952141484</v>
          </cell>
          <cell r="G691">
            <v>22698.701909292293</v>
          </cell>
          <cell r="H691">
            <v>18639.88143282563</v>
          </cell>
          <cell r="I691">
            <v>23469.737678806658</v>
          </cell>
          <cell r="J691">
            <v>22286.004026866707</v>
          </cell>
          <cell r="K691">
            <v>28598.571687678021</v>
          </cell>
          <cell r="L691">
            <v>31335.285530594858</v>
          </cell>
          <cell r="M691">
            <v>27910.018295403737</v>
          </cell>
          <cell r="N691">
            <v>29946.667243334796</v>
          </cell>
          <cell r="O691">
            <v>35641.476797181451</v>
          </cell>
          <cell r="P691">
            <v>37063.611496866928</v>
          </cell>
          <cell r="Q691">
            <v>45516.19026587619</v>
          </cell>
          <cell r="R691">
            <v>37900.986767787894</v>
          </cell>
          <cell r="S691">
            <v>37890.32945614434</v>
          </cell>
          <cell r="T691">
            <v>35784.34511050913</v>
          </cell>
          <cell r="U691">
            <v>39754.48133684104</v>
          </cell>
          <cell r="V691">
            <v>33873.421172197079</v>
          </cell>
          <cell r="W691">
            <v>32855.875598090723</v>
          </cell>
          <cell r="X691">
            <v>27067.934086711633</v>
          </cell>
          <cell r="Y691">
            <v>27564.556604897287</v>
          </cell>
          <cell r="Z691">
            <v>28864.186444338629</v>
          </cell>
          <cell r="AA691">
            <v>27303.356521932092</v>
          </cell>
          <cell r="AB691">
            <v>30354.266314895791</v>
          </cell>
          <cell r="AC691">
            <v>30280.909268256099</v>
          </cell>
          <cell r="AD691">
            <v>31422.19169877157</v>
          </cell>
          <cell r="AE691">
            <v>28804.612106306085</v>
          </cell>
          <cell r="AF691">
            <v>32015.25127077358</v>
          </cell>
          <cell r="AG691">
            <v>31020.448460469983</v>
          </cell>
          <cell r="AH691">
            <v>31048.380558542467</v>
          </cell>
          <cell r="AI691">
            <v>25718.938381170072</v>
          </cell>
          <cell r="AJ691">
            <v>21898.126530263016</v>
          </cell>
        </row>
        <row r="692">
          <cell r="E692" t="str">
            <v>HI Industrial Distillate Fuel</v>
          </cell>
          <cell r="F692">
            <v>4137.1765563467006</v>
          </cell>
          <cell r="G692">
            <v>3936.7693339050838</v>
          </cell>
          <cell r="H692">
            <v>3937.3379866023524</v>
          </cell>
          <cell r="I692">
            <v>3833.3806457395872</v>
          </cell>
          <cell r="J692">
            <v>3114.6083378887638</v>
          </cell>
          <cell r="K692">
            <v>3142.4945680227465</v>
          </cell>
          <cell r="L692">
            <v>2715.757473840682</v>
          </cell>
          <cell r="M692">
            <v>3566.6245742989227</v>
          </cell>
          <cell r="N692">
            <v>3335.4736495884918</v>
          </cell>
          <cell r="O692">
            <v>2447.4115852501591</v>
          </cell>
          <cell r="P692">
            <v>2706.1413882870884</v>
          </cell>
          <cell r="Q692">
            <v>2723.7832420749037</v>
          </cell>
          <cell r="R692">
            <v>2655.6223657316582</v>
          </cell>
          <cell r="S692">
            <v>2551.9036090017671</v>
          </cell>
          <cell r="T692">
            <v>2360.5580758200522</v>
          </cell>
          <cell r="U692">
            <v>2971.1317485445679</v>
          </cell>
          <cell r="V692">
            <v>2621.4109730244577</v>
          </cell>
          <cell r="W692">
            <v>2580.1540397355561</v>
          </cell>
          <cell r="X692">
            <v>1989.1063571076568</v>
          </cell>
          <cell r="Y692">
            <v>2324.6255606328828</v>
          </cell>
          <cell r="Z692">
            <v>1875.5791488535476</v>
          </cell>
          <cell r="AA692">
            <v>1967.2702349830131</v>
          </cell>
          <cell r="AB692">
            <v>2160.8933424723687</v>
          </cell>
          <cell r="AC692">
            <v>1869.0440948902183</v>
          </cell>
          <cell r="AD692">
            <v>2256.9197061826144</v>
          </cell>
          <cell r="AE692">
            <v>1848.664644387246</v>
          </cell>
          <cell r="AF692">
            <v>938.1575628278739</v>
          </cell>
          <cell r="AG692">
            <v>1787.8155438220676</v>
          </cell>
          <cell r="AH692">
            <v>1514.335733249367</v>
          </cell>
          <cell r="AI692">
            <v>2190.3134447523466</v>
          </cell>
          <cell r="AJ692">
            <v>1987.3761945748861</v>
          </cell>
        </row>
        <row r="693">
          <cell r="E693" t="str">
            <v>IA Industrial Distillate Fuel</v>
          </cell>
          <cell r="F693">
            <v>27439.416847659948</v>
          </cell>
          <cell r="G693">
            <v>26237.282815303639</v>
          </cell>
          <cell r="H693">
            <v>35375.04363974867</v>
          </cell>
          <cell r="I693">
            <v>35379.298447508772</v>
          </cell>
          <cell r="J693">
            <v>35093.368675346283</v>
          </cell>
          <cell r="K693">
            <v>32301.417057707957</v>
          </cell>
          <cell r="L693">
            <v>35699.545100812436</v>
          </cell>
          <cell r="M693">
            <v>37085.415896449224</v>
          </cell>
          <cell r="N693">
            <v>37518.192427900671</v>
          </cell>
          <cell r="O693">
            <v>33872.097613313417</v>
          </cell>
          <cell r="P693">
            <v>34497.154614990875</v>
          </cell>
          <cell r="Q693">
            <v>39252.775947677044</v>
          </cell>
          <cell r="R693">
            <v>35897.099632853075</v>
          </cell>
          <cell r="S693">
            <v>27421.237215851605</v>
          </cell>
          <cell r="T693">
            <v>26523.617483950191</v>
          </cell>
          <cell r="U693">
            <v>26417.822433313646</v>
          </cell>
          <cell r="V693">
            <v>25378.584480534366</v>
          </cell>
          <cell r="W693">
            <v>26815.384501994551</v>
          </cell>
          <cell r="X693">
            <v>32330.178013977471</v>
          </cell>
          <cell r="Y693">
            <v>31924.724787662395</v>
          </cell>
          <cell r="Z693">
            <v>35214.446984452763</v>
          </cell>
          <cell r="AA693">
            <v>34240.677624402611</v>
          </cell>
          <cell r="AB693">
            <v>36189.476453455754</v>
          </cell>
          <cell r="AC693">
            <v>35548.759656363662</v>
          </cell>
          <cell r="AD693">
            <v>38212.914724494847</v>
          </cell>
          <cell r="AE693">
            <v>44063.336275375965</v>
          </cell>
          <cell r="AF693">
            <v>45506.136862748855</v>
          </cell>
          <cell r="AG693">
            <v>42837.619397136252</v>
          </cell>
          <cell r="AH693">
            <v>42449.379484907011</v>
          </cell>
          <cell r="AI693">
            <v>45867.622762267085</v>
          </cell>
          <cell r="AJ693">
            <v>45234.801523299306</v>
          </cell>
        </row>
        <row r="694">
          <cell r="E694" t="str">
            <v>ID Industrial Distillate Fuel</v>
          </cell>
          <cell r="F694">
            <v>15728.522242046634</v>
          </cell>
          <cell r="G694">
            <v>17238.812800709929</v>
          </cell>
          <cell r="H694">
            <v>11647.712249721451</v>
          </cell>
          <cell r="I694">
            <v>11526.714794069845</v>
          </cell>
          <cell r="J694">
            <v>12263.150779128548</v>
          </cell>
          <cell r="K694">
            <v>12979.654781115576</v>
          </cell>
          <cell r="L694">
            <v>12394.693546552702</v>
          </cell>
          <cell r="M694">
            <v>13468.338106865551</v>
          </cell>
          <cell r="N694">
            <v>11638.84099374055</v>
          </cell>
          <cell r="O694">
            <v>14032.023238472866</v>
          </cell>
          <cell r="P694">
            <v>13818.929197621599</v>
          </cell>
          <cell r="Q694">
            <v>14608.032698499865</v>
          </cell>
          <cell r="R694">
            <v>13795.724717751518</v>
          </cell>
          <cell r="S694">
            <v>12429.177765548691</v>
          </cell>
          <cell r="T694">
            <v>14738.778116833355</v>
          </cell>
          <cell r="U694">
            <v>17257.914073171876</v>
          </cell>
          <cell r="V694">
            <v>13761.417649551733</v>
          </cell>
          <cell r="W694">
            <v>13212.646070710281</v>
          </cell>
          <cell r="X694">
            <v>12224.612708934226</v>
          </cell>
          <cell r="Y694">
            <v>12908.051622913894</v>
          </cell>
          <cell r="Z694">
            <v>14715.622588720236</v>
          </cell>
          <cell r="AA694">
            <v>16011.504701560527</v>
          </cell>
          <cell r="AB694">
            <v>13575.917176530005</v>
          </cell>
          <cell r="AC694">
            <v>13333.778534929575</v>
          </cell>
          <cell r="AD694">
            <v>15155.600132229383</v>
          </cell>
          <cell r="AE694">
            <v>13028.541483539506</v>
          </cell>
          <cell r="AF694">
            <v>12762.53962466801</v>
          </cell>
          <cell r="AG694">
            <v>11625.29805549587</v>
          </cell>
          <cell r="AH694">
            <v>13409.118060422614</v>
          </cell>
          <cell r="AI694">
            <v>10058.84704751169</v>
          </cell>
          <cell r="AJ694">
            <v>12090.205079068748</v>
          </cell>
        </row>
        <row r="695">
          <cell r="E695" t="str">
            <v>IL Industrial Distillate Fuel</v>
          </cell>
          <cell r="F695">
            <v>50505.499026685284</v>
          </cell>
          <cell r="G695">
            <v>43755.612123278879</v>
          </cell>
          <cell r="H695">
            <v>48289.945126537546</v>
          </cell>
          <cell r="I695">
            <v>40781.461827345644</v>
          </cell>
          <cell r="J695">
            <v>40259.930946853681</v>
          </cell>
          <cell r="K695">
            <v>44967.905661251854</v>
          </cell>
          <cell r="L695">
            <v>43946.964761066134</v>
          </cell>
          <cell r="M695">
            <v>46465.520426703923</v>
          </cell>
          <cell r="N695">
            <v>54433.948939622547</v>
          </cell>
          <cell r="O695">
            <v>42291.902005513002</v>
          </cell>
          <cell r="P695">
            <v>44637.069347983721</v>
          </cell>
          <cell r="Q695">
            <v>43538.947396220217</v>
          </cell>
          <cell r="R695">
            <v>42748.26754683943</v>
          </cell>
          <cell r="S695">
            <v>41686.747652719518</v>
          </cell>
          <cell r="T695">
            <v>46739.448812614442</v>
          </cell>
          <cell r="U695">
            <v>47507.169083799119</v>
          </cell>
          <cell r="V695">
            <v>48039.7319818572</v>
          </cell>
          <cell r="W695">
            <v>49553.610778497532</v>
          </cell>
          <cell r="X695">
            <v>52466.528290099268</v>
          </cell>
          <cell r="Y695">
            <v>31484.122515878633</v>
          </cell>
          <cell r="Z695">
            <v>34862.651320507335</v>
          </cell>
          <cell r="AA695">
            <v>35706.154285249497</v>
          </cell>
          <cell r="AB695">
            <v>35432.265905470289</v>
          </cell>
          <cell r="AC695">
            <v>39584.21844960234</v>
          </cell>
          <cell r="AD695">
            <v>44520.511196572661</v>
          </cell>
          <cell r="AE695">
            <v>44543.72941095147</v>
          </cell>
          <cell r="AF695">
            <v>42450.880390834434</v>
          </cell>
          <cell r="AG695">
            <v>41542.477449236081</v>
          </cell>
          <cell r="AH695">
            <v>44813.34252724018</v>
          </cell>
          <cell r="AI695">
            <v>42673.62392338815</v>
          </cell>
          <cell r="AJ695">
            <v>43531.336213663686</v>
          </cell>
        </row>
        <row r="696">
          <cell r="E696" t="str">
            <v>IN Industrial Distillate Fuel</v>
          </cell>
          <cell r="F696">
            <v>30210.60000761932</v>
          </cell>
          <cell r="G696">
            <v>30385.896238925587</v>
          </cell>
          <cell r="H696">
            <v>31211.42186081285</v>
          </cell>
          <cell r="I696">
            <v>27370.042556615641</v>
          </cell>
          <cell r="J696">
            <v>27099.66987307544</v>
          </cell>
          <cell r="K696">
            <v>27313.408600473482</v>
          </cell>
          <cell r="L696">
            <v>26690.220957659112</v>
          </cell>
          <cell r="M696">
            <v>28801.674438978469</v>
          </cell>
          <cell r="N696">
            <v>33570.561261446528</v>
          </cell>
          <cell r="O696">
            <v>32458.956062682446</v>
          </cell>
          <cell r="P696">
            <v>31283.427273829875</v>
          </cell>
          <cell r="Q696">
            <v>35918.096936659866</v>
          </cell>
          <cell r="R696">
            <v>34694.966051657677</v>
          </cell>
          <cell r="S696">
            <v>37985.140110370063</v>
          </cell>
          <cell r="T696">
            <v>36444.543440121663</v>
          </cell>
          <cell r="U696">
            <v>40443.121211377744</v>
          </cell>
          <cell r="V696">
            <v>33765.515660089957</v>
          </cell>
          <cell r="W696">
            <v>35460.781691162192</v>
          </cell>
          <cell r="X696">
            <v>33332.179169405143</v>
          </cell>
          <cell r="Y696">
            <v>27204.698188349917</v>
          </cell>
          <cell r="Z696">
            <v>23012.220045790258</v>
          </cell>
          <cell r="AA696">
            <v>28786.790010481654</v>
          </cell>
          <cell r="AB696">
            <v>30211.603458028963</v>
          </cell>
          <cell r="AC696">
            <v>26525.856983647507</v>
          </cell>
          <cell r="AD696">
            <v>30687.519914715664</v>
          </cell>
          <cell r="AE696">
            <v>31248.524793942815</v>
          </cell>
          <cell r="AF696">
            <v>31030.135874662523</v>
          </cell>
          <cell r="AG696">
            <v>34178.356296399405</v>
          </cell>
          <cell r="AH696">
            <v>33698.218201343836</v>
          </cell>
          <cell r="AI696">
            <v>37747.168124328557</v>
          </cell>
          <cell r="AJ696">
            <v>32207.890461173884</v>
          </cell>
        </row>
        <row r="697">
          <cell r="E697" t="str">
            <v>KS Industrial Distillate Fuel</v>
          </cell>
          <cell r="F697">
            <v>25942.115621203822</v>
          </cell>
          <cell r="G697">
            <v>26098.995701182906</v>
          </cell>
          <cell r="H697">
            <v>25846.52829735892</v>
          </cell>
          <cell r="I697">
            <v>29355.133381379888</v>
          </cell>
          <cell r="J697">
            <v>28304.077616721159</v>
          </cell>
          <cell r="K697">
            <v>27614.757186438685</v>
          </cell>
          <cell r="L697">
            <v>27570.927557093346</v>
          </cell>
          <cell r="M697">
            <v>30173.604531851728</v>
          </cell>
          <cell r="N697">
            <v>27685.412313246128</v>
          </cell>
          <cell r="O697">
            <v>27627.114131207465</v>
          </cell>
          <cell r="P697">
            <v>25635.058007546901</v>
          </cell>
          <cell r="Q697">
            <v>28243.780720984625</v>
          </cell>
          <cell r="R697">
            <v>25838.917503909081</v>
          </cell>
          <cell r="S697">
            <v>28730.622251053133</v>
          </cell>
          <cell r="T697">
            <v>31342.466923055596</v>
          </cell>
          <cell r="U697">
            <v>28663.387241585489</v>
          </cell>
          <cell r="V697">
            <v>31581.666488454022</v>
          </cell>
          <cell r="W697">
            <v>28067.838400791741</v>
          </cell>
          <cell r="X697">
            <v>31457.275124363077</v>
          </cell>
          <cell r="Y697">
            <v>26584.665127151951</v>
          </cell>
          <cell r="Z697">
            <v>29261.825169308111</v>
          </cell>
          <cell r="AA697">
            <v>26226.944461310046</v>
          </cell>
          <cell r="AB697">
            <v>25717.224645546037</v>
          </cell>
          <cell r="AC697">
            <v>25355.334440504834</v>
          </cell>
          <cell r="AD697">
            <v>27902.554863742869</v>
          </cell>
          <cell r="AE697">
            <v>26806.136712778865</v>
          </cell>
          <cell r="AF697">
            <v>28334.556423640581</v>
          </cell>
          <cell r="AG697">
            <v>28937.828229432987</v>
          </cell>
          <cell r="AH697">
            <v>31014.395466179118</v>
          </cell>
          <cell r="AI697">
            <v>27516.374973440597</v>
          </cell>
          <cell r="AJ697">
            <v>33291.550317773064</v>
          </cell>
        </row>
        <row r="698">
          <cell r="E698" t="str">
            <v>KY Industrial Distillate Fuel</v>
          </cell>
          <cell r="F698">
            <v>34557.477128404251</v>
          </cell>
          <cell r="G698">
            <v>29783.709798711905</v>
          </cell>
          <cell r="H698">
            <v>32931.178682547208</v>
          </cell>
          <cell r="I698">
            <v>30240.895276415995</v>
          </cell>
          <cell r="J698">
            <v>33626.271176913637</v>
          </cell>
          <cell r="K698">
            <v>35075.596687328791</v>
          </cell>
          <cell r="L698">
            <v>34838.475214854996</v>
          </cell>
          <cell r="M698">
            <v>32547.417576335447</v>
          </cell>
          <cell r="N698">
            <v>33619.612344528708</v>
          </cell>
          <cell r="O698">
            <v>28323.844087925241</v>
          </cell>
          <cell r="P698">
            <v>25391.101968181141</v>
          </cell>
          <cell r="Q698">
            <v>30767.562430926075</v>
          </cell>
          <cell r="R698">
            <v>30363.311164044495</v>
          </cell>
          <cell r="S698">
            <v>25369.33505702969</v>
          </cell>
          <cell r="T698">
            <v>24099.233587744638</v>
          </cell>
          <cell r="U698">
            <v>26763.140399385669</v>
          </cell>
          <cell r="V698">
            <v>28790.972556068846</v>
          </cell>
          <cell r="W698">
            <v>27200.526451901354</v>
          </cell>
          <cell r="X698">
            <v>35785.046219857424</v>
          </cell>
          <cell r="Y698">
            <v>35074.731979600605</v>
          </cell>
          <cell r="Z698">
            <v>33828.192682616806</v>
          </cell>
          <cell r="AA698">
            <v>38722.901339300523</v>
          </cell>
          <cell r="AB698">
            <v>32646.848448322155</v>
          </cell>
          <cell r="AC698">
            <v>31384.573320017222</v>
          </cell>
          <cell r="AD698">
            <v>23935.726507984484</v>
          </cell>
          <cell r="AE698">
            <v>19773.021409821013</v>
          </cell>
          <cell r="AF698">
            <v>19582.415581923673</v>
          </cell>
          <cell r="AG698">
            <v>17560.365978782211</v>
          </cell>
          <cell r="AH698">
            <v>19677.368478380886</v>
          </cell>
          <cell r="AI698">
            <v>21410.288930288003</v>
          </cell>
          <cell r="AJ698">
            <v>20266.638628076795</v>
          </cell>
        </row>
        <row r="699">
          <cell r="E699" t="str">
            <v>LA Industrial Distillate Fuel</v>
          </cell>
          <cell r="F699">
            <v>52188.003088089194</v>
          </cell>
          <cell r="G699">
            <v>55217.750440505763</v>
          </cell>
          <cell r="H699">
            <v>49196.064138446782</v>
          </cell>
          <cell r="I699">
            <v>58659.089408824359</v>
          </cell>
          <cell r="J699">
            <v>68460.915225847129</v>
          </cell>
          <cell r="K699">
            <v>65041.069804156163</v>
          </cell>
          <cell r="L699">
            <v>71569.92960887299</v>
          </cell>
          <cell r="M699">
            <v>71970.232303899451</v>
          </cell>
          <cell r="N699">
            <v>69990.009428306279</v>
          </cell>
          <cell r="O699">
            <v>61387.026412507003</v>
          </cell>
          <cell r="P699">
            <v>65923.217476353151</v>
          </cell>
          <cell r="Q699">
            <v>70242.122255820417</v>
          </cell>
          <cell r="R699">
            <v>73584.484152742618</v>
          </cell>
          <cell r="S699">
            <v>31259.571701663412</v>
          </cell>
          <cell r="T699">
            <v>30641.380177258598</v>
          </cell>
          <cell r="U699">
            <v>35305.26893005176</v>
          </cell>
          <cell r="V699">
            <v>29135.478227750311</v>
          </cell>
          <cell r="W699">
            <v>29099.50398383259</v>
          </cell>
          <cell r="X699">
            <v>32399.692464800006</v>
          </cell>
          <cell r="Y699">
            <v>50414.070799076937</v>
          </cell>
          <cell r="Z699">
            <v>65224.70995439266</v>
          </cell>
          <cell r="AA699">
            <v>68837.498998241805</v>
          </cell>
          <cell r="AB699">
            <v>51133.161299667023</v>
          </cell>
          <cell r="AC699">
            <v>41308.568794487706</v>
          </cell>
          <cell r="AD699">
            <v>42092.900084040106</v>
          </cell>
          <cell r="AE699">
            <v>29575.638095213137</v>
          </cell>
          <cell r="AF699">
            <v>27106.6590384271</v>
          </cell>
          <cell r="AG699">
            <v>27463.804793358337</v>
          </cell>
          <cell r="AH699">
            <v>31922.996906128737</v>
          </cell>
          <cell r="AI699">
            <v>25336.058395163614</v>
          </cell>
          <cell r="AJ699">
            <v>12687.01774916996</v>
          </cell>
        </row>
        <row r="700">
          <cell r="E700" t="str">
            <v>MA Industrial Distillate Fuel</v>
          </cell>
          <cell r="F700">
            <v>14757.432245045313</v>
          </cell>
          <cell r="G700">
            <v>7903.9422177232364</v>
          </cell>
          <cell r="H700">
            <v>12359.030431708834</v>
          </cell>
          <cell r="I700">
            <v>8575.1593238328678</v>
          </cell>
          <cell r="J700">
            <v>7196.707999068245</v>
          </cell>
          <cell r="K700">
            <v>7323.9523981150633</v>
          </cell>
          <cell r="L700">
            <v>6966.1241058928563</v>
          </cell>
          <cell r="M700">
            <v>6471.8883003834753</v>
          </cell>
          <cell r="N700">
            <v>5770.3694137880912</v>
          </cell>
          <cell r="O700">
            <v>6970.2518127570875</v>
          </cell>
          <cell r="P700">
            <v>5401.4621457958565</v>
          </cell>
          <cell r="Q700">
            <v>7389.1655163958585</v>
          </cell>
          <cell r="R700">
            <v>5652.0148292732529</v>
          </cell>
          <cell r="S700">
            <v>11386.260569065764</v>
          </cell>
          <cell r="T700">
            <v>11297.170208233862</v>
          </cell>
          <cell r="U700">
            <v>11003.267560532033</v>
          </cell>
          <cell r="V700">
            <v>9142.2697643054635</v>
          </cell>
          <cell r="W700">
            <v>7788.976143745057</v>
          </cell>
          <cell r="X700">
            <v>9025.9549075144751</v>
          </cell>
          <cell r="Y700">
            <v>5051.9735597287518</v>
          </cell>
          <cell r="Z700">
            <v>7142.5482252037064</v>
          </cell>
          <cell r="AA700">
            <v>7283.4888365167235</v>
          </cell>
          <cell r="AB700">
            <v>3879.8311213642851</v>
          </cell>
          <cell r="AC700">
            <v>3576.4303449474332</v>
          </cell>
          <cell r="AD700">
            <v>4267.2851587486412</v>
          </cell>
          <cell r="AE700">
            <v>5533.0103349029405</v>
          </cell>
          <cell r="AF700">
            <v>4686.7914027961197</v>
          </cell>
          <cell r="AG700">
            <v>5364.4459693889658</v>
          </cell>
          <cell r="AH700">
            <v>4730.9247692866365</v>
          </cell>
          <cell r="AI700">
            <v>4489.5927340861663</v>
          </cell>
          <cell r="AJ700">
            <v>4029.7351309513911</v>
          </cell>
        </row>
        <row r="701">
          <cell r="E701" t="str">
            <v>MD Industrial Distillate Fuel</v>
          </cell>
          <cell r="F701">
            <v>11753.030700336883</v>
          </cell>
          <cell r="G701">
            <v>10288.168986712588</v>
          </cell>
          <cell r="H701">
            <v>9381.9227986606784</v>
          </cell>
          <cell r="I701">
            <v>10926.36506521204</v>
          </cell>
          <cell r="J701">
            <v>10891.216361675319</v>
          </cell>
          <cell r="K701">
            <v>9958.2905270592328</v>
          </cell>
          <cell r="L701">
            <v>11756.500358556879</v>
          </cell>
          <cell r="M701">
            <v>9798.375900033132</v>
          </cell>
          <cell r="N701">
            <v>15542.326185420729</v>
          </cell>
          <cell r="O701">
            <v>13549.823127185138</v>
          </cell>
          <cell r="P701">
            <v>12074.840254897859</v>
          </cell>
          <cell r="Q701">
            <v>13446.637662893227</v>
          </cell>
          <cell r="R701">
            <v>10214.16144485117</v>
          </cell>
          <cell r="S701">
            <v>11885.264012359032</v>
          </cell>
          <cell r="T701">
            <v>11936.425690532405</v>
          </cell>
          <cell r="U701">
            <v>11973.35155770547</v>
          </cell>
          <cell r="V701">
            <v>12274.499491892089</v>
          </cell>
          <cell r="W701">
            <v>8829.5524659868333</v>
          </cell>
          <cell r="X701">
            <v>9888.9271612970788</v>
          </cell>
          <cell r="Y701">
            <v>6788.4648661706397</v>
          </cell>
          <cell r="Z701">
            <v>6167.8848843010664</v>
          </cell>
          <cell r="AA701">
            <v>7315.41208576594</v>
          </cell>
          <cell r="AB701">
            <v>6905.6803862390279</v>
          </cell>
          <cell r="AC701">
            <v>5546.2611208755116</v>
          </cell>
          <cell r="AD701">
            <v>6718.8529598917203</v>
          </cell>
          <cell r="AE701">
            <v>6436.8685213807676</v>
          </cell>
          <cell r="AF701">
            <v>6115.5084580078983</v>
          </cell>
          <cell r="AG701">
            <v>5305.4850319459792</v>
          </cell>
          <cell r="AH701">
            <v>5463.6033781789047</v>
          </cell>
          <cell r="AI701">
            <v>6621.9243532813989</v>
          </cell>
          <cell r="AJ701">
            <v>5394.3068138461194</v>
          </cell>
        </row>
        <row r="702">
          <cell r="E702" t="str">
            <v>ME Industrial Distillate Fuel</v>
          </cell>
          <cell r="F702">
            <v>4802.5348893072423</v>
          </cell>
          <cell r="G702">
            <v>5147.0267723801398</v>
          </cell>
          <cell r="H702">
            <v>5011.6940788986467</v>
          </cell>
          <cell r="I702">
            <v>7694.3183282136306</v>
          </cell>
          <cell r="J702">
            <v>9083.1178230664373</v>
          </cell>
          <cell r="K702">
            <v>6884.7319100742779</v>
          </cell>
          <cell r="L702">
            <v>7631.8086927561908</v>
          </cell>
          <cell r="M702">
            <v>7174.5842016112429</v>
          </cell>
          <cell r="N702">
            <v>7719.6594554740714</v>
          </cell>
          <cell r="O702">
            <v>5915.3160590827129</v>
          </cell>
          <cell r="P702">
            <v>5549.0162018638548</v>
          </cell>
          <cell r="Q702">
            <v>4596.0748126905501</v>
          </cell>
          <cell r="R702">
            <v>4731.0414162417346</v>
          </cell>
          <cell r="S702">
            <v>7529.9619592953977</v>
          </cell>
          <cell r="T702">
            <v>8613.4939167122047</v>
          </cell>
          <cell r="U702">
            <v>6148.8554594501456</v>
          </cell>
          <cell r="V702">
            <v>4710.2240972999889</v>
          </cell>
          <cell r="W702">
            <v>5439.5112411002092</v>
          </cell>
          <cell r="X702">
            <v>6321.8427705178947</v>
          </cell>
          <cell r="Y702">
            <v>4956.2771387078446</v>
          </cell>
          <cell r="Z702">
            <v>4913.1802358384648</v>
          </cell>
          <cell r="AA702">
            <v>5421.9643646717423</v>
          </cell>
          <cell r="AB702">
            <v>5237.6223674884277</v>
          </cell>
          <cell r="AC702">
            <v>3370.8654311474411</v>
          </cell>
          <cell r="AD702">
            <v>3413.8281269989129</v>
          </cell>
          <cell r="AE702">
            <v>3978.9734971576381</v>
          </cell>
          <cell r="AF702">
            <v>3402.9442587771446</v>
          </cell>
          <cell r="AG702">
            <v>3515.6708122783866</v>
          </cell>
          <cell r="AH702">
            <v>3935.2737833681572</v>
          </cell>
          <cell r="AI702">
            <v>4697.5275567737463</v>
          </cell>
          <cell r="AJ702">
            <v>3920.7693335627278</v>
          </cell>
        </row>
        <row r="703">
          <cell r="E703" t="str">
            <v>MI Industrial Distillate Fuel</v>
          </cell>
          <cell r="F703">
            <v>22587.886499371813</v>
          </cell>
          <cell r="G703">
            <v>26079.380507690603</v>
          </cell>
          <cell r="H703">
            <v>26317.788890957752</v>
          </cell>
          <cell r="I703">
            <v>25812.085801235469</v>
          </cell>
          <cell r="J703">
            <v>24842.520546094944</v>
          </cell>
          <cell r="K703">
            <v>19813.177127561779</v>
          </cell>
          <cell r="L703">
            <v>22224.832313036037</v>
          </cell>
          <cell r="M703">
            <v>22833.680118186894</v>
          </cell>
          <cell r="N703">
            <v>23532.747619508453</v>
          </cell>
          <cell r="O703">
            <v>28111.282406214734</v>
          </cell>
          <cell r="P703">
            <v>23213.204100617488</v>
          </cell>
          <cell r="Q703">
            <v>20131.837390443117</v>
          </cell>
          <cell r="R703">
            <v>15995.331121690871</v>
          </cell>
          <cell r="S703">
            <v>18754.545412734144</v>
          </cell>
          <cell r="T703">
            <v>21183.191418882012</v>
          </cell>
          <cell r="U703">
            <v>20176.150295121595</v>
          </cell>
          <cell r="V703">
            <v>17348.038478580285</v>
          </cell>
          <cell r="W703">
            <v>18061.078278148892</v>
          </cell>
          <cell r="X703">
            <v>19602.082068371463</v>
          </cell>
          <cell r="Y703">
            <v>17801.527985326768</v>
          </cell>
          <cell r="Z703">
            <v>18552.487478776642</v>
          </cell>
          <cell r="AA703">
            <v>18468.597292211216</v>
          </cell>
          <cell r="AB703">
            <v>16252.59161690552</v>
          </cell>
          <cell r="AC703">
            <v>19102.568664433235</v>
          </cell>
          <cell r="AD703">
            <v>18255.994916574011</v>
          </cell>
          <cell r="AE703">
            <v>21887.350449349808</v>
          </cell>
          <cell r="AF703">
            <v>22502.793171003414</v>
          </cell>
          <cell r="AG703">
            <v>20138.657819509393</v>
          </cell>
          <cell r="AH703">
            <v>21618.516989252352</v>
          </cell>
          <cell r="AI703">
            <v>21516.255714926865</v>
          </cell>
          <cell r="AJ703">
            <v>19139.99226425089</v>
          </cell>
        </row>
        <row r="704">
          <cell r="E704" t="str">
            <v>MN Industrial Distillate Fuel</v>
          </cell>
          <cell r="F704">
            <v>31295.359469456318</v>
          </cell>
          <cell r="G704">
            <v>31981.592229524384</v>
          </cell>
          <cell r="H704">
            <v>35212.709614813793</v>
          </cell>
          <cell r="I704">
            <v>33163.90953003514</v>
          </cell>
          <cell r="J704">
            <v>33695.660923461124</v>
          </cell>
          <cell r="K704">
            <v>34568.425047550751</v>
          </cell>
          <cell r="L704">
            <v>37200.771846113377</v>
          </cell>
          <cell r="M704">
            <v>36680.922877675257</v>
          </cell>
          <cell r="N704">
            <v>35951.500834255727</v>
          </cell>
          <cell r="O704">
            <v>30300.864544204924</v>
          </cell>
          <cell r="P704">
            <v>27803.118938039355</v>
          </cell>
          <cell r="Q704">
            <v>29694.286882249522</v>
          </cell>
          <cell r="R704">
            <v>28962.477817362254</v>
          </cell>
          <cell r="S704">
            <v>32615.86306053451</v>
          </cell>
          <cell r="T704">
            <v>33965.309229522318</v>
          </cell>
          <cell r="U704">
            <v>33338.154158005629</v>
          </cell>
          <cell r="V704">
            <v>30423.414661249109</v>
          </cell>
          <cell r="W704">
            <v>29493.556672940322</v>
          </cell>
          <cell r="X704">
            <v>34535.772232218165</v>
          </cell>
          <cell r="Y704">
            <v>31196.03641509694</v>
          </cell>
          <cell r="Z704">
            <v>38686.560562883031</v>
          </cell>
          <cell r="AA704">
            <v>39003.227371770212</v>
          </cell>
          <cell r="AB704">
            <v>39202.356367706241</v>
          </cell>
          <cell r="AC704">
            <v>40715.823363433359</v>
          </cell>
          <cell r="AD704">
            <v>41505.961213082395</v>
          </cell>
          <cell r="AE704">
            <v>35336.36076880883</v>
          </cell>
          <cell r="AF704">
            <v>34343.160878216549</v>
          </cell>
          <cell r="AG704">
            <v>35366.569086563984</v>
          </cell>
          <cell r="AH704">
            <v>39372.729064483545</v>
          </cell>
          <cell r="AI704">
            <v>41746.914401121867</v>
          </cell>
          <cell r="AJ704">
            <v>39829.498161092859</v>
          </cell>
        </row>
        <row r="705">
          <cell r="E705" t="str">
            <v>MO Industrial Distillate Fuel</v>
          </cell>
          <cell r="F705">
            <v>19944.091532762766</v>
          </cell>
          <cell r="G705">
            <v>16795.509427783898</v>
          </cell>
          <cell r="H705">
            <v>18523.788008932806</v>
          </cell>
          <cell r="I705">
            <v>16121.850669540481</v>
          </cell>
          <cell r="J705">
            <v>18295.102318292498</v>
          </cell>
          <cell r="K705">
            <v>17297.014914682397</v>
          </cell>
          <cell r="L705">
            <v>18176.72382979485</v>
          </cell>
          <cell r="M705">
            <v>20335.861914662979</v>
          </cell>
          <cell r="N705">
            <v>21605.040054378635</v>
          </cell>
          <cell r="O705">
            <v>27882.975414747893</v>
          </cell>
          <cell r="P705">
            <v>20844.469653872555</v>
          </cell>
          <cell r="Q705">
            <v>23786.320831554884</v>
          </cell>
          <cell r="R705">
            <v>26747.968931011386</v>
          </cell>
          <cell r="S705">
            <v>28442.198260829628</v>
          </cell>
          <cell r="T705">
            <v>33499.580196396862</v>
          </cell>
          <cell r="U705">
            <v>30735.295038017641</v>
          </cell>
          <cell r="V705">
            <v>29799.740600446461</v>
          </cell>
          <cell r="W705">
            <v>33238.047301597217</v>
          </cell>
          <cell r="X705">
            <v>28906.094779176074</v>
          </cell>
          <cell r="Y705">
            <v>23654.959071105623</v>
          </cell>
          <cell r="Z705">
            <v>24186.201043319208</v>
          </cell>
          <cell r="AA705">
            <v>21690.850263304084</v>
          </cell>
          <cell r="AB705">
            <v>21456.294144299736</v>
          </cell>
          <cell r="AC705">
            <v>21343.824957611789</v>
          </cell>
          <cell r="AD705">
            <v>23693.16503580298</v>
          </cell>
          <cell r="AE705">
            <v>25809.395861834259</v>
          </cell>
          <cell r="AF705">
            <v>29467.53903945188</v>
          </cell>
          <cell r="AG705">
            <v>27789.588956178901</v>
          </cell>
          <cell r="AH705">
            <v>29950.861987514214</v>
          </cell>
          <cell r="AI705">
            <v>25157.114485254591</v>
          </cell>
          <cell r="AJ705">
            <v>28487.058370526134</v>
          </cell>
        </row>
        <row r="706">
          <cell r="E706" t="str">
            <v>MS Industrial Distillate Fuel</v>
          </cell>
          <cell r="F706">
            <v>21978.38298964949</v>
          </cell>
          <cell r="G706">
            <v>20795.047380864347</v>
          </cell>
          <cell r="H706">
            <v>18762.861754745994</v>
          </cell>
          <cell r="I706">
            <v>17982.934828999674</v>
          </cell>
          <cell r="J706">
            <v>20897.217813823372</v>
          </cell>
          <cell r="K706">
            <v>22242.677001993656</v>
          </cell>
          <cell r="L706">
            <v>22045.15638472337</v>
          </cell>
          <cell r="M706">
            <v>26595.169942406123</v>
          </cell>
          <cell r="N706">
            <v>23123.661586603041</v>
          </cell>
          <cell r="O706">
            <v>22482.334168325346</v>
          </cell>
          <cell r="P706">
            <v>18749.202057706982</v>
          </cell>
          <cell r="Q706">
            <v>21315.014771133599</v>
          </cell>
          <cell r="R706">
            <v>20217.701138286287</v>
          </cell>
          <cell r="S706">
            <v>19422.212019860533</v>
          </cell>
          <cell r="T706">
            <v>24223.893393185073</v>
          </cell>
          <cell r="U706">
            <v>18510.440221785724</v>
          </cell>
          <cell r="V706">
            <v>16341.250351856013</v>
          </cell>
          <cell r="W706">
            <v>17826.428812524438</v>
          </cell>
          <cell r="X706">
            <v>16396.472821869458</v>
          </cell>
          <cell r="Y706">
            <v>11976.00835567901</v>
          </cell>
          <cell r="Z706">
            <v>13961.205258389666</v>
          </cell>
          <cell r="AA706">
            <v>13354.891803102229</v>
          </cell>
          <cell r="AB706">
            <v>18605.032291674608</v>
          </cell>
          <cell r="AC706">
            <v>19880.921250666215</v>
          </cell>
          <cell r="AD706">
            <v>18944.749714126421</v>
          </cell>
          <cell r="AE706">
            <v>14463.72846030043</v>
          </cell>
          <cell r="AF706">
            <v>13269.084762424913</v>
          </cell>
          <cell r="AG706">
            <v>16239.241244890218</v>
          </cell>
          <cell r="AH706">
            <v>15443.225794523249</v>
          </cell>
          <cell r="AI706">
            <v>15689.082246436938</v>
          </cell>
          <cell r="AJ706">
            <v>15863.020852874391</v>
          </cell>
        </row>
        <row r="707">
          <cell r="E707" t="str">
            <v>MT Industrial Distillate Fuel</v>
          </cell>
          <cell r="F707">
            <v>15858.850162935812</v>
          </cell>
          <cell r="G707">
            <v>16387.513403144007</v>
          </cell>
          <cell r="H707">
            <v>12268.516914775446</v>
          </cell>
          <cell r="I707">
            <v>13782.455086761793</v>
          </cell>
          <cell r="J707">
            <v>11062.708163856973</v>
          </cell>
          <cell r="K707">
            <v>13085.028306273342</v>
          </cell>
          <cell r="L707">
            <v>14679.425159577744</v>
          </cell>
          <cell r="M707">
            <v>13871.846957710626</v>
          </cell>
          <cell r="N707">
            <v>11159.121401196793</v>
          </cell>
          <cell r="O707">
            <v>11350.400170597239</v>
          </cell>
          <cell r="P707">
            <v>10898.342581182353</v>
          </cell>
          <cell r="Q707">
            <v>10989.193094798022</v>
          </cell>
          <cell r="R707">
            <v>10647.326933612489</v>
          </cell>
          <cell r="S707">
            <v>14558.924461524355</v>
          </cell>
          <cell r="T707">
            <v>18783.739483764544</v>
          </cell>
          <cell r="U707">
            <v>20430.647640059073</v>
          </cell>
          <cell r="V707">
            <v>21100.972390489547</v>
          </cell>
          <cell r="W707">
            <v>25622.335531203549</v>
          </cell>
          <cell r="X707">
            <v>24815.665880061526</v>
          </cell>
          <cell r="Y707">
            <v>21880.587931342958</v>
          </cell>
          <cell r="Z707">
            <v>12367.660593662342</v>
          </cell>
          <cell r="AA707">
            <v>13653.174663274602</v>
          </cell>
          <cell r="AB707">
            <v>14773.088003384502</v>
          </cell>
          <cell r="AC707">
            <v>14899.464698775146</v>
          </cell>
          <cell r="AD707">
            <v>13895.877589459609</v>
          </cell>
          <cell r="AE707">
            <v>9542.9447202161718</v>
          </cell>
          <cell r="AF707">
            <v>8154.6773459010728</v>
          </cell>
          <cell r="AG707">
            <v>8329.481586225229</v>
          </cell>
          <cell r="AH707">
            <v>8883.1034068561876</v>
          </cell>
          <cell r="AI707">
            <v>10676.653395689213</v>
          </cell>
          <cell r="AJ707">
            <v>10045.846770263093</v>
          </cell>
        </row>
        <row r="708">
          <cell r="E708" t="str">
            <v>NC Industrial Distillate Fuel</v>
          </cell>
          <cell r="F708">
            <v>19791.225700742376</v>
          </cell>
          <cell r="G708">
            <v>19688.750467898495</v>
          </cell>
          <cell r="H708">
            <v>21354.30309825189</v>
          </cell>
          <cell r="I708">
            <v>19189.539366015524</v>
          </cell>
          <cell r="J708">
            <v>20003.081365454287</v>
          </cell>
          <cell r="K708">
            <v>26593.520311778833</v>
          </cell>
          <cell r="L708">
            <v>24980.845049504151</v>
          </cell>
          <cell r="M708">
            <v>23017.719520889405</v>
          </cell>
          <cell r="N708">
            <v>27526.486804059852</v>
          </cell>
          <cell r="O708">
            <v>22535.474588752972</v>
          </cell>
          <cell r="P708">
            <v>24079.838256590199</v>
          </cell>
          <cell r="Q708">
            <v>26940.800442333017</v>
          </cell>
          <cell r="R708">
            <v>19719.958225741746</v>
          </cell>
          <cell r="S708">
            <v>20542.973753497212</v>
          </cell>
          <cell r="T708">
            <v>20210.844936446632</v>
          </cell>
          <cell r="U708">
            <v>24805.007886572621</v>
          </cell>
          <cell r="V708">
            <v>22481.964953695406</v>
          </cell>
          <cell r="W708">
            <v>22463.973525541071</v>
          </cell>
          <cell r="X708">
            <v>19335.941028079473</v>
          </cell>
          <cell r="Y708">
            <v>17002.064134714601</v>
          </cell>
          <cell r="Z708">
            <v>17321.700949109199</v>
          </cell>
          <cell r="AA708">
            <v>17270.477843826531</v>
          </cell>
          <cell r="AB708">
            <v>16769.370357164378</v>
          </cell>
          <cell r="AC708">
            <v>19317.114569612837</v>
          </cell>
          <cell r="AD708">
            <v>18519.518491289717</v>
          </cell>
          <cell r="AE708">
            <v>19395.498321988285</v>
          </cell>
          <cell r="AF708">
            <v>21720.495650562279</v>
          </cell>
          <cell r="AG708">
            <v>22173.309830253795</v>
          </cell>
          <cell r="AH708">
            <v>21478.578373638546</v>
          </cell>
          <cell r="AI708">
            <v>22205.039815079475</v>
          </cell>
          <cell r="AJ708">
            <v>19727.807758420928</v>
          </cell>
        </row>
        <row r="709">
          <cell r="E709" t="str">
            <v>ND Industrial Distillate Fuel</v>
          </cell>
          <cell r="F709">
            <v>17216.02437670658</v>
          </cell>
          <cell r="G709">
            <v>17458.502967823715</v>
          </cell>
          <cell r="H709">
            <v>16714.501512840419</v>
          </cell>
          <cell r="I709">
            <v>16981.039707725504</v>
          </cell>
          <cell r="J709">
            <v>16991.566365293223</v>
          </cell>
          <cell r="K709">
            <v>17351.178876212089</v>
          </cell>
          <cell r="L709">
            <v>16639.169164561838</v>
          </cell>
          <cell r="M709">
            <v>14964.273358779006</v>
          </cell>
          <cell r="N709">
            <v>14629.976040092111</v>
          </cell>
          <cell r="O709">
            <v>13528.17332627018</v>
          </cell>
          <cell r="P709">
            <v>15773.528593669016</v>
          </cell>
          <cell r="Q709">
            <v>19704.111341524051</v>
          </cell>
          <cell r="R709">
            <v>16410.613631558372</v>
          </cell>
          <cell r="S709">
            <v>16732.583460509824</v>
          </cell>
          <cell r="T709">
            <v>20495.069292850818</v>
          </cell>
          <cell r="U709">
            <v>21754.033833733945</v>
          </cell>
          <cell r="V709">
            <v>21756.32513374566</v>
          </cell>
          <cell r="W709">
            <v>22166.948885510115</v>
          </cell>
          <cell r="X709">
            <v>28803.809230108633</v>
          </cell>
          <cell r="Y709">
            <v>22700.985374053449</v>
          </cell>
          <cell r="Z709">
            <v>35053.996270868593</v>
          </cell>
          <cell r="AA709">
            <v>49847.156101113695</v>
          </cell>
          <cell r="AB709">
            <v>55283.353499429286</v>
          </cell>
          <cell r="AC709">
            <v>63939.669183177117</v>
          </cell>
          <cell r="AD709">
            <v>71121.419312477345</v>
          </cell>
          <cell r="AE709">
            <v>45317.75161484132</v>
          </cell>
          <cell r="AF709">
            <v>32534.784745396046</v>
          </cell>
          <cell r="AG709">
            <v>43940.888463866024</v>
          </cell>
          <cell r="AH709">
            <v>46003.820321497602</v>
          </cell>
          <cell r="AI709">
            <v>44196.146687586152</v>
          </cell>
          <cell r="AJ709">
            <v>37089.358246943084</v>
          </cell>
        </row>
        <row r="710">
          <cell r="E710" t="str">
            <v>NE Industrial Distillate Fuel</v>
          </cell>
          <cell r="F710">
            <v>27456.075303713453</v>
          </cell>
          <cell r="G710">
            <v>26522.683880616638</v>
          </cell>
          <cell r="H710">
            <v>27945.064510608001</v>
          </cell>
          <cell r="I710">
            <v>28313.871064770778</v>
          </cell>
          <cell r="J710">
            <v>30913.132086906779</v>
          </cell>
          <cell r="K710">
            <v>27210.989473217334</v>
          </cell>
          <cell r="L710">
            <v>26309.268716209299</v>
          </cell>
          <cell r="M710">
            <v>26899.277832433265</v>
          </cell>
          <cell r="N710">
            <v>28685.07338646103</v>
          </cell>
          <cell r="O710">
            <v>24036.199424903552</v>
          </cell>
          <cell r="P710">
            <v>26013.780084788097</v>
          </cell>
          <cell r="Q710">
            <v>29787.356902153209</v>
          </cell>
          <cell r="R710">
            <v>28987.315288048107</v>
          </cell>
          <cell r="S710">
            <v>30794.500492514086</v>
          </cell>
          <cell r="T710">
            <v>32046.545504183166</v>
          </cell>
          <cell r="U710">
            <v>30324.107170902975</v>
          </cell>
          <cell r="V710">
            <v>29685.895335379311</v>
          </cell>
          <cell r="W710">
            <v>35006.333991914835</v>
          </cell>
          <cell r="X710">
            <v>33539.72945828957</v>
          </cell>
          <cell r="Y710">
            <v>25873.919833527918</v>
          </cell>
          <cell r="Z710">
            <v>24144.344335427682</v>
          </cell>
          <cell r="AA710">
            <v>23772.844675276472</v>
          </cell>
          <cell r="AB710">
            <v>31682.128290348574</v>
          </cell>
          <cell r="AC710">
            <v>27832.092285415416</v>
          </cell>
          <cell r="AD710">
            <v>25902.171364764559</v>
          </cell>
          <cell r="AE710">
            <v>26338.727175462154</v>
          </cell>
          <cell r="AF710">
            <v>28134.735856478095</v>
          </cell>
          <cell r="AG710">
            <v>27969.469782276148</v>
          </cell>
          <cell r="AH710">
            <v>25500.81401099528</v>
          </cell>
          <cell r="AI710">
            <v>26577.669211403878</v>
          </cell>
          <cell r="AJ710">
            <v>28095.181374412776</v>
          </cell>
        </row>
        <row r="711">
          <cell r="E711" t="str">
            <v>NH Industrial Distillate Fuel</v>
          </cell>
          <cell r="F711">
            <v>2951.4864490090622</v>
          </cell>
          <cell r="G711">
            <v>2952.0866205915054</v>
          </cell>
          <cell r="H711">
            <v>3334.2424879048908</v>
          </cell>
          <cell r="I711">
            <v>2586.424733505426</v>
          </cell>
          <cell r="J711">
            <v>2343.3908691180895</v>
          </cell>
          <cell r="K711">
            <v>2481.6942373604893</v>
          </cell>
          <cell r="L711">
            <v>2247.4218574191327</v>
          </cell>
          <cell r="M711">
            <v>1781.3439512916805</v>
          </cell>
          <cell r="N711">
            <v>2134.703135736635</v>
          </cell>
          <cell r="O711">
            <v>2685.5593953147099</v>
          </cell>
          <cell r="P711">
            <v>3320.9499552370812</v>
          </cell>
          <cell r="Q711">
            <v>3658.4438674906469</v>
          </cell>
          <cell r="R711">
            <v>3580.5697740729129</v>
          </cell>
          <cell r="S711">
            <v>4331.3498877855563</v>
          </cell>
          <cell r="T711">
            <v>4497.7257802908471</v>
          </cell>
          <cell r="U711">
            <v>4548.0172583532403</v>
          </cell>
          <cell r="V711">
            <v>3521.2835464682767</v>
          </cell>
          <cell r="W711">
            <v>2807.8729304259541</v>
          </cell>
          <cell r="X711">
            <v>3571.0566451118993</v>
          </cell>
          <cell r="Y711">
            <v>3344.3905471369303</v>
          </cell>
          <cell r="Z711">
            <v>2716.6996598165629</v>
          </cell>
          <cell r="AA711">
            <v>2465.0734029629944</v>
          </cell>
          <cell r="AB711">
            <v>2246.6905850636076</v>
          </cell>
          <cell r="AC711">
            <v>2783.1094397484349</v>
          </cell>
          <cell r="AD711">
            <v>3217.1836413209053</v>
          </cell>
          <cell r="AE711">
            <v>2278.1221252551636</v>
          </cell>
          <cell r="AF711">
            <v>1999.2047744606771</v>
          </cell>
          <cell r="AG711">
            <v>1804.8042885090297</v>
          </cell>
          <cell r="AH711">
            <v>2060.0963341431984</v>
          </cell>
          <cell r="AI711">
            <v>2185.3150115146645</v>
          </cell>
          <cell r="AJ711">
            <v>2230.2999447165848</v>
          </cell>
        </row>
        <row r="712">
          <cell r="E712" t="str">
            <v>NJ Industrial Distillate Fuel</v>
          </cell>
          <cell r="F712">
            <v>19711.853057193326</v>
          </cell>
          <cell r="G712">
            <v>16725.875490886225</v>
          </cell>
          <cell r="H712">
            <v>13335.986109044199</v>
          </cell>
          <cell r="I712">
            <v>12683.126157033648</v>
          </cell>
          <cell r="J712">
            <v>14297.26163506354</v>
          </cell>
          <cell r="K712">
            <v>11431.55028066689</v>
          </cell>
          <cell r="L712">
            <v>11009.323410764848</v>
          </cell>
          <cell r="M712">
            <v>10246.172307678278</v>
          </cell>
          <cell r="N712">
            <v>11429.883379810448</v>
          </cell>
          <cell r="O712">
            <v>11889.677029751678</v>
          </cell>
          <cell r="P712">
            <v>10276.64815828252</v>
          </cell>
          <cell r="Q712">
            <v>14022.879701020305</v>
          </cell>
          <cell r="R712">
            <v>12423.702837064866</v>
          </cell>
          <cell r="S712">
            <v>12495.046220063403</v>
          </cell>
          <cell r="T712">
            <v>18189.361531424558</v>
          </cell>
          <cell r="U712">
            <v>11366.550045070235</v>
          </cell>
          <cell r="V712">
            <v>12814.027052427713</v>
          </cell>
          <cell r="W712">
            <v>11320.599113713104</v>
          </cell>
          <cell r="X712">
            <v>10548.321380527974</v>
          </cell>
          <cell r="Y712">
            <v>11288.190329591236</v>
          </cell>
          <cell r="Z712">
            <v>9768.5583512553003</v>
          </cell>
          <cell r="AA712">
            <v>12079.957036211616</v>
          </cell>
          <cell r="AB712">
            <v>10936.155503315837</v>
          </cell>
          <cell r="AC712">
            <v>9449.9987072132226</v>
          </cell>
          <cell r="AD712">
            <v>11994.315430999688</v>
          </cell>
          <cell r="AE712">
            <v>12298.463766064046</v>
          </cell>
          <cell r="AF712">
            <v>12703.592557355078</v>
          </cell>
          <cell r="AG712">
            <v>9708.567919637444</v>
          </cell>
          <cell r="AH712">
            <v>8968.0661377645683</v>
          </cell>
          <cell r="AI712">
            <v>9930.8871566270263</v>
          </cell>
          <cell r="AJ712">
            <v>8618.2948558501466</v>
          </cell>
        </row>
        <row r="713">
          <cell r="E713" t="str">
            <v>NM Industrial Distillate Fuel</v>
          </cell>
          <cell r="F713">
            <v>8484.0536771316274</v>
          </cell>
          <cell r="G713">
            <v>10184.208461203385</v>
          </cell>
          <cell r="H713">
            <v>8254.4392072947867</v>
          </cell>
          <cell r="I713">
            <v>7255.3741002290726</v>
          </cell>
          <cell r="J713">
            <v>6250.0335997417751</v>
          </cell>
          <cell r="K713">
            <v>10930.287436692091</v>
          </cell>
          <cell r="L713">
            <v>11563.078730810454</v>
          </cell>
          <cell r="M713">
            <v>11915.321115076449</v>
          </cell>
          <cell r="N713">
            <v>10822.630971253013</v>
          </cell>
          <cell r="O713">
            <v>12452.571853540616</v>
          </cell>
          <cell r="P713">
            <v>12999.512339590648</v>
          </cell>
          <cell r="Q713">
            <v>12557.521940834607</v>
          </cell>
          <cell r="R713">
            <v>12013.387821334534</v>
          </cell>
          <cell r="S713">
            <v>13897.245895717484</v>
          </cell>
          <cell r="T713">
            <v>13228.898553338822</v>
          </cell>
          <cell r="U713">
            <v>11164.948226727607</v>
          </cell>
          <cell r="V713">
            <v>12728.890593334017</v>
          </cell>
          <cell r="W713">
            <v>13317.594776854552</v>
          </cell>
          <cell r="X713">
            <v>13315.989586848014</v>
          </cell>
          <cell r="Y713">
            <v>8574.7980585609166</v>
          </cell>
          <cell r="Z713">
            <v>9371.9162145689497</v>
          </cell>
          <cell r="AA713">
            <v>9346.5288192473872</v>
          </cell>
          <cell r="AB713">
            <v>10993.021117591426</v>
          </cell>
          <cell r="AC713">
            <v>11639.364827976244</v>
          </cell>
          <cell r="AD713">
            <v>14410.946394585761</v>
          </cell>
          <cell r="AE713">
            <v>8791.893497861116</v>
          </cell>
          <cell r="AF713">
            <v>11935.282476615317</v>
          </cell>
          <cell r="AG713">
            <v>13523.04077082181</v>
          </cell>
          <cell r="AH713">
            <v>13717.982576313078</v>
          </cell>
          <cell r="AI713">
            <v>13019.918897514635</v>
          </cell>
          <cell r="AJ713">
            <v>8912.2026029351655</v>
          </cell>
        </row>
        <row r="714">
          <cell r="E714" t="str">
            <v>NV Industrial Distillate Fuel</v>
          </cell>
          <cell r="F714">
            <v>16586.922683391898</v>
          </cell>
          <cell r="G714">
            <v>16965.18085149231</v>
          </cell>
          <cell r="H714">
            <v>19605.03099925664</v>
          </cell>
          <cell r="I714">
            <v>22076.138963949852</v>
          </cell>
          <cell r="J714">
            <v>22598.257886330412</v>
          </cell>
          <cell r="K714">
            <v>19783.633148545585</v>
          </cell>
          <cell r="L714">
            <v>22621.493925267288</v>
          </cell>
          <cell r="M714">
            <v>23244.078144534204</v>
          </cell>
          <cell r="N714">
            <v>18457.922563825727</v>
          </cell>
          <cell r="O714">
            <v>15690.201172186786</v>
          </cell>
          <cell r="P714">
            <v>16162.087607981412</v>
          </cell>
          <cell r="Q714">
            <v>14574.369074279382</v>
          </cell>
          <cell r="R714">
            <v>12782.355913768617</v>
          </cell>
          <cell r="S714">
            <v>9635.7564899929839</v>
          </cell>
          <cell r="T714">
            <v>16127.986988661547</v>
          </cell>
          <cell r="U714">
            <v>18413.631427829117</v>
          </cell>
          <cell r="V714">
            <v>19377.454073255565</v>
          </cell>
          <cell r="W714">
            <v>20477.868765867424</v>
          </cell>
          <cell r="X714">
            <v>19104.557213198754</v>
          </cell>
          <cell r="Y714">
            <v>20649.493348417738</v>
          </cell>
          <cell r="Z714">
            <v>20588.517341214367</v>
          </cell>
          <cell r="AA714">
            <v>10348.120764441579</v>
          </cell>
          <cell r="AB714">
            <v>8911.9391635760239</v>
          </cell>
          <cell r="AC714">
            <v>10693.367069323855</v>
          </cell>
          <cell r="AD714">
            <v>19111.448339041282</v>
          </cell>
          <cell r="AE714">
            <v>3494.5854082717306</v>
          </cell>
          <cell r="AF714">
            <v>17393.381268658635</v>
          </cell>
          <cell r="AG714">
            <v>21418.809698568126</v>
          </cell>
          <cell r="AH714">
            <v>23217.815453410098</v>
          </cell>
          <cell r="AI714">
            <v>22187.045455423817</v>
          </cell>
          <cell r="AJ714">
            <v>11733.317100465512</v>
          </cell>
        </row>
        <row r="715">
          <cell r="E715" t="str">
            <v>NY Industrial Distillate Fuel</v>
          </cell>
          <cell r="F715">
            <v>23247.365377254646</v>
          </cell>
          <cell r="G715">
            <v>20122.246244078378</v>
          </cell>
          <cell r="H715">
            <v>20767.932923335597</v>
          </cell>
          <cell r="I715">
            <v>24747.203167425396</v>
          </cell>
          <cell r="J715">
            <v>19679.923402961689</v>
          </cell>
          <cell r="K715">
            <v>17600.333099248677</v>
          </cell>
          <cell r="L715">
            <v>17446.238088458093</v>
          </cell>
          <cell r="M715">
            <v>16736.759798710671</v>
          </cell>
          <cell r="N715">
            <v>17216.930161846481</v>
          </cell>
          <cell r="O715">
            <v>19703.286996332401</v>
          </cell>
          <cell r="P715">
            <v>18804.288905305701</v>
          </cell>
          <cell r="Q715">
            <v>17173.39888541956</v>
          </cell>
          <cell r="R715">
            <v>16702.702286824031</v>
          </cell>
          <cell r="S715">
            <v>17710.63020936463</v>
          </cell>
          <cell r="T715">
            <v>20196.883038237302</v>
          </cell>
          <cell r="U715">
            <v>19571.344840093712</v>
          </cell>
          <cell r="V715">
            <v>19893.222621951089</v>
          </cell>
          <cell r="W715">
            <v>20757.071927496519</v>
          </cell>
          <cell r="X715">
            <v>19568.317906543376</v>
          </cell>
          <cell r="Y715">
            <v>16876.462582124659</v>
          </cell>
          <cell r="Z715">
            <v>13090.187098932704</v>
          </cell>
          <cell r="AA715">
            <v>16168.128143189499</v>
          </cell>
          <cell r="AB715">
            <v>14393.983908213911</v>
          </cell>
          <cell r="AC715">
            <v>13077.32133664512</v>
          </cell>
          <cell r="AD715">
            <v>11512.187072713001</v>
          </cell>
          <cell r="AE715">
            <v>11686.237171245362</v>
          </cell>
          <cell r="AF715">
            <v>10768.330364386395</v>
          </cell>
          <cell r="AG715">
            <v>10953.742971399488</v>
          </cell>
          <cell r="AH715">
            <v>11243.068203028964</v>
          </cell>
          <cell r="AI715">
            <v>14646.409073056428</v>
          </cell>
          <cell r="AJ715">
            <v>13405.792137449307</v>
          </cell>
        </row>
        <row r="716">
          <cell r="E716" t="str">
            <v>OH Industrial Distillate Fuel</v>
          </cell>
          <cell r="F716">
            <v>34094.959995624609</v>
          </cell>
          <cell r="G716">
            <v>29944.554385348783</v>
          </cell>
          <cell r="H716">
            <v>36364.789270563757</v>
          </cell>
          <cell r="I716">
            <v>37530.715672563136</v>
          </cell>
          <cell r="J716">
            <v>37444.689801212655</v>
          </cell>
          <cell r="K716">
            <v>33594.458539316816</v>
          </cell>
          <cell r="L716">
            <v>32049.080065476337</v>
          </cell>
          <cell r="M716">
            <v>32768.855360335794</v>
          </cell>
          <cell r="N716">
            <v>30652.021818056597</v>
          </cell>
          <cell r="O716">
            <v>30183.758802892189</v>
          </cell>
          <cell r="P716">
            <v>27865.091641587915</v>
          </cell>
          <cell r="Q716">
            <v>31519.053336318608</v>
          </cell>
          <cell r="R716">
            <v>31512.789307385883</v>
          </cell>
          <cell r="S716">
            <v>37105.896043287328</v>
          </cell>
          <cell r="T716">
            <v>38154.875970764413</v>
          </cell>
          <cell r="U716">
            <v>34940.988416709886</v>
          </cell>
          <cell r="V716">
            <v>34131.800425958179</v>
          </cell>
          <cell r="W716">
            <v>33692.495000844581</v>
          </cell>
          <cell r="X716">
            <v>36330.238127022727</v>
          </cell>
          <cell r="Y716">
            <v>30407.53777939342</v>
          </cell>
          <cell r="Z716">
            <v>34697.217665507502</v>
          </cell>
          <cell r="AA716">
            <v>29926.050968063097</v>
          </cell>
          <cell r="AB716">
            <v>34639.140232679179</v>
          </cell>
          <cell r="AC716">
            <v>34231.547587354005</v>
          </cell>
          <cell r="AD716">
            <v>37314.538901600397</v>
          </cell>
          <cell r="AE716">
            <v>35420.25478832722</v>
          </cell>
          <cell r="AF716">
            <v>33892.56549926514</v>
          </cell>
          <cell r="AG716">
            <v>36631.730896781279</v>
          </cell>
          <cell r="AH716">
            <v>37262.654653335412</v>
          </cell>
          <cell r="AI716">
            <v>30596.409534500377</v>
          </cell>
          <cell r="AJ716">
            <v>36608.509177732558</v>
          </cell>
        </row>
        <row r="717">
          <cell r="E717" t="str">
            <v>OK Industrial Distillate Fuel</v>
          </cell>
          <cell r="F717">
            <v>20500.679946785724</v>
          </cell>
          <cell r="G717">
            <v>18239.187668817351</v>
          </cell>
          <cell r="H717">
            <v>23883.762359509921</v>
          </cell>
          <cell r="I717">
            <v>18032.14382316835</v>
          </cell>
          <cell r="J717">
            <v>18303.032575040783</v>
          </cell>
          <cell r="K717">
            <v>16466.82910432728</v>
          </cell>
          <cell r="L717">
            <v>19360.817652445559</v>
          </cell>
          <cell r="M717">
            <v>19832.952102999967</v>
          </cell>
          <cell r="N717">
            <v>19004.351629361256</v>
          </cell>
          <cell r="O717">
            <v>16725.455288665744</v>
          </cell>
          <cell r="P717">
            <v>19123.989360119696</v>
          </cell>
          <cell r="Q717">
            <v>21714.027728805784</v>
          </cell>
          <cell r="R717">
            <v>19998.137897423327</v>
          </cell>
          <cell r="S717">
            <v>21884.295009069512</v>
          </cell>
          <cell r="T717">
            <v>21148.286673358692</v>
          </cell>
          <cell r="U717">
            <v>20024.449916962785</v>
          </cell>
          <cell r="V717">
            <v>21814.732704519243</v>
          </cell>
          <cell r="W717">
            <v>23550.093625920927</v>
          </cell>
          <cell r="X717">
            <v>23822.602296882465</v>
          </cell>
          <cell r="Y717">
            <v>12155.439145093213</v>
          </cell>
          <cell r="Z717">
            <v>15001.643425978988</v>
          </cell>
          <cell r="AA717">
            <v>14668.733030015326</v>
          </cell>
          <cell r="AB717">
            <v>25812.998311694395</v>
          </cell>
          <cell r="AC717">
            <v>26086.786293977621</v>
          </cell>
          <cell r="AD717">
            <v>33056.237501080701</v>
          </cell>
          <cell r="AE717">
            <v>21826.427411366221</v>
          </cell>
          <cell r="AF717">
            <v>23285.090691444548</v>
          </cell>
          <cell r="AG717">
            <v>37990.830471738249</v>
          </cell>
          <cell r="AH717">
            <v>34691.782372201837</v>
          </cell>
          <cell r="AI717">
            <v>26126.81053336494</v>
          </cell>
          <cell r="AJ717">
            <v>13859.649678866308</v>
          </cell>
        </row>
        <row r="718">
          <cell r="E718" t="str">
            <v>OR Industrial Distillate Fuel</v>
          </cell>
          <cell r="F718">
            <v>14479.138038033834</v>
          </cell>
          <cell r="G718">
            <v>13026.449998237998</v>
          </cell>
          <cell r="H718">
            <v>14837.329879047995</v>
          </cell>
          <cell r="I718">
            <v>20687.461148509916</v>
          </cell>
          <cell r="J718">
            <v>18666.833103368335</v>
          </cell>
          <cell r="K718">
            <v>20380.421524672751</v>
          </cell>
          <cell r="L718">
            <v>14590.078113258329</v>
          </cell>
          <cell r="M718">
            <v>16113.781499723029</v>
          </cell>
          <cell r="N718">
            <v>15029.251856381088</v>
          </cell>
          <cell r="O718">
            <v>15570.143185294739</v>
          </cell>
          <cell r="P718">
            <v>20620.187488649201</v>
          </cell>
          <cell r="Q718">
            <v>17398.153082421013</v>
          </cell>
          <cell r="R718">
            <v>17047.446379943704</v>
          </cell>
          <cell r="S718">
            <v>11633.766276939225</v>
          </cell>
          <cell r="T718">
            <v>12862.897364565708</v>
          </cell>
          <cell r="U718">
            <v>10707.851034643827</v>
          </cell>
          <cell r="V718">
            <v>10678.685863298651</v>
          </cell>
          <cell r="W718">
            <v>9590.9256265995136</v>
          </cell>
          <cell r="X718">
            <v>12359.669356246579</v>
          </cell>
          <cell r="Y718">
            <v>12017.875539875658</v>
          </cell>
          <cell r="Z718">
            <v>11627.195499295611</v>
          </cell>
          <cell r="AA718">
            <v>14648.780999234565</v>
          </cell>
          <cell r="AB718">
            <v>14533.653838013603</v>
          </cell>
          <cell r="AC718">
            <v>11692.252888322844</v>
          </cell>
          <cell r="AD718">
            <v>14215.300104266526</v>
          </cell>
          <cell r="AE718">
            <v>14359.859674230051</v>
          </cell>
          <cell r="AF718">
            <v>16241.415698966899</v>
          </cell>
          <cell r="AG718">
            <v>14745.231050360317</v>
          </cell>
          <cell r="AH718">
            <v>12986.303528960909</v>
          </cell>
          <cell r="AI718">
            <v>12752.002875974867</v>
          </cell>
          <cell r="AJ718">
            <v>11827.287604635552</v>
          </cell>
        </row>
        <row r="719">
          <cell r="E719" t="str">
            <v>PA Industrial Distillate Fuel</v>
          </cell>
          <cell r="F719">
            <v>42744.61832411166</v>
          </cell>
          <cell r="G719">
            <v>35405.424253605765</v>
          </cell>
          <cell r="H719">
            <v>41712.957510236512</v>
          </cell>
          <cell r="I719">
            <v>37305.33847927062</v>
          </cell>
          <cell r="J719">
            <v>33057.275255224224</v>
          </cell>
          <cell r="K719">
            <v>25175.40931900141</v>
          </cell>
          <cell r="L719">
            <v>25496.308778270006</v>
          </cell>
          <cell r="M719">
            <v>23938.900702330848</v>
          </cell>
          <cell r="N719">
            <v>23209.010471166042</v>
          </cell>
          <cell r="O719">
            <v>28823.757672688844</v>
          </cell>
          <cell r="P719">
            <v>31917.909714922265</v>
          </cell>
          <cell r="Q719">
            <v>34553.730049135615</v>
          </cell>
          <cell r="R719">
            <v>30376.226648801141</v>
          </cell>
          <cell r="S719">
            <v>28357.36767546977</v>
          </cell>
          <cell r="T719">
            <v>31596.772926154081</v>
          </cell>
          <cell r="U719">
            <v>32989.84210552257</v>
          </cell>
          <cell r="V719">
            <v>41897.037462364468</v>
          </cell>
          <cell r="W719">
            <v>44939.828036683379</v>
          </cell>
          <cell r="X719">
            <v>50369.178002425091</v>
          </cell>
          <cell r="Y719">
            <v>31644.613388632446</v>
          </cell>
          <cell r="Z719">
            <v>33971.701395387747</v>
          </cell>
          <cell r="AA719">
            <v>40572.454592677052</v>
          </cell>
          <cell r="AB719">
            <v>45319.899292932729</v>
          </cell>
          <cell r="AC719">
            <v>50072.020605126199</v>
          </cell>
          <cell r="AD719">
            <v>57090.785349583573</v>
          </cell>
          <cell r="AE719">
            <v>51036.52727867783</v>
          </cell>
          <cell r="AF719">
            <v>36747.002301181259</v>
          </cell>
          <cell r="AG719">
            <v>41792.311929926698</v>
          </cell>
          <cell r="AH719">
            <v>43301.005917071008</v>
          </cell>
          <cell r="AI719">
            <v>43808.268268342006</v>
          </cell>
          <cell r="AJ719">
            <v>32101.923722428943</v>
          </cell>
        </row>
        <row r="720">
          <cell r="E720" t="str">
            <v>RI Industrial Distillate Fuel</v>
          </cell>
          <cell r="F720">
            <v>1591.3725076994413</v>
          </cell>
          <cell r="G720">
            <v>1515.2736972803573</v>
          </cell>
          <cell r="H720">
            <v>1877.1716337924258</v>
          </cell>
          <cell r="I720">
            <v>1766.6028906553424</v>
          </cell>
          <cell r="J720">
            <v>1960.7559810133594</v>
          </cell>
          <cell r="K720">
            <v>1605.2228598799991</v>
          </cell>
          <cell r="L720">
            <v>1676.975330918252</v>
          </cell>
          <cell r="M720">
            <v>1959.4783464208483</v>
          </cell>
          <cell r="N720">
            <v>1420.5193660600401</v>
          </cell>
          <cell r="O720">
            <v>1343.2717385872404</v>
          </cell>
          <cell r="P720">
            <v>945.32965254230896</v>
          </cell>
          <cell r="Q720">
            <v>691.09440311460662</v>
          </cell>
          <cell r="R720">
            <v>875.27246696954387</v>
          </cell>
          <cell r="S720">
            <v>1413.1777514065318</v>
          </cell>
          <cell r="T720">
            <v>1454.0319706572184</v>
          </cell>
          <cell r="U720">
            <v>1184.660189963857</v>
          </cell>
          <cell r="V720">
            <v>1239.4284509919264</v>
          </cell>
          <cell r="W720">
            <v>936.61769823094244</v>
          </cell>
          <cell r="X720">
            <v>553.13641583073638</v>
          </cell>
          <cell r="Y720">
            <v>933.04010495385</v>
          </cell>
          <cell r="Z720">
            <v>856.06933520998803</v>
          </cell>
          <cell r="AA720">
            <v>712.28749887315985</v>
          </cell>
          <cell r="AB720">
            <v>584.61842044727973</v>
          </cell>
          <cell r="AC720">
            <v>496.94818967182522</v>
          </cell>
          <cell r="AD720">
            <v>662.80171822435034</v>
          </cell>
          <cell r="AE720">
            <v>544.31238854189576</v>
          </cell>
          <cell r="AF720">
            <v>671.39710566595454</v>
          </cell>
          <cell r="AG720">
            <v>938.3783094739639</v>
          </cell>
          <cell r="AH720">
            <v>1105.515063349043</v>
          </cell>
          <cell r="AI720">
            <v>1050.6706665608017</v>
          </cell>
          <cell r="AJ720">
            <v>1128.6457362550534</v>
          </cell>
        </row>
        <row r="721">
          <cell r="E721" t="str">
            <v>SC Industrial Distillate Fuel</v>
          </cell>
          <cell r="F721">
            <v>13223.874378943327</v>
          </cell>
          <cell r="G721">
            <v>13898.345348970837</v>
          </cell>
          <cell r="H721">
            <v>11854.319190547661</v>
          </cell>
          <cell r="I721">
            <v>9565.2442865065586</v>
          </cell>
          <cell r="J721">
            <v>8596.3983151404718</v>
          </cell>
          <cell r="K721">
            <v>10911.576249981834</v>
          </cell>
          <cell r="L721">
            <v>12140.398107028212</v>
          </cell>
          <cell r="M721">
            <v>11092.55672652405</v>
          </cell>
          <cell r="N721">
            <v>11585.865824011791</v>
          </cell>
          <cell r="O721">
            <v>12541.139220919995</v>
          </cell>
          <cell r="P721">
            <v>12832.284409380251</v>
          </cell>
          <cell r="Q721">
            <v>14160.504517686395</v>
          </cell>
          <cell r="R721">
            <v>13488.733580074346</v>
          </cell>
          <cell r="S721">
            <v>13880.279778645512</v>
          </cell>
          <cell r="T721">
            <v>15153.645949339118</v>
          </cell>
          <cell r="U721">
            <v>17830.782606482113</v>
          </cell>
          <cell r="V721">
            <v>14550.414834408415</v>
          </cell>
          <cell r="W721">
            <v>13090.86596829759</v>
          </cell>
          <cell r="X721">
            <v>12781.721379097678</v>
          </cell>
          <cell r="Y721">
            <v>9613.5029617253531</v>
          </cell>
          <cell r="Z721">
            <v>8458.0447589373325</v>
          </cell>
          <cell r="AA721">
            <v>8128.4573400819418</v>
          </cell>
          <cell r="AB721">
            <v>9767.9163047769907</v>
          </cell>
          <cell r="AC721">
            <v>6794.6189226414817</v>
          </cell>
          <cell r="AD721">
            <v>8568.5089596955168</v>
          </cell>
          <cell r="AE721">
            <v>9309.2399515578181</v>
          </cell>
          <cell r="AF721">
            <v>10049.975425437256</v>
          </cell>
          <cell r="AG721">
            <v>11411.439740024702</v>
          </cell>
          <cell r="AH721">
            <v>11796.825296243584</v>
          </cell>
          <cell r="AI721">
            <v>11697.333462823921</v>
          </cell>
          <cell r="AJ721">
            <v>12746.998922044453</v>
          </cell>
        </row>
        <row r="722">
          <cell r="E722" t="str">
            <v>SD Industrial Distillate Fuel</v>
          </cell>
          <cell r="F722">
            <v>13566.842591809585</v>
          </cell>
          <cell r="G722">
            <v>13334.408536067145</v>
          </cell>
          <cell r="H722">
            <v>12399.367977298713</v>
          </cell>
          <cell r="I722">
            <v>14506.811480924651</v>
          </cell>
          <cell r="J722">
            <v>14838.501658133962</v>
          </cell>
          <cell r="K722">
            <v>12620.203036418521</v>
          </cell>
          <cell r="L722">
            <v>13054.487119372998</v>
          </cell>
          <cell r="M722">
            <v>11771.632597458447</v>
          </cell>
          <cell r="N722">
            <v>10917.79007243245</v>
          </cell>
          <cell r="O722">
            <v>11657.433710845751</v>
          </cell>
          <cell r="P722">
            <v>11044.912943543231</v>
          </cell>
          <cell r="Q722">
            <v>11398.107118417409</v>
          </cell>
          <cell r="R722">
            <v>10264.829885050316</v>
          </cell>
          <cell r="S722">
            <v>10177.674229409471</v>
          </cell>
          <cell r="T722">
            <v>10143.319049077207</v>
          </cell>
          <cell r="U722">
            <v>10474.312294583555</v>
          </cell>
          <cell r="V722">
            <v>9741.194854441339</v>
          </cell>
          <cell r="W722">
            <v>12069.101206591107</v>
          </cell>
          <cell r="X722">
            <v>10987.255484293119</v>
          </cell>
          <cell r="Y722">
            <v>11208.443312073814</v>
          </cell>
          <cell r="Z722">
            <v>10097.432484688707</v>
          </cell>
          <cell r="AA722">
            <v>13064.589755242159</v>
          </cell>
          <cell r="AB722">
            <v>11304.285532573595</v>
          </cell>
          <cell r="AC722">
            <v>12724.069009047076</v>
          </cell>
          <cell r="AD722">
            <v>10845.392573053563</v>
          </cell>
          <cell r="AE722">
            <v>11082.000483047477</v>
          </cell>
          <cell r="AF722">
            <v>10937.178743638697</v>
          </cell>
          <cell r="AG722">
            <v>10357.138231510289</v>
          </cell>
          <cell r="AH722">
            <v>10824.251917727654</v>
          </cell>
          <cell r="AI722">
            <v>10631.667496550072</v>
          </cell>
          <cell r="AJ722">
            <v>15719.066037975608</v>
          </cell>
        </row>
        <row r="723">
          <cell r="E723" t="str">
            <v>TN Industrial Distillate Fuel</v>
          </cell>
          <cell r="F723">
            <v>19401.221847254459</v>
          </cell>
          <cell r="G723">
            <v>15400.869170481199</v>
          </cell>
          <cell r="H723">
            <v>20806.30278377475</v>
          </cell>
          <cell r="I723">
            <v>19493.65094997792</v>
          </cell>
          <cell r="J723">
            <v>19681.905967148763</v>
          </cell>
          <cell r="K723">
            <v>21106.218609170639</v>
          </cell>
          <cell r="L723">
            <v>21329.398178494208</v>
          </cell>
          <cell r="M723">
            <v>24819.730998687784</v>
          </cell>
          <cell r="N723">
            <v>22706.727380404482</v>
          </cell>
          <cell r="O723">
            <v>15155.844722331201</v>
          </cell>
          <cell r="P723">
            <v>13983.206046710637</v>
          </cell>
          <cell r="Q723">
            <v>15097.145356291578</v>
          </cell>
          <cell r="R723">
            <v>12817.128372728816</v>
          </cell>
          <cell r="S723">
            <v>17783.484712085447</v>
          </cell>
          <cell r="T723">
            <v>20525.984924600049</v>
          </cell>
          <cell r="U723">
            <v>23490.603952130838</v>
          </cell>
          <cell r="V723">
            <v>19720.969786110356</v>
          </cell>
          <cell r="W723">
            <v>20436.285316263089</v>
          </cell>
          <cell r="X723">
            <v>16575.224266841687</v>
          </cell>
          <cell r="Y723">
            <v>9748.0760537860042</v>
          </cell>
          <cell r="Z723">
            <v>12063.701167307223</v>
          </cell>
          <cell r="AA723">
            <v>10973.616929418429</v>
          </cell>
          <cell r="AB723">
            <v>11550.70319443448</v>
          </cell>
          <cell r="AC723">
            <v>10974.771465885007</v>
          </cell>
          <cell r="AD723">
            <v>12265.824568585567</v>
          </cell>
          <cell r="AE723">
            <v>10949.168285476704</v>
          </cell>
          <cell r="AF723">
            <v>12442.826717208032</v>
          </cell>
          <cell r="AG723">
            <v>12677.600888164756</v>
          </cell>
          <cell r="AH723">
            <v>12740.411390096655</v>
          </cell>
          <cell r="AI723">
            <v>11750.316855143352</v>
          </cell>
          <cell r="AJ723">
            <v>11979.239909250935</v>
          </cell>
        </row>
        <row r="724">
          <cell r="E724" t="str">
            <v>TX Industrial Distillate Fuel</v>
          </cell>
          <cell r="F724">
            <v>100417.17309052213</v>
          </cell>
          <cell r="G724">
            <v>99591.241158792167</v>
          </cell>
          <cell r="H724">
            <v>99548.143302944984</v>
          </cell>
          <cell r="I724">
            <v>106901.61893202412</v>
          </cell>
          <cell r="J724">
            <v>95763.797928097367</v>
          </cell>
          <cell r="K724">
            <v>114402.16514511641</v>
          </cell>
          <cell r="L724">
            <v>132483.99664956343</v>
          </cell>
          <cell r="M724">
            <v>125401.69333128985</v>
          </cell>
          <cell r="N724">
            <v>136063.78038333103</v>
          </cell>
          <cell r="O724">
            <v>122959.06021465093</v>
          </cell>
          <cell r="P724">
            <v>121305.17318720851</v>
          </cell>
          <cell r="Q724">
            <v>120387.06085201292</v>
          </cell>
          <cell r="R724">
            <v>113944.38051843019</v>
          </cell>
          <cell r="S724">
            <v>113750.82891935995</v>
          </cell>
          <cell r="T724">
            <v>97897.838408481373</v>
          </cell>
          <cell r="U724">
            <v>116310.27678044474</v>
          </cell>
          <cell r="V724">
            <v>116469.64591665426</v>
          </cell>
          <cell r="W724">
            <v>129319.5778588103</v>
          </cell>
          <cell r="X724">
            <v>152013.20799513458</v>
          </cell>
          <cell r="Y724">
            <v>113984.40581309075</v>
          </cell>
          <cell r="Z724">
            <v>128552.91240598602</v>
          </cell>
          <cell r="AA724">
            <v>175016.22120421645</v>
          </cell>
          <cell r="AB724">
            <v>196613.36017902559</v>
          </cell>
          <cell r="AC724">
            <v>188344.36177355284</v>
          </cell>
          <cell r="AD724">
            <v>227719.30539192661</v>
          </cell>
          <cell r="AE724">
            <v>157957.45767820295</v>
          </cell>
          <cell r="AF724">
            <v>172119.44193675095</v>
          </cell>
          <cell r="AG724">
            <v>176010.3903223864</v>
          </cell>
          <cell r="AH724">
            <v>195715.14911284443</v>
          </cell>
          <cell r="AI724">
            <v>185160.96117005244</v>
          </cell>
          <cell r="AJ724">
            <v>136685.0967463959</v>
          </cell>
        </row>
        <row r="725">
          <cell r="E725" t="str">
            <v>US Industrial Distillate Fuel</v>
          </cell>
          <cell r="F725">
            <v>1127369.8326035</v>
          </cell>
          <cell r="G725">
            <v>1057191.2568175488</v>
          </cell>
          <cell r="H725">
            <v>1089180.6322218624</v>
          </cell>
          <cell r="I725">
            <v>1099174.4134864539</v>
          </cell>
          <cell r="J725">
            <v>1099877.0468823928</v>
          </cell>
          <cell r="K725">
            <v>1112851.7687897764</v>
          </cell>
          <cell r="L725">
            <v>1164318.6703439036</v>
          </cell>
          <cell r="M725">
            <v>1182989.5338848759</v>
          </cell>
          <cell r="N725">
            <v>1187245.1682027758</v>
          </cell>
          <cell r="O725">
            <v>1167050.2317943508</v>
          </cell>
          <cell r="P725">
            <v>1179555.9774509424</v>
          </cell>
          <cell r="Q725">
            <v>1285676.1856956852</v>
          </cell>
          <cell r="R725">
            <v>1195256.5823119013</v>
          </cell>
          <cell r="S725">
            <v>1167130.1315943743</v>
          </cell>
          <cell r="T725">
            <v>1209659.8581346709</v>
          </cell>
          <cell r="U725">
            <v>1259553.2694205358</v>
          </cell>
          <cell r="V725">
            <v>1245450.3705345653</v>
          </cell>
          <cell r="W725">
            <v>1243529.2984463938</v>
          </cell>
          <cell r="X725">
            <v>1338750.0095472739</v>
          </cell>
          <cell r="Y725">
            <v>1069178.232233281</v>
          </cell>
          <cell r="Z725">
            <v>1148802.1945556293</v>
          </cell>
          <cell r="AA725">
            <v>1231761.5650856646</v>
          </cell>
          <cell r="AB725">
            <v>1266944.9355706451</v>
          </cell>
          <cell r="AC725">
            <v>1261315.3765508877</v>
          </cell>
          <cell r="AD725">
            <v>1361205.072114649</v>
          </cell>
          <cell r="AE725">
            <v>1166130.8662588471</v>
          </cell>
          <cell r="AF725">
            <v>1152791.8277369514</v>
          </cell>
          <cell r="AG725">
            <v>1201372.0719315188</v>
          </cell>
          <cell r="AH725">
            <v>1250228.5844398967</v>
          </cell>
          <cell r="AI725">
            <v>1203045.9044382491</v>
          </cell>
          <cell r="AJ725">
            <v>1065131.6722982523</v>
          </cell>
        </row>
        <row r="726">
          <cell r="E726" t="str">
            <v>UT Industrial Distillate Fuel</v>
          </cell>
          <cell r="F726">
            <v>8677.0957855163506</v>
          </cell>
          <cell r="G726">
            <v>8709.1459105822487</v>
          </cell>
          <cell r="H726">
            <v>9227.4595143287006</v>
          </cell>
          <cell r="I726">
            <v>9206.0186290752499</v>
          </cell>
          <cell r="J726">
            <v>8691.5613961198869</v>
          </cell>
          <cell r="K726">
            <v>7924.6799714443878</v>
          </cell>
          <cell r="L726">
            <v>7773.1930297891113</v>
          </cell>
          <cell r="M726">
            <v>10329.826581633964</v>
          </cell>
          <cell r="N726">
            <v>12493.310861032191</v>
          </cell>
          <cell r="O726">
            <v>10209.849295122798</v>
          </cell>
          <cell r="P726">
            <v>9900.8771621626838</v>
          </cell>
          <cell r="Q726">
            <v>10381.2676456399</v>
          </cell>
          <cell r="R726">
            <v>10515.191589563738</v>
          </cell>
          <cell r="S726">
            <v>14363.315111753394</v>
          </cell>
          <cell r="T726">
            <v>12153.832391220521</v>
          </cell>
          <cell r="U726">
            <v>18883.70299436069</v>
          </cell>
          <cell r="V726">
            <v>21158.390002436456</v>
          </cell>
          <cell r="W726">
            <v>15159.14754504647</v>
          </cell>
          <cell r="X726">
            <v>15222.671666551809</v>
          </cell>
          <cell r="Y726">
            <v>11032.003035816515</v>
          </cell>
          <cell r="Z726">
            <v>9068.9533764969619</v>
          </cell>
          <cell r="AA726">
            <v>12067.985817743158</v>
          </cell>
          <cell r="AB726">
            <v>13383.372201877573</v>
          </cell>
          <cell r="AC726">
            <v>16344.406422961498</v>
          </cell>
          <cell r="AD726">
            <v>18390.751290008178</v>
          </cell>
          <cell r="AE726">
            <v>13658.745368254984</v>
          </cell>
          <cell r="AF726">
            <v>12703.592557355078</v>
          </cell>
          <cell r="AG726">
            <v>14919.115848920988</v>
          </cell>
          <cell r="AH726">
            <v>16617.710604139094</v>
          </cell>
          <cell r="AI726">
            <v>14820.354549727768</v>
          </cell>
          <cell r="AJ726">
            <v>13834.657523501935</v>
          </cell>
        </row>
        <row r="727">
          <cell r="E727" t="str">
            <v>VA Industrial Distillate Fuel</v>
          </cell>
          <cell r="F727">
            <v>20693.722055170445</v>
          </cell>
          <cell r="G727">
            <v>19416.09927835549</v>
          </cell>
          <cell r="H727">
            <v>16837.481834760783</v>
          </cell>
          <cell r="I727">
            <v>18110.878213838223</v>
          </cell>
          <cell r="J727">
            <v>15893.225805655809</v>
          </cell>
          <cell r="K727">
            <v>20983.118696603153</v>
          </cell>
          <cell r="L727">
            <v>24951.389979288957</v>
          </cell>
          <cell r="M727">
            <v>28622.55587592041</v>
          </cell>
          <cell r="N727">
            <v>25295.643545482137</v>
          </cell>
          <cell r="O727">
            <v>24503.638308294718</v>
          </cell>
          <cell r="P727">
            <v>27801.151550625116</v>
          </cell>
          <cell r="Q727">
            <v>29330.917761987257</v>
          </cell>
          <cell r="R727">
            <v>26419.120819130661</v>
          </cell>
          <cell r="S727">
            <v>34689.721370861327</v>
          </cell>
          <cell r="T727">
            <v>39209.996564012246</v>
          </cell>
          <cell r="U727">
            <v>41256.514686373986</v>
          </cell>
          <cell r="V727">
            <v>39475.598172327525</v>
          </cell>
          <cell r="W727">
            <v>40738.909544512251</v>
          </cell>
          <cell r="X727">
            <v>39072.086680180109</v>
          </cell>
          <cell r="Y727">
            <v>17900.214919504579</v>
          </cell>
          <cell r="Z727">
            <v>13919.34855049814</v>
          </cell>
          <cell r="AA727">
            <v>14464.224714512527</v>
          </cell>
          <cell r="AB727">
            <v>16235.631696858414</v>
          </cell>
          <cell r="AC727">
            <v>16967.088491947881</v>
          </cell>
          <cell r="AD727">
            <v>17815.79076335573</v>
          </cell>
          <cell r="AE727">
            <v>15332.630805312263</v>
          </cell>
          <cell r="AF727">
            <v>16250.407624489211</v>
          </cell>
          <cell r="AG727">
            <v>14986.071489746073</v>
          </cell>
          <cell r="AH727">
            <v>14611.59059316122</v>
          </cell>
          <cell r="AI727">
            <v>15625.102300994606</v>
          </cell>
          <cell r="AJ727">
            <v>12435.096823097087</v>
          </cell>
        </row>
        <row r="728">
          <cell r="E728" t="str">
            <v>VT Industrial Distillate Fuel</v>
          </cell>
          <cell r="F728">
            <v>3160.2071042676712</v>
          </cell>
          <cell r="G728">
            <v>2954.0481399407354</v>
          </cell>
          <cell r="H728">
            <v>3386.3861443991245</v>
          </cell>
          <cell r="I728">
            <v>3124.7711297107035</v>
          </cell>
          <cell r="J728">
            <v>2225.4282999873567</v>
          </cell>
          <cell r="K728">
            <v>1878.012266129545</v>
          </cell>
          <cell r="L728">
            <v>1862.5422732739603</v>
          </cell>
          <cell r="M728">
            <v>1977.1933691408763</v>
          </cell>
          <cell r="N728">
            <v>2161.1907206010142</v>
          </cell>
          <cell r="O728">
            <v>2344.0829899742175</v>
          </cell>
          <cell r="P728">
            <v>2178.8815612707745</v>
          </cell>
          <cell r="Q728">
            <v>2106.9468335643023</v>
          </cell>
          <cell r="R728">
            <v>1953.2186947356679</v>
          </cell>
          <cell r="S728">
            <v>2583.8398293725359</v>
          </cell>
          <cell r="T728">
            <v>3402.7140493020775</v>
          </cell>
          <cell r="U728">
            <v>3251.5778423776296</v>
          </cell>
          <cell r="V728">
            <v>2926.3182916390851</v>
          </cell>
          <cell r="W728">
            <v>2268.2781677030539</v>
          </cell>
          <cell r="X728">
            <v>2978.1976859540005</v>
          </cell>
          <cell r="Y728">
            <v>3070.2601744207886</v>
          </cell>
          <cell r="Z728">
            <v>3170.1473286414107</v>
          </cell>
          <cell r="AA728">
            <v>3900.6220176387328</v>
          </cell>
          <cell r="AB728">
            <v>3498.7317414822696</v>
          </cell>
          <cell r="AC728">
            <v>2858.9489225095972</v>
          </cell>
          <cell r="AD728">
            <v>3103.3893704209413</v>
          </cell>
          <cell r="AE728">
            <v>2997.213721127026</v>
          </cell>
          <cell r="AF728">
            <v>3164.1586810179733</v>
          </cell>
          <cell r="AG728">
            <v>3399.7476132379397</v>
          </cell>
          <cell r="AH728">
            <v>3472.476790302509</v>
          </cell>
          <cell r="AI728">
            <v>3565.8822717624926</v>
          </cell>
          <cell r="AJ728">
            <v>4002.7436031578691</v>
          </cell>
        </row>
        <row r="729">
          <cell r="E729" t="str">
            <v>WA Industrial Distillate Fuel</v>
          </cell>
          <cell r="F729">
            <v>22695.676509129778</v>
          </cell>
          <cell r="G729">
            <v>22659.471522307686</v>
          </cell>
          <cell r="H729">
            <v>22248.61599925677</v>
          </cell>
          <cell r="I729">
            <v>22706.014089308861</v>
          </cell>
          <cell r="J729">
            <v>25618.694425333295</v>
          </cell>
          <cell r="K729">
            <v>21344.540039901287</v>
          </cell>
          <cell r="L729">
            <v>21143.8312361385</v>
          </cell>
          <cell r="M729">
            <v>19756.187004546515</v>
          </cell>
          <cell r="N729">
            <v>24543.19993100144</v>
          </cell>
          <cell r="O729">
            <v>20657.846400310147</v>
          </cell>
          <cell r="P729">
            <v>16904.776356857001</v>
          </cell>
          <cell r="Q729">
            <v>20658.574098834193</v>
          </cell>
          <cell r="R729">
            <v>18460.201712555161</v>
          </cell>
          <cell r="S729">
            <v>17268.513158606795</v>
          </cell>
          <cell r="T729">
            <v>14123.457317179373</v>
          </cell>
          <cell r="U729">
            <v>16838.741975627796</v>
          </cell>
          <cell r="V729">
            <v>21295.004320517037</v>
          </cell>
          <cell r="W729">
            <v>22733.275865835803</v>
          </cell>
          <cell r="X729">
            <v>28420.486687001514</v>
          </cell>
          <cell r="Y729">
            <v>16333.186025287214</v>
          </cell>
          <cell r="Z729">
            <v>17214.069414530994</v>
          </cell>
          <cell r="AA729">
            <v>16845.499588196326</v>
          </cell>
          <cell r="AB729">
            <v>14685.295476081839</v>
          </cell>
          <cell r="AC729">
            <v>14998.255603950871</v>
          </cell>
          <cell r="AD729">
            <v>14321.108812296316</v>
          </cell>
          <cell r="AE729">
            <v>17921.360550450969</v>
          </cell>
          <cell r="AF729">
            <v>18714.195217602668</v>
          </cell>
          <cell r="AG729">
            <v>17887.149479525538</v>
          </cell>
          <cell r="AH729">
            <v>22504.128513779702</v>
          </cell>
          <cell r="AI729">
            <v>24965.174648927594</v>
          </cell>
          <cell r="AJ729">
            <v>25806.899629250845</v>
          </cell>
        </row>
        <row r="730">
          <cell r="E730" t="str">
            <v>WI Industrial Distillate Fuel</v>
          </cell>
          <cell r="F730">
            <v>23850.009522719643</v>
          </cell>
          <cell r="G730">
            <v>23382.291402499028</v>
          </cell>
          <cell r="H730">
            <v>23774.555833644637</v>
          </cell>
          <cell r="I730">
            <v>27491.096682270574</v>
          </cell>
          <cell r="J730">
            <v>26477.144718335101</v>
          </cell>
          <cell r="K730">
            <v>23565.26246261871</v>
          </cell>
          <cell r="L730">
            <v>26977.898810094153</v>
          </cell>
          <cell r="M730">
            <v>26432.782234139198</v>
          </cell>
          <cell r="N730">
            <v>26208.974712472398</v>
          </cell>
          <cell r="O730">
            <v>39866.140221177804</v>
          </cell>
          <cell r="P730">
            <v>47854.731463973199</v>
          </cell>
          <cell r="Q730">
            <v>56037.062941371623</v>
          </cell>
          <cell r="R730">
            <v>51686.776497265062</v>
          </cell>
          <cell r="S730">
            <v>30141.803988686494</v>
          </cell>
          <cell r="T730">
            <v>32366.671884554198</v>
          </cell>
          <cell r="U730">
            <v>32782.252114357885</v>
          </cell>
          <cell r="V730">
            <v>31999.429113309128</v>
          </cell>
          <cell r="W730">
            <v>32468.753483917048</v>
          </cell>
          <cell r="X730">
            <v>30518.830038258868</v>
          </cell>
          <cell r="Y730">
            <v>21444.969848154033</v>
          </cell>
          <cell r="Z730">
            <v>21146.606779768026</v>
          </cell>
          <cell r="AA730">
            <v>22032.029989655093</v>
          </cell>
          <cell r="AB730">
            <v>22739.262213745475</v>
          </cell>
          <cell r="AC730">
            <v>25034.014526700965</v>
          </cell>
          <cell r="AD730">
            <v>26056.891645374159</v>
          </cell>
          <cell r="AE730">
            <v>25273.073379913159</v>
          </cell>
          <cell r="AF730">
            <v>23614.79462726265</v>
          </cell>
          <cell r="AG730">
            <v>25417.160727540788</v>
          </cell>
          <cell r="AH730">
            <v>25189.950372024621</v>
          </cell>
          <cell r="AI730">
            <v>25615.970656473819</v>
          </cell>
          <cell r="AJ730">
            <v>23871.507117833855</v>
          </cell>
        </row>
        <row r="731">
          <cell r="E731" t="str">
            <v>WV Industrial Distillate Fuel</v>
          </cell>
          <cell r="F731">
            <v>18108.72163933847</v>
          </cell>
          <cell r="G731">
            <v>17058.353020580747</v>
          </cell>
          <cell r="H731">
            <v>14604.159188686986</v>
          </cell>
          <cell r="I731">
            <v>16684.801562830096</v>
          </cell>
          <cell r="J731">
            <v>19011.799271918717</v>
          </cell>
          <cell r="K731">
            <v>18997.763306714762</v>
          </cell>
          <cell r="L731">
            <v>17952.865296159391</v>
          </cell>
          <cell r="M731">
            <v>16278.137543847732</v>
          </cell>
          <cell r="N731">
            <v>17398.419169250559</v>
          </cell>
          <cell r="O731">
            <v>17409.392181206498</v>
          </cell>
          <cell r="P731">
            <v>16812.309148387722</v>
          </cell>
          <cell r="Q731">
            <v>18252.61507366443</v>
          </cell>
          <cell r="R731">
            <v>35510.62858898117</v>
          </cell>
          <cell r="S731">
            <v>19583.889135487552</v>
          </cell>
          <cell r="T731">
            <v>20922.901745122388</v>
          </cell>
          <cell r="U731">
            <v>24777.063080069685</v>
          </cell>
          <cell r="V731">
            <v>29878.93730658013</v>
          </cell>
          <cell r="W731">
            <v>30338.096732761667</v>
          </cell>
          <cell r="X731">
            <v>34615.217318872492</v>
          </cell>
          <cell r="Y731">
            <v>27957.310666170597</v>
          </cell>
          <cell r="Z731">
            <v>28696.75961277253</v>
          </cell>
          <cell r="AA731">
            <v>28070.512105452344</v>
          </cell>
          <cell r="AB731">
            <v>26835.581726299279</v>
          </cell>
          <cell r="AC731">
            <v>29554.446854438651</v>
          </cell>
          <cell r="AD731">
            <v>29517.634954235335</v>
          </cell>
          <cell r="AE731">
            <v>17611.751668895027</v>
          </cell>
          <cell r="AF731">
            <v>10180.857896928685</v>
          </cell>
          <cell r="AG731">
            <v>16609.995614235097</v>
          </cell>
          <cell r="AH731">
            <v>19631.388647536351</v>
          </cell>
          <cell r="AI731">
            <v>20802.479448585844</v>
          </cell>
          <cell r="AJ731">
            <v>12212.166797246886</v>
          </cell>
        </row>
        <row r="732">
          <cell r="E732" t="str">
            <v>WY Industrial Distillate Fuel</v>
          </cell>
          <cell r="F732">
            <v>13104.325459029944</v>
          </cell>
          <cell r="G732">
            <v>12240.861498871289</v>
          </cell>
          <cell r="H732">
            <v>12871.612413472907</v>
          </cell>
          <cell r="I732">
            <v>13790.32852582878</v>
          </cell>
          <cell r="J732">
            <v>13440.793906248806</v>
          </cell>
          <cell r="K732">
            <v>10876.123475162398</v>
          </cell>
          <cell r="L732">
            <v>13031.904898874684</v>
          </cell>
          <cell r="M732">
            <v>16102.955652505234</v>
          </cell>
          <cell r="N732">
            <v>16209.420915338427</v>
          </cell>
          <cell r="O732">
            <v>18434.805479087747</v>
          </cell>
          <cell r="P732">
            <v>19291.217290330093</v>
          </cell>
          <cell r="Q732">
            <v>25009.102476034168</v>
          </cell>
          <cell r="R732">
            <v>23923.451764615911</v>
          </cell>
          <cell r="S732">
            <v>19253.54885602741</v>
          </cell>
          <cell r="T732">
            <v>19497.79084932735</v>
          </cell>
          <cell r="U732">
            <v>18190.072975805608</v>
          </cell>
          <cell r="V732">
            <v>27210.008309875473</v>
          </cell>
          <cell r="W732">
            <v>26391.629348883722</v>
          </cell>
          <cell r="X732">
            <v>31062.035818257813</v>
          </cell>
          <cell r="Y732">
            <v>28391.931911640553</v>
          </cell>
          <cell r="Z732">
            <v>28884.118210001259</v>
          </cell>
          <cell r="AA732">
            <v>33530.385328607532</v>
          </cell>
          <cell r="AB732">
            <v>32790.508947544695</v>
          </cell>
          <cell r="AC732">
            <v>28129.462888873659</v>
          </cell>
          <cell r="AD732">
            <v>34045.449101623366</v>
          </cell>
          <cell r="AE732">
            <v>26832.10390929646</v>
          </cell>
          <cell r="AF732">
            <v>21867.363767426705</v>
          </cell>
          <cell r="AG732">
            <v>24175.983027469792</v>
          </cell>
          <cell r="AH732">
            <v>28717.403047032552</v>
          </cell>
          <cell r="AI732">
            <v>22671.893479478993</v>
          </cell>
          <cell r="AJ732">
            <v>18098.319228663851</v>
          </cell>
        </row>
        <row r="733">
          <cell r="E733" t="str">
            <v>AK Residential Distillate Fuel</v>
          </cell>
          <cell r="F733">
            <v>9070</v>
          </cell>
          <cell r="G733">
            <v>9258</v>
          </cell>
          <cell r="H733">
            <v>10665</v>
          </cell>
          <cell r="I733">
            <v>11035</v>
          </cell>
          <cell r="J733">
            <v>11296</v>
          </cell>
          <cell r="K733">
            <v>11782</v>
          </cell>
          <cell r="L733">
            <v>11217</v>
          </cell>
          <cell r="M733">
            <v>10761</v>
          </cell>
          <cell r="N733">
            <v>9728</v>
          </cell>
          <cell r="O733">
            <v>11829</v>
          </cell>
          <cell r="P733">
            <v>10075</v>
          </cell>
          <cell r="Q733">
            <v>10612</v>
          </cell>
          <cell r="R733">
            <v>8674</v>
          </cell>
          <cell r="S733">
            <v>8566</v>
          </cell>
          <cell r="T733">
            <v>9812</v>
          </cell>
          <cell r="U733">
            <v>9420</v>
          </cell>
          <cell r="V733">
            <v>11211</v>
          </cell>
          <cell r="W733">
            <v>8435</v>
          </cell>
          <cell r="X733">
            <v>7216</v>
          </cell>
          <cell r="Y733">
            <v>8665</v>
          </cell>
          <cell r="Z733">
            <v>8687</v>
          </cell>
          <cell r="AA733">
            <v>8040</v>
          </cell>
          <cell r="AB733">
            <v>7819</v>
          </cell>
          <cell r="AC733">
            <v>6917</v>
          </cell>
          <cell r="AD733">
            <v>6654</v>
          </cell>
          <cell r="AE733">
            <v>7770</v>
          </cell>
          <cell r="AF733">
            <v>7173</v>
          </cell>
          <cell r="AG733">
            <v>7755</v>
          </cell>
          <cell r="AH733">
            <v>6396</v>
          </cell>
          <cell r="AI733">
            <v>6574</v>
          </cell>
          <cell r="AJ733">
            <v>7130</v>
          </cell>
        </row>
        <row r="734">
          <cell r="E734" t="str">
            <v>AL Residential Distillate Fuel</v>
          </cell>
          <cell r="F734">
            <v>101</v>
          </cell>
          <cell r="G734">
            <v>80</v>
          </cell>
          <cell r="H734">
            <v>47</v>
          </cell>
          <cell r="I734">
            <v>70</v>
          </cell>
          <cell r="J734">
            <v>66</v>
          </cell>
          <cell r="K734">
            <v>61</v>
          </cell>
          <cell r="L734">
            <v>59</v>
          </cell>
          <cell r="M734">
            <v>233</v>
          </cell>
          <cell r="N734">
            <v>35</v>
          </cell>
          <cell r="O734">
            <v>38</v>
          </cell>
          <cell r="P734">
            <v>71</v>
          </cell>
          <cell r="Q734">
            <v>225</v>
          </cell>
          <cell r="R734">
            <v>213</v>
          </cell>
          <cell r="S734">
            <v>44</v>
          </cell>
          <cell r="T734">
            <v>77</v>
          </cell>
          <cell r="U734">
            <v>82</v>
          </cell>
          <cell r="V734">
            <v>54</v>
          </cell>
          <cell r="W734">
            <v>48</v>
          </cell>
          <cell r="X734">
            <v>53</v>
          </cell>
          <cell r="Y734">
            <v>563</v>
          </cell>
          <cell r="Z734">
            <v>699</v>
          </cell>
          <cell r="AA734">
            <v>62</v>
          </cell>
          <cell r="AB734">
            <v>104</v>
          </cell>
          <cell r="AC734">
            <v>89</v>
          </cell>
          <cell r="AD734">
            <v>101</v>
          </cell>
          <cell r="AE734">
            <v>120</v>
          </cell>
          <cell r="AF734">
            <v>92</v>
          </cell>
          <cell r="AG734">
            <v>83</v>
          </cell>
          <cell r="AH734">
            <v>69</v>
          </cell>
          <cell r="AI734">
            <v>23</v>
          </cell>
          <cell r="AJ734">
            <v>14</v>
          </cell>
        </row>
        <row r="735">
          <cell r="E735" t="str">
            <v>AR Residential Distillate Fuel</v>
          </cell>
          <cell r="F735">
            <v>2</v>
          </cell>
          <cell r="G735">
            <v>3</v>
          </cell>
          <cell r="H735">
            <v>55</v>
          </cell>
          <cell r="I735">
            <v>3</v>
          </cell>
          <cell r="J735">
            <v>5</v>
          </cell>
          <cell r="K735">
            <v>12</v>
          </cell>
          <cell r="L735">
            <v>5</v>
          </cell>
          <cell r="M735">
            <v>4</v>
          </cell>
          <cell r="N735">
            <v>3</v>
          </cell>
          <cell r="O735">
            <v>5</v>
          </cell>
          <cell r="P735">
            <v>4</v>
          </cell>
          <cell r="Q735">
            <v>5</v>
          </cell>
          <cell r="R735">
            <v>50</v>
          </cell>
          <cell r="S735">
            <v>21</v>
          </cell>
          <cell r="T735">
            <v>32</v>
          </cell>
          <cell r="U735">
            <v>9</v>
          </cell>
          <cell r="V735">
            <v>15</v>
          </cell>
          <cell r="W735">
            <v>18</v>
          </cell>
          <cell r="X735">
            <v>9</v>
          </cell>
          <cell r="Y735">
            <v>23</v>
          </cell>
          <cell r="Z735">
            <v>55</v>
          </cell>
          <cell r="AA735">
            <v>58</v>
          </cell>
          <cell r="AB735">
            <v>25</v>
          </cell>
          <cell r="AC735">
            <v>24</v>
          </cell>
          <cell r="AD735">
            <v>31</v>
          </cell>
          <cell r="AE735">
            <v>49</v>
          </cell>
          <cell r="AF735">
            <v>75</v>
          </cell>
          <cell r="AG735">
            <v>48</v>
          </cell>
          <cell r="AH735">
            <v>43</v>
          </cell>
          <cell r="AI735">
            <v>4</v>
          </cell>
          <cell r="AJ735">
            <v>17</v>
          </cell>
        </row>
        <row r="736">
          <cell r="E736" t="str">
            <v>AZ Residential Distillate Fuel</v>
          </cell>
          <cell r="F736">
            <v>55</v>
          </cell>
          <cell r="G736">
            <v>29</v>
          </cell>
          <cell r="H736">
            <v>35</v>
          </cell>
          <cell r="I736">
            <v>46</v>
          </cell>
          <cell r="J736">
            <v>32</v>
          </cell>
          <cell r="K736">
            <v>34</v>
          </cell>
          <cell r="L736">
            <v>56</v>
          </cell>
          <cell r="M736">
            <v>42</v>
          </cell>
          <cell r="N736">
            <v>26</v>
          </cell>
          <cell r="O736">
            <v>21</v>
          </cell>
          <cell r="P736">
            <v>23</v>
          </cell>
          <cell r="Q736">
            <v>38</v>
          </cell>
          <cell r="R736">
            <v>55</v>
          </cell>
          <cell r="S736">
            <v>55</v>
          </cell>
          <cell r="T736">
            <v>29</v>
          </cell>
          <cell r="U736">
            <v>19</v>
          </cell>
          <cell r="V736">
            <v>20</v>
          </cell>
          <cell r="W736">
            <v>13</v>
          </cell>
          <cell r="X736">
            <v>12</v>
          </cell>
          <cell r="Y736">
            <v>19</v>
          </cell>
          <cell r="Z736">
            <v>16</v>
          </cell>
          <cell r="AA736">
            <v>18</v>
          </cell>
          <cell r="AB736">
            <v>22</v>
          </cell>
          <cell r="AC736">
            <v>12</v>
          </cell>
          <cell r="AD736">
            <v>12</v>
          </cell>
          <cell r="AE736">
            <v>6</v>
          </cell>
          <cell r="AF736">
            <v>6</v>
          </cell>
          <cell r="AG736">
            <v>7</v>
          </cell>
          <cell r="AH736">
            <v>5</v>
          </cell>
          <cell r="AI736">
            <v>2</v>
          </cell>
          <cell r="AJ736">
            <v>24</v>
          </cell>
        </row>
        <row r="737">
          <cell r="E737" t="str">
            <v>CA Residential Distillate Fuel</v>
          </cell>
          <cell r="F737">
            <v>1174</v>
          </cell>
          <cell r="G737">
            <v>1154</v>
          </cell>
          <cell r="H737">
            <v>1332</v>
          </cell>
          <cell r="I737">
            <v>1337</v>
          </cell>
          <cell r="J737">
            <v>1334</v>
          </cell>
          <cell r="K737">
            <v>1019</v>
          </cell>
          <cell r="L737">
            <v>860</v>
          </cell>
          <cell r="M737">
            <v>925</v>
          </cell>
          <cell r="N737">
            <v>982</v>
          </cell>
          <cell r="O737">
            <v>996</v>
          </cell>
          <cell r="P737">
            <v>1403</v>
          </cell>
          <cell r="Q737">
            <v>1708</v>
          </cell>
          <cell r="R737">
            <v>854</v>
          </cell>
          <cell r="S737">
            <v>702</v>
          </cell>
          <cell r="T737">
            <v>829</v>
          </cell>
          <cell r="U737">
            <v>906</v>
          </cell>
          <cell r="V737">
            <v>890</v>
          </cell>
          <cell r="W737">
            <v>554</v>
          </cell>
          <cell r="X737">
            <v>839</v>
          </cell>
          <cell r="Y737">
            <v>2247</v>
          </cell>
          <cell r="Z737">
            <v>934</v>
          </cell>
          <cell r="AA737">
            <v>628</v>
          </cell>
          <cell r="AB737">
            <v>370</v>
          </cell>
          <cell r="AC737">
            <v>551</v>
          </cell>
          <cell r="AD737">
            <v>543</v>
          </cell>
          <cell r="AE737">
            <v>443</v>
          </cell>
          <cell r="AF737">
            <v>439</v>
          </cell>
          <cell r="AG737">
            <v>412</v>
          </cell>
          <cell r="AH737">
            <v>465</v>
          </cell>
          <cell r="AI737">
            <v>480</v>
          </cell>
          <cell r="AJ737">
            <v>429</v>
          </cell>
        </row>
        <row r="738">
          <cell r="E738" t="str">
            <v>CO Residential Distillate Fuel</v>
          </cell>
          <cell r="F738">
            <v>160</v>
          </cell>
          <cell r="G738">
            <v>127</v>
          </cell>
          <cell r="H738">
            <v>104</v>
          </cell>
          <cell r="I738">
            <v>169</v>
          </cell>
          <cell r="J738">
            <v>125</v>
          </cell>
          <cell r="K738">
            <v>203</v>
          </cell>
          <cell r="L738">
            <v>260</v>
          </cell>
          <cell r="M738">
            <v>300</v>
          </cell>
          <cell r="N738">
            <v>108</v>
          </cell>
          <cell r="O738">
            <v>57</v>
          </cell>
          <cell r="P738">
            <v>361</v>
          </cell>
          <cell r="Q738">
            <v>327</v>
          </cell>
          <cell r="R738">
            <v>144</v>
          </cell>
          <cell r="S738">
            <v>66</v>
          </cell>
          <cell r="T738">
            <v>95</v>
          </cell>
          <cell r="U738">
            <v>51</v>
          </cell>
          <cell r="V738">
            <v>55</v>
          </cell>
          <cell r="W738">
            <v>44</v>
          </cell>
          <cell r="X738">
            <v>48</v>
          </cell>
          <cell r="Y738">
            <v>66</v>
          </cell>
          <cell r="Z738">
            <v>61</v>
          </cell>
          <cell r="AA738">
            <v>84</v>
          </cell>
          <cell r="AB738">
            <v>77</v>
          </cell>
          <cell r="AC738">
            <v>78</v>
          </cell>
          <cell r="AD738">
            <v>164</v>
          </cell>
          <cell r="AE738">
            <v>278</v>
          </cell>
          <cell r="AF738">
            <v>64</v>
          </cell>
          <cell r="AG738">
            <v>179</v>
          </cell>
          <cell r="AH738">
            <v>154</v>
          </cell>
          <cell r="AI738">
            <v>207</v>
          </cell>
          <cell r="AJ738">
            <v>313</v>
          </cell>
        </row>
        <row r="739">
          <cell r="E739" t="str">
            <v>CT Residential Distillate Fuel</v>
          </cell>
          <cell r="F739">
            <v>79080</v>
          </cell>
          <cell r="G739">
            <v>75757</v>
          </cell>
          <cell r="H739">
            <v>90990</v>
          </cell>
          <cell r="I739">
            <v>85806</v>
          </cell>
          <cell r="J739">
            <v>81344</v>
          </cell>
          <cell r="K739">
            <v>72912</v>
          </cell>
          <cell r="L739">
            <v>76838</v>
          </cell>
          <cell r="M739">
            <v>75366</v>
          </cell>
          <cell r="N739">
            <v>64356</v>
          </cell>
          <cell r="O739">
            <v>75096</v>
          </cell>
          <cell r="P739">
            <v>82179</v>
          </cell>
          <cell r="Q739">
            <v>79155</v>
          </cell>
          <cell r="R739">
            <v>76199</v>
          </cell>
          <cell r="S739">
            <v>91726</v>
          </cell>
          <cell r="T739">
            <v>99025</v>
          </cell>
          <cell r="U739">
            <v>86783</v>
          </cell>
          <cell r="V739">
            <v>74828</v>
          </cell>
          <cell r="W739">
            <v>75405</v>
          </cell>
          <cell r="X739">
            <v>72934</v>
          </cell>
          <cell r="Y739">
            <v>71766</v>
          </cell>
          <cell r="Z739">
            <v>65811</v>
          </cell>
          <cell r="AA739">
            <v>59203</v>
          </cell>
          <cell r="AB739">
            <v>54568</v>
          </cell>
          <cell r="AC739">
            <v>57598</v>
          </cell>
          <cell r="AD739">
            <v>58038</v>
          </cell>
          <cell r="AE739">
            <v>60485</v>
          </cell>
          <cell r="AF739">
            <v>45306</v>
          </cell>
          <cell r="AG739">
            <v>45050</v>
          </cell>
          <cell r="AH739">
            <v>54680</v>
          </cell>
          <cell r="AI739">
            <v>53200</v>
          </cell>
          <cell r="AJ739">
            <v>46423</v>
          </cell>
        </row>
        <row r="740">
          <cell r="E740" t="str">
            <v>DC Residential Distillate Fuel</v>
          </cell>
          <cell r="F740">
            <v>1034</v>
          </cell>
          <cell r="G740">
            <v>1113</v>
          </cell>
          <cell r="H740">
            <v>1151</v>
          </cell>
          <cell r="I740">
            <v>1021</v>
          </cell>
          <cell r="J740">
            <v>864</v>
          </cell>
          <cell r="K740">
            <v>1655</v>
          </cell>
          <cell r="L740">
            <v>1759</v>
          </cell>
          <cell r="M740">
            <v>1502</v>
          </cell>
          <cell r="N740">
            <v>1369</v>
          </cell>
          <cell r="O740">
            <v>1214</v>
          </cell>
          <cell r="P740">
            <v>1268</v>
          </cell>
          <cell r="Q740">
            <v>1158</v>
          </cell>
          <cell r="R740">
            <v>2047</v>
          </cell>
          <cell r="S740">
            <v>2108</v>
          </cell>
          <cell r="T740">
            <v>2251</v>
          </cell>
          <cell r="U740">
            <v>2040</v>
          </cell>
          <cell r="V740">
            <v>1061</v>
          </cell>
          <cell r="W740">
            <v>1185</v>
          </cell>
          <cell r="X740">
            <v>833</v>
          </cell>
          <cell r="Y740">
            <v>1017</v>
          </cell>
          <cell r="Z740">
            <v>1214</v>
          </cell>
          <cell r="AA740">
            <v>206</v>
          </cell>
          <cell r="AB740">
            <v>1061</v>
          </cell>
          <cell r="AC740">
            <v>822</v>
          </cell>
          <cell r="AD740">
            <v>804</v>
          </cell>
          <cell r="AE740">
            <v>1074</v>
          </cell>
          <cell r="AF740">
            <v>108</v>
          </cell>
          <cell r="AG740">
            <v>91</v>
          </cell>
          <cell r="AH740">
            <v>681</v>
          </cell>
          <cell r="AI740">
            <v>51</v>
          </cell>
          <cell r="AJ740">
            <v>40</v>
          </cell>
        </row>
        <row r="741">
          <cell r="E741" t="str">
            <v>DE Residential Distillate Fuel</v>
          </cell>
          <cell r="F741">
            <v>6693</v>
          </cell>
          <cell r="G741">
            <v>6856</v>
          </cell>
          <cell r="H741">
            <v>7052</v>
          </cell>
          <cell r="I741">
            <v>7052</v>
          </cell>
          <cell r="J741">
            <v>7637</v>
          </cell>
          <cell r="K741">
            <v>6478</v>
          </cell>
          <cell r="L741">
            <v>6351</v>
          </cell>
          <cell r="M741">
            <v>5268</v>
          </cell>
          <cell r="N741">
            <v>4682</v>
          </cell>
          <cell r="O741">
            <v>5305</v>
          </cell>
          <cell r="P741">
            <v>6625</v>
          </cell>
          <cell r="Q741">
            <v>5842</v>
          </cell>
          <cell r="R741">
            <v>5759</v>
          </cell>
          <cell r="S741">
            <v>6336</v>
          </cell>
          <cell r="T741">
            <v>5615</v>
          </cell>
          <cell r="U741">
            <v>5281</v>
          </cell>
          <cell r="V741">
            <v>4100</v>
          </cell>
          <cell r="W741">
            <v>3691</v>
          </cell>
          <cell r="X741">
            <v>3354</v>
          </cell>
          <cell r="Y741">
            <v>3436</v>
          </cell>
          <cell r="Z741">
            <v>3321</v>
          </cell>
          <cell r="AA741">
            <v>2677</v>
          </cell>
          <cell r="AB741">
            <v>2092</v>
          </cell>
          <cell r="AC741">
            <v>2484</v>
          </cell>
          <cell r="AD741">
            <v>2687</v>
          </cell>
          <cell r="AE741">
            <v>2812</v>
          </cell>
          <cell r="AF741">
            <v>2050</v>
          </cell>
          <cell r="AG741">
            <v>1764</v>
          </cell>
          <cell r="AH741">
            <v>2493</v>
          </cell>
          <cell r="AI741">
            <v>2470</v>
          </cell>
          <cell r="AJ741">
            <v>1806</v>
          </cell>
        </row>
        <row r="742">
          <cell r="E742" t="str">
            <v>FL Residential Distillate Fuel</v>
          </cell>
          <cell r="F742">
            <v>1616</v>
          </cell>
          <cell r="G742">
            <v>1601</v>
          </cell>
          <cell r="H742">
            <v>2095</v>
          </cell>
          <cell r="I742">
            <v>1985</v>
          </cell>
          <cell r="J742">
            <v>1612</v>
          </cell>
          <cell r="K742">
            <v>1326</v>
          </cell>
          <cell r="L742">
            <v>1240</v>
          </cell>
          <cell r="M742">
            <v>845</v>
          </cell>
          <cell r="N742">
            <v>634</v>
          </cell>
          <cell r="O742">
            <v>586</v>
          </cell>
          <cell r="P742">
            <v>693</v>
          </cell>
          <cell r="Q742">
            <v>707</v>
          </cell>
          <cell r="R742">
            <v>544</v>
          </cell>
          <cell r="S742">
            <v>667</v>
          </cell>
          <cell r="T742">
            <v>741</v>
          </cell>
          <cell r="U742">
            <v>574</v>
          </cell>
          <cell r="V742">
            <v>488</v>
          </cell>
          <cell r="W742">
            <v>291</v>
          </cell>
          <cell r="X742">
            <v>163</v>
          </cell>
          <cell r="Y742">
            <v>220</v>
          </cell>
          <cell r="Z742">
            <v>260</v>
          </cell>
          <cell r="AA742">
            <v>156</v>
          </cell>
          <cell r="AB742">
            <v>79</v>
          </cell>
          <cell r="AC742">
            <v>63</v>
          </cell>
          <cell r="AD742">
            <v>102</v>
          </cell>
          <cell r="AE742">
            <v>81</v>
          </cell>
          <cell r="AF742">
            <v>71</v>
          </cell>
          <cell r="AG742">
            <v>52</v>
          </cell>
          <cell r="AH742">
            <v>57</v>
          </cell>
          <cell r="AI742">
            <v>68</v>
          </cell>
          <cell r="AJ742">
            <v>41</v>
          </cell>
        </row>
        <row r="743">
          <cell r="E743" t="str">
            <v>GA Residential Distillate Fuel</v>
          </cell>
          <cell r="F743">
            <v>1729</v>
          </cell>
          <cell r="G743">
            <v>1203</v>
          </cell>
          <cell r="H743">
            <v>1203</v>
          </cell>
          <cell r="I743">
            <v>1463</v>
          </cell>
          <cell r="J743">
            <v>730</v>
          </cell>
          <cell r="K743">
            <v>955</v>
          </cell>
          <cell r="L743">
            <v>878</v>
          </cell>
          <cell r="M743">
            <v>460</v>
          </cell>
          <cell r="N743">
            <v>544</v>
          </cell>
          <cell r="O743">
            <v>318</v>
          </cell>
          <cell r="P743">
            <v>417</v>
          </cell>
          <cell r="Q743">
            <v>354</v>
          </cell>
          <cell r="R743">
            <v>320</v>
          </cell>
          <cell r="S743">
            <v>225</v>
          </cell>
          <cell r="T743">
            <v>234</v>
          </cell>
          <cell r="U743">
            <v>242</v>
          </cell>
          <cell r="V743">
            <v>178</v>
          </cell>
          <cell r="W743">
            <v>164</v>
          </cell>
          <cell r="X743">
            <v>187</v>
          </cell>
          <cell r="Y743">
            <v>159</v>
          </cell>
          <cell r="Z743">
            <v>122</v>
          </cell>
          <cell r="AA743">
            <v>141</v>
          </cell>
          <cell r="AB743">
            <v>57</v>
          </cell>
          <cell r="AC743">
            <v>133</v>
          </cell>
          <cell r="AD743">
            <v>73</v>
          </cell>
          <cell r="AE743">
            <v>68</v>
          </cell>
          <cell r="AF743">
            <v>79</v>
          </cell>
          <cell r="AG743">
            <v>61</v>
          </cell>
          <cell r="AH743">
            <v>104</v>
          </cell>
          <cell r="AI743">
            <v>43</v>
          </cell>
          <cell r="AJ743">
            <v>57</v>
          </cell>
        </row>
        <row r="744">
          <cell r="E744" t="str">
            <v>HI Residential Distillate Fuel</v>
          </cell>
          <cell r="F744">
            <v>2</v>
          </cell>
          <cell r="G744">
            <v>2</v>
          </cell>
          <cell r="H744">
            <v>2</v>
          </cell>
          <cell r="I744">
            <v>11</v>
          </cell>
          <cell r="J744">
            <v>10</v>
          </cell>
          <cell r="K744">
            <v>10</v>
          </cell>
          <cell r="L744">
            <v>1</v>
          </cell>
          <cell r="M744">
            <v>3</v>
          </cell>
          <cell r="N744">
            <v>2</v>
          </cell>
          <cell r="O744">
            <v>2</v>
          </cell>
          <cell r="P744">
            <v>2</v>
          </cell>
          <cell r="Q744">
            <v>2</v>
          </cell>
          <cell r="R744">
            <v>2</v>
          </cell>
          <cell r="S744">
            <v>2</v>
          </cell>
          <cell r="T744">
            <v>2</v>
          </cell>
          <cell r="U744">
            <v>1</v>
          </cell>
          <cell r="V744">
            <v>19</v>
          </cell>
          <cell r="W744">
            <v>19</v>
          </cell>
          <cell r="X744">
            <v>30</v>
          </cell>
          <cell r="Y744">
            <v>16</v>
          </cell>
          <cell r="Z744">
            <v>1</v>
          </cell>
          <cell r="AA744">
            <v>1</v>
          </cell>
          <cell r="AB744">
            <v>0</v>
          </cell>
          <cell r="AC744">
            <v>0</v>
          </cell>
          <cell r="AD744">
            <v>0</v>
          </cell>
          <cell r="AE744">
            <v>2</v>
          </cell>
          <cell r="AF744">
            <v>0</v>
          </cell>
          <cell r="AG744">
            <v>1</v>
          </cell>
          <cell r="AH744">
            <v>0</v>
          </cell>
          <cell r="AI744">
            <v>0</v>
          </cell>
          <cell r="AJ744">
            <v>0</v>
          </cell>
        </row>
        <row r="745">
          <cell r="E745" t="str">
            <v>IA Residential Distillate Fuel</v>
          </cell>
          <cell r="F745">
            <v>5391</v>
          </cell>
          <cell r="G745">
            <v>5153</v>
          </cell>
          <cell r="H745">
            <v>4500</v>
          </cell>
          <cell r="I745">
            <v>4798</v>
          </cell>
          <cell r="J745">
            <v>5158</v>
          </cell>
          <cell r="K745">
            <v>4544</v>
          </cell>
          <cell r="L745">
            <v>4505</v>
          </cell>
          <cell r="M745">
            <v>4217</v>
          </cell>
          <cell r="N745">
            <v>3201</v>
          </cell>
          <cell r="O745">
            <v>3124</v>
          </cell>
          <cell r="P745">
            <v>2802</v>
          </cell>
          <cell r="Q745">
            <v>2413</v>
          </cell>
          <cell r="R745">
            <v>3376</v>
          </cell>
          <cell r="S745">
            <v>2263</v>
          </cell>
          <cell r="T745">
            <v>1871</v>
          </cell>
          <cell r="U745">
            <v>1317</v>
          </cell>
          <cell r="V745">
            <v>1399</v>
          </cell>
          <cell r="W745">
            <v>1325</v>
          </cell>
          <cell r="X745">
            <v>1652</v>
          </cell>
          <cell r="Y745">
            <v>1052</v>
          </cell>
          <cell r="Z745">
            <v>1102</v>
          </cell>
          <cell r="AA745">
            <v>1457</v>
          </cell>
          <cell r="AB745">
            <v>739</v>
          </cell>
          <cell r="AC745">
            <v>739</v>
          </cell>
          <cell r="AD745">
            <v>775</v>
          </cell>
          <cell r="AE745">
            <v>780</v>
          </cell>
          <cell r="AF745">
            <v>623</v>
          </cell>
          <cell r="AG745">
            <v>974</v>
          </cell>
          <cell r="AH745">
            <v>912</v>
          </cell>
          <cell r="AI745">
            <v>848</v>
          </cell>
          <cell r="AJ745">
            <v>650</v>
          </cell>
        </row>
        <row r="746">
          <cell r="E746" t="str">
            <v>ID Residential Distillate Fuel</v>
          </cell>
          <cell r="F746">
            <v>3118</v>
          </cell>
          <cell r="G746">
            <v>3302</v>
          </cell>
          <cell r="H746">
            <v>2745</v>
          </cell>
          <cell r="I746">
            <v>3165</v>
          </cell>
          <cell r="J746">
            <v>2571</v>
          </cell>
          <cell r="K746">
            <v>2561</v>
          </cell>
          <cell r="L746">
            <v>2273</v>
          </cell>
          <cell r="M746">
            <v>2529</v>
          </cell>
          <cell r="N746">
            <v>2167</v>
          </cell>
          <cell r="O746">
            <v>2767</v>
          </cell>
          <cell r="P746">
            <v>2305</v>
          </cell>
          <cell r="Q746">
            <v>2127</v>
          </cell>
          <cell r="R746">
            <v>2039</v>
          </cell>
          <cell r="S746">
            <v>1880</v>
          </cell>
          <cell r="T746">
            <v>2410</v>
          </cell>
          <cell r="U746">
            <v>1874</v>
          </cell>
          <cell r="V746">
            <v>2167</v>
          </cell>
          <cell r="W746">
            <v>1435</v>
          </cell>
          <cell r="X746">
            <v>1317</v>
          </cell>
          <cell r="Y746">
            <v>988</v>
          </cell>
          <cell r="Z746">
            <v>905</v>
          </cell>
          <cell r="AA746">
            <v>1051</v>
          </cell>
          <cell r="AB746">
            <v>821</v>
          </cell>
          <cell r="AC746">
            <v>755</v>
          </cell>
          <cell r="AD746">
            <v>730</v>
          </cell>
          <cell r="AE746">
            <v>713</v>
          </cell>
          <cell r="AF746">
            <v>739</v>
          </cell>
          <cell r="AG746">
            <v>651</v>
          </cell>
          <cell r="AH746">
            <v>510</v>
          </cell>
          <cell r="AI746">
            <v>392</v>
          </cell>
          <cell r="AJ746">
            <v>507</v>
          </cell>
        </row>
        <row r="747">
          <cell r="E747" t="str">
            <v>IL Residential Distillate Fuel</v>
          </cell>
          <cell r="F747">
            <v>8120</v>
          </cell>
          <cell r="G747">
            <v>7133</v>
          </cell>
          <cell r="H747">
            <v>5774</v>
          </cell>
          <cell r="I747">
            <v>4332</v>
          </cell>
          <cell r="J747">
            <v>4279</v>
          </cell>
          <cell r="K747">
            <v>4429</v>
          </cell>
          <cell r="L747">
            <v>4342</v>
          </cell>
          <cell r="M747">
            <v>4121</v>
          </cell>
          <cell r="N747">
            <v>2431</v>
          </cell>
          <cell r="O747">
            <v>2955</v>
          </cell>
          <cell r="P747">
            <v>2397</v>
          </cell>
          <cell r="Q747">
            <v>1860</v>
          </cell>
          <cell r="R747">
            <v>1536</v>
          </cell>
          <cell r="S747">
            <v>1475</v>
          </cell>
          <cell r="T747">
            <v>1768</v>
          </cell>
          <cell r="U747">
            <v>1233</v>
          </cell>
          <cell r="V747">
            <v>1043</v>
          </cell>
          <cell r="W747">
            <v>895</v>
          </cell>
          <cell r="X747">
            <v>1173</v>
          </cell>
          <cell r="Y747">
            <v>674</v>
          </cell>
          <cell r="Z747">
            <v>675</v>
          </cell>
          <cell r="AA747">
            <v>635</v>
          </cell>
          <cell r="AB747">
            <v>378</v>
          </cell>
          <cell r="AC747">
            <v>444</v>
          </cell>
          <cell r="AD747">
            <v>488</v>
          </cell>
          <cell r="AE747">
            <v>411</v>
          </cell>
          <cell r="AF747">
            <v>426</v>
          </cell>
          <cell r="AG747">
            <v>424</v>
          </cell>
          <cell r="AH747">
            <v>490</v>
          </cell>
          <cell r="AI747">
            <v>372</v>
          </cell>
          <cell r="AJ747">
            <v>309</v>
          </cell>
        </row>
        <row r="748">
          <cell r="E748" t="str">
            <v>IN Residential Distillate Fuel</v>
          </cell>
          <cell r="F748">
            <v>11635</v>
          </cell>
          <cell r="G748">
            <v>11258</v>
          </cell>
          <cell r="H748">
            <v>10964</v>
          </cell>
          <cell r="I748">
            <v>12334</v>
          </cell>
          <cell r="J748">
            <v>9686</v>
          </cell>
          <cell r="K748">
            <v>8590</v>
          </cell>
          <cell r="L748">
            <v>8423</v>
          </cell>
          <cell r="M748">
            <v>7357</v>
          </cell>
          <cell r="N748">
            <v>6136</v>
          </cell>
          <cell r="O748">
            <v>6094</v>
          </cell>
          <cell r="P748">
            <v>5678</v>
          </cell>
          <cell r="Q748">
            <v>4533</v>
          </cell>
          <cell r="R748">
            <v>4904</v>
          </cell>
          <cell r="S748">
            <v>6836</v>
          </cell>
          <cell r="T748">
            <v>5913</v>
          </cell>
          <cell r="U748">
            <v>5227</v>
          </cell>
          <cell r="V748">
            <v>3558</v>
          </cell>
          <cell r="W748">
            <v>2758</v>
          </cell>
          <cell r="X748">
            <v>3413</v>
          </cell>
          <cell r="Y748">
            <v>1756</v>
          </cell>
          <cell r="Z748">
            <v>1494</v>
          </cell>
          <cell r="AA748">
            <v>1598</v>
          </cell>
          <cell r="AB748">
            <v>1372</v>
          </cell>
          <cell r="AC748">
            <v>1226</v>
          </cell>
          <cell r="AD748">
            <v>1191</v>
          </cell>
          <cell r="AE748">
            <v>1235</v>
          </cell>
          <cell r="AF748">
            <v>908</v>
          </cell>
          <cell r="AG748">
            <v>944</v>
          </cell>
          <cell r="AH748">
            <v>1151</v>
          </cell>
          <cell r="AI748">
            <v>1280</v>
          </cell>
          <cell r="AJ748">
            <v>1056</v>
          </cell>
        </row>
        <row r="749">
          <cell r="E749" t="str">
            <v>KS Residential Distillate Fuel</v>
          </cell>
          <cell r="F749">
            <v>164</v>
          </cell>
          <cell r="G749">
            <v>136</v>
          </cell>
          <cell r="H749">
            <v>167</v>
          </cell>
          <cell r="I749">
            <v>159</v>
          </cell>
          <cell r="J749">
            <v>144</v>
          </cell>
          <cell r="K749">
            <v>83</v>
          </cell>
          <cell r="L749">
            <v>101</v>
          </cell>
          <cell r="M749">
            <v>206</v>
          </cell>
          <cell r="N749">
            <v>66</v>
          </cell>
          <cell r="O749">
            <v>80</v>
          </cell>
          <cell r="P749">
            <v>99</v>
          </cell>
          <cell r="Q749">
            <v>259</v>
          </cell>
          <cell r="R749">
            <v>209</v>
          </cell>
          <cell r="S749">
            <v>107</v>
          </cell>
          <cell r="T749">
            <v>75</v>
          </cell>
          <cell r="U749">
            <v>21</v>
          </cell>
          <cell r="V749">
            <v>17</v>
          </cell>
          <cell r="W749">
            <v>13</v>
          </cell>
          <cell r="X749">
            <v>21</v>
          </cell>
          <cell r="Y749">
            <v>25</v>
          </cell>
          <cell r="Z749">
            <v>15</v>
          </cell>
          <cell r="AA749">
            <v>42</v>
          </cell>
          <cell r="AB749">
            <v>45</v>
          </cell>
          <cell r="AC749">
            <v>17</v>
          </cell>
          <cell r="AD749">
            <v>6</v>
          </cell>
          <cell r="AE749">
            <v>21</v>
          </cell>
          <cell r="AF749">
            <v>8</v>
          </cell>
          <cell r="AG749">
            <v>19</v>
          </cell>
          <cell r="AH749">
            <v>9</v>
          </cell>
          <cell r="AI749">
            <v>18</v>
          </cell>
          <cell r="AJ749">
            <v>16</v>
          </cell>
        </row>
        <row r="750">
          <cell r="E750" t="str">
            <v>KY Residential Distillate Fuel</v>
          </cell>
          <cell r="F750">
            <v>4360</v>
          </cell>
          <cell r="G750">
            <v>4086</v>
          </cell>
          <cell r="H750">
            <v>4443</v>
          </cell>
          <cell r="I750">
            <v>4553</v>
          </cell>
          <cell r="J750">
            <v>4327</v>
          </cell>
          <cell r="K750">
            <v>4206</v>
          </cell>
          <cell r="L750">
            <v>3855</v>
          </cell>
          <cell r="M750">
            <v>3828</v>
          </cell>
          <cell r="N750">
            <v>3404</v>
          </cell>
          <cell r="O750">
            <v>3045</v>
          </cell>
          <cell r="P750">
            <v>3068</v>
          </cell>
          <cell r="Q750">
            <v>2655</v>
          </cell>
          <cell r="R750">
            <v>2358</v>
          </cell>
          <cell r="S750">
            <v>2910</v>
          </cell>
          <cell r="T750">
            <v>2560</v>
          </cell>
          <cell r="U750">
            <v>2152</v>
          </cell>
          <cell r="V750">
            <v>1478</v>
          </cell>
          <cell r="W750">
            <v>1419</v>
          </cell>
          <cell r="X750">
            <v>1335</v>
          </cell>
          <cell r="Y750">
            <v>1854</v>
          </cell>
          <cell r="Z750">
            <v>650</v>
          </cell>
          <cell r="AA750">
            <v>1560</v>
          </cell>
          <cell r="AB750">
            <v>462</v>
          </cell>
          <cell r="AC750">
            <v>611</v>
          </cell>
          <cell r="AD750">
            <v>581</v>
          </cell>
          <cell r="AE750">
            <v>639</v>
          </cell>
          <cell r="AF750">
            <v>537</v>
          </cell>
          <cell r="AG750">
            <v>526</v>
          </cell>
          <cell r="AH750">
            <v>421</v>
          </cell>
          <cell r="AI750">
            <v>501</v>
          </cell>
          <cell r="AJ750">
            <v>384</v>
          </cell>
        </row>
        <row r="751">
          <cell r="E751" t="str">
            <v>LA Residential Distillate Fuel</v>
          </cell>
          <cell r="F751">
            <v>37</v>
          </cell>
          <cell r="G751">
            <v>8</v>
          </cell>
          <cell r="H751">
            <v>0</v>
          </cell>
          <cell r="I751">
            <v>0</v>
          </cell>
          <cell r="J751">
            <v>64</v>
          </cell>
          <cell r="K751">
            <v>8</v>
          </cell>
          <cell r="L751">
            <v>4</v>
          </cell>
          <cell r="M751">
            <v>1</v>
          </cell>
          <cell r="N751">
            <v>6</v>
          </cell>
          <cell r="O751">
            <v>20</v>
          </cell>
          <cell r="P751">
            <v>8</v>
          </cell>
          <cell r="Q751">
            <v>9</v>
          </cell>
          <cell r="R751">
            <v>51</v>
          </cell>
          <cell r="S751">
            <v>25</v>
          </cell>
          <cell r="T751">
            <v>24</v>
          </cell>
          <cell r="U751">
            <v>28</v>
          </cell>
          <cell r="V751">
            <v>33</v>
          </cell>
          <cell r="W751">
            <v>30</v>
          </cell>
          <cell r="X751">
            <v>343</v>
          </cell>
          <cell r="Y751">
            <v>147</v>
          </cell>
          <cell r="Z751">
            <v>20</v>
          </cell>
          <cell r="AA751">
            <v>5</v>
          </cell>
          <cell r="AB751">
            <v>7</v>
          </cell>
          <cell r="AC751">
            <v>12</v>
          </cell>
          <cell r="AD751">
            <v>12</v>
          </cell>
          <cell r="AE751">
            <v>37</v>
          </cell>
          <cell r="AF751">
            <v>38</v>
          </cell>
          <cell r="AG751">
            <v>44</v>
          </cell>
          <cell r="AH751">
            <v>8</v>
          </cell>
          <cell r="AI751">
            <v>30</v>
          </cell>
          <cell r="AJ751">
            <v>33</v>
          </cell>
        </row>
        <row r="752">
          <cell r="E752" t="str">
            <v>MA Residential Distillate Fuel</v>
          </cell>
          <cell r="F752">
            <v>119643</v>
          </cell>
          <cell r="G752">
            <v>112198</v>
          </cell>
          <cell r="H752">
            <v>127415</v>
          </cell>
          <cell r="I752">
            <v>127526</v>
          </cell>
          <cell r="J752">
            <v>127959</v>
          </cell>
          <cell r="K752">
            <v>116772</v>
          </cell>
          <cell r="L752">
            <v>106865</v>
          </cell>
          <cell r="M752">
            <v>106692</v>
          </cell>
          <cell r="N752">
            <v>98802</v>
          </cell>
          <cell r="O752">
            <v>103724</v>
          </cell>
          <cell r="P752">
            <v>118967</v>
          </cell>
          <cell r="Q752">
            <v>129723</v>
          </cell>
          <cell r="R752">
            <v>128403</v>
          </cell>
          <cell r="S752">
            <v>121126</v>
          </cell>
          <cell r="T752">
            <v>112501</v>
          </cell>
          <cell r="U752">
            <v>107197</v>
          </cell>
          <cell r="V752">
            <v>90789</v>
          </cell>
          <cell r="W752">
            <v>91860</v>
          </cell>
          <cell r="X752">
            <v>91281</v>
          </cell>
          <cell r="Y752">
            <v>82474</v>
          </cell>
          <cell r="Z752">
            <v>84276</v>
          </cell>
          <cell r="AA752">
            <v>81990</v>
          </cell>
          <cell r="AB752">
            <v>68752</v>
          </cell>
          <cell r="AC752">
            <v>74087</v>
          </cell>
          <cell r="AD752">
            <v>84050</v>
          </cell>
          <cell r="AE752">
            <v>83347</v>
          </cell>
          <cell r="AF752">
            <v>64658</v>
          </cell>
          <cell r="AG752">
            <v>70691</v>
          </cell>
          <cell r="AH752">
            <v>76683</v>
          </cell>
          <cell r="AI752">
            <v>75793</v>
          </cell>
          <cell r="AJ752">
            <v>68021</v>
          </cell>
        </row>
        <row r="753">
          <cell r="E753" t="str">
            <v>MD Residential Distillate Fuel</v>
          </cell>
          <cell r="F753">
            <v>29649</v>
          </cell>
          <cell r="G753">
            <v>28190</v>
          </cell>
          <cell r="H753">
            <v>30191</v>
          </cell>
          <cell r="I753">
            <v>32494</v>
          </cell>
          <cell r="J753">
            <v>32272</v>
          </cell>
          <cell r="K753">
            <v>28650</v>
          </cell>
          <cell r="L753">
            <v>33822</v>
          </cell>
          <cell r="M753">
            <v>29191</v>
          </cell>
          <cell r="N753">
            <v>25103</v>
          </cell>
          <cell r="O753">
            <v>27163</v>
          </cell>
          <cell r="P753">
            <v>28312</v>
          </cell>
          <cell r="Q753">
            <v>27917</v>
          </cell>
          <cell r="R753">
            <v>25604</v>
          </cell>
          <cell r="S753">
            <v>24696</v>
          </cell>
          <cell r="T753">
            <v>23839</v>
          </cell>
          <cell r="U753">
            <v>23833</v>
          </cell>
          <cell r="V753">
            <v>19645</v>
          </cell>
          <cell r="W753">
            <v>19382</v>
          </cell>
          <cell r="X753">
            <v>18972</v>
          </cell>
          <cell r="Y753">
            <v>19049</v>
          </cell>
          <cell r="Z753">
            <v>19802</v>
          </cell>
          <cell r="AA753">
            <v>15492</v>
          </cell>
          <cell r="AB753">
            <v>13321</v>
          </cell>
          <cell r="AC753">
            <v>15949</v>
          </cell>
          <cell r="AD753">
            <v>18602</v>
          </cell>
          <cell r="AE753">
            <v>19389</v>
          </cell>
          <cell r="AF753">
            <v>11548</v>
          </cell>
          <cell r="AG753">
            <v>10426</v>
          </cell>
          <cell r="AH753">
            <v>14502</v>
          </cell>
          <cell r="AI753">
            <v>10199</v>
          </cell>
          <cell r="AJ753">
            <v>10732</v>
          </cell>
        </row>
        <row r="754">
          <cell r="E754" t="str">
            <v>ME Residential Distillate Fuel</v>
          </cell>
          <cell r="F754">
            <v>34872</v>
          </cell>
          <cell r="G754">
            <v>34773</v>
          </cell>
          <cell r="H754">
            <v>35773</v>
          </cell>
          <cell r="I754">
            <v>35547</v>
          </cell>
          <cell r="J754">
            <v>36530</v>
          </cell>
          <cell r="K754">
            <v>44389</v>
          </cell>
          <cell r="L754">
            <v>43935</v>
          </cell>
          <cell r="M754">
            <v>43111</v>
          </cell>
          <cell r="N754">
            <v>43948</v>
          </cell>
          <cell r="O754">
            <v>43312</v>
          </cell>
          <cell r="P754">
            <v>40483</v>
          </cell>
          <cell r="Q754">
            <v>39861</v>
          </cell>
          <cell r="R754">
            <v>39271</v>
          </cell>
          <cell r="S754">
            <v>52945</v>
          </cell>
          <cell r="T754">
            <v>57485</v>
          </cell>
          <cell r="U754">
            <v>49036</v>
          </cell>
          <cell r="V754">
            <v>43124</v>
          </cell>
          <cell r="W754">
            <v>41952</v>
          </cell>
          <cell r="X754">
            <v>34618</v>
          </cell>
          <cell r="Y754">
            <v>31205</v>
          </cell>
          <cell r="Z754">
            <v>26971</v>
          </cell>
          <cell r="AA754">
            <v>29244</v>
          </cell>
          <cell r="AB754">
            <v>24252</v>
          </cell>
          <cell r="AC754">
            <v>25426</v>
          </cell>
          <cell r="AD754">
            <v>25972</v>
          </cell>
          <cell r="AE754">
            <v>32314</v>
          </cell>
          <cell r="AF754">
            <v>30611</v>
          </cell>
          <cell r="AG754">
            <v>31488</v>
          </cell>
          <cell r="AH754">
            <v>32098</v>
          </cell>
          <cell r="AI754">
            <v>30281</v>
          </cell>
          <cell r="AJ754">
            <v>28856</v>
          </cell>
        </row>
        <row r="755">
          <cell r="E755" t="str">
            <v>MI Residential Distillate Fuel</v>
          </cell>
          <cell r="F755">
            <v>28202</v>
          </cell>
          <cell r="G755">
            <v>26484</v>
          </cell>
          <cell r="H755">
            <v>24461</v>
          </cell>
          <cell r="I755">
            <v>24249</v>
          </cell>
          <cell r="J755">
            <v>21370</v>
          </cell>
          <cell r="K755">
            <v>22202</v>
          </cell>
          <cell r="L755">
            <v>22457</v>
          </cell>
          <cell r="M755">
            <v>21312</v>
          </cell>
          <cell r="N755">
            <v>15439</v>
          </cell>
          <cell r="O755">
            <v>17425</v>
          </cell>
          <cell r="P755">
            <v>16889</v>
          </cell>
          <cell r="Q755">
            <v>15444</v>
          </cell>
          <cell r="R755">
            <v>12874</v>
          </cell>
          <cell r="S755">
            <v>13284</v>
          </cell>
          <cell r="T755">
            <v>11868</v>
          </cell>
          <cell r="U755">
            <v>11317</v>
          </cell>
          <cell r="V755">
            <v>8725</v>
          </cell>
          <cell r="W755">
            <v>7932</v>
          </cell>
          <cell r="X755">
            <v>6980</v>
          </cell>
          <cell r="Y755">
            <v>5249</v>
          </cell>
          <cell r="Z755">
            <v>3889</v>
          </cell>
          <cell r="AA755">
            <v>3868</v>
          </cell>
          <cell r="AB755">
            <v>2648</v>
          </cell>
          <cell r="AC755">
            <v>3231</v>
          </cell>
          <cell r="AD755">
            <v>4039</v>
          </cell>
          <cell r="AE755">
            <v>2947</v>
          </cell>
          <cell r="AF755">
            <v>2652</v>
          </cell>
          <cell r="AG755">
            <v>2495</v>
          </cell>
          <cell r="AH755">
            <v>2755</v>
          </cell>
          <cell r="AI755">
            <v>3070</v>
          </cell>
          <cell r="AJ755">
            <v>2852</v>
          </cell>
        </row>
        <row r="756">
          <cell r="E756" t="str">
            <v>MN Residential Distillate Fuel</v>
          </cell>
          <cell r="F756">
            <v>21806</v>
          </cell>
          <cell r="G756">
            <v>23811</v>
          </cell>
          <cell r="H756">
            <v>19799</v>
          </cell>
          <cell r="I756">
            <v>18760</v>
          </cell>
          <cell r="J756">
            <v>17937</v>
          </cell>
          <cell r="K756">
            <v>17955</v>
          </cell>
          <cell r="L756">
            <v>20085</v>
          </cell>
          <cell r="M756">
            <v>17066</v>
          </cell>
          <cell r="N756">
            <v>14791</v>
          </cell>
          <cell r="O756">
            <v>12231</v>
          </cell>
          <cell r="P756">
            <v>13350</v>
          </cell>
          <cell r="Q756">
            <v>13311</v>
          </cell>
          <cell r="R756">
            <v>12893</v>
          </cell>
          <cell r="S756">
            <v>14044</v>
          </cell>
          <cell r="T756">
            <v>13677</v>
          </cell>
          <cell r="U756">
            <v>11382</v>
          </cell>
          <cell r="V756">
            <v>8945</v>
          </cell>
          <cell r="W756">
            <v>8932</v>
          </cell>
          <cell r="X756">
            <v>9888</v>
          </cell>
          <cell r="Y756">
            <v>5881</v>
          </cell>
          <cell r="Z756">
            <v>6750</v>
          </cell>
          <cell r="AA756">
            <v>5697</v>
          </cell>
          <cell r="AB756">
            <v>4732</v>
          </cell>
          <cell r="AC756">
            <v>5569</v>
          </cell>
          <cell r="AD756">
            <v>5166</v>
          </cell>
          <cell r="AE756">
            <v>4435</v>
          </cell>
          <cell r="AF756">
            <v>4556</v>
          </cell>
          <cell r="AG756">
            <v>3613</v>
          </cell>
          <cell r="AH756">
            <v>3969</v>
          </cell>
          <cell r="AI756">
            <v>3225</v>
          </cell>
          <cell r="AJ756">
            <v>2880</v>
          </cell>
        </row>
        <row r="757">
          <cell r="E757" t="str">
            <v>MO Residential Distillate Fuel</v>
          </cell>
          <cell r="F757">
            <v>2400</v>
          </cell>
          <cell r="G757">
            <v>2498</v>
          </cell>
          <cell r="H757">
            <v>2069</v>
          </cell>
          <cell r="I757">
            <v>2419</v>
          </cell>
          <cell r="J757">
            <v>1873</v>
          </cell>
          <cell r="K757">
            <v>2540</v>
          </cell>
          <cell r="L757">
            <v>1923</v>
          </cell>
          <cell r="M757">
            <v>1809</v>
          </cell>
          <cell r="N757">
            <v>1710</v>
          </cell>
          <cell r="O757">
            <v>1783</v>
          </cell>
          <cell r="P757">
            <v>1794</v>
          </cell>
          <cell r="Q757">
            <v>2352</v>
          </cell>
          <cell r="R757">
            <v>1688</v>
          </cell>
          <cell r="S757">
            <v>1199</v>
          </cell>
          <cell r="T757">
            <v>1120</v>
          </cell>
          <cell r="U757">
            <v>938</v>
          </cell>
          <cell r="V757">
            <v>876</v>
          </cell>
          <cell r="W757">
            <v>827</v>
          </cell>
          <cell r="X757">
            <v>593</v>
          </cell>
          <cell r="Y757">
            <v>438</v>
          </cell>
          <cell r="Z757">
            <v>367</v>
          </cell>
          <cell r="AA757">
            <v>318</v>
          </cell>
          <cell r="AB757">
            <v>270</v>
          </cell>
          <cell r="AC757">
            <v>255</v>
          </cell>
          <cell r="AD757">
            <v>239</v>
          </cell>
          <cell r="AE757">
            <v>155</v>
          </cell>
          <cell r="AF757">
            <v>113</v>
          </cell>
          <cell r="AG757">
            <v>91</v>
          </cell>
          <cell r="AH757">
            <v>129</v>
          </cell>
          <cell r="AI757">
            <v>74</v>
          </cell>
          <cell r="AJ757">
            <v>53</v>
          </cell>
        </row>
        <row r="758">
          <cell r="E758" t="str">
            <v>MS Residential Distillate Fuel</v>
          </cell>
          <cell r="F758">
            <v>5</v>
          </cell>
          <cell r="G758">
            <v>8</v>
          </cell>
          <cell r="H758">
            <v>6</v>
          </cell>
          <cell r="I758">
            <v>14</v>
          </cell>
          <cell r="J758">
            <v>6</v>
          </cell>
          <cell r="K758">
            <v>3</v>
          </cell>
          <cell r="L758">
            <v>4</v>
          </cell>
          <cell r="M758">
            <v>2</v>
          </cell>
          <cell r="N758">
            <v>6</v>
          </cell>
          <cell r="O758">
            <v>11</v>
          </cell>
          <cell r="P758">
            <v>8</v>
          </cell>
          <cell r="Q758">
            <v>32</v>
          </cell>
          <cell r="R758">
            <v>6</v>
          </cell>
          <cell r="S758">
            <v>6</v>
          </cell>
          <cell r="T758">
            <v>30</v>
          </cell>
          <cell r="U758">
            <v>48</v>
          </cell>
          <cell r="V758">
            <v>1</v>
          </cell>
          <cell r="W758">
            <v>2</v>
          </cell>
          <cell r="X758">
            <v>2</v>
          </cell>
          <cell r="Y758">
            <v>1</v>
          </cell>
          <cell r="Z758">
            <v>1</v>
          </cell>
          <cell r="AA758">
            <v>1</v>
          </cell>
          <cell r="AB758">
            <v>1</v>
          </cell>
          <cell r="AC758">
            <v>1</v>
          </cell>
          <cell r="AD758">
            <v>1</v>
          </cell>
          <cell r="AE758">
            <v>1</v>
          </cell>
          <cell r="AF758">
            <v>1</v>
          </cell>
          <cell r="AG758">
            <v>1</v>
          </cell>
          <cell r="AH758">
            <v>0</v>
          </cell>
          <cell r="AI758">
            <v>0</v>
          </cell>
          <cell r="AJ758">
            <v>0</v>
          </cell>
        </row>
        <row r="759">
          <cell r="E759" t="str">
            <v>MT Residential Distillate Fuel</v>
          </cell>
          <cell r="F759">
            <v>1697</v>
          </cell>
          <cell r="G759">
            <v>1671</v>
          </cell>
          <cell r="H759">
            <v>1048</v>
          </cell>
          <cell r="I759">
            <v>1365</v>
          </cell>
          <cell r="J759">
            <v>928</v>
          </cell>
          <cell r="K759">
            <v>1266</v>
          </cell>
          <cell r="L759">
            <v>1894</v>
          </cell>
          <cell r="M759">
            <v>3986</v>
          </cell>
          <cell r="N759">
            <v>2352</v>
          </cell>
          <cell r="O759">
            <v>1310</v>
          </cell>
          <cell r="P759">
            <v>988</v>
          </cell>
          <cell r="Q759">
            <v>989</v>
          </cell>
          <cell r="R759">
            <v>713</v>
          </cell>
          <cell r="S759">
            <v>1138</v>
          </cell>
          <cell r="T759">
            <v>1086</v>
          </cell>
          <cell r="U759">
            <v>985</v>
          </cell>
          <cell r="V759">
            <v>1139</v>
          </cell>
          <cell r="W759">
            <v>1138</v>
          </cell>
          <cell r="X759">
            <v>1433</v>
          </cell>
          <cell r="Y759">
            <v>665</v>
          </cell>
          <cell r="Z759">
            <v>628</v>
          </cell>
          <cell r="AA759">
            <v>572</v>
          </cell>
          <cell r="AB759">
            <v>538</v>
          </cell>
          <cell r="AC759">
            <v>459</v>
          </cell>
          <cell r="AD759">
            <v>365</v>
          </cell>
          <cell r="AE759">
            <v>404</v>
          </cell>
          <cell r="AF759">
            <v>388</v>
          </cell>
          <cell r="AG759">
            <v>382</v>
          </cell>
          <cell r="AH759">
            <v>339</v>
          </cell>
          <cell r="AI759">
            <v>368</v>
          </cell>
          <cell r="AJ759">
            <v>270</v>
          </cell>
        </row>
        <row r="760">
          <cell r="E760" t="str">
            <v>NC Residential Distillate Fuel</v>
          </cell>
          <cell r="F760">
            <v>24612</v>
          </cell>
          <cell r="G760">
            <v>21585</v>
          </cell>
          <cell r="H760">
            <v>23714</v>
          </cell>
          <cell r="I760">
            <v>22990</v>
          </cell>
          <cell r="J760">
            <v>21091</v>
          </cell>
          <cell r="K760">
            <v>23413</v>
          </cell>
          <cell r="L760">
            <v>24776</v>
          </cell>
          <cell r="M760">
            <v>19940</v>
          </cell>
          <cell r="N760">
            <v>17417</v>
          </cell>
          <cell r="O760">
            <v>17270</v>
          </cell>
          <cell r="P760">
            <v>18841</v>
          </cell>
          <cell r="Q760">
            <v>18145</v>
          </cell>
          <cell r="R760">
            <v>16338</v>
          </cell>
          <cell r="S760">
            <v>17790</v>
          </cell>
          <cell r="T760">
            <v>16686</v>
          </cell>
          <cell r="U760">
            <v>12960</v>
          </cell>
          <cell r="V760">
            <v>11781</v>
          </cell>
          <cell r="W760">
            <v>11407</v>
          </cell>
          <cell r="X760">
            <v>10536</v>
          </cell>
          <cell r="Y760">
            <v>7343</v>
          </cell>
          <cell r="Z760">
            <v>8222</v>
          </cell>
          <cell r="AA760">
            <v>5947</v>
          </cell>
          <cell r="AB760">
            <v>4594</v>
          </cell>
          <cell r="AC760">
            <v>4939</v>
          </cell>
          <cell r="AD760">
            <v>4870</v>
          </cell>
          <cell r="AE760">
            <v>9052</v>
          </cell>
          <cell r="AF760">
            <v>7502</v>
          </cell>
          <cell r="AG760">
            <v>4038</v>
          </cell>
          <cell r="AH760">
            <v>4379</v>
          </cell>
          <cell r="AI760">
            <v>4053</v>
          </cell>
          <cell r="AJ760">
            <v>3600</v>
          </cell>
        </row>
        <row r="761">
          <cell r="E761" t="str">
            <v>ND Residential Distillate Fuel</v>
          </cell>
          <cell r="F761">
            <v>5716</v>
          </cell>
          <cell r="G761">
            <v>5241</v>
          </cell>
          <cell r="H761">
            <v>3710</v>
          </cell>
          <cell r="I761">
            <v>4392</v>
          </cell>
          <cell r="J761">
            <v>3884</v>
          </cell>
          <cell r="K761">
            <v>4172</v>
          </cell>
          <cell r="L761">
            <v>4760</v>
          </cell>
          <cell r="M761">
            <v>3503</v>
          </cell>
          <cell r="N761">
            <v>3094</v>
          </cell>
          <cell r="O761">
            <v>2821</v>
          </cell>
          <cell r="P761">
            <v>3282</v>
          </cell>
          <cell r="Q761">
            <v>2861</v>
          </cell>
          <cell r="R761">
            <v>2470</v>
          </cell>
          <cell r="S761">
            <v>3009</v>
          </cell>
          <cell r="T761">
            <v>3384</v>
          </cell>
          <cell r="U761">
            <v>2677</v>
          </cell>
          <cell r="V761">
            <v>2679</v>
          </cell>
          <cell r="W761">
            <v>2716</v>
          </cell>
          <cell r="X761">
            <v>3874</v>
          </cell>
          <cell r="Y761">
            <v>1845</v>
          </cell>
          <cell r="Z761">
            <v>1473</v>
          </cell>
          <cell r="AA761">
            <v>1114</v>
          </cell>
          <cell r="AB761">
            <v>806</v>
          </cell>
          <cell r="AC761">
            <v>987</v>
          </cell>
          <cell r="AD761">
            <v>891</v>
          </cell>
          <cell r="AE761">
            <v>742</v>
          </cell>
          <cell r="AF761">
            <v>759</v>
          </cell>
          <cell r="AG761">
            <v>786</v>
          </cell>
          <cell r="AH761">
            <v>741</v>
          </cell>
          <cell r="AI761">
            <v>818</v>
          </cell>
          <cell r="AJ761">
            <v>862</v>
          </cell>
        </row>
        <row r="762">
          <cell r="E762" t="str">
            <v>NE Residential Distillate Fuel</v>
          </cell>
          <cell r="F762">
            <v>1142</v>
          </cell>
          <cell r="G762">
            <v>1147</v>
          </cell>
          <cell r="H762">
            <v>840</v>
          </cell>
          <cell r="I762">
            <v>980</v>
          </cell>
          <cell r="J762">
            <v>853</v>
          </cell>
          <cell r="K762">
            <v>512</v>
          </cell>
          <cell r="L762">
            <v>658</v>
          </cell>
          <cell r="M762">
            <v>524</v>
          </cell>
          <cell r="N762">
            <v>376</v>
          </cell>
          <cell r="O762">
            <v>447</v>
          </cell>
          <cell r="P762">
            <v>642</v>
          </cell>
          <cell r="Q762">
            <v>473</v>
          </cell>
          <cell r="R762">
            <v>396</v>
          </cell>
          <cell r="S762">
            <v>521</v>
          </cell>
          <cell r="T762">
            <v>560</v>
          </cell>
          <cell r="U762">
            <v>514</v>
          </cell>
          <cell r="V762">
            <v>590</v>
          </cell>
          <cell r="W762">
            <v>304</v>
          </cell>
          <cell r="X762">
            <v>318</v>
          </cell>
          <cell r="Y762">
            <v>205</v>
          </cell>
          <cell r="Z762">
            <v>160</v>
          </cell>
          <cell r="AA762">
            <v>138</v>
          </cell>
          <cell r="AB762">
            <v>102</v>
          </cell>
          <cell r="AC762">
            <v>114</v>
          </cell>
          <cell r="AD762">
            <v>101</v>
          </cell>
          <cell r="AE762">
            <v>83</v>
          </cell>
          <cell r="AF762">
            <v>76</v>
          </cell>
          <cell r="AG762">
            <v>84</v>
          </cell>
          <cell r="AH762">
            <v>77</v>
          </cell>
          <cell r="AI762">
            <v>70</v>
          </cell>
          <cell r="AJ762">
            <v>64</v>
          </cell>
        </row>
        <row r="763">
          <cell r="E763" t="str">
            <v>NH Residential Distillate Fuel</v>
          </cell>
          <cell r="F763">
            <v>23497</v>
          </cell>
          <cell r="G763">
            <v>24042</v>
          </cell>
          <cell r="H763">
            <v>24942</v>
          </cell>
          <cell r="I763">
            <v>23699</v>
          </cell>
          <cell r="J763">
            <v>24694</v>
          </cell>
          <cell r="K763">
            <v>25888</v>
          </cell>
          <cell r="L763">
            <v>27021</v>
          </cell>
          <cell r="M763">
            <v>26978</v>
          </cell>
          <cell r="N763">
            <v>25132</v>
          </cell>
          <cell r="O763">
            <v>26362</v>
          </cell>
          <cell r="P763">
            <v>26632</v>
          </cell>
          <cell r="Q763">
            <v>26317</v>
          </cell>
          <cell r="R763">
            <v>24228</v>
          </cell>
          <cell r="S763">
            <v>29749</v>
          </cell>
          <cell r="T763">
            <v>31043</v>
          </cell>
          <cell r="U763">
            <v>27897</v>
          </cell>
          <cell r="V763">
            <v>24589</v>
          </cell>
          <cell r="W763">
            <v>23532</v>
          </cell>
          <cell r="X763">
            <v>22857</v>
          </cell>
          <cell r="Y763">
            <v>19589</v>
          </cell>
          <cell r="Z763">
            <v>17527</v>
          </cell>
          <cell r="AA763">
            <v>18924</v>
          </cell>
          <cell r="AB763">
            <v>13901</v>
          </cell>
          <cell r="AC763">
            <v>17241</v>
          </cell>
          <cell r="AD763">
            <v>20046</v>
          </cell>
          <cell r="AE763">
            <v>21046</v>
          </cell>
          <cell r="AF763">
            <v>20185</v>
          </cell>
          <cell r="AG763">
            <v>23734</v>
          </cell>
          <cell r="AH763">
            <v>25471</v>
          </cell>
          <cell r="AI763">
            <v>24547</v>
          </cell>
          <cell r="AJ763">
            <v>23307</v>
          </cell>
        </row>
        <row r="764">
          <cell r="E764" t="str">
            <v>NJ Residential Distillate Fuel</v>
          </cell>
          <cell r="F764">
            <v>79575</v>
          </cell>
          <cell r="G764">
            <v>74634</v>
          </cell>
          <cell r="H764">
            <v>75861</v>
          </cell>
          <cell r="I764">
            <v>71662</v>
          </cell>
          <cell r="J764">
            <v>79893</v>
          </cell>
          <cell r="K764">
            <v>70013</v>
          </cell>
          <cell r="L764">
            <v>70824</v>
          </cell>
          <cell r="M764">
            <v>66118</v>
          </cell>
          <cell r="N764">
            <v>53111</v>
          </cell>
          <cell r="O764">
            <v>56855</v>
          </cell>
          <cell r="P764">
            <v>59519</v>
          </cell>
          <cell r="Q764">
            <v>55099</v>
          </cell>
          <cell r="R764">
            <v>52661</v>
          </cell>
          <cell r="S764">
            <v>61769</v>
          </cell>
          <cell r="T764">
            <v>57652</v>
          </cell>
          <cell r="U764">
            <v>51202</v>
          </cell>
          <cell r="V764">
            <v>41080</v>
          </cell>
          <cell r="W764">
            <v>43538</v>
          </cell>
          <cell r="X764">
            <v>46076</v>
          </cell>
          <cell r="Y764">
            <v>38354</v>
          </cell>
          <cell r="Z764">
            <v>31454</v>
          </cell>
          <cell r="AA764">
            <v>26516</v>
          </cell>
          <cell r="AB764">
            <v>24235</v>
          </cell>
          <cell r="AC764">
            <v>25447</v>
          </cell>
          <cell r="AD764">
            <v>28599</v>
          </cell>
          <cell r="AE764">
            <v>28328</v>
          </cell>
          <cell r="AF764">
            <v>18748</v>
          </cell>
          <cell r="AG764">
            <v>18726</v>
          </cell>
          <cell r="AH764">
            <v>24777</v>
          </cell>
          <cell r="AI764">
            <v>24086</v>
          </cell>
          <cell r="AJ764">
            <v>19841</v>
          </cell>
        </row>
        <row r="765">
          <cell r="E765" t="str">
            <v>NM Residential Distillate Fuel</v>
          </cell>
          <cell r="F765">
            <v>48</v>
          </cell>
          <cell r="G765">
            <v>38</v>
          </cell>
          <cell r="H765">
            <v>63</v>
          </cell>
          <cell r="I765">
            <v>30</v>
          </cell>
          <cell r="J765">
            <v>40</v>
          </cell>
          <cell r="K765">
            <v>17</v>
          </cell>
          <cell r="L765">
            <v>16</v>
          </cell>
          <cell r="M765">
            <v>16</v>
          </cell>
          <cell r="N765">
            <v>12</v>
          </cell>
          <cell r="O765">
            <v>117</v>
          </cell>
          <cell r="P765">
            <v>36</v>
          </cell>
          <cell r="Q765">
            <v>27</v>
          </cell>
          <cell r="R765">
            <v>41</v>
          </cell>
          <cell r="S765">
            <v>18</v>
          </cell>
          <cell r="T765">
            <v>23</v>
          </cell>
          <cell r="U765">
            <v>21</v>
          </cell>
          <cell r="V765">
            <v>18</v>
          </cell>
          <cell r="W765">
            <v>21</v>
          </cell>
          <cell r="X765">
            <v>13</v>
          </cell>
          <cell r="Y765">
            <v>8</v>
          </cell>
          <cell r="Z765">
            <v>7</v>
          </cell>
          <cell r="AA765">
            <v>5</v>
          </cell>
          <cell r="AB765">
            <v>4</v>
          </cell>
          <cell r="AC765">
            <v>10</v>
          </cell>
          <cell r="AD765">
            <v>7</v>
          </cell>
          <cell r="AE765">
            <v>9</v>
          </cell>
          <cell r="AF765">
            <v>6</v>
          </cell>
          <cell r="AG765">
            <v>4</v>
          </cell>
          <cell r="AH765">
            <v>4</v>
          </cell>
          <cell r="AI765">
            <v>11</v>
          </cell>
          <cell r="AJ765">
            <v>10</v>
          </cell>
        </row>
        <row r="766">
          <cell r="E766" t="str">
            <v>NV Residential Distillate Fuel</v>
          </cell>
          <cell r="F766">
            <v>1241</v>
          </cell>
          <cell r="G766">
            <v>1283</v>
          </cell>
          <cell r="H766">
            <v>1440</v>
          </cell>
          <cell r="I766">
            <v>1548</v>
          </cell>
          <cell r="J766">
            <v>1358</v>
          </cell>
          <cell r="K766">
            <v>1024</v>
          </cell>
          <cell r="L766">
            <v>1154</v>
          </cell>
          <cell r="M766">
            <v>1514</v>
          </cell>
          <cell r="N766">
            <v>1586</v>
          </cell>
          <cell r="O766">
            <v>1211</v>
          </cell>
          <cell r="P766">
            <v>1233</v>
          </cell>
          <cell r="Q766">
            <v>1271</v>
          </cell>
          <cell r="R766">
            <v>1210</v>
          </cell>
          <cell r="S766">
            <v>990</v>
          </cell>
          <cell r="T766">
            <v>992</v>
          </cell>
          <cell r="U766">
            <v>1187</v>
          </cell>
          <cell r="V766">
            <v>913</v>
          </cell>
          <cell r="W766">
            <v>850</v>
          </cell>
          <cell r="X766">
            <v>923</v>
          </cell>
          <cell r="Y766">
            <v>678</v>
          </cell>
          <cell r="Z766">
            <v>562</v>
          </cell>
          <cell r="AA766">
            <v>428</v>
          </cell>
          <cell r="AB766">
            <v>301</v>
          </cell>
          <cell r="AC766">
            <v>167</v>
          </cell>
          <cell r="AD766">
            <v>147</v>
          </cell>
          <cell r="AE766">
            <v>188</v>
          </cell>
          <cell r="AF766">
            <v>221</v>
          </cell>
          <cell r="AG766">
            <v>241</v>
          </cell>
          <cell r="AH766">
            <v>224</v>
          </cell>
          <cell r="AI766">
            <v>266</v>
          </cell>
          <cell r="AJ766">
            <v>258</v>
          </cell>
        </row>
        <row r="767">
          <cell r="E767" t="str">
            <v>NY Residential Distillate Fuel</v>
          </cell>
          <cell r="F767">
            <v>183602</v>
          </cell>
          <cell r="G767">
            <v>168711</v>
          </cell>
          <cell r="H767">
            <v>189622</v>
          </cell>
          <cell r="I767">
            <v>178348</v>
          </cell>
          <cell r="J767">
            <v>173253</v>
          </cell>
          <cell r="K767">
            <v>166594</v>
          </cell>
          <cell r="L767">
            <v>175995</v>
          </cell>
          <cell r="M767">
            <v>170915</v>
          </cell>
          <cell r="N767">
            <v>155002</v>
          </cell>
          <cell r="O767">
            <v>164950</v>
          </cell>
          <cell r="P767">
            <v>205000</v>
          </cell>
          <cell r="Q767">
            <v>212407</v>
          </cell>
          <cell r="R767">
            <v>191404</v>
          </cell>
          <cell r="S767">
            <v>202941</v>
          </cell>
          <cell r="T767">
            <v>199339</v>
          </cell>
          <cell r="U767">
            <v>203942</v>
          </cell>
          <cell r="V767">
            <v>155503</v>
          </cell>
          <cell r="W767">
            <v>174107</v>
          </cell>
          <cell r="X767">
            <v>162643</v>
          </cell>
          <cell r="Y767">
            <v>119904</v>
          </cell>
          <cell r="Z767">
            <v>114236</v>
          </cell>
          <cell r="AA767">
            <v>106482</v>
          </cell>
          <cell r="AB767">
            <v>126543</v>
          </cell>
          <cell r="AC767">
            <v>104880</v>
          </cell>
          <cell r="AD767">
            <v>113428</v>
          </cell>
          <cell r="AE767">
            <v>121811</v>
          </cell>
          <cell r="AF767">
            <v>89296</v>
          </cell>
          <cell r="AG767">
            <v>83584</v>
          </cell>
          <cell r="AH767">
            <v>107668</v>
          </cell>
          <cell r="AI767">
            <v>105675</v>
          </cell>
          <cell r="AJ767">
            <v>77677</v>
          </cell>
        </row>
        <row r="768">
          <cell r="E768" t="str">
            <v>OH Residential Distillate Fuel</v>
          </cell>
          <cell r="F768">
            <v>27610</v>
          </cell>
          <cell r="G768">
            <v>24526</v>
          </cell>
          <cell r="H768">
            <v>26943</v>
          </cell>
          <cell r="I768">
            <v>26142</v>
          </cell>
          <cell r="J768">
            <v>25942</v>
          </cell>
          <cell r="K768">
            <v>23270</v>
          </cell>
          <cell r="L768">
            <v>21982</v>
          </cell>
          <cell r="M768">
            <v>19353</v>
          </cell>
          <cell r="N768">
            <v>16833</v>
          </cell>
          <cell r="O768">
            <v>19974</v>
          </cell>
          <cell r="P768">
            <v>17454</v>
          </cell>
          <cell r="Q768">
            <v>16086</v>
          </cell>
          <cell r="R768">
            <v>18477</v>
          </cell>
          <cell r="S768">
            <v>19440</v>
          </cell>
          <cell r="T768">
            <v>19479</v>
          </cell>
          <cell r="U768">
            <v>16641</v>
          </cell>
          <cell r="V768">
            <v>12749</v>
          </cell>
          <cell r="W768">
            <v>14543</v>
          </cell>
          <cell r="X768">
            <v>13291</v>
          </cell>
          <cell r="Y768">
            <v>10387</v>
          </cell>
          <cell r="Z768">
            <v>9616</v>
          </cell>
          <cell r="AA768">
            <v>9019</v>
          </cell>
          <cell r="AB768">
            <v>7387</v>
          </cell>
          <cell r="AC768">
            <v>7551</v>
          </cell>
          <cell r="AD768">
            <v>8080</v>
          </cell>
          <cell r="AE768">
            <v>8181</v>
          </cell>
          <cell r="AF768">
            <v>7307</v>
          </cell>
          <cell r="AG768">
            <v>7714</v>
          </cell>
          <cell r="AH768">
            <v>8611</v>
          </cell>
          <cell r="AI768">
            <v>8304</v>
          </cell>
          <cell r="AJ768">
            <v>7402</v>
          </cell>
        </row>
        <row r="769">
          <cell r="E769" t="str">
            <v>OK Residential Distillate Fuel</v>
          </cell>
          <cell r="F769">
            <v>1</v>
          </cell>
          <cell r="G769">
            <v>0</v>
          </cell>
          <cell r="H769">
            <v>11</v>
          </cell>
          <cell r="I769">
            <v>1</v>
          </cell>
          <cell r="J769">
            <v>1</v>
          </cell>
          <cell r="K769">
            <v>63</v>
          </cell>
          <cell r="L769">
            <v>135</v>
          </cell>
          <cell r="M769">
            <v>21</v>
          </cell>
          <cell r="N769">
            <v>7</v>
          </cell>
          <cell r="O769">
            <v>12</v>
          </cell>
          <cell r="P769">
            <v>14</v>
          </cell>
          <cell r="Q769">
            <v>15</v>
          </cell>
          <cell r="R769">
            <v>11</v>
          </cell>
          <cell r="S769">
            <v>6</v>
          </cell>
          <cell r="T769">
            <v>5</v>
          </cell>
          <cell r="U769">
            <v>6</v>
          </cell>
          <cell r="V769">
            <v>6</v>
          </cell>
          <cell r="W769">
            <v>174</v>
          </cell>
          <cell r="X769">
            <v>6</v>
          </cell>
          <cell r="Y769">
            <v>17</v>
          </cell>
          <cell r="Z769">
            <v>15</v>
          </cell>
          <cell r="AA769">
            <v>74</v>
          </cell>
          <cell r="AB769">
            <v>42</v>
          </cell>
          <cell r="AC769">
            <v>37</v>
          </cell>
          <cell r="AD769">
            <v>21</v>
          </cell>
          <cell r="AE769">
            <v>6</v>
          </cell>
          <cell r="AF769">
            <v>24</v>
          </cell>
          <cell r="AG769">
            <v>9</v>
          </cell>
          <cell r="AH769">
            <v>12</v>
          </cell>
          <cell r="AI769">
            <v>16</v>
          </cell>
          <cell r="AJ769">
            <v>270</v>
          </cell>
        </row>
        <row r="770">
          <cell r="E770" t="str">
            <v>OR Residential Distillate Fuel</v>
          </cell>
          <cell r="F770">
            <v>9271</v>
          </cell>
          <cell r="G770">
            <v>8624</v>
          </cell>
          <cell r="H770">
            <v>7095</v>
          </cell>
          <cell r="I770">
            <v>8951</v>
          </cell>
          <cell r="J770">
            <v>8405</v>
          </cell>
          <cell r="K770">
            <v>7427</v>
          </cell>
          <cell r="L770">
            <v>7017</v>
          </cell>
          <cell r="M770">
            <v>6237</v>
          </cell>
          <cell r="N770">
            <v>5562</v>
          </cell>
          <cell r="O770">
            <v>6337</v>
          </cell>
          <cell r="P770">
            <v>5719</v>
          </cell>
          <cell r="Q770">
            <v>6126</v>
          </cell>
          <cell r="R770">
            <v>5650</v>
          </cell>
          <cell r="S770">
            <v>5241</v>
          </cell>
          <cell r="T770">
            <v>4421</v>
          </cell>
          <cell r="U770">
            <v>3623</v>
          </cell>
          <cell r="V770">
            <v>3767</v>
          </cell>
          <cell r="W770">
            <v>3227</v>
          </cell>
          <cell r="X770">
            <v>3847</v>
          </cell>
          <cell r="Y770">
            <v>3150</v>
          </cell>
          <cell r="Z770">
            <v>2475</v>
          </cell>
          <cell r="AA770">
            <v>2335</v>
          </cell>
          <cell r="AB770">
            <v>2125</v>
          </cell>
          <cell r="AC770">
            <v>2047</v>
          </cell>
          <cell r="AD770">
            <v>1686</v>
          </cell>
          <cell r="AE770">
            <v>1692</v>
          </cell>
          <cell r="AF770">
            <v>1771</v>
          </cell>
          <cell r="AG770">
            <v>1958</v>
          </cell>
          <cell r="AH770">
            <v>1488</v>
          </cell>
          <cell r="AI770">
            <v>1314</v>
          </cell>
          <cell r="AJ770">
            <v>1272</v>
          </cell>
        </row>
        <row r="771">
          <cell r="E771" t="str">
            <v>PA Residential Distillate Fuel</v>
          </cell>
          <cell r="F771">
            <v>117704</v>
          </cell>
          <cell r="G771">
            <v>117875</v>
          </cell>
          <cell r="H771">
            <v>119474</v>
          </cell>
          <cell r="I771">
            <v>129933</v>
          </cell>
          <cell r="J771">
            <v>128168</v>
          </cell>
          <cell r="K771">
            <v>118190</v>
          </cell>
          <cell r="L771">
            <v>120499</v>
          </cell>
          <cell r="M771">
            <v>111565</v>
          </cell>
          <cell r="N771">
            <v>94456</v>
          </cell>
          <cell r="O771">
            <v>111578</v>
          </cell>
          <cell r="P771">
            <v>121678</v>
          </cell>
          <cell r="Q771">
            <v>121400</v>
          </cell>
          <cell r="R771">
            <v>119310</v>
          </cell>
          <cell r="S771">
            <v>133412</v>
          </cell>
          <cell r="T771">
            <v>130477</v>
          </cell>
          <cell r="U771">
            <v>115753</v>
          </cell>
          <cell r="V771">
            <v>98083</v>
          </cell>
          <cell r="W771">
            <v>99131</v>
          </cell>
          <cell r="X771">
            <v>153354</v>
          </cell>
          <cell r="Y771">
            <v>76863</v>
          </cell>
          <cell r="Z771">
            <v>85432</v>
          </cell>
          <cell r="AA771">
            <v>80568</v>
          </cell>
          <cell r="AB771">
            <v>70781</v>
          </cell>
          <cell r="AC771">
            <v>79295</v>
          </cell>
          <cell r="AD771">
            <v>91046</v>
          </cell>
          <cell r="AE771">
            <v>86789</v>
          </cell>
          <cell r="AF771">
            <v>73049</v>
          </cell>
          <cell r="AG771">
            <v>71250</v>
          </cell>
          <cell r="AH771">
            <v>86087</v>
          </cell>
          <cell r="AI771">
            <v>66666</v>
          </cell>
          <cell r="AJ771">
            <v>59300</v>
          </cell>
        </row>
        <row r="772">
          <cell r="E772" t="str">
            <v>RI Residential Distillate Fuel</v>
          </cell>
          <cell r="F772">
            <v>17676</v>
          </cell>
          <cell r="G772">
            <v>18123</v>
          </cell>
          <cell r="H772">
            <v>22150</v>
          </cell>
          <cell r="I772">
            <v>20376</v>
          </cell>
          <cell r="J772">
            <v>22771</v>
          </cell>
          <cell r="K772">
            <v>20171</v>
          </cell>
          <cell r="L772">
            <v>20250</v>
          </cell>
          <cell r="M772">
            <v>20994</v>
          </cell>
          <cell r="N772">
            <v>18999</v>
          </cell>
          <cell r="O772">
            <v>18395</v>
          </cell>
          <cell r="P772">
            <v>18981</v>
          </cell>
          <cell r="Q772">
            <v>20729</v>
          </cell>
          <cell r="R772">
            <v>19525</v>
          </cell>
          <cell r="S772">
            <v>22215</v>
          </cell>
          <cell r="T772">
            <v>22646</v>
          </cell>
          <cell r="U772">
            <v>21718</v>
          </cell>
          <cell r="V772">
            <v>16655</v>
          </cell>
          <cell r="W772">
            <v>17138</v>
          </cell>
          <cell r="X772">
            <v>16461</v>
          </cell>
          <cell r="Y772">
            <v>17591</v>
          </cell>
          <cell r="Z772">
            <v>16921</v>
          </cell>
          <cell r="AA772">
            <v>15568</v>
          </cell>
          <cell r="AB772">
            <v>15332</v>
          </cell>
          <cell r="AC772">
            <v>16229</v>
          </cell>
          <cell r="AD772">
            <v>15810</v>
          </cell>
          <cell r="AE772">
            <v>17271</v>
          </cell>
          <cell r="AF772">
            <v>10893</v>
          </cell>
          <cell r="AG772">
            <v>10336</v>
          </cell>
          <cell r="AH772">
            <v>14411</v>
          </cell>
          <cell r="AI772">
            <v>11827</v>
          </cell>
          <cell r="AJ772">
            <v>10738</v>
          </cell>
        </row>
        <row r="773">
          <cell r="E773" t="str">
            <v>SC Residential Distillate Fuel</v>
          </cell>
          <cell r="F773">
            <v>6987</v>
          </cell>
          <cell r="G773">
            <v>6730</v>
          </cell>
          <cell r="H773">
            <v>4671</v>
          </cell>
          <cell r="I773">
            <v>5174</v>
          </cell>
          <cell r="J773">
            <v>4325</v>
          </cell>
          <cell r="K773">
            <v>4026</v>
          </cell>
          <cell r="L773">
            <v>4143</v>
          </cell>
          <cell r="M773">
            <v>3112</v>
          </cell>
          <cell r="N773">
            <v>2766</v>
          </cell>
          <cell r="O773">
            <v>2926</v>
          </cell>
          <cell r="P773">
            <v>2807</v>
          </cell>
          <cell r="Q773">
            <v>2440</v>
          </cell>
          <cell r="R773">
            <v>2248</v>
          </cell>
          <cell r="S773">
            <v>2590</v>
          </cell>
          <cell r="T773">
            <v>1674</v>
          </cell>
          <cell r="U773">
            <v>1401</v>
          </cell>
          <cell r="V773">
            <v>1225</v>
          </cell>
          <cell r="W773">
            <v>992</v>
          </cell>
          <cell r="X773">
            <v>885</v>
          </cell>
          <cell r="Y773">
            <v>910</v>
          </cell>
          <cell r="Z773">
            <v>859</v>
          </cell>
          <cell r="AA773">
            <v>639</v>
          </cell>
          <cell r="AB773">
            <v>623</v>
          </cell>
          <cell r="AC773">
            <v>444</v>
          </cell>
          <cell r="AD773">
            <v>239</v>
          </cell>
          <cell r="AE773">
            <v>512</v>
          </cell>
          <cell r="AF773">
            <v>488</v>
          </cell>
          <cell r="AG773">
            <v>462</v>
          </cell>
          <cell r="AH773">
            <v>436</v>
          </cell>
          <cell r="AI773">
            <v>424</v>
          </cell>
          <cell r="AJ773">
            <v>410</v>
          </cell>
        </row>
        <row r="774">
          <cell r="E774" t="str">
            <v>SD Residential Distillate Fuel</v>
          </cell>
          <cell r="F774">
            <v>5451</v>
          </cell>
          <cell r="G774">
            <v>4670</v>
          </cell>
          <cell r="H774">
            <v>2739</v>
          </cell>
          <cell r="I774">
            <v>3459</v>
          </cell>
          <cell r="J774">
            <v>2842</v>
          </cell>
          <cell r="K774">
            <v>2917</v>
          </cell>
          <cell r="L774">
            <v>3627</v>
          </cell>
          <cell r="M774">
            <v>2693</v>
          </cell>
          <cell r="N774">
            <v>2225</v>
          </cell>
          <cell r="O774">
            <v>1956</v>
          </cell>
          <cell r="P774">
            <v>2040</v>
          </cell>
          <cell r="Q774">
            <v>2131</v>
          </cell>
          <cell r="R774">
            <v>1555</v>
          </cell>
          <cell r="S774">
            <v>1828</v>
          </cell>
          <cell r="T774">
            <v>1433</v>
          </cell>
          <cell r="U774">
            <v>1332</v>
          </cell>
          <cell r="V774">
            <v>1273</v>
          </cell>
          <cell r="W774">
            <v>1022</v>
          </cell>
          <cell r="X774">
            <v>1261</v>
          </cell>
          <cell r="Y774">
            <v>727</v>
          </cell>
          <cell r="Z774">
            <v>735</v>
          </cell>
          <cell r="AA774">
            <v>702</v>
          </cell>
          <cell r="AB774">
            <v>628</v>
          </cell>
          <cell r="AC774">
            <v>533</v>
          </cell>
          <cell r="AD774">
            <v>492</v>
          </cell>
          <cell r="AE774">
            <v>475</v>
          </cell>
          <cell r="AF774">
            <v>422</v>
          </cell>
          <cell r="AG774">
            <v>378</v>
          </cell>
          <cell r="AH774">
            <v>656</v>
          </cell>
          <cell r="AI774">
            <v>530</v>
          </cell>
          <cell r="AJ774">
            <v>418</v>
          </cell>
        </row>
        <row r="775">
          <cell r="E775" t="str">
            <v>TN Residential Distillate Fuel</v>
          </cell>
          <cell r="F775">
            <v>1602</v>
          </cell>
          <cell r="G775">
            <v>1559</v>
          </cell>
          <cell r="H775">
            <v>1498</v>
          </cell>
          <cell r="I775">
            <v>1197</v>
          </cell>
          <cell r="J775">
            <v>1602</v>
          </cell>
          <cell r="K775">
            <v>1514</v>
          </cell>
          <cell r="L775">
            <v>1563</v>
          </cell>
          <cell r="M775">
            <v>1377</v>
          </cell>
          <cell r="N775">
            <v>1340</v>
          </cell>
          <cell r="O775">
            <v>1341</v>
          </cell>
          <cell r="P775">
            <v>1014</v>
          </cell>
          <cell r="Q775">
            <v>966</v>
          </cell>
          <cell r="R775">
            <v>668</v>
          </cell>
          <cell r="S775">
            <v>703</v>
          </cell>
          <cell r="T775">
            <v>727</v>
          </cell>
          <cell r="U775">
            <v>592</v>
          </cell>
          <cell r="V775">
            <v>621</v>
          </cell>
          <cell r="W775">
            <v>735</v>
          </cell>
          <cell r="X775">
            <v>924</v>
          </cell>
          <cell r="Y775">
            <v>952</v>
          </cell>
          <cell r="Z775">
            <v>885</v>
          </cell>
          <cell r="AA775">
            <v>262</v>
          </cell>
          <cell r="AB775">
            <v>238</v>
          </cell>
          <cell r="AC775">
            <v>226</v>
          </cell>
          <cell r="AD775">
            <v>223</v>
          </cell>
          <cell r="AE775">
            <v>294</v>
          </cell>
          <cell r="AF775">
            <v>196</v>
          </cell>
          <cell r="AG775">
            <v>227</v>
          </cell>
          <cell r="AH775">
            <v>195</v>
          </cell>
          <cell r="AI775">
            <v>158</v>
          </cell>
          <cell r="AJ775">
            <v>164</v>
          </cell>
        </row>
        <row r="776">
          <cell r="E776" t="str">
            <v>TX Residential Distillate Fuel</v>
          </cell>
          <cell r="F776">
            <v>10</v>
          </cell>
          <cell r="G776">
            <v>14</v>
          </cell>
          <cell r="H776">
            <v>10</v>
          </cell>
          <cell r="I776">
            <v>16</v>
          </cell>
          <cell r="J776">
            <v>31</v>
          </cell>
          <cell r="K776">
            <v>36</v>
          </cell>
          <cell r="L776">
            <v>0</v>
          </cell>
          <cell r="M776">
            <v>1</v>
          </cell>
          <cell r="N776">
            <v>2</v>
          </cell>
          <cell r="O776">
            <v>12</v>
          </cell>
          <cell r="P776">
            <v>16</v>
          </cell>
          <cell r="Q776">
            <v>5</v>
          </cell>
          <cell r="R776">
            <v>23</v>
          </cell>
          <cell r="S776">
            <v>1</v>
          </cell>
          <cell r="T776">
            <v>844</v>
          </cell>
          <cell r="U776">
            <v>28</v>
          </cell>
          <cell r="V776">
            <v>2</v>
          </cell>
          <cell r="W776">
            <v>2</v>
          </cell>
          <cell r="X776">
            <v>2</v>
          </cell>
          <cell r="Y776">
            <v>10</v>
          </cell>
          <cell r="Z776">
            <v>4</v>
          </cell>
          <cell r="AA776">
            <v>18</v>
          </cell>
          <cell r="AB776">
            <v>14</v>
          </cell>
          <cell r="AC776">
            <v>2</v>
          </cell>
          <cell r="AD776">
            <v>8</v>
          </cell>
          <cell r="AE776">
            <v>9</v>
          </cell>
          <cell r="AF776">
            <v>6</v>
          </cell>
          <cell r="AG776">
            <v>6</v>
          </cell>
          <cell r="AH776">
            <v>6</v>
          </cell>
          <cell r="AI776">
            <v>6</v>
          </cell>
          <cell r="AJ776">
            <v>0</v>
          </cell>
        </row>
        <row r="777">
          <cell r="E777" t="str">
            <v>US Residential Distillate Fuel</v>
          </cell>
          <cell r="F777">
            <v>978128</v>
          </cell>
          <cell r="G777">
            <v>930367</v>
          </cell>
          <cell r="H777">
            <v>979662</v>
          </cell>
          <cell r="I777">
            <v>973803</v>
          </cell>
          <cell r="J777">
            <v>958978</v>
          </cell>
          <cell r="K777">
            <v>903979</v>
          </cell>
          <cell r="L777">
            <v>925213</v>
          </cell>
          <cell r="M777">
            <v>873693</v>
          </cell>
          <cell r="N777">
            <v>771112</v>
          </cell>
          <cell r="O777">
            <v>826903</v>
          </cell>
          <cell r="P777">
            <v>903867</v>
          </cell>
          <cell r="Q777">
            <v>907389</v>
          </cell>
          <cell r="R777">
            <v>858949</v>
          </cell>
          <cell r="S777">
            <v>931078</v>
          </cell>
          <cell r="T777">
            <v>922678</v>
          </cell>
          <cell r="U777">
            <v>853158</v>
          </cell>
          <cell r="V777">
            <v>709397</v>
          </cell>
          <cell r="W777">
            <v>720971</v>
          </cell>
          <cell r="X777">
            <v>749804</v>
          </cell>
          <cell r="Y777">
            <v>581780</v>
          </cell>
          <cell r="Z777">
            <v>561211</v>
          </cell>
          <cell r="AA777">
            <v>522150</v>
          </cell>
          <cell r="AB777">
            <v>481746</v>
          </cell>
          <cell r="AC777">
            <v>490509</v>
          </cell>
          <cell r="AD777">
            <v>532068</v>
          </cell>
          <cell r="AE777">
            <v>550275</v>
          </cell>
          <cell r="AF777">
            <v>433539</v>
          </cell>
          <cell r="AG777">
            <v>431255</v>
          </cell>
          <cell r="AH777">
            <v>506421</v>
          </cell>
          <cell r="AI777">
            <v>469604</v>
          </cell>
          <cell r="AJ777">
            <v>407335</v>
          </cell>
        </row>
        <row r="778">
          <cell r="E778" t="str">
            <v>UT Residential Distillate Fuel</v>
          </cell>
          <cell r="F778">
            <v>807</v>
          </cell>
          <cell r="G778">
            <v>758</v>
          </cell>
          <cell r="H778">
            <v>556</v>
          </cell>
          <cell r="I778">
            <v>757</v>
          </cell>
          <cell r="J778">
            <v>553</v>
          </cell>
          <cell r="K778">
            <v>420</v>
          </cell>
          <cell r="L778">
            <v>434</v>
          </cell>
          <cell r="M778">
            <v>511</v>
          </cell>
          <cell r="N778">
            <v>408</v>
          </cell>
          <cell r="O778">
            <v>459</v>
          </cell>
          <cell r="P778">
            <v>461</v>
          </cell>
          <cell r="Q778">
            <v>528</v>
          </cell>
          <cell r="R778">
            <v>480</v>
          </cell>
          <cell r="S778">
            <v>405</v>
          </cell>
          <cell r="T778">
            <v>492</v>
          </cell>
          <cell r="U778">
            <v>151</v>
          </cell>
          <cell r="V778">
            <v>168</v>
          </cell>
          <cell r="W778">
            <v>162</v>
          </cell>
          <cell r="X778">
            <v>99</v>
          </cell>
          <cell r="Y778">
            <v>132</v>
          </cell>
          <cell r="Z778">
            <v>116</v>
          </cell>
          <cell r="AA778">
            <v>136</v>
          </cell>
          <cell r="AB778">
            <v>149</v>
          </cell>
          <cell r="AC778">
            <v>105</v>
          </cell>
          <cell r="AD778">
            <v>117</v>
          </cell>
          <cell r="AE778">
            <v>128</v>
          </cell>
          <cell r="AF778">
            <v>151</v>
          </cell>
          <cell r="AG778">
            <v>130</v>
          </cell>
          <cell r="AH778">
            <v>151</v>
          </cell>
          <cell r="AI778">
            <v>136</v>
          </cell>
          <cell r="AJ778">
            <v>102</v>
          </cell>
        </row>
        <row r="779">
          <cell r="E779" t="str">
            <v>VA Residential Distillate Fuel</v>
          </cell>
          <cell r="F779">
            <v>35350</v>
          </cell>
          <cell r="G779">
            <v>30968</v>
          </cell>
          <cell r="H779">
            <v>32382</v>
          </cell>
          <cell r="I779">
            <v>30805</v>
          </cell>
          <cell r="J779">
            <v>31813</v>
          </cell>
          <cell r="K779">
            <v>30040</v>
          </cell>
          <cell r="L779">
            <v>33582</v>
          </cell>
          <cell r="M779">
            <v>30346</v>
          </cell>
          <cell r="N779">
            <v>29215</v>
          </cell>
          <cell r="O779">
            <v>28811</v>
          </cell>
          <cell r="P779">
            <v>33047</v>
          </cell>
          <cell r="Q779">
            <v>30182</v>
          </cell>
          <cell r="R779">
            <v>28419</v>
          </cell>
          <cell r="S779">
            <v>30843</v>
          </cell>
          <cell r="T779">
            <v>32589</v>
          </cell>
          <cell r="U779">
            <v>31358</v>
          </cell>
          <cell r="V779">
            <v>26254</v>
          </cell>
          <cell r="W779">
            <v>25208</v>
          </cell>
          <cell r="X779">
            <v>23079</v>
          </cell>
          <cell r="Y779">
            <v>17502</v>
          </cell>
          <cell r="Z779">
            <v>18566</v>
          </cell>
          <cell r="AA779">
            <v>16283</v>
          </cell>
          <cell r="AB779">
            <v>12079</v>
          </cell>
          <cell r="AC779">
            <v>13569</v>
          </cell>
          <cell r="AD779">
            <v>14042</v>
          </cell>
          <cell r="AE779">
            <v>12958</v>
          </cell>
          <cell r="AF779">
            <v>9854</v>
          </cell>
          <cell r="AG779">
            <v>8912</v>
          </cell>
          <cell r="AH779">
            <v>11330</v>
          </cell>
          <cell r="AI779">
            <v>9431</v>
          </cell>
          <cell r="AJ779">
            <v>9168</v>
          </cell>
        </row>
        <row r="780">
          <cell r="E780" t="str">
            <v>VT Residential Distillate Fuel</v>
          </cell>
          <cell r="F780">
            <v>13354</v>
          </cell>
          <cell r="G780">
            <v>13729</v>
          </cell>
          <cell r="H780">
            <v>14838</v>
          </cell>
          <cell r="I780">
            <v>14733</v>
          </cell>
          <cell r="J780">
            <v>14037</v>
          </cell>
          <cell r="K780">
            <v>13510</v>
          </cell>
          <cell r="L780">
            <v>13781</v>
          </cell>
          <cell r="M780">
            <v>13437</v>
          </cell>
          <cell r="N780">
            <v>11684</v>
          </cell>
          <cell r="O780">
            <v>11731</v>
          </cell>
          <cell r="P780">
            <v>14259</v>
          </cell>
          <cell r="Q780">
            <v>12916</v>
          </cell>
          <cell r="R780">
            <v>12299</v>
          </cell>
          <cell r="S780">
            <v>13795</v>
          </cell>
          <cell r="T780">
            <v>15686</v>
          </cell>
          <cell r="U780">
            <v>13132</v>
          </cell>
          <cell r="V780">
            <v>12299</v>
          </cell>
          <cell r="W780">
            <v>12478</v>
          </cell>
          <cell r="X780">
            <v>10805</v>
          </cell>
          <cell r="Y780">
            <v>11681</v>
          </cell>
          <cell r="Z780">
            <v>9673</v>
          </cell>
          <cell r="AA780">
            <v>10209</v>
          </cell>
          <cell r="AB780">
            <v>8238</v>
          </cell>
          <cell r="AC780">
            <v>9346</v>
          </cell>
          <cell r="AD780">
            <v>10185</v>
          </cell>
          <cell r="AE780">
            <v>10862</v>
          </cell>
          <cell r="AF780">
            <v>10005</v>
          </cell>
          <cell r="AG780">
            <v>10271</v>
          </cell>
          <cell r="AH780">
            <v>10544</v>
          </cell>
          <cell r="AI780">
            <v>11496</v>
          </cell>
          <cell r="AJ780">
            <v>10763</v>
          </cell>
        </row>
        <row r="781">
          <cell r="E781" t="str">
            <v>WA Residential Distillate Fuel</v>
          </cell>
          <cell r="F781">
            <v>15580</v>
          </cell>
          <cell r="G781">
            <v>14390</v>
          </cell>
          <cell r="H781">
            <v>12139</v>
          </cell>
          <cell r="I781">
            <v>13108</v>
          </cell>
          <cell r="J781">
            <v>13714</v>
          </cell>
          <cell r="K781">
            <v>11660</v>
          </cell>
          <cell r="L781">
            <v>12817</v>
          </cell>
          <cell r="M781">
            <v>10775</v>
          </cell>
          <cell r="N781">
            <v>10224</v>
          </cell>
          <cell r="O781">
            <v>11005</v>
          </cell>
          <cell r="P781">
            <v>10106</v>
          </cell>
          <cell r="Q781">
            <v>11034</v>
          </cell>
          <cell r="R781">
            <v>11034</v>
          </cell>
          <cell r="S781">
            <v>8729</v>
          </cell>
          <cell r="T781">
            <v>7878</v>
          </cell>
          <cell r="U781">
            <v>7273</v>
          </cell>
          <cell r="V781">
            <v>7133</v>
          </cell>
          <cell r="W781">
            <v>6374</v>
          </cell>
          <cell r="X781">
            <v>5880</v>
          </cell>
          <cell r="Y781">
            <v>5614</v>
          </cell>
          <cell r="Z781">
            <v>5465</v>
          </cell>
          <cell r="AA781">
            <v>5025</v>
          </cell>
          <cell r="AB781">
            <v>3644</v>
          </cell>
          <cell r="AC781">
            <v>3498</v>
          </cell>
          <cell r="AD781">
            <v>3767</v>
          </cell>
          <cell r="AE781">
            <v>3526</v>
          </cell>
          <cell r="AF781">
            <v>3535</v>
          </cell>
          <cell r="AG781">
            <v>4803</v>
          </cell>
          <cell r="AH781">
            <v>3493</v>
          </cell>
          <cell r="AI781">
            <v>3624</v>
          </cell>
          <cell r="AJ781">
            <v>3499</v>
          </cell>
        </row>
        <row r="782">
          <cell r="E782" t="str">
            <v>WI Residential Distillate Fuel</v>
          </cell>
          <cell r="F782">
            <v>31365</v>
          </cell>
          <cell r="G782">
            <v>29797</v>
          </cell>
          <cell r="H782">
            <v>27469</v>
          </cell>
          <cell r="I782">
            <v>29998</v>
          </cell>
          <cell r="J782">
            <v>25432</v>
          </cell>
          <cell r="K782">
            <v>21297</v>
          </cell>
          <cell r="L782">
            <v>22517</v>
          </cell>
          <cell r="M782">
            <v>18852</v>
          </cell>
          <cell r="N782">
            <v>16302</v>
          </cell>
          <cell r="O782">
            <v>18855</v>
          </cell>
          <cell r="P782">
            <v>17614</v>
          </cell>
          <cell r="Q782">
            <v>19441</v>
          </cell>
          <cell r="R782">
            <v>16612</v>
          </cell>
          <cell r="S782">
            <v>17629</v>
          </cell>
          <cell r="T782">
            <v>16980</v>
          </cell>
          <cell r="U782">
            <v>15357</v>
          </cell>
          <cell r="V782">
            <v>13724</v>
          </cell>
          <cell r="W782">
            <v>11454</v>
          </cell>
          <cell r="X782">
            <v>11907</v>
          </cell>
          <cell r="Y782">
            <v>7181</v>
          </cell>
          <cell r="Z782">
            <v>6343</v>
          </cell>
          <cell r="AA782">
            <v>5439</v>
          </cell>
          <cell r="AB782">
            <v>4143</v>
          </cell>
          <cell r="AC782">
            <v>4597</v>
          </cell>
          <cell r="AD782">
            <v>5334</v>
          </cell>
          <cell r="AE782">
            <v>4481</v>
          </cell>
          <cell r="AF782">
            <v>4111</v>
          </cell>
          <cell r="AG782">
            <v>4064</v>
          </cell>
          <cell r="AH782">
            <v>5002</v>
          </cell>
          <cell r="AI782">
            <v>4879</v>
          </cell>
          <cell r="AJ782">
            <v>3765</v>
          </cell>
        </row>
        <row r="783">
          <cell r="E783" t="str">
            <v>WV Residential Distillate Fuel</v>
          </cell>
          <cell r="F783">
            <v>3970</v>
          </cell>
          <cell r="G783">
            <v>3623</v>
          </cell>
          <cell r="H783">
            <v>3129</v>
          </cell>
          <cell r="I783">
            <v>3528</v>
          </cell>
          <cell r="J783">
            <v>3782</v>
          </cell>
          <cell r="K783">
            <v>2887</v>
          </cell>
          <cell r="L783">
            <v>3488</v>
          </cell>
          <cell r="M783">
            <v>3512</v>
          </cell>
          <cell r="N783">
            <v>3183</v>
          </cell>
          <cell r="O783">
            <v>2799</v>
          </cell>
          <cell r="P783">
            <v>3052</v>
          </cell>
          <cell r="Q783">
            <v>3026</v>
          </cell>
          <cell r="R783">
            <v>2931</v>
          </cell>
          <cell r="S783">
            <v>2830</v>
          </cell>
          <cell r="T783">
            <v>2500</v>
          </cell>
          <cell r="U783">
            <v>2220</v>
          </cell>
          <cell r="V783">
            <v>2207</v>
          </cell>
          <cell r="W783">
            <v>1909</v>
          </cell>
          <cell r="X783">
            <v>1967</v>
          </cell>
          <cell r="Y783">
            <v>1349</v>
          </cell>
          <cell r="Z783">
            <v>1594</v>
          </cell>
          <cell r="AA783">
            <v>1389</v>
          </cell>
          <cell r="AB783">
            <v>1094</v>
          </cell>
          <cell r="AC783">
            <v>1513</v>
          </cell>
          <cell r="AD783">
            <v>1376</v>
          </cell>
          <cell r="AE783">
            <v>1671</v>
          </cell>
          <cell r="AF783">
            <v>1550</v>
          </cell>
          <cell r="AG783">
            <v>1152</v>
          </cell>
          <cell r="AH783">
            <v>1419</v>
          </cell>
          <cell r="AI783">
            <v>1590</v>
          </cell>
          <cell r="AJ783">
            <v>1461</v>
          </cell>
        </row>
        <row r="784">
          <cell r="E784" t="str">
            <v>WY Residential Distillate Fuel</v>
          </cell>
          <cell r="F784">
            <v>142</v>
          </cell>
          <cell r="G784">
            <v>408</v>
          </cell>
          <cell r="H784">
            <v>282</v>
          </cell>
          <cell r="I784">
            <v>260</v>
          </cell>
          <cell r="J784">
            <v>336</v>
          </cell>
          <cell r="K784">
            <v>276</v>
          </cell>
          <cell r="L784">
            <v>160</v>
          </cell>
          <cell r="M784">
            <v>261</v>
          </cell>
          <cell r="N784">
            <v>147</v>
          </cell>
          <cell r="O784">
            <v>165</v>
          </cell>
          <cell r="P784">
            <v>152</v>
          </cell>
          <cell r="Q784">
            <v>144</v>
          </cell>
          <cell r="R784">
            <v>175</v>
          </cell>
          <cell r="S784">
            <v>171</v>
          </cell>
          <cell r="T784">
            <v>199</v>
          </cell>
          <cell r="U784">
            <v>181</v>
          </cell>
          <cell r="V784">
            <v>220</v>
          </cell>
          <cell r="W784">
            <v>179</v>
          </cell>
          <cell r="X784">
            <v>95</v>
          </cell>
          <cell r="Y784">
            <v>134</v>
          </cell>
          <cell r="Z784">
            <v>146</v>
          </cell>
          <cell r="AA784">
            <v>129</v>
          </cell>
          <cell r="AB784">
            <v>132</v>
          </cell>
          <cell r="AC784">
            <v>181</v>
          </cell>
          <cell r="AD784">
            <v>121</v>
          </cell>
          <cell r="AE784">
            <v>146</v>
          </cell>
          <cell r="AF784">
            <v>116</v>
          </cell>
          <cell r="AG784">
            <v>117</v>
          </cell>
          <cell r="AH784">
            <v>114</v>
          </cell>
          <cell r="AI784">
            <v>107</v>
          </cell>
          <cell r="AJ784">
            <v>72</v>
          </cell>
        </row>
        <row r="785">
          <cell r="E785" t="str">
            <v>AK Electric Power Distillate Fuel</v>
          </cell>
          <cell r="F785">
            <v>2833</v>
          </cell>
          <cell r="G785">
            <v>3085</v>
          </cell>
          <cell r="H785">
            <v>3541</v>
          </cell>
          <cell r="I785">
            <v>3136</v>
          </cell>
          <cell r="J785">
            <v>3336</v>
          </cell>
          <cell r="K785">
            <v>3444</v>
          </cell>
          <cell r="L785">
            <v>3815</v>
          </cell>
          <cell r="M785">
            <v>3481</v>
          </cell>
          <cell r="N785">
            <v>3123</v>
          </cell>
          <cell r="O785">
            <v>3661</v>
          </cell>
          <cell r="P785">
            <v>2413</v>
          </cell>
          <cell r="Q785">
            <v>2873</v>
          </cell>
          <cell r="R785">
            <v>3217</v>
          </cell>
          <cell r="S785">
            <v>2974</v>
          </cell>
          <cell r="T785">
            <v>3079</v>
          </cell>
          <cell r="U785">
            <v>3130</v>
          </cell>
          <cell r="V785">
            <v>3400</v>
          </cell>
          <cell r="W785">
            <v>3664</v>
          </cell>
          <cell r="X785">
            <v>3761</v>
          </cell>
          <cell r="Y785">
            <v>3432</v>
          </cell>
          <cell r="Z785">
            <v>2825</v>
          </cell>
          <cell r="AA785">
            <v>3275</v>
          </cell>
          <cell r="AB785">
            <v>2943</v>
          </cell>
          <cell r="AC785">
            <v>3226</v>
          </cell>
          <cell r="AD785">
            <v>2922</v>
          </cell>
          <cell r="AE785">
            <v>3347</v>
          </cell>
          <cell r="AF785">
            <v>4645</v>
          </cell>
          <cell r="AG785">
            <v>5068</v>
          </cell>
          <cell r="AH785">
            <v>4859</v>
          </cell>
          <cell r="AI785">
            <v>5016</v>
          </cell>
          <cell r="AJ785">
            <v>5826</v>
          </cell>
        </row>
        <row r="786">
          <cell r="E786" t="str">
            <v>AL Electric Power Distillate Fuel</v>
          </cell>
          <cell r="F786">
            <v>773</v>
          </cell>
          <cell r="G786">
            <v>948</v>
          </cell>
          <cell r="H786">
            <v>821</v>
          </cell>
          <cell r="I786">
            <v>757</v>
          </cell>
          <cell r="J786">
            <v>1279</v>
          </cell>
          <cell r="K786">
            <v>1053</v>
          </cell>
          <cell r="L786">
            <v>1745</v>
          </cell>
          <cell r="M786">
            <v>1340</v>
          </cell>
          <cell r="N786">
            <v>2752</v>
          </cell>
          <cell r="O786">
            <v>1725</v>
          </cell>
          <cell r="P786">
            <v>2729</v>
          </cell>
          <cell r="Q786">
            <v>3145</v>
          </cell>
          <cell r="R786">
            <v>2088</v>
          </cell>
          <cell r="S786">
            <v>2679</v>
          </cell>
          <cell r="T786">
            <v>1395</v>
          </cell>
          <cell r="U786">
            <v>1584</v>
          </cell>
          <cell r="V786">
            <v>1028</v>
          </cell>
          <cell r="W786">
            <v>857</v>
          </cell>
          <cell r="X786">
            <v>1244</v>
          </cell>
          <cell r="Y786">
            <v>1022</v>
          </cell>
          <cell r="Z786">
            <v>1239</v>
          </cell>
          <cell r="AA786">
            <v>1080</v>
          </cell>
          <cell r="AB786">
            <v>815</v>
          </cell>
          <cell r="AC786">
            <v>626</v>
          </cell>
          <cell r="AD786">
            <v>1019</v>
          </cell>
          <cell r="AE786">
            <v>724</v>
          </cell>
          <cell r="AF786">
            <v>363</v>
          </cell>
          <cell r="AG786">
            <v>324</v>
          </cell>
          <cell r="AH786">
            <v>794</v>
          </cell>
          <cell r="AI786">
            <v>167</v>
          </cell>
          <cell r="AJ786">
            <v>74</v>
          </cell>
        </row>
        <row r="787">
          <cell r="E787" t="str">
            <v>AR Electric Power Distillate Fuel</v>
          </cell>
          <cell r="F787">
            <v>818</v>
          </cell>
          <cell r="G787">
            <v>742</v>
          </cell>
          <cell r="H787">
            <v>553</v>
          </cell>
          <cell r="I787">
            <v>732</v>
          </cell>
          <cell r="J787">
            <v>710</v>
          </cell>
          <cell r="K787">
            <v>547</v>
          </cell>
          <cell r="L787">
            <v>567</v>
          </cell>
          <cell r="M787">
            <v>584</v>
          </cell>
          <cell r="N787">
            <v>1041</v>
          </cell>
          <cell r="O787">
            <v>973</v>
          </cell>
          <cell r="P787">
            <v>389</v>
          </cell>
          <cell r="Q787">
            <v>475</v>
          </cell>
          <cell r="R787">
            <v>404</v>
          </cell>
          <cell r="S787">
            <v>413</v>
          </cell>
          <cell r="T787">
            <v>362</v>
          </cell>
          <cell r="U787">
            <v>419</v>
          </cell>
          <cell r="V787">
            <v>278</v>
          </cell>
          <cell r="W787">
            <v>363</v>
          </cell>
          <cell r="X787">
            <v>256</v>
          </cell>
          <cell r="Y787">
            <v>371</v>
          </cell>
          <cell r="Z787">
            <v>318</v>
          </cell>
          <cell r="AA787">
            <v>469</v>
          </cell>
          <cell r="AB787">
            <v>305</v>
          </cell>
          <cell r="AC787">
            <v>374</v>
          </cell>
          <cell r="AD787">
            <v>260</v>
          </cell>
          <cell r="AE787">
            <v>564</v>
          </cell>
          <cell r="AF787">
            <v>416</v>
          </cell>
          <cell r="AG787">
            <v>477</v>
          </cell>
          <cell r="AH787">
            <v>321</v>
          </cell>
          <cell r="AI787">
            <v>449</v>
          </cell>
          <cell r="AJ787">
            <v>504</v>
          </cell>
        </row>
        <row r="788">
          <cell r="E788" t="str">
            <v>AZ Electric Power Distillate Fuel</v>
          </cell>
          <cell r="F788">
            <v>1168</v>
          </cell>
          <cell r="G788">
            <v>844</v>
          </cell>
          <cell r="H788">
            <v>717</v>
          </cell>
          <cell r="I788">
            <v>551</v>
          </cell>
          <cell r="J788">
            <v>398</v>
          </cell>
          <cell r="K788">
            <v>621</v>
          </cell>
          <cell r="L788">
            <v>586</v>
          </cell>
          <cell r="M788">
            <v>641</v>
          </cell>
          <cell r="N788">
            <v>679</v>
          </cell>
          <cell r="O788">
            <v>438</v>
          </cell>
          <cell r="P788">
            <v>2075</v>
          </cell>
          <cell r="Q788">
            <v>2531</v>
          </cell>
          <cell r="R788">
            <v>583</v>
          </cell>
          <cell r="S788">
            <v>556</v>
          </cell>
          <cell r="T788">
            <v>484</v>
          </cell>
          <cell r="U788">
            <v>453</v>
          </cell>
          <cell r="V788">
            <v>762</v>
          </cell>
          <cell r="W788">
            <v>490</v>
          </cell>
          <cell r="X788">
            <v>512</v>
          </cell>
          <cell r="Y788">
            <v>599</v>
          </cell>
          <cell r="Z788">
            <v>678</v>
          </cell>
          <cell r="AA788">
            <v>556</v>
          </cell>
          <cell r="AB788">
            <v>437</v>
          </cell>
          <cell r="AC788">
            <v>465</v>
          </cell>
          <cell r="AD788">
            <v>624</v>
          </cell>
          <cell r="AE788">
            <v>532</v>
          </cell>
          <cell r="AF788">
            <v>562</v>
          </cell>
          <cell r="AG788">
            <v>615</v>
          </cell>
          <cell r="AH788">
            <v>546</v>
          </cell>
          <cell r="AI788">
            <v>717</v>
          </cell>
          <cell r="AJ788">
            <v>454</v>
          </cell>
        </row>
        <row r="789">
          <cell r="E789" t="str">
            <v>CA Electric Power Distillate Fuel</v>
          </cell>
          <cell r="F789">
            <v>1538</v>
          </cell>
          <cell r="G789">
            <v>811</v>
          </cell>
          <cell r="H789">
            <v>831</v>
          </cell>
          <cell r="I789">
            <v>722</v>
          </cell>
          <cell r="J789">
            <v>667</v>
          </cell>
          <cell r="K789">
            <v>623</v>
          </cell>
          <cell r="L789">
            <v>842</v>
          </cell>
          <cell r="M789">
            <v>1649</v>
          </cell>
          <cell r="N789">
            <v>1727</v>
          </cell>
          <cell r="O789">
            <v>1621</v>
          </cell>
          <cell r="P789">
            <v>5232</v>
          </cell>
          <cell r="Q789">
            <v>7981</v>
          </cell>
          <cell r="R789">
            <v>1303</v>
          </cell>
          <cell r="S789">
            <v>1481</v>
          </cell>
          <cell r="T789">
            <v>1354</v>
          </cell>
          <cell r="U789">
            <v>1404</v>
          </cell>
          <cell r="V789">
            <v>1168</v>
          </cell>
          <cell r="W789">
            <v>975</v>
          </cell>
          <cell r="X789">
            <v>1012</v>
          </cell>
          <cell r="Y789">
            <v>669</v>
          </cell>
          <cell r="Z789">
            <v>436</v>
          </cell>
          <cell r="AA789">
            <v>365</v>
          </cell>
          <cell r="AB789">
            <v>354</v>
          </cell>
          <cell r="AC789">
            <v>357</v>
          </cell>
          <cell r="AD789">
            <v>379</v>
          </cell>
          <cell r="AE789">
            <v>385</v>
          </cell>
          <cell r="AF789">
            <v>375</v>
          </cell>
          <cell r="AG789">
            <v>391</v>
          </cell>
          <cell r="AH789">
            <v>378</v>
          </cell>
          <cell r="AI789">
            <v>392</v>
          </cell>
          <cell r="AJ789">
            <v>359</v>
          </cell>
        </row>
        <row r="790">
          <cell r="E790" t="str">
            <v>CO Electric Power Distillate Fuel</v>
          </cell>
          <cell r="F790">
            <v>291</v>
          </cell>
          <cell r="G790">
            <v>206</v>
          </cell>
          <cell r="H790">
            <v>280</v>
          </cell>
          <cell r="I790">
            <v>163</v>
          </cell>
          <cell r="J790">
            <v>190</v>
          </cell>
          <cell r="K790">
            <v>163</v>
          </cell>
          <cell r="L790">
            <v>204</v>
          </cell>
          <cell r="M790">
            <v>221</v>
          </cell>
          <cell r="N790">
            <v>497</v>
          </cell>
          <cell r="O790">
            <v>411</v>
          </cell>
          <cell r="P790">
            <v>1105</v>
          </cell>
          <cell r="Q790">
            <v>1967</v>
          </cell>
          <cell r="R790">
            <v>303</v>
          </cell>
          <cell r="S790">
            <v>410</v>
          </cell>
          <cell r="T790">
            <v>177</v>
          </cell>
          <cell r="U790">
            <v>251</v>
          </cell>
          <cell r="V790">
            <v>253</v>
          </cell>
          <cell r="W790">
            <v>373</v>
          </cell>
          <cell r="X790">
            <v>210</v>
          </cell>
          <cell r="Y790">
            <v>142</v>
          </cell>
          <cell r="Z790">
            <v>214</v>
          </cell>
          <cell r="AA790">
            <v>248</v>
          </cell>
          <cell r="AB790">
            <v>133</v>
          </cell>
          <cell r="AC790">
            <v>105</v>
          </cell>
          <cell r="AD790">
            <v>171</v>
          </cell>
          <cell r="AE790">
            <v>86</v>
          </cell>
          <cell r="AF790">
            <v>95</v>
          </cell>
          <cell r="AG790">
            <v>104</v>
          </cell>
          <cell r="AH790">
            <v>163</v>
          </cell>
          <cell r="AI790">
            <v>115</v>
          </cell>
          <cell r="AJ790">
            <v>113</v>
          </cell>
        </row>
        <row r="791">
          <cell r="E791" t="str">
            <v>CT Electric Power Distillate Fuel</v>
          </cell>
          <cell r="F791">
            <v>1156</v>
          </cell>
          <cell r="G791">
            <v>824</v>
          </cell>
          <cell r="H791">
            <v>805</v>
          </cell>
          <cell r="I791">
            <v>670</v>
          </cell>
          <cell r="J791">
            <v>897</v>
          </cell>
          <cell r="K791">
            <v>981</v>
          </cell>
          <cell r="L791">
            <v>659</v>
          </cell>
          <cell r="M791">
            <v>730</v>
          </cell>
          <cell r="N791">
            <v>660</v>
          </cell>
          <cell r="O791">
            <v>2739</v>
          </cell>
          <cell r="P791">
            <v>827</v>
          </cell>
          <cell r="Q791">
            <v>595</v>
          </cell>
          <cell r="R791">
            <v>446</v>
          </cell>
          <cell r="S791">
            <v>1063</v>
          </cell>
          <cell r="T791">
            <v>656</v>
          </cell>
          <cell r="U791">
            <v>590</v>
          </cell>
          <cell r="V791">
            <v>414</v>
          </cell>
          <cell r="W791">
            <v>413</v>
          </cell>
          <cell r="X791">
            <v>399</v>
          </cell>
          <cell r="Y791">
            <v>290</v>
          </cell>
          <cell r="Z791">
            <v>358</v>
          </cell>
          <cell r="AA791">
            <v>265</v>
          </cell>
          <cell r="AB791">
            <v>223</v>
          </cell>
          <cell r="AC791">
            <v>787</v>
          </cell>
          <cell r="AD791">
            <v>861</v>
          </cell>
          <cell r="AE791">
            <v>1289</v>
          </cell>
          <cell r="AF791">
            <v>359</v>
          </cell>
          <cell r="AG791">
            <v>525</v>
          </cell>
          <cell r="AH791">
            <v>1291</v>
          </cell>
          <cell r="AI791">
            <v>176</v>
          </cell>
          <cell r="AJ791">
            <v>174</v>
          </cell>
        </row>
        <row r="792">
          <cell r="E792" t="str">
            <v>DC Electric Power Distillate Fuel</v>
          </cell>
          <cell r="F792">
            <v>422</v>
          </cell>
          <cell r="G792">
            <v>316</v>
          </cell>
          <cell r="H792">
            <v>327</v>
          </cell>
          <cell r="I792">
            <v>203</v>
          </cell>
          <cell r="J792">
            <v>570</v>
          </cell>
          <cell r="K792">
            <v>434</v>
          </cell>
          <cell r="L792">
            <v>284</v>
          </cell>
          <cell r="M792">
            <v>413</v>
          </cell>
          <cell r="N792">
            <v>674</v>
          </cell>
          <cell r="O792">
            <v>625</v>
          </cell>
          <cell r="P792">
            <v>986</v>
          </cell>
          <cell r="Q792">
            <v>304</v>
          </cell>
          <cell r="R792">
            <v>3610</v>
          </cell>
          <cell r="S792">
            <v>1108</v>
          </cell>
          <cell r="T792">
            <v>755</v>
          </cell>
          <cell r="U792">
            <v>3140</v>
          </cell>
          <cell r="V792">
            <v>1341</v>
          </cell>
          <cell r="W792">
            <v>1141</v>
          </cell>
          <cell r="X792">
            <v>945</v>
          </cell>
          <cell r="Y792">
            <v>492</v>
          </cell>
          <cell r="Z792">
            <v>2509</v>
          </cell>
          <cell r="AA792">
            <v>1589</v>
          </cell>
          <cell r="AB792">
            <v>147</v>
          </cell>
          <cell r="AC792">
            <v>0</v>
          </cell>
          <cell r="AD792">
            <v>0</v>
          </cell>
          <cell r="AE792">
            <v>0</v>
          </cell>
          <cell r="AF792">
            <v>0</v>
          </cell>
          <cell r="AG792">
            <v>0</v>
          </cell>
          <cell r="AH792">
            <v>0</v>
          </cell>
          <cell r="AI792">
            <v>0</v>
          </cell>
          <cell r="AJ792">
            <v>0</v>
          </cell>
        </row>
        <row r="793">
          <cell r="E793" t="str">
            <v>DE Electric Power Distillate Fuel</v>
          </cell>
          <cell r="F793">
            <v>638</v>
          </cell>
          <cell r="G793">
            <v>694</v>
          </cell>
          <cell r="H793">
            <v>736</v>
          </cell>
          <cell r="I793">
            <v>599</v>
          </cell>
          <cell r="J793">
            <v>1440</v>
          </cell>
          <cell r="K793">
            <v>930</v>
          </cell>
          <cell r="L793">
            <v>1295</v>
          </cell>
          <cell r="M793">
            <v>707</v>
          </cell>
          <cell r="N793">
            <v>699</v>
          </cell>
          <cell r="O793">
            <v>1240</v>
          </cell>
          <cell r="P793">
            <v>1521</v>
          </cell>
          <cell r="Q793">
            <v>1286</v>
          </cell>
          <cell r="R793">
            <v>1056</v>
          </cell>
          <cell r="S793">
            <v>3087</v>
          </cell>
          <cell r="T793">
            <v>483</v>
          </cell>
          <cell r="U793">
            <v>561</v>
          </cell>
          <cell r="V793">
            <v>427</v>
          </cell>
          <cell r="W793">
            <v>331</v>
          </cell>
          <cell r="X793">
            <v>500</v>
          </cell>
          <cell r="Y793">
            <v>660</v>
          </cell>
          <cell r="Z793">
            <v>561</v>
          </cell>
          <cell r="AA793">
            <v>300</v>
          </cell>
          <cell r="AB793">
            <v>204</v>
          </cell>
          <cell r="AC793">
            <v>148</v>
          </cell>
          <cell r="AD793">
            <v>411</v>
          </cell>
          <cell r="AE793">
            <v>321</v>
          </cell>
          <cell r="AF793">
            <v>454</v>
          </cell>
          <cell r="AG793">
            <v>145</v>
          </cell>
          <cell r="AH793">
            <v>1302</v>
          </cell>
          <cell r="AI793">
            <v>128</v>
          </cell>
          <cell r="AJ793">
            <v>92</v>
          </cell>
        </row>
        <row r="794">
          <cell r="E794" t="str">
            <v>FL Electric Power Distillate Fuel</v>
          </cell>
          <cell r="F794">
            <v>10931</v>
          </cell>
          <cell r="G794">
            <v>10559</v>
          </cell>
          <cell r="H794">
            <v>8996</v>
          </cell>
          <cell r="I794">
            <v>8453</v>
          </cell>
          <cell r="J794">
            <v>8511</v>
          </cell>
          <cell r="K794">
            <v>10793</v>
          </cell>
          <cell r="L794">
            <v>9902</v>
          </cell>
          <cell r="M794">
            <v>9267</v>
          </cell>
          <cell r="N794">
            <v>20273</v>
          </cell>
          <cell r="O794">
            <v>18964</v>
          </cell>
          <cell r="P794">
            <v>20723</v>
          </cell>
          <cell r="Q794">
            <v>16441</v>
          </cell>
          <cell r="R794">
            <v>21518</v>
          </cell>
          <cell r="S794">
            <v>18137</v>
          </cell>
          <cell r="T794">
            <v>14224</v>
          </cell>
          <cell r="U794">
            <v>13805</v>
          </cell>
          <cell r="V794">
            <v>6774</v>
          </cell>
          <cell r="W794">
            <v>7075</v>
          </cell>
          <cell r="X794">
            <v>4344</v>
          </cell>
          <cell r="Y794">
            <v>6025</v>
          </cell>
          <cell r="Z794">
            <v>12403</v>
          </cell>
          <cell r="AA794">
            <v>4621</v>
          </cell>
          <cell r="AB794">
            <v>2349</v>
          </cell>
          <cell r="AC794">
            <v>2573</v>
          </cell>
          <cell r="AD794">
            <v>2831</v>
          </cell>
          <cell r="AE794">
            <v>2918</v>
          </cell>
          <cell r="AF794">
            <v>3450</v>
          </cell>
          <cell r="AG794">
            <v>3184</v>
          </cell>
          <cell r="AH794">
            <v>2904</v>
          </cell>
          <cell r="AI794">
            <v>1844</v>
          </cell>
          <cell r="AJ794">
            <v>1605</v>
          </cell>
        </row>
        <row r="795">
          <cell r="E795" t="str">
            <v>GA Electric Power Distillate Fuel</v>
          </cell>
          <cell r="F795">
            <v>1271</v>
          </cell>
          <cell r="G795">
            <v>1129</v>
          </cell>
          <cell r="H795">
            <v>1162</v>
          </cell>
          <cell r="I795">
            <v>1959</v>
          </cell>
          <cell r="J795">
            <v>1728</v>
          </cell>
          <cell r="K795">
            <v>2246</v>
          </cell>
          <cell r="L795">
            <v>3253</v>
          </cell>
          <cell r="M795">
            <v>2668</v>
          </cell>
          <cell r="N795">
            <v>8149</v>
          </cell>
          <cell r="O795">
            <v>6196</v>
          </cell>
          <cell r="P795">
            <v>5870</v>
          </cell>
          <cell r="Q795">
            <v>3158</v>
          </cell>
          <cell r="R795">
            <v>2568</v>
          </cell>
          <cell r="S795">
            <v>3574</v>
          </cell>
          <cell r="T795">
            <v>1453</v>
          </cell>
          <cell r="U795">
            <v>1670</v>
          </cell>
          <cell r="V795">
            <v>790</v>
          </cell>
          <cell r="W795">
            <v>919</v>
          </cell>
          <cell r="X795">
            <v>950</v>
          </cell>
          <cell r="Y795">
            <v>1097</v>
          </cell>
          <cell r="Z795">
            <v>1154</v>
          </cell>
          <cell r="AA795">
            <v>933</v>
          </cell>
          <cell r="AB795">
            <v>745</v>
          </cell>
          <cell r="AC795">
            <v>748</v>
          </cell>
          <cell r="AD795">
            <v>1977</v>
          </cell>
          <cell r="AE795">
            <v>1376</v>
          </cell>
          <cell r="AF795">
            <v>1040</v>
          </cell>
          <cell r="AG795">
            <v>1098</v>
          </cell>
          <cell r="AH795">
            <v>2501</v>
          </cell>
          <cell r="AI795">
            <v>863</v>
          </cell>
          <cell r="AJ795">
            <v>594</v>
          </cell>
        </row>
        <row r="796">
          <cell r="E796" t="str">
            <v>HI Electric Power Distillate Fuel</v>
          </cell>
          <cell r="F796">
            <v>10562</v>
          </cell>
          <cell r="G796">
            <v>9958</v>
          </cell>
          <cell r="H796">
            <v>12657</v>
          </cell>
          <cell r="I796">
            <v>12640</v>
          </cell>
          <cell r="J796">
            <v>12618</v>
          </cell>
          <cell r="K796">
            <v>12870</v>
          </cell>
          <cell r="L796">
            <v>13520</v>
          </cell>
          <cell r="M796">
            <v>13398</v>
          </cell>
          <cell r="N796">
            <v>14042</v>
          </cell>
          <cell r="O796">
            <v>14867</v>
          </cell>
          <cell r="P796">
            <v>16148</v>
          </cell>
          <cell r="Q796">
            <v>17312</v>
          </cell>
          <cell r="R796">
            <v>23199</v>
          </cell>
          <cell r="S796">
            <v>13367</v>
          </cell>
          <cell r="T796">
            <v>14464</v>
          </cell>
          <cell r="U796">
            <v>15035</v>
          </cell>
          <cell r="V796">
            <v>14236</v>
          </cell>
          <cell r="W796">
            <v>13377</v>
          </cell>
          <cell r="X796">
            <v>12712</v>
          </cell>
          <cell r="Y796">
            <v>12999</v>
          </cell>
          <cell r="Z796">
            <v>12971</v>
          </cell>
          <cell r="AA796">
            <v>13062</v>
          </cell>
          <cell r="AB796">
            <v>12592</v>
          </cell>
          <cell r="AC796">
            <v>11980</v>
          </cell>
          <cell r="AD796">
            <v>11845</v>
          </cell>
          <cell r="AE796">
            <v>12297</v>
          </cell>
          <cell r="AF796">
            <v>11726</v>
          </cell>
          <cell r="AG796">
            <v>12053</v>
          </cell>
          <cell r="AH796">
            <v>12407</v>
          </cell>
          <cell r="AI796">
            <v>13344</v>
          </cell>
          <cell r="AJ796">
            <v>12633</v>
          </cell>
        </row>
        <row r="797">
          <cell r="E797" t="str">
            <v>IA Electric Power Distillate Fuel</v>
          </cell>
          <cell r="F797">
            <v>719</v>
          </cell>
          <cell r="G797">
            <v>654</v>
          </cell>
          <cell r="H797">
            <v>534</v>
          </cell>
          <cell r="I797">
            <v>737</v>
          </cell>
          <cell r="J797">
            <v>1086</v>
          </cell>
          <cell r="K797">
            <v>899</v>
          </cell>
          <cell r="L797">
            <v>813</v>
          </cell>
          <cell r="M797">
            <v>1274</v>
          </cell>
          <cell r="N797">
            <v>1598</v>
          </cell>
          <cell r="O797">
            <v>1791</v>
          </cell>
          <cell r="P797">
            <v>1297</v>
          </cell>
          <cell r="Q797">
            <v>1271</v>
          </cell>
          <cell r="R797">
            <v>793</v>
          </cell>
          <cell r="S797">
            <v>1233</v>
          </cell>
          <cell r="T797">
            <v>1028</v>
          </cell>
          <cell r="U797">
            <v>2063</v>
          </cell>
          <cell r="V797">
            <v>1568</v>
          </cell>
          <cell r="W797">
            <v>2559</v>
          </cell>
          <cell r="X797">
            <v>1038</v>
          </cell>
          <cell r="Y797">
            <v>738</v>
          </cell>
          <cell r="Z797">
            <v>1055</v>
          </cell>
          <cell r="AA797">
            <v>911</v>
          </cell>
          <cell r="AB797">
            <v>1174</v>
          </cell>
          <cell r="AC797">
            <v>1056</v>
          </cell>
          <cell r="AD797">
            <v>733</v>
          </cell>
          <cell r="AE797">
            <v>544</v>
          </cell>
          <cell r="AF797">
            <v>945</v>
          </cell>
          <cell r="AG797">
            <v>695</v>
          </cell>
          <cell r="AH797">
            <v>747</v>
          </cell>
          <cell r="AI797">
            <v>788</v>
          </cell>
          <cell r="AJ797">
            <v>760</v>
          </cell>
        </row>
        <row r="798">
          <cell r="E798" t="str">
            <v>ID Electric Power Distillate Fuel</v>
          </cell>
          <cell r="F798">
            <v>9</v>
          </cell>
          <cell r="G798">
            <v>5</v>
          </cell>
          <cell r="H798">
            <v>6</v>
          </cell>
          <cell r="I798">
            <v>1</v>
          </cell>
          <cell r="J798">
            <v>0</v>
          </cell>
          <cell r="K798">
            <v>4</v>
          </cell>
          <cell r="L798">
            <v>3</v>
          </cell>
          <cell r="M798">
            <v>1</v>
          </cell>
          <cell r="N798">
            <v>3</v>
          </cell>
          <cell r="O798">
            <v>2</v>
          </cell>
          <cell r="P798">
            <v>31</v>
          </cell>
          <cell r="Q798">
            <v>40</v>
          </cell>
          <cell r="R798">
            <v>1</v>
          </cell>
          <cell r="S798">
            <v>1</v>
          </cell>
          <cell r="T798">
            <v>1</v>
          </cell>
          <cell r="U798">
            <v>0</v>
          </cell>
          <cell r="V798">
            <v>2</v>
          </cell>
          <cell r="W798">
            <v>1</v>
          </cell>
          <cell r="X798">
            <v>1</v>
          </cell>
          <cell r="Y798">
            <v>0</v>
          </cell>
          <cell r="Z798">
            <v>1</v>
          </cell>
          <cell r="AA798">
            <v>0</v>
          </cell>
          <cell r="AB798">
            <v>0</v>
          </cell>
          <cell r="AC798">
            <v>1</v>
          </cell>
          <cell r="AD798">
            <v>1</v>
          </cell>
          <cell r="AE798">
            <v>0</v>
          </cell>
          <cell r="AF798">
            <v>0</v>
          </cell>
          <cell r="AG798">
            <v>0</v>
          </cell>
          <cell r="AH798">
            <v>0</v>
          </cell>
          <cell r="AI798">
            <v>0</v>
          </cell>
          <cell r="AJ798">
            <v>0</v>
          </cell>
        </row>
        <row r="799">
          <cell r="E799" t="str">
            <v>IL Electric Power Distillate Fuel</v>
          </cell>
          <cell r="F799">
            <v>2858</v>
          </cell>
          <cell r="G799">
            <v>2883</v>
          </cell>
          <cell r="H799">
            <v>2129</v>
          </cell>
          <cell r="I799">
            <v>2731</v>
          </cell>
          <cell r="J799">
            <v>3634</v>
          </cell>
          <cell r="K799">
            <v>3139</v>
          </cell>
          <cell r="L799">
            <v>3188</v>
          </cell>
          <cell r="M799">
            <v>3208</v>
          </cell>
          <cell r="N799">
            <v>3461</v>
          </cell>
          <cell r="O799">
            <v>2670</v>
          </cell>
          <cell r="P799">
            <v>2115</v>
          </cell>
          <cell r="Q799">
            <v>1682</v>
          </cell>
          <cell r="R799">
            <v>1363</v>
          </cell>
          <cell r="S799">
            <v>1489</v>
          </cell>
          <cell r="T799">
            <v>1221</v>
          </cell>
          <cell r="U799">
            <v>1964</v>
          </cell>
          <cell r="V799">
            <v>1160</v>
          </cell>
          <cell r="W799">
            <v>1507</v>
          </cell>
          <cell r="X799">
            <v>1521</v>
          </cell>
          <cell r="Y799">
            <v>1314</v>
          </cell>
          <cell r="Z799">
            <v>1137</v>
          </cell>
          <cell r="AA799">
            <v>926</v>
          </cell>
          <cell r="AB799">
            <v>787</v>
          </cell>
          <cell r="AC799">
            <v>781</v>
          </cell>
          <cell r="AD799">
            <v>966</v>
          </cell>
          <cell r="AE799">
            <v>615</v>
          </cell>
          <cell r="AF799">
            <v>771</v>
          </cell>
          <cell r="AG799">
            <v>595</v>
          </cell>
          <cell r="AH799">
            <v>610</v>
          </cell>
          <cell r="AI799">
            <v>556</v>
          </cell>
          <cell r="AJ799">
            <v>435</v>
          </cell>
        </row>
        <row r="800">
          <cell r="E800" t="str">
            <v>IN Electric Power Distillate Fuel</v>
          </cell>
          <cell r="F800">
            <v>2465</v>
          </cell>
          <cell r="G800">
            <v>2046</v>
          </cell>
          <cell r="H800">
            <v>1536</v>
          </cell>
          <cell r="I800">
            <v>2291</v>
          </cell>
          <cell r="J800">
            <v>2395</v>
          </cell>
          <cell r="K800">
            <v>1989</v>
          </cell>
          <cell r="L800">
            <v>2057</v>
          </cell>
          <cell r="M800">
            <v>1876</v>
          </cell>
          <cell r="N800">
            <v>2598</v>
          </cell>
          <cell r="O800">
            <v>3227</v>
          </cell>
          <cell r="P800">
            <v>3084</v>
          </cell>
          <cell r="Q800">
            <v>2241</v>
          </cell>
          <cell r="R800">
            <v>1876</v>
          </cell>
          <cell r="S800">
            <v>2074</v>
          </cell>
          <cell r="T800">
            <v>1631</v>
          </cell>
          <cell r="U800">
            <v>1879</v>
          </cell>
          <cell r="V800">
            <v>1551</v>
          </cell>
          <cell r="W800">
            <v>1643</v>
          </cell>
          <cell r="X800">
            <v>1780</v>
          </cell>
          <cell r="Y800">
            <v>1442</v>
          </cell>
          <cell r="Z800">
            <v>1480</v>
          </cell>
          <cell r="AA800">
            <v>1667</v>
          </cell>
          <cell r="AB800">
            <v>1202</v>
          </cell>
          <cell r="AC800">
            <v>1420</v>
          </cell>
          <cell r="AD800">
            <v>1780</v>
          </cell>
          <cell r="AE800">
            <v>1519</v>
          </cell>
          <cell r="AF800">
            <v>1101</v>
          </cell>
          <cell r="AG800">
            <v>1147</v>
          </cell>
          <cell r="AH800">
            <v>1236</v>
          </cell>
          <cell r="AI800">
            <v>1347</v>
          </cell>
          <cell r="AJ800">
            <v>1310</v>
          </cell>
        </row>
        <row r="801">
          <cell r="E801" t="str">
            <v>KS Electric Power Distillate Fuel</v>
          </cell>
          <cell r="F801">
            <v>757</v>
          </cell>
          <cell r="G801">
            <v>890</v>
          </cell>
          <cell r="H801">
            <v>600</v>
          </cell>
          <cell r="I801">
            <v>734</v>
          </cell>
          <cell r="J801">
            <v>753</v>
          </cell>
          <cell r="K801">
            <v>874</v>
          </cell>
          <cell r="L801">
            <v>1022</v>
          </cell>
          <cell r="M801">
            <v>950</v>
          </cell>
          <cell r="N801">
            <v>1711</v>
          </cell>
          <cell r="O801">
            <v>1705</v>
          </cell>
          <cell r="P801">
            <v>1568</v>
          </cell>
          <cell r="Q801">
            <v>1123</v>
          </cell>
          <cell r="R801">
            <v>702</v>
          </cell>
          <cell r="S801">
            <v>855</v>
          </cell>
          <cell r="T801">
            <v>613</v>
          </cell>
          <cell r="U801">
            <v>787</v>
          </cell>
          <cell r="V801">
            <v>710</v>
          </cell>
          <cell r="W801">
            <v>545</v>
          </cell>
          <cell r="X801">
            <v>526</v>
          </cell>
          <cell r="Y801">
            <v>496</v>
          </cell>
          <cell r="Z801">
            <v>564</v>
          </cell>
          <cell r="AA801">
            <v>498</v>
          </cell>
          <cell r="AB801">
            <v>451</v>
          </cell>
          <cell r="AC801">
            <v>629</v>
          </cell>
          <cell r="AD801">
            <v>670</v>
          </cell>
          <cell r="AE801">
            <v>634</v>
          </cell>
          <cell r="AF801">
            <v>381</v>
          </cell>
          <cell r="AG801">
            <v>698</v>
          </cell>
          <cell r="AH801">
            <v>681</v>
          </cell>
          <cell r="AI801">
            <v>1009</v>
          </cell>
          <cell r="AJ801">
            <v>1018</v>
          </cell>
        </row>
        <row r="802">
          <cell r="E802" t="str">
            <v>KY Electric Power Distillate Fuel</v>
          </cell>
          <cell r="F802">
            <v>1236</v>
          </cell>
          <cell r="G802">
            <v>1329</v>
          </cell>
          <cell r="H802">
            <v>1138</v>
          </cell>
          <cell r="I802">
            <v>1247</v>
          </cell>
          <cell r="J802">
            <v>1846</v>
          </cell>
          <cell r="K802">
            <v>1643</v>
          </cell>
          <cell r="L802">
            <v>1794</v>
          </cell>
          <cell r="M802">
            <v>1546</v>
          </cell>
          <cell r="N802">
            <v>1701</v>
          </cell>
          <cell r="O802">
            <v>1530</v>
          </cell>
          <cell r="P802">
            <v>1800</v>
          </cell>
          <cell r="Q802">
            <v>1312</v>
          </cell>
          <cell r="R802">
            <v>1949</v>
          </cell>
          <cell r="S802">
            <v>1804</v>
          </cell>
          <cell r="T802">
            <v>1482</v>
          </cell>
          <cell r="U802">
            <v>1336</v>
          </cell>
          <cell r="V802">
            <v>1120</v>
          </cell>
          <cell r="W802">
            <v>1400</v>
          </cell>
          <cell r="X802">
            <v>1476</v>
          </cell>
          <cell r="Y802">
            <v>1622</v>
          </cell>
          <cell r="Z802">
            <v>1327</v>
          </cell>
          <cell r="AA802">
            <v>1438</v>
          </cell>
          <cell r="AB802">
            <v>1306</v>
          </cell>
          <cell r="AC802">
            <v>1277</v>
          </cell>
          <cell r="AD802">
            <v>1407</v>
          </cell>
          <cell r="AE802">
            <v>1405</v>
          </cell>
          <cell r="AF802">
            <v>1220</v>
          </cell>
          <cell r="AG802">
            <v>1102</v>
          </cell>
          <cell r="AH802">
            <v>1038</v>
          </cell>
          <cell r="AI802">
            <v>973</v>
          </cell>
          <cell r="AJ802">
            <v>958</v>
          </cell>
        </row>
        <row r="803">
          <cell r="E803" t="str">
            <v>LA Electric Power Distillate Fuel</v>
          </cell>
          <cell r="F803">
            <v>929</v>
          </cell>
          <cell r="G803">
            <v>425</v>
          </cell>
          <cell r="H803">
            <v>437</v>
          </cell>
          <cell r="I803">
            <v>404</v>
          </cell>
          <cell r="J803">
            <v>568</v>
          </cell>
          <cell r="K803">
            <v>452</v>
          </cell>
          <cell r="L803">
            <v>1154</v>
          </cell>
          <cell r="M803">
            <v>502</v>
          </cell>
          <cell r="N803">
            <v>478</v>
          </cell>
          <cell r="O803">
            <v>299</v>
          </cell>
          <cell r="P803">
            <v>1982</v>
          </cell>
          <cell r="Q803">
            <v>3800</v>
          </cell>
          <cell r="R803">
            <v>617</v>
          </cell>
          <cell r="S803">
            <v>1226</v>
          </cell>
          <cell r="T803">
            <v>1114</v>
          </cell>
          <cell r="U803">
            <v>838</v>
          </cell>
          <cell r="V803">
            <v>287</v>
          </cell>
          <cell r="W803">
            <v>367</v>
          </cell>
          <cell r="X803">
            <v>399</v>
          </cell>
          <cell r="Y803">
            <v>442</v>
          </cell>
          <cell r="Z803">
            <v>322</v>
          </cell>
          <cell r="AA803">
            <v>298</v>
          </cell>
          <cell r="AB803">
            <v>315</v>
          </cell>
          <cell r="AC803">
            <v>397</v>
          </cell>
          <cell r="AD803">
            <v>465</v>
          </cell>
          <cell r="AE803">
            <v>651</v>
          </cell>
          <cell r="AF803">
            <v>172</v>
          </cell>
          <cell r="AG803">
            <v>256</v>
          </cell>
          <cell r="AH803">
            <v>236</v>
          </cell>
          <cell r="AI803">
            <v>280</v>
          </cell>
          <cell r="AJ803">
            <v>81</v>
          </cell>
        </row>
        <row r="804">
          <cell r="E804" t="str">
            <v>MA Electric Power Distillate Fuel</v>
          </cell>
          <cell r="F804">
            <v>3578</v>
          </cell>
          <cell r="G804">
            <v>2974</v>
          </cell>
          <cell r="H804">
            <v>2639</v>
          </cell>
          <cell r="I804">
            <v>2734</v>
          </cell>
          <cell r="J804">
            <v>4216</v>
          </cell>
          <cell r="K804">
            <v>3945</v>
          </cell>
          <cell r="L804">
            <v>3512</v>
          </cell>
          <cell r="M804">
            <v>2681</v>
          </cell>
          <cell r="N804">
            <v>3251</v>
          </cell>
          <cell r="O804">
            <v>3448</v>
          </cell>
          <cell r="P804">
            <v>2185</v>
          </cell>
          <cell r="Q804">
            <v>1892</v>
          </cell>
          <cell r="R804">
            <v>2563</v>
          </cell>
          <cell r="S804">
            <v>5540</v>
          </cell>
          <cell r="T804">
            <v>3532</v>
          </cell>
          <cell r="U804">
            <v>2217</v>
          </cell>
          <cell r="V804">
            <v>901</v>
          </cell>
          <cell r="W804">
            <v>834</v>
          </cell>
          <cell r="X804">
            <v>1108</v>
          </cell>
          <cell r="Y804">
            <v>1467</v>
          </cell>
          <cell r="Z804">
            <v>800</v>
          </cell>
          <cell r="AA804">
            <v>824</v>
          </cell>
          <cell r="AB804">
            <v>619</v>
          </cell>
          <cell r="AC804">
            <v>1479</v>
          </cell>
          <cell r="AD804">
            <v>2616</v>
          </cell>
          <cell r="AE804">
            <v>1995</v>
          </cell>
          <cell r="AF804">
            <v>389</v>
          </cell>
          <cell r="AG804">
            <v>999</v>
          </cell>
          <cell r="AH804">
            <v>1657</v>
          </cell>
          <cell r="AI804">
            <v>377</v>
          </cell>
          <cell r="AJ804">
            <v>345</v>
          </cell>
        </row>
        <row r="805">
          <cell r="E805" t="str">
            <v>MD Electric Power Distillate Fuel</v>
          </cell>
          <cell r="F805">
            <v>3484</v>
          </cell>
          <cell r="G805">
            <v>3217</v>
          </cell>
          <cell r="H805">
            <v>2666</v>
          </cell>
          <cell r="I805">
            <v>3451</v>
          </cell>
          <cell r="J805">
            <v>6054</v>
          </cell>
          <cell r="K805">
            <v>3924</v>
          </cell>
          <cell r="L805">
            <v>4610</v>
          </cell>
          <cell r="M805">
            <v>3782</v>
          </cell>
          <cell r="N805">
            <v>4038</v>
          </cell>
          <cell r="O805">
            <v>3112</v>
          </cell>
          <cell r="P805">
            <v>3387</v>
          </cell>
          <cell r="Q805">
            <v>5678</v>
          </cell>
          <cell r="R805">
            <v>4128</v>
          </cell>
          <cell r="S805">
            <v>6714</v>
          </cell>
          <cell r="T805">
            <v>6618</v>
          </cell>
          <cell r="U805">
            <v>6960</v>
          </cell>
          <cell r="V805">
            <v>2608</v>
          </cell>
          <cell r="W805">
            <v>4419</v>
          </cell>
          <cell r="X805">
            <v>2949</v>
          </cell>
          <cell r="Y805">
            <v>2026</v>
          </cell>
          <cell r="Z805">
            <v>2954</v>
          </cell>
          <cell r="AA805">
            <v>2007</v>
          </cell>
          <cell r="AB805">
            <v>1233</v>
          </cell>
          <cell r="AC805">
            <v>1754</v>
          </cell>
          <cell r="AD805">
            <v>3748</v>
          </cell>
          <cell r="AE805">
            <v>1749</v>
          </cell>
          <cell r="AF805">
            <v>1715</v>
          </cell>
          <cell r="AG805">
            <v>1223</v>
          </cell>
          <cell r="AH805">
            <v>2565</v>
          </cell>
          <cell r="AI805">
            <v>792</v>
          </cell>
          <cell r="AJ805">
            <v>928</v>
          </cell>
        </row>
        <row r="806">
          <cell r="E806" t="str">
            <v>ME Electric Power Distillate Fuel</v>
          </cell>
          <cell r="F806">
            <v>137</v>
          </cell>
          <cell r="G806">
            <v>159</v>
          </cell>
          <cell r="H806">
            <v>168</v>
          </cell>
          <cell r="I806">
            <v>878</v>
          </cell>
          <cell r="J806">
            <v>111</v>
          </cell>
          <cell r="K806">
            <v>192</v>
          </cell>
          <cell r="L806">
            <v>106</v>
          </cell>
          <cell r="M806">
            <v>124</v>
          </cell>
          <cell r="N806">
            <v>99</v>
          </cell>
          <cell r="O806">
            <v>157</v>
          </cell>
          <cell r="P806">
            <v>240</v>
          </cell>
          <cell r="Q806">
            <v>46</v>
          </cell>
          <cell r="R806">
            <v>289</v>
          </cell>
          <cell r="S806">
            <v>761</v>
          </cell>
          <cell r="T806">
            <v>758</v>
          </cell>
          <cell r="U806">
            <v>164</v>
          </cell>
          <cell r="V806">
            <v>98</v>
          </cell>
          <cell r="W806">
            <v>150</v>
          </cell>
          <cell r="X806">
            <v>87</v>
          </cell>
          <cell r="Y806">
            <v>70</v>
          </cell>
          <cell r="Z806">
            <v>81</v>
          </cell>
          <cell r="AA806">
            <v>40</v>
          </cell>
          <cell r="AB806">
            <v>21</v>
          </cell>
          <cell r="AC806">
            <v>39</v>
          </cell>
          <cell r="AD806">
            <v>51</v>
          </cell>
          <cell r="AE806">
            <v>242</v>
          </cell>
          <cell r="AF806">
            <v>28</v>
          </cell>
          <cell r="AG806">
            <v>88</v>
          </cell>
          <cell r="AH806">
            <v>92</v>
          </cell>
          <cell r="AI806">
            <v>44</v>
          </cell>
          <cell r="AJ806">
            <v>43</v>
          </cell>
        </row>
        <row r="807">
          <cell r="E807" t="str">
            <v>MI Electric Power Distillate Fuel</v>
          </cell>
          <cell r="F807">
            <v>1987</v>
          </cell>
          <cell r="G807">
            <v>1673</v>
          </cell>
          <cell r="H807">
            <v>1817</v>
          </cell>
          <cell r="I807">
            <v>2006</v>
          </cell>
          <cell r="J807">
            <v>1910</v>
          </cell>
          <cell r="K807">
            <v>2388</v>
          </cell>
          <cell r="L807">
            <v>1746</v>
          </cell>
          <cell r="M807">
            <v>1815</v>
          </cell>
          <cell r="N807">
            <v>2724</v>
          </cell>
          <cell r="O807">
            <v>2937</v>
          </cell>
          <cell r="P807">
            <v>2177</v>
          </cell>
          <cell r="Q807">
            <v>2150</v>
          </cell>
          <cell r="R807">
            <v>3112</v>
          </cell>
          <cell r="S807">
            <v>2817</v>
          </cell>
          <cell r="T807">
            <v>2284</v>
          </cell>
          <cell r="U807">
            <v>2164</v>
          </cell>
          <cell r="V807">
            <v>1752</v>
          </cell>
          <cell r="W807">
            <v>1705</v>
          </cell>
          <cell r="X807">
            <v>1660</v>
          </cell>
          <cell r="Y807">
            <v>1484</v>
          </cell>
          <cell r="Z807">
            <v>1475</v>
          </cell>
          <cell r="AA807">
            <v>1851</v>
          </cell>
          <cell r="AB807">
            <v>1286</v>
          </cell>
          <cell r="AC807">
            <v>1283</v>
          </cell>
          <cell r="AD807">
            <v>1503</v>
          </cell>
          <cell r="AE807">
            <v>1121</v>
          </cell>
          <cell r="AF807">
            <v>1231</v>
          </cell>
          <cell r="AG807">
            <v>1029</v>
          </cell>
          <cell r="AH807">
            <v>1214</v>
          </cell>
          <cell r="AI807">
            <v>939</v>
          </cell>
          <cell r="AJ807">
            <v>992</v>
          </cell>
        </row>
        <row r="808">
          <cell r="E808" t="str">
            <v>MN Electric Power Distillate Fuel</v>
          </cell>
          <cell r="F808">
            <v>531</v>
          </cell>
          <cell r="G808">
            <v>523</v>
          </cell>
          <cell r="H808">
            <v>364</v>
          </cell>
          <cell r="I808">
            <v>524</v>
          </cell>
          <cell r="J808">
            <v>631</v>
          </cell>
          <cell r="K808">
            <v>780</v>
          </cell>
          <cell r="L808">
            <v>814</v>
          </cell>
          <cell r="M808">
            <v>1470</v>
          </cell>
          <cell r="N808">
            <v>1068</v>
          </cell>
          <cell r="O808">
            <v>1261</v>
          </cell>
          <cell r="P808">
            <v>1432</v>
          </cell>
          <cell r="Q808">
            <v>1156</v>
          </cell>
          <cell r="R808">
            <v>553</v>
          </cell>
          <cell r="S808">
            <v>1198</v>
          </cell>
          <cell r="T808">
            <v>753</v>
          </cell>
          <cell r="U808">
            <v>1350</v>
          </cell>
          <cell r="V808">
            <v>865</v>
          </cell>
          <cell r="W808">
            <v>2298</v>
          </cell>
          <cell r="X808">
            <v>908</v>
          </cell>
          <cell r="Y808">
            <v>706</v>
          </cell>
          <cell r="Z808">
            <v>367</v>
          </cell>
          <cell r="AA808">
            <v>298</v>
          </cell>
          <cell r="AB808">
            <v>341</v>
          </cell>
          <cell r="AC808">
            <v>391</v>
          </cell>
          <cell r="AD808">
            <v>672</v>
          </cell>
          <cell r="AE808">
            <v>335</v>
          </cell>
          <cell r="AF808">
            <v>349</v>
          </cell>
          <cell r="AG808">
            <v>323</v>
          </cell>
          <cell r="AH808">
            <v>439</v>
          </cell>
          <cell r="AI808">
            <v>570</v>
          </cell>
          <cell r="AJ808">
            <v>299</v>
          </cell>
        </row>
        <row r="809">
          <cell r="E809" t="str">
            <v>MO Electric Power Distillate Fuel</v>
          </cell>
          <cell r="F809">
            <v>1206</v>
          </cell>
          <cell r="G809">
            <v>1426</v>
          </cell>
          <cell r="H809">
            <v>1077</v>
          </cell>
          <cell r="I809">
            <v>2139</v>
          </cell>
          <cell r="J809">
            <v>1484</v>
          </cell>
          <cell r="K809">
            <v>1649</v>
          </cell>
          <cell r="L809">
            <v>1325</v>
          </cell>
          <cell r="M809">
            <v>1598</v>
          </cell>
          <cell r="N809">
            <v>4081</v>
          </cell>
          <cell r="O809">
            <v>4088</v>
          </cell>
          <cell r="P809">
            <v>3443</v>
          </cell>
          <cell r="Q809">
            <v>1822</v>
          </cell>
          <cell r="R809">
            <v>1283</v>
          </cell>
          <cell r="S809">
            <v>1398</v>
          </cell>
          <cell r="T809">
            <v>896</v>
          </cell>
          <cell r="U809">
            <v>1409</v>
          </cell>
          <cell r="V809">
            <v>802</v>
          </cell>
          <cell r="W809">
            <v>804</v>
          </cell>
          <cell r="X809">
            <v>810</v>
          </cell>
          <cell r="Y809">
            <v>898</v>
          </cell>
          <cell r="Z809">
            <v>1357</v>
          </cell>
          <cell r="AA809">
            <v>835</v>
          </cell>
          <cell r="AB809">
            <v>774</v>
          </cell>
          <cell r="AC809">
            <v>696</v>
          </cell>
          <cell r="AD809">
            <v>1114</v>
          </cell>
          <cell r="AE809">
            <v>911</v>
          </cell>
          <cell r="AF809">
            <v>895</v>
          </cell>
          <cell r="AG809">
            <v>722</v>
          </cell>
          <cell r="AH809">
            <v>1116</v>
          </cell>
          <cell r="AI809">
            <v>1205</v>
          </cell>
          <cell r="AJ809">
            <v>1054</v>
          </cell>
        </row>
        <row r="810">
          <cell r="E810" t="str">
            <v>MS Electric Power Distillate Fuel</v>
          </cell>
          <cell r="F810">
            <v>289</v>
          </cell>
          <cell r="G810">
            <v>459</v>
          </cell>
          <cell r="H810">
            <v>162</v>
          </cell>
          <cell r="I810">
            <v>204</v>
          </cell>
          <cell r="J810">
            <v>290</v>
          </cell>
          <cell r="K810">
            <v>237</v>
          </cell>
          <cell r="L810">
            <v>518</v>
          </cell>
          <cell r="M810">
            <v>295</v>
          </cell>
          <cell r="N810">
            <v>357</v>
          </cell>
          <cell r="O810">
            <v>362</v>
          </cell>
          <cell r="P810">
            <v>306</v>
          </cell>
          <cell r="Q810">
            <v>284</v>
          </cell>
          <cell r="R810">
            <v>181</v>
          </cell>
          <cell r="S810">
            <v>205</v>
          </cell>
          <cell r="T810">
            <v>256</v>
          </cell>
          <cell r="U810">
            <v>524</v>
          </cell>
          <cell r="V810">
            <v>165</v>
          </cell>
          <cell r="W810">
            <v>398</v>
          </cell>
          <cell r="X810">
            <v>231</v>
          </cell>
          <cell r="Y810">
            <v>132</v>
          </cell>
          <cell r="Z810">
            <v>125</v>
          </cell>
          <cell r="AA810">
            <v>175</v>
          </cell>
          <cell r="AB810">
            <v>150</v>
          </cell>
          <cell r="AC810">
            <v>130</v>
          </cell>
          <cell r="AD810">
            <v>174</v>
          </cell>
          <cell r="AE810">
            <v>168</v>
          </cell>
          <cell r="AF810">
            <v>184</v>
          </cell>
          <cell r="AG810">
            <v>136</v>
          </cell>
          <cell r="AH810">
            <v>270</v>
          </cell>
          <cell r="AI810">
            <v>137</v>
          </cell>
          <cell r="AJ810">
            <v>66</v>
          </cell>
        </row>
        <row r="811">
          <cell r="E811" t="str">
            <v>MT Electric Power Distillate Fuel</v>
          </cell>
          <cell r="F811">
            <v>368</v>
          </cell>
          <cell r="G811">
            <v>260</v>
          </cell>
          <cell r="H811">
            <v>209</v>
          </cell>
          <cell r="I811">
            <v>288</v>
          </cell>
          <cell r="J811">
            <v>259</v>
          </cell>
          <cell r="K811">
            <v>330</v>
          </cell>
          <cell r="L811">
            <v>359</v>
          </cell>
          <cell r="M811">
            <v>290</v>
          </cell>
          <cell r="N811">
            <v>235</v>
          </cell>
          <cell r="O811">
            <v>213</v>
          </cell>
          <cell r="P811">
            <v>238</v>
          </cell>
          <cell r="Q811">
            <v>11</v>
          </cell>
          <cell r="R811">
            <v>149</v>
          </cell>
          <cell r="S811">
            <v>162</v>
          </cell>
          <cell r="T811">
            <v>189</v>
          </cell>
          <cell r="U811">
            <v>105</v>
          </cell>
          <cell r="V811">
            <v>144</v>
          </cell>
          <cell r="W811">
            <v>120</v>
          </cell>
          <cell r="X811">
            <v>81</v>
          </cell>
          <cell r="Y811">
            <v>101</v>
          </cell>
          <cell r="Z811">
            <v>96</v>
          </cell>
          <cell r="AA811">
            <v>162</v>
          </cell>
          <cell r="AB811">
            <v>81</v>
          </cell>
          <cell r="AC811">
            <v>108</v>
          </cell>
          <cell r="AD811">
            <v>262</v>
          </cell>
          <cell r="AE811">
            <v>69</v>
          </cell>
          <cell r="AF811">
            <v>120</v>
          </cell>
          <cell r="AG811">
            <v>86</v>
          </cell>
          <cell r="AH811">
            <v>139</v>
          </cell>
          <cell r="AI811">
            <v>134</v>
          </cell>
          <cell r="AJ811">
            <v>110</v>
          </cell>
        </row>
        <row r="812">
          <cell r="E812" t="str">
            <v>NC Electric Power Distillate Fuel</v>
          </cell>
          <cell r="F812">
            <v>2271</v>
          </cell>
          <cell r="G812">
            <v>2185</v>
          </cell>
          <cell r="H812">
            <v>1851</v>
          </cell>
          <cell r="I812">
            <v>2365</v>
          </cell>
          <cell r="J812">
            <v>2725</v>
          </cell>
          <cell r="K812">
            <v>3105</v>
          </cell>
          <cell r="L812">
            <v>3476</v>
          </cell>
          <cell r="M812">
            <v>2964</v>
          </cell>
          <cell r="N812">
            <v>3821</v>
          </cell>
          <cell r="O812">
            <v>3908</v>
          </cell>
          <cell r="P812">
            <v>6800</v>
          </cell>
          <cell r="Q812">
            <v>5114</v>
          </cell>
          <cell r="R812">
            <v>4730</v>
          </cell>
          <cell r="S812">
            <v>6738</v>
          </cell>
          <cell r="T812">
            <v>3773</v>
          </cell>
          <cell r="U812">
            <v>3191</v>
          </cell>
          <cell r="V812">
            <v>2746</v>
          </cell>
          <cell r="W812">
            <v>3039</v>
          </cell>
          <cell r="X812">
            <v>2757</v>
          </cell>
          <cell r="Y812">
            <v>2794</v>
          </cell>
          <cell r="Z812">
            <v>3052</v>
          </cell>
          <cell r="AA812">
            <v>2199</v>
          </cell>
          <cell r="AB812">
            <v>1970</v>
          </cell>
          <cell r="AC812">
            <v>2257</v>
          </cell>
          <cell r="AD812">
            <v>5065</v>
          </cell>
          <cell r="AE812">
            <v>4558</v>
          </cell>
          <cell r="AF812">
            <v>2747</v>
          </cell>
          <cell r="AG812">
            <v>2717</v>
          </cell>
          <cell r="AH812">
            <v>6940</v>
          </cell>
          <cell r="AI812">
            <v>1984</v>
          </cell>
          <cell r="AJ812">
            <v>1330</v>
          </cell>
        </row>
        <row r="813">
          <cell r="E813" t="str">
            <v>ND Electric Power Distillate Fuel</v>
          </cell>
          <cell r="F813">
            <v>330</v>
          </cell>
          <cell r="G813">
            <v>400</v>
          </cell>
          <cell r="H813">
            <v>336</v>
          </cell>
          <cell r="I813">
            <v>400</v>
          </cell>
          <cell r="J813">
            <v>652</v>
          </cell>
          <cell r="K813">
            <v>574</v>
          </cell>
          <cell r="L813">
            <v>903</v>
          </cell>
          <cell r="M813">
            <v>893</v>
          </cell>
          <cell r="N813">
            <v>520</v>
          </cell>
          <cell r="O813">
            <v>469</v>
          </cell>
          <cell r="P813">
            <v>555</v>
          </cell>
          <cell r="Q813">
            <v>373</v>
          </cell>
          <cell r="R813">
            <v>376</v>
          </cell>
          <cell r="S813">
            <v>554</v>
          </cell>
          <cell r="T813">
            <v>428</v>
          </cell>
          <cell r="U813">
            <v>409</v>
          </cell>
          <cell r="V813">
            <v>456</v>
          </cell>
          <cell r="W813">
            <v>558</v>
          </cell>
          <cell r="X813">
            <v>467</v>
          </cell>
          <cell r="Y813">
            <v>463</v>
          </cell>
          <cell r="Z813">
            <v>396</v>
          </cell>
          <cell r="AA813">
            <v>467</v>
          </cell>
          <cell r="AB813">
            <v>371</v>
          </cell>
          <cell r="AC813">
            <v>367</v>
          </cell>
          <cell r="AD813">
            <v>300</v>
          </cell>
          <cell r="AE813">
            <v>281</v>
          </cell>
          <cell r="AF813">
            <v>341</v>
          </cell>
          <cell r="AG813">
            <v>400</v>
          </cell>
          <cell r="AH813">
            <v>427</v>
          </cell>
          <cell r="AI813">
            <v>392</v>
          </cell>
          <cell r="AJ813">
            <v>354</v>
          </cell>
        </row>
        <row r="814">
          <cell r="E814" t="str">
            <v>NE Electric Power Distillate Fuel</v>
          </cell>
          <cell r="F814">
            <v>178</v>
          </cell>
          <cell r="G814">
            <v>158</v>
          </cell>
          <cell r="H814">
            <v>143</v>
          </cell>
          <cell r="I814">
            <v>247</v>
          </cell>
          <cell r="J814">
            <v>260</v>
          </cell>
          <cell r="K814">
            <v>357</v>
          </cell>
          <cell r="L814">
            <v>274</v>
          </cell>
          <cell r="M814">
            <v>416</v>
          </cell>
          <cell r="N814">
            <v>481</v>
          </cell>
          <cell r="O814">
            <v>379</v>
          </cell>
          <cell r="P814">
            <v>584</v>
          </cell>
          <cell r="Q814">
            <v>358</v>
          </cell>
          <cell r="R814">
            <v>247</v>
          </cell>
          <cell r="S814">
            <v>589</v>
          </cell>
          <cell r="T814">
            <v>264</v>
          </cell>
          <cell r="U814">
            <v>257</v>
          </cell>
          <cell r="V814">
            <v>231</v>
          </cell>
          <cell r="W814">
            <v>310</v>
          </cell>
          <cell r="X814">
            <v>418</v>
          </cell>
          <cell r="Y814">
            <v>252</v>
          </cell>
          <cell r="Z814">
            <v>329</v>
          </cell>
          <cell r="AA814">
            <v>397</v>
          </cell>
          <cell r="AB814">
            <v>244</v>
          </cell>
          <cell r="AC814">
            <v>540</v>
          </cell>
          <cell r="AD814">
            <v>568</v>
          </cell>
          <cell r="AE814">
            <v>92</v>
          </cell>
          <cell r="AF814">
            <v>91</v>
          </cell>
          <cell r="AG814">
            <v>94</v>
          </cell>
          <cell r="AH814">
            <v>198</v>
          </cell>
          <cell r="AI814">
            <v>239</v>
          </cell>
          <cell r="AJ814">
            <v>217</v>
          </cell>
        </row>
        <row r="815">
          <cell r="E815" t="str">
            <v>NH Electric Power Distillate Fuel</v>
          </cell>
          <cell r="F815">
            <v>227</v>
          </cell>
          <cell r="G815">
            <v>225</v>
          </cell>
          <cell r="H815">
            <v>220</v>
          </cell>
          <cell r="I815">
            <v>283</v>
          </cell>
          <cell r="J815">
            <v>324</v>
          </cell>
          <cell r="K815">
            <v>298</v>
          </cell>
          <cell r="L815">
            <v>161</v>
          </cell>
          <cell r="M815">
            <v>213</v>
          </cell>
          <cell r="N815">
            <v>184</v>
          </cell>
          <cell r="O815">
            <v>209</v>
          </cell>
          <cell r="P815">
            <v>172</v>
          </cell>
          <cell r="Q815">
            <v>219</v>
          </cell>
          <cell r="R815">
            <v>331</v>
          </cell>
          <cell r="S815">
            <v>386</v>
          </cell>
          <cell r="T815">
            <v>998</v>
          </cell>
          <cell r="U815">
            <v>783</v>
          </cell>
          <cell r="V815">
            <v>1485</v>
          </cell>
          <cell r="W815">
            <v>484</v>
          </cell>
          <cell r="X815">
            <v>147</v>
          </cell>
          <cell r="Y815">
            <v>135</v>
          </cell>
          <cell r="Z815">
            <v>153</v>
          </cell>
          <cell r="AA815">
            <v>75</v>
          </cell>
          <cell r="AB815">
            <v>51</v>
          </cell>
          <cell r="AC815">
            <v>297</v>
          </cell>
          <cell r="AD815">
            <v>1355</v>
          </cell>
          <cell r="AE815">
            <v>457</v>
          </cell>
          <cell r="AF815">
            <v>65</v>
          </cell>
          <cell r="AG815">
            <v>568</v>
          </cell>
          <cell r="AH815">
            <v>514</v>
          </cell>
          <cell r="AI815">
            <v>71</v>
          </cell>
          <cell r="AJ815">
            <v>208</v>
          </cell>
        </row>
        <row r="816">
          <cell r="E816" t="str">
            <v>NJ Electric Power Distillate Fuel</v>
          </cell>
          <cell r="F816">
            <v>3996</v>
          </cell>
          <cell r="G816">
            <v>3580</v>
          </cell>
          <cell r="H816">
            <v>2049</v>
          </cell>
          <cell r="I816">
            <v>3421</v>
          </cell>
          <cell r="J816">
            <v>4802</v>
          </cell>
          <cell r="K816">
            <v>7443</v>
          </cell>
          <cell r="L816">
            <v>3642</v>
          </cell>
          <cell r="M816">
            <v>2776</v>
          </cell>
          <cell r="N816">
            <v>3022</v>
          </cell>
          <cell r="O816">
            <v>4145</v>
          </cell>
          <cell r="P816">
            <v>6603</v>
          </cell>
          <cell r="Q816">
            <v>7817</v>
          </cell>
          <cell r="R816">
            <v>1667</v>
          </cell>
          <cell r="S816">
            <v>4515</v>
          </cell>
          <cell r="T816">
            <v>4018</v>
          </cell>
          <cell r="U816">
            <v>2491</v>
          </cell>
          <cell r="V816">
            <v>735</v>
          </cell>
          <cell r="W816">
            <v>1309</v>
          </cell>
          <cell r="X816">
            <v>1268</v>
          </cell>
          <cell r="Y816">
            <v>343</v>
          </cell>
          <cell r="Z816">
            <v>1198</v>
          </cell>
          <cell r="AA816">
            <v>528</v>
          </cell>
          <cell r="AB816">
            <v>250</v>
          </cell>
          <cell r="AC816">
            <v>380</v>
          </cell>
          <cell r="AD816">
            <v>1589</v>
          </cell>
          <cell r="AE816">
            <v>697</v>
          </cell>
          <cell r="AF816">
            <v>352</v>
          </cell>
          <cell r="AG816">
            <v>322</v>
          </cell>
          <cell r="AH816">
            <v>1488</v>
          </cell>
          <cell r="AI816">
            <v>430</v>
          </cell>
          <cell r="AJ816">
            <v>204</v>
          </cell>
        </row>
        <row r="817">
          <cell r="E817" t="str">
            <v>NM Electric Power Distillate Fuel</v>
          </cell>
          <cell r="F817">
            <v>214</v>
          </cell>
          <cell r="G817">
            <v>332</v>
          </cell>
          <cell r="H817">
            <v>413</v>
          </cell>
          <cell r="I817">
            <v>410</v>
          </cell>
          <cell r="J817">
            <v>269</v>
          </cell>
          <cell r="K817">
            <v>254</v>
          </cell>
          <cell r="L817">
            <v>250</v>
          </cell>
          <cell r="M817">
            <v>240</v>
          </cell>
          <cell r="N817">
            <v>262</v>
          </cell>
          <cell r="O817">
            <v>421</v>
          </cell>
          <cell r="P817">
            <v>392</v>
          </cell>
          <cell r="Q817">
            <v>355</v>
          </cell>
          <cell r="R817">
            <v>315</v>
          </cell>
          <cell r="S817">
            <v>510</v>
          </cell>
          <cell r="T817">
            <v>307</v>
          </cell>
          <cell r="U817">
            <v>374</v>
          </cell>
          <cell r="V817">
            <v>425</v>
          </cell>
          <cell r="W817">
            <v>476</v>
          </cell>
          <cell r="X817">
            <v>588</v>
          </cell>
          <cell r="Y817">
            <v>493</v>
          </cell>
          <cell r="Z817">
            <v>534</v>
          </cell>
          <cell r="AA817">
            <v>415</v>
          </cell>
          <cell r="AB817">
            <v>506</v>
          </cell>
          <cell r="AC817">
            <v>636</v>
          </cell>
          <cell r="AD817">
            <v>711</v>
          </cell>
          <cell r="AE817">
            <v>727</v>
          </cell>
          <cell r="AF817">
            <v>579</v>
          </cell>
          <cell r="AG817">
            <v>464</v>
          </cell>
          <cell r="AH817">
            <v>240</v>
          </cell>
          <cell r="AI817">
            <v>4046</v>
          </cell>
          <cell r="AJ817">
            <v>387</v>
          </cell>
        </row>
        <row r="818">
          <cell r="E818" t="str">
            <v>NV Electric Power Distillate Fuel</v>
          </cell>
          <cell r="F818">
            <v>530</v>
          </cell>
          <cell r="G818">
            <v>429</v>
          </cell>
          <cell r="H818">
            <v>388</v>
          </cell>
          <cell r="I818">
            <v>1043</v>
          </cell>
          <cell r="J818">
            <v>284</v>
          </cell>
          <cell r="K818">
            <v>160</v>
          </cell>
          <cell r="L818">
            <v>204</v>
          </cell>
          <cell r="M818">
            <v>276</v>
          </cell>
          <cell r="N818">
            <v>224</v>
          </cell>
          <cell r="O818">
            <v>203</v>
          </cell>
          <cell r="P818">
            <v>277</v>
          </cell>
          <cell r="Q818">
            <v>201</v>
          </cell>
          <cell r="R818">
            <v>210</v>
          </cell>
          <cell r="S818">
            <v>157</v>
          </cell>
          <cell r="T818">
            <v>128</v>
          </cell>
          <cell r="U818">
            <v>221</v>
          </cell>
          <cell r="V818">
            <v>149</v>
          </cell>
          <cell r="W818">
            <v>125</v>
          </cell>
          <cell r="X818">
            <v>163</v>
          </cell>
          <cell r="Y818">
            <v>186</v>
          </cell>
          <cell r="Z818">
            <v>145</v>
          </cell>
          <cell r="AA818">
            <v>162</v>
          </cell>
          <cell r="AB818">
            <v>235</v>
          </cell>
          <cell r="AC818">
            <v>199</v>
          </cell>
          <cell r="AD818">
            <v>167</v>
          </cell>
          <cell r="AE818">
            <v>179</v>
          </cell>
          <cell r="AF818">
            <v>124</v>
          </cell>
          <cell r="AG818">
            <v>108</v>
          </cell>
          <cell r="AH818">
            <v>123</v>
          </cell>
          <cell r="AI818">
            <v>142</v>
          </cell>
          <cell r="AJ818">
            <v>75</v>
          </cell>
        </row>
        <row r="819">
          <cell r="E819" t="str">
            <v>NY Electric Power Distillate Fuel</v>
          </cell>
          <cell r="F819">
            <v>6376</v>
          </cell>
          <cell r="G819">
            <v>5722</v>
          </cell>
          <cell r="H819">
            <v>2909</v>
          </cell>
          <cell r="I819">
            <v>5258</v>
          </cell>
          <cell r="J819">
            <v>13388</v>
          </cell>
          <cell r="K819">
            <v>9470</v>
          </cell>
          <cell r="L819">
            <v>7381</v>
          </cell>
          <cell r="M819">
            <v>9128</v>
          </cell>
          <cell r="N819">
            <v>8089</v>
          </cell>
          <cell r="O819">
            <v>12844</v>
          </cell>
          <cell r="P819">
            <v>13688</v>
          </cell>
          <cell r="Q819">
            <v>17512</v>
          </cell>
          <cell r="R819">
            <v>12972</v>
          </cell>
          <cell r="S819">
            <v>14021</v>
          </cell>
          <cell r="T819">
            <v>10122</v>
          </cell>
          <cell r="U819">
            <v>9160</v>
          </cell>
          <cell r="V819">
            <v>3607</v>
          </cell>
          <cell r="W819">
            <v>7936</v>
          </cell>
          <cell r="X819">
            <v>4677</v>
          </cell>
          <cell r="Y819">
            <v>4253</v>
          </cell>
          <cell r="Z819">
            <v>3679</v>
          </cell>
          <cell r="AA819">
            <v>1910</v>
          </cell>
          <cell r="AB819">
            <v>2261</v>
          </cell>
          <cell r="AC819">
            <v>2898</v>
          </cell>
          <cell r="AD819">
            <v>4799</v>
          </cell>
          <cell r="AE819">
            <v>4813</v>
          </cell>
          <cell r="AF819">
            <v>1981</v>
          </cell>
          <cell r="AG819">
            <v>1518</v>
          </cell>
          <cell r="AH819">
            <v>4548</v>
          </cell>
          <cell r="AI819">
            <v>2197</v>
          </cell>
          <cell r="AJ819">
            <v>1034</v>
          </cell>
        </row>
        <row r="820">
          <cell r="E820" t="str">
            <v>OH Electric Power Distillate Fuel</v>
          </cell>
          <cell r="F820">
            <v>2633</v>
          </cell>
          <cell r="G820">
            <v>3401</v>
          </cell>
          <cell r="H820">
            <v>2487</v>
          </cell>
          <cell r="I820">
            <v>3174</v>
          </cell>
          <cell r="J820">
            <v>4911</v>
          </cell>
          <cell r="K820">
            <v>3736</v>
          </cell>
          <cell r="L820">
            <v>3399</v>
          </cell>
          <cell r="M820">
            <v>3340</v>
          </cell>
          <cell r="N820">
            <v>3697</v>
          </cell>
          <cell r="O820">
            <v>5733</v>
          </cell>
          <cell r="P820">
            <v>4609</v>
          </cell>
          <cell r="Q820">
            <v>4568</v>
          </cell>
          <cell r="R820">
            <v>3902</v>
          </cell>
          <cell r="S820">
            <v>5057</v>
          </cell>
          <cell r="T820">
            <v>4312</v>
          </cell>
          <cell r="U820">
            <v>4207</v>
          </cell>
          <cell r="V820">
            <v>3388</v>
          </cell>
          <cell r="W820">
            <v>3420</v>
          </cell>
          <cell r="X820">
            <v>3043</v>
          </cell>
          <cell r="Y820">
            <v>2798</v>
          </cell>
          <cell r="Z820">
            <v>3170</v>
          </cell>
          <cell r="AA820">
            <v>3376</v>
          </cell>
          <cell r="AB820">
            <v>2980</v>
          </cell>
          <cell r="AC820">
            <v>2663</v>
          </cell>
          <cell r="AD820">
            <v>3412</v>
          </cell>
          <cell r="AE820">
            <v>2395</v>
          </cell>
          <cell r="AF820">
            <v>2423</v>
          </cell>
          <cell r="AG820">
            <v>2117</v>
          </cell>
          <cell r="AH820">
            <v>2569</v>
          </cell>
          <cell r="AI820">
            <v>1793</v>
          </cell>
          <cell r="AJ820">
            <v>1299</v>
          </cell>
        </row>
        <row r="821">
          <cell r="E821" t="str">
            <v>OK Electric Power Distillate Fuel</v>
          </cell>
          <cell r="F821">
            <v>164</v>
          </cell>
          <cell r="G821">
            <v>152</v>
          </cell>
          <cell r="H821">
            <v>104</v>
          </cell>
          <cell r="I821">
            <v>121</v>
          </cell>
          <cell r="J821">
            <v>109</v>
          </cell>
          <cell r="K821">
            <v>99</v>
          </cell>
          <cell r="L821">
            <v>488</v>
          </cell>
          <cell r="M821">
            <v>119</v>
          </cell>
          <cell r="N821">
            <v>105</v>
          </cell>
          <cell r="O821">
            <v>141</v>
          </cell>
          <cell r="P821">
            <v>451</v>
          </cell>
          <cell r="Q821">
            <v>1493</v>
          </cell>
          <cell r="R821">
            <v>105</v>
          </cell>
          <cell r="S821">
            <v>891</v>
          </cell>
          <cell r="T821">
            <v>183</v>
          </cell>
          <cell r="U821">
            <v>131</v>
          </cell>
          <cell r="V821">
            <v>268</v>
          </cell>
          <cell r="W821">
            <v>339</v>
          </cell>
          <cell r="X821">
            <v>133</v>
          </cell>
          <cell r="Y821">
            <v>135</v>
          </cell>
          <cell r="Z821">
            <v>139</v>
          </cell>
          <cell r="AA821">
            <v>175</v>
          </cell>
          <cell r="AB821">
            <v>121</v>
          </cell>
          <cell r="AC821">
            <v>105</v>
          </cell>
          <cell r="AD821">
            <v>126</v>
          </cell>
          <cell r="AE821">
            <v>98</v>
          </cell>
          <cell r="AF821">
            <v>178</v>
          </cell>
          <cell r="AG821">
            <v>158</v>
          </cell>
          <cell r="AH821">
            <v>179</v>
          </cell>
          <cell r="AI821">
            <v>188</v>
          </cell>
          <cell r="AJ821">
            <v>291</v>
          </cell>
        </row>
        <row r="822">
          <cell r="E822" t="str">
            <v>OR Electric Power Distillate Fuel</v>
          </cell>
          <cell r="F822">
            <v>326</v>
          </cell>
          <cell r="G822">
            <v>134</v>
          </cell>
          <cell r="H822">
            <v>108</v>
          </cell>
          <cell r="I822">
            <v>324</v>
          </cell>
          <cell r="J822">
            <v>63</v>
          </cell>
          <cell r="K822">
            <v>68</v>
          </cell>
          <cell r="L822">
            <v>60</v>
          </cell>
          <cell r="M822">
            <v>135</v>
          </cell>
          <cell r="N822">
            <v>342</v>
          </cell>
          <cell r="O822">
            <v>89</v>
          </cell>
          <cell r="P822">
            <v>608</v>
          </cell>
          <cell r="Q822">
            <v>1058</v>
          </cell>
          <cell r="R822">
            <v>81</v>
          </cell>
          <cell r="S822">
            <v>584</v>
          </cell>
          <cell r="T822">
            <v>232</v>
          </cell>
          <cell r="U822">
            <v>543</v>
          </cell>
          <cell r="V822">
            <v>66</v>
          </cell>
          <cell r="W822">
            <v>52</v>
          </cell>
          <cell r="X822">
            <v>124</v>
          </cell>
          <cell r="Y822">
            <v>33</v>
          </cell>
          <cell r="Z822">
            <v>34</v>
          </cell>
          <cell r="AA822">
            <v>67</v>
          </cell>
          <cell r="AB822">
            <v>71</v>
          </cell>
          <cell r="AC822">
            <v>60</v>
          </cell>
          <cell r="AD822">
            <v>101</v>
          </cell>
          <cell r="AE822">
            <v>61</v>
          </cell>
          <cell r="AF822">
            <v>49</v>
          </cell>
          <cell r="AG822">
            <v>104</v>
          </cell>
          <cell r="AH822">
            <v>50</v>
          </cell>
          <cell r="AI822">
            <v>83</v>
          </cell>
          <cell r="AJ822">
            <v>25</v>
          </cell>
        </row>
        <row r="823">
          <cell r="E823" t="str">
            <v>PA Electric Power Distillate Fuel</v>
          </cell>
          <cell r="F823">
            <v>12463</v>
          </cell>
          <cell r="G823">
            <v>5652</v>
          </cell>
          <cell r="H823">
            <v>4820</v>
          </cell>
          <cell r="I823">
            <v>5771</v>
          </cell>
          <cell r="J823">
            <v>11490</v>
          </cell>
          <cell r="K823">
            <v>8139</v>
          </cell>
          <cell r="L823">
            <v>8813</v>
          </cell>
          <cell r="M823">
            <v>6143</v>
          </cell>
          <cell r="N823">
            <v>9047</v>
          </cell>
          <cell r="O823">
            <v>7712</v>
          </cell>
          <cell r="P823">
            <v>15088</v>
          </cell>
          <cell r="Q823">
            <v>6793</v>
          </cell>
          <cell r="R823">
            <v>7207</v>
          </cell>
          <cell r="S823">
            <v>7833</v>
          </cell>
          <cell r="T823">
            <v>6234</v>
          </cell>
          <cell r="U823">
            <v>7406</v>
          </cell>
          <cell r="V823">
            <v>3778</v>
          </cell>
          <cell r="W823">
            <v>4845</v>
          </cell>
          <cell r="X823">
            <v>4591</v>
          </cell>
          <cell r="Y823">
            <v>3421</v>
          </cell>
          <cell r="Z823">
            <v>4243</v>
          </cell>
          <cell r="AA823">
            <v>3874</v>
          </cell>
          <cell r="AB823">
            <v>2892</v>
          </cell>
          <cell r="AC823">
            <v>3294</v>
          </cell>
          <cell r="AD823">
            <v>5778</v>
          </cell>
          <cell r="AE823">
            <v>6008</v>
          </cell>
          <cell r="AF823">
            <v>3369</v>
          </cell>
          <cell r="AG823">
            <v>2985</v>
          </cell>
          <cell r="AH823">
            <v>7787</v>
          </cell>
          <cell r="AI823">
            <v>2179</v>
          </cell>
          <cell r="AJ823">
            <v>963</v>
          </cell>
        </row>
        <row r="824">
          <cell r="E824" t="str">
            <v>RI Electric Power Distillate Fuel</v>
          </cell>
          <cell r="F824">
            <v>108</v>
          </cell>
          <cell r="G824">
            <v>335</v>
          </cell>
          <cell r="H824">
            <v>98</v>
          </cell>
          <cell r="I824">
            <v>140</v>
          </cell>
          <cell r="J824">
            <v>280</v>
          </cell>
          <cell r="K824">
            <v>139</v>
          </cell>
          <cell r="L824">
            <v>798</v>
          </cell>
          <cell r="M824">
            <v>420</v>
          </cell>
          <cell r="N824">
            <v>271</v>
          </cell>
          <cell r="O824">
            <v>251</v>
          </cell>
          <cell r="P824">
            <v>228</v>
          </cell>
          <cell r="Q824">
            <v>249</v>
          </cell>
          <cell r="R824">
            <v>182</v>
          </cell>
          <cell r="S824">
            <v>169</v>
          </cell>
          <cell r="T824">
            <v>130</v>
          </cell>
          <cell r="U824">
            <v>159</v>
          </cell>
          <cell r="V824">
            <v>144</v>
          </cell>
          <cell r="W824">
            <v>205</v>
          </cell>
          <cell r="X824">
            <v>221</v>
          </cell>
          <cell r="Y824">
            <v>132</v>
          </cell>
          <cell r="Z824">
            <v>131</v>
          </cell>
          <cell r="AA824">
            <v>132</v>
          </cell>
          <cell r="AB824">
            <v>168</v>
          </cell>
          <cell r="AC824">
            <v>350</v>
          </cell>
          <cell r="AD824">
            <v>602</v>
          </cell>
          <cell r="AE824">
            <v>824</v>
          </cell>
          <cell r="AF824">
            <v>245</v>
          </cell>
          <cell r="AG824">
            <v>453</v>
          </cell>
          <cell r="AH824">
            <v>653</v>
          </cell>
          <cell r="AI824">
            <v>78</v>
          </cell>
          <cell r="AJ824">
            <v>29</v>
          </cell>
        </row>
        <row r="825">
          <cell r="E825" t="str">
            <v>SC Electric Power Distillate Fuel</v>
          </cell>
          <cell r="F825">
            <v>684</v>
          </cell>
          <cell r="G825">
            <v>772</v>
          </cell>
          <cell r="H825">
            <v>838</v>
          </cell>
          <cell r="I825">
            <v>811</v>
          </cell>
          <cell r="J825">
            <v>1558</v>
          </cell>
          <cell r="K825">
            <v>1162</v>
          </cell>
          <cell r="L825">
            <v>1555</v>
          </cell>
          <cell r="M825">
            <v>2334</v>
          </cell>
          <cell r="N825">
            <v>3555</v>
          </cell>
          <cell r="O825">
            <v>3244</v>
          </cell>
          <cell r="P825">
            <v>3523</v>
          </cell>
          <cell r="Q825">
            <v>2321</v>
          </cell>
          <cell r="R825">
            <v>1927</v>
          </cell>
          <cell r="S825">
            <v>2616</v>
          </cell>
          <cell r="T825">
            <v>2045</v>
          </cell>
          <cell r="U825">
            <v>1929</v>
          </cell>
          <cell r="V825">
            <v>1294</v>
          </cell>
          <cell r="W825">
            <v>1842</v>
          </cell>
          <cell r="X825">
            <v>964</v>
          </cell>
          <cell r="Y825">
            <v>1037</v>
          </cell>
          <cell r="Z825">
            <v>1302</v>
          </cell>
          <cell r="AA825">
            <v>962</v>
          </cell>
          <cell r="AB825">
            <v>1036</v>
          </cell>
          <cell r="AC825">
            <v>1051</v>
          </cell>
          <cell r="AD825">
            <v>2720</v>
          </cell>
          <cell r="AE825">
            <v>1975</v>
          </cell>
          <cell r="AF825">
            <v>969</v>
          </cell>
          <cell r="AG825">
            <v>1046</v>
          </cell>
          <cell r="AH825">
            <v>3367</v>
          </cell>
          <cell r="AI825">
            <v>826</v>
          </cell>
          <cell r="AJ825">
            <v>737</v>
          </cell>
        </row>
        <row r="826">
          <cell r="E826" t="str">
            <v>SD Electric Power Distillate Fuel</v>
          </cell>
          <cell r="F826">
            <v>187</v>
          </cell>
          <cell r="G826">
            <v>202</v>
          </cell>
          <cell r="H826">
            <v>113</v>
          </cell>
          <cell r="I826">
            <v>185</v>
          </cell>
          <cell r="J826">
            <v>292</v>
          </cell>
          <cell r="K826">
            <v>278</v>
          </cell>
          <cell r="L826">
            <v>191</v>
          </cell>
          <cell r="M826">
            <v>134</v>
          </cell>
          <cell r="N826">
            <v>395</v>
          </cell>
          <cell r="O826">
            <v>342</v>
          </cell>
          <cell r="P826">
            <v>792</v>
          </cell>
          <cell r="Q826">
            <v>623</v>
          </cell>
          <cell r="R826">
            <v>105</v>
          </cell>
          <cell r="S826">
            <v>250</v>
          </cell>
          <cell r="T826">
            <v>324</v>
          </cell>
          <cell r="U826">
            <v>302</v>
          </cell>
          <cell r="V826">
            <v>109</v>
          </cell>
          <cell r="W826">
            <v>808</v>
          </cell>
          <cell r="X826">
            <v>290</v>
          </cell>
          <cell r="Y826">
            <v>137</v>
          </cell>
          <cell r="Z826">
            <v>104</v>
          </cell>
          <cell r="AA826">
            <v>120</v>
          </cell>
          <cell r="AB826">
            <v>101</v>
          </cell>
          <cell r="AC826">
            <v>121</v>
          </cell>
          <cell r="AD826">
            <v>134</v>
          </cell>
          <cell r="AE826">
            <v>221</v>
          </cell>
          <cell r="AF826">
            <v>65</v>
          </cell>
          <cell r="AG826">
            <v>86</v>
          </cell>
          <cell r="AH826">
            <v>114</v>
          </cell>
          <cell r="AI826">
            <v>193</v>
          </cell>
          <cell r="AJ826">
            <v>109</v>
          </cell>
        </row>
        <row r="827">
          <cell r="E827" t="str">
            <v>TN Electric Power Distillate Fuel</v>
          </cell>
          <cell r="F827">
            <v>1352</v>
          </cell>
          <cell r="G827">
            <v>1585</v>
          </cell>
          <cell r="H827">
            <v>1308</v>
          </cell>
          <cell r="I827">
            <v>2404</v>
          </cell>
          <cell r="J827">
            <v>3022</v>
          </cell>
          <cell r="K827">
            <v>2650</v>
          </cell>
          <cell r="L827">
            <v>2679</v>
          </cell>
          <cell r="M827">
            <v>2182</v>
          </cell>
          <cell r="N827">
            <v>8424</v>
          </cell>
          <cell r="O827">
            <v>6061</v>
          </cell>
          <cell r="P827">
            <v>6163</v>
          </cell>
          <cell r="Q827">
            <v>5185</v>
          </cell>
          <cell r="R827">
            <v>2580</v>
          </cell>
          <cell r="S827">
            <v>4766</v>
          </cell>
          <cell r="T827">
            <v>1819</v>
          </cell>
          <cell r="U827">
            <v>2326</v>
          </cell>
          <cell r="V827">
            <v>1511</v>
          </cell>
          <cell r="W827">
            <v>1605</v>
          </cell>
          <cell r="X827">
            <v>2252</v>
          </cell>
          <cell r="Y827">
            <v>2011</v>
          </cell>
          <cell r="Z827">
            <v>2294</v>
          </cell>
          <cell r="AA827">
            <v>2148</v>
          </cell>
          <cell r="AB827">
            <v>1700</v>
          </cell>
          <cell r="AC827">
            <v>1446</v>
          </cell>
          <cell r="AD827">
            <v>2049</v>
          </cell>
          <cell r="AE827">
            <v>1526</v>
          </cell>
          <cell r="AF827">
            <v>1359</v>
          </cell>
          <cell r="AG827">
            <v>1406</v>
          </cell>
          <cell r="AH827">
            <v>1299</v>
          </cell>
          <cell r="AI827">
            <v>1555</v>
          </cell>
          <cell r="AJ827">
            <v>1209</v>
          </cell>
        </row>
        <row r="828">
          <cell r="E828" t="str">
            <v>TX Electric Power Distillate Fuel</v>
          </cell>
          <cell r="F828">
            <v>4201</v>
          </cell>
          <cell r="G828">
            <v>2048</v>
          </cell>
          <cell r="H828">
            <v>1729</v>
          </cell>
          <cell r="I828">
            <v>2416</v>
          </cell>
          <cell r="J828">
            <v>8076</v>
          </cell>
          <cell r="K828">
            <v>3109</v>
          </cell>
          <cell r="L828">
            <v>4049</v>
          </cell>
          <cell r="M828">
            <v>1945</v>
          </cell>
          <cell r="N828">
            <v>2963</v>
          </cell>
          <cell r="O828">
            <v>4633</v>
          </cell>
          <cell r="P828">
            <v>12495</v>
          </cell>
          <cell r="Q828">
            <v>17012</v>
          </cell>
          <cell r="R828">
            <v>2545</v>
          </cell>
          <cell r="S828">
            <v>14860</v>
          </cell>
          <cell r="T828">
            <v>1748</v>
          </cell>
          <cell r="U828">
            <v>1841</v>
          </cell>
          <cell r="V828">
            <v>1407</v>
          </cell>
          <cell r="W828">
            <v>1395</v>
          </cell>
          <cell r="X828">
            <v>1114</v>
          </cell>
          <cell r="Y828">
            <v>782</v>
          </cell>
          <cell r="Z828">
            <v>1154</v>
          </cell>
          <cell r="AA828">
            <v>1531</v>
          </cell>
          <cell r="AB828">
            <v>1354</v>
          </cell>
          <cell r="AC828">
            <v>1021</v>
          </cell>
          <cell r="AD828">
            <v>1152</v>
          </cell>
          <cell r="AE828">
            <v>1191</v>
          </cell>
          <cell r="AF828">
            <v>871</v>
          </cell>
          <cell r="AG828">
            <v>787</v>
          </cell>
          <cell r="AH828">
            <v>635</v>
          </cell>
          <cell r="AI828">
            <v>540</v>
          </cell>
          <cell r="AJ828">
            <v>523</v>
          </cell>
        </row>
        <row r="829">
          <cell r="E829" t="str">
            <v>US Electric Power Distillate Fuel</v>
          </cell>
          <cell r="F829">
            <v>96504</v>
          </cell>
          <cell r="G829">
            <v>83640</v>
          </cell>
          <cell r="H829">
            <v>73531</v>
          </cell>
          <cell r="I829">
            <v>86496</v>
          </cell>
          <cell r="J829">
            <v>119963</v>
          </cell>
          <cell r="K829">
            <v>107976</v>
          </cell>
          <cell r="L829">
            <v>109300</v>
          </cell>
          <cell r="M829">
            <v>110514</v>
          </cell>
          <cell r="N829">
            <v>135581</v>
          </cell>
          <cell r="O829">
            <v>139992</v>
          </cell>
          <cell r="P829">
            <v>174665</v>
          </cell>
          <cell r="Q829">
            <v>170347</v>
          </cell>
          <cell r="R829">
            <v>127298</v>
          </cell>
          <cell r="S829">
            <v>160789</v>
          </cell>
          <cell r="T829">
            <v>111164</v>
          </cell>
          <cell r="U829">
            <v>114470</v>
          </cell>
          <cell r="V829">
            <v>73388</v>
          </cell>
          <cell r="W829">
            <v>88650</v>
          </cell>
          <cell r="X829">
            <v>72524</v>
          </cell>
          <cell r="Y829">
            <v>69526</v>
          </cell>
          <cell r="Z829">
            <v>79637</v>
          </cell>
          <cell r="AA829">
            <v>63589</v>
          </cell>
          <cell r="AB829">
            <v>52367</v>
          </cell>
          <cell r="AC829">
            <v>55314</v>
          </cell>
          <cell r="AD829">
            <v>82034</v>
          </cell>
          <cell r="AE829">
            <v>70254</v>
          </cell>
          <cell r="AF829">
            <v>54750</v>
          </cell>
          <cell r="AG829">
            <v>54583</v>
          </cell>
          <cell r="AH829">
            <v>80435</v>
          </cell>
          <cell r="AI829">
            <v>53767</v>
          </cell>
          <cell r="AJ829">
            <v>44167</v>
          </cell>
        </row>
        <row r="830">
          <cell r="E830" t="str">
            <v>UT Electric Power Distillate Fuel</v>
          </cell>
          <cell r="F830">
            <v>489</v>
          </cell>
          <cell r="G830">
            <v>477</v>
          </cell>
          <cell r="H830">
            <v>361</v>
          </cell>
          <cell r="I830">
            <v>362</v>
          </cell>
          <cell r="J830">
            <v>333</v>
          </cell>
          <cell r="K830">
            <v>385</v>
          </cell>
          <cell r="L830">
            <v>342</v>
          </cell>
          <cell r="M830">
            <v>336</v>
          </cell>
          <cell r="N830">
            <v>387</v>
          </cell>
          <cell r="O830">
            <v>322</v>
          </cell>
          <cell r="P830">
            <v>590</v>
          </cell>
          <cell r="Q830">
            <v>637</v>
          </cell>
          <cell r="R830">
            <v>561</v>
          </cell>
          <cell r="S830">
            <v>357</v>
          </cell>
          <cell r="T830">
            <v>348</v>
          </cell>
          <cell r="U830">
            <v>431</v>
          </cell>
          <cell r="V830">
            <v>731</v>
          </cell>
          <cell r="W830">
            <v>425</v>
          </cell>
          <cell r="X830">
            <v>450</v>
          </cell>
          <cell r="Y830">
            <v>365</v>
          </cell>
          <cell r="Z830">
            <v>467</v>
          </cell>
          <cell r="AA830">
            <v>509</v>
          </cell>
          <cell r="AB830">
            <v>398</v>
          </cell>
          <cell r="AC830">
            <v>262</v>
          </cell>
          <cell r="AD830">
            <v>239</v>
          </cell>
          <cell r="AE830">
            <v>193</v>
          </cell>
          <cell r="AF830">
            <v>314</v>
          </cell>
          <cell r="AG830">
            <v>377</v>
          </cell>
          <cell r="AH830">
            <v>367</v>
          </cell>
          <cell r="AI830">
            <v>402</v>
          </cell>
          <cell r="AJ830">
            <v>406</v>
          </cell>
        </row>
        <row r="831">
          <cell r="E831" t="str">
            <v>VA Electric Power Distillate Fuel</v>
          </cell>
          <cell r="F831">
            <v>3220</v>
          </cell>
          <cell r="G831">
            <v>3081</v>
          </cell>
          <cell r="H831">
            <v>3366</v>
          </cell>
          <cell r="I831">
            <v>2528</v>
          </cell>
          <cell r="J831">
            <v>5053</v>
          </cell>
          <cell r="K831">
            <v>3975</v>
          </cell>
          <cell r="L831">
            <v>5100</v>
          </cell>
          <cell r="M831">
            <v>13145</v>
          </cell>
          <cell r="N831">
            <v>2701</v>
          </cell>
          <cell r="O831">
            <v>3729</v>
          </cell>
          <cell r="P831">
            <v>5622</v>
          </cell>
          <cell r="Q831">
            <v>8358</v>
          </cell>
          <cell r="R831">
            <v>3134</v>
          </cell>
          <cell r="S831">
            <v>14895</v>
          </cell>
          <cell r="T831">
            <v>7118</v>
          </cell>
          <cell r="U831">
            <v>8177</v>
          </cell>
          <cell r="V831">
            <v>2672</v>
          </cell>
          <cell r="W831">
            <v>6448</v>
          </cell>
          <cell r="X831">
            <v>4366</v>
          </cell>
          <cell r="Y831">
            <v>5766</v>
          </cell>
          <cell r="Z831">
            <v>5399</v>
          </cell>
          <cell r="AA831">
            <v>2700</v>
          </cell>
          <cell r="AB831">
            <v>2034</v>
          </cell>
          <cell r="AC831">
            <v>1982</v>
          </cell>
          <cell r="AD831">
            <v>8765</v>
          </cell>
          <cell r="AE831">
            <v>5779</v>
          </cell>
          <cell r="AF831">
            <v>3387</v>
          </cell>
          <cell r="AG831">
            <v>3496</v>
          </cell>
          <cell r="AH831">
            <v>6729</v>
          </cell>
          <cell r="AI831">
            <v>1516</v>
          </cell>
          <cell r="AJ831">
            <v>1548</v>
          </cell>
        </row>
        <row r="832">
          <cell r="E832" t="str">
            <v>VT Electric Power Distillate Fuel</v>
          </cell>
          <cell r="F832">
            <v>45</v>
          </cell>
          <cell r="G832">
            <v>89</v>
          </cell>
          <cell r="H832">
            <v>48</v>
          </cell>
          <cell r="I832">
            <v>98</v>
          </cell>
          <cell r="J832">
            <v>134</v>
          </cell>
          <cell r="K832">
            <v>224</v>
          </cell>
          <cell r="L832">
            <v>93</v>
          </cell>
          <cell r="M832">
            <v>181</v>
          </cell>
          <cell r="N832">
            <v>625</v>
          </cell>
          <cell r="O832">
            <v>373</v>
          </cell>
          <cell r="P832">
            <v>926</v>
          </cell>
          <cell r="Q832">
            <v>508</v>
          </cell>
          <cell r="R832">
            <v>181</v>
          </cell>
          <cell r="S832">
            <v>330</v>
          </cell>
          <cell r="T832">
            <v>261</v>
          </cell>
          <cell r="U832">
            <v>70</v>
          </cell>
          <cell r="V832">
            <v>47</v>
          </cell>
          <cell r="W832">
            <v>51</v>
          </cell>
          <cell r="X832">
            <v>36</v>
          </cell>
          <cell r="Y832">
            <v>19</v>
          </cell>
          <cell r="Z832">
            <v>27</v>
          </cell>
          <cell r="AA832">
            <v>38</v>
          </cell>
          <cell r="AB832">
            <v>14</v>
          </cell>
          <cell r="AC832">
            <v>46</v>
          </cell>
          <cell r="AD832">
            <v>45</v>
          </cell>
          <cell r="AE832">
            <v>27</v>
          </cell>
          <cell r="AF832">
            <v>45</v>
          </cell>
          <cell r="AG832">
            <v>87</v>
          </cell>
          <cell r="AH832">
            <v>44</v>
          </cell>
          <cell r="AI832">
            <v>17</v>
          </cell>
          <cell r="AJ832">
            <v>28</v>
          </cell>
        </row>
        <row r="833">
          <cell r="E833" t="str">
            <v>WA Electric Power Distillate Fuel</v>
          </cell>
          <cell r="F833">
            <v>177</v>
          </cell>
          <cell r="G833">
            <v>97</v>
          </cell>
          <cell r="H833">
            <v>83</v>
          </cell>
          <cell r="I833">
            <v>367</v>
          </cell>
          <cell r="J833">
            <v>113</v>
          </cell>
          <cell r="K833">
            <v>1362</v>
          </cell>
          <cell r="L833">
            <v>2116</v>
          </cell>
          <cell r="M833">
            <v>2841</v>
          </cell>
          <cell r="N833">
            <v>486</v>
          </cell>
          <cell r="O833">
            <v>119</v>
          </cell>
          <cell r="P833">
            <v>4553</v>
          </cell>
          <cell r="Q833">
            <v>3018</v>
          </cell>
          <cell r="R833">
            <v>229</v>
          </cell>
          <cell r="S833">
            <v>174</v>
          </cell>
          <cell r="T833">
            <v>312</v>
          </cell>
          <cell r="U833">
            <v>121</v>
          </cell>
          <cell r="V833">
            <v>229</v>
          </cell>
          <cell r="W833">
            <v>158</v>
          </cell>
          <cell r="X833">
            <v>262</v>
          </cell>
          <cell r="Y833">
            <v>411</v>
          </cell>
          <cell r="Z833">
            <v>211</v>
          </cell>
          <cell r="AA833">
            <v>179</v>
          </cell>
          <cell r="AB833">
            <v>155</v>
          </cell>
          <cell r="AC833">
            <v>142</v>
          </cell>
          <cell r="AD833">
            <v>165</v>
          </cell>
          <cell r="AE833">
            <v>122</v>
          </cell>
          <cell r="AF833">
            <v>136</v>
          </cell>
          <cell r="AG833">
            <v>162</v>
          </cell>
          <cell r="AH833">
            <v>149</v>
          </cell>
          <cell r="AI833">
            <v>130</v>
          </cell>
          <cell r="AJ833">
            <v>130</v>
          </cell>
        </row>
        <row r="834">
          <cell r="E834" t="str">
            <v>WI Electric Power Distillate Fuel</v>
          </cell>
          <cell r="F834">
            <v>662</v>
          </cell>
          <cell r="G834">
            <v>854</v>
          </cell>
          <cell r="H834">
            <v>480</v>
          </cell>
          <cell r="I834">
            <v>729</v>
          </cell>
          <cell r="J834">
            <v>1281</v>
          </cell>
          <cell r="K834">
            <v>1127</v>
          </cell>
          <cell r="L834">
            <v>935</v>
          </cell>
          <cell r="M834">
            <v>1533</v>
          </cell>
          <cell r="N834">
            <v>1911</v>
          </cell>
          <cell r="O834">
            <v>2040</v>
          </cell>
          <cell r="P834">
            <v>1650</v>
          </cell>
          <cell r="Q834">
            <v>1166</v>
          </cell>
          <cell r="R834">
            <v>787</v>
          </cell>
          <cell r="S834">
            <v>1267</v>
          </cell>
          <cell r="T834">
            <v>1588</v>
          </cell>
          <cell r="U834">
            <v>1665</v>
          </cell>
          <cell r="V834">
            <v>1428</v>
          </cell>
          <cell r="W834">
            <v>1732</v>
          </cell>
          <cell r="X834">
            <v>947</v>
          </cell>
          <cell r="Y834">
            <v>544</v>
          </cell>
          <cell r="Z834">
            <v>499</v>
          </cell>
          <cell r="AA834">
            <v>483</v>
          </cell>
          <cell r="AB834">
            <v>575</v>
          </cell>
          <cell r="AC834">
            <v>410</v>
          </cell>
          <cell r="AD834">
            <v>712</v>
          </cell>
          <cell r="AE834">
            <v>385</v>
          </cell>
          <cell r="AF834">
            <v>403</v>
          </cell>
          <cell r="AG834">
            <v>419</v>
          </cell>
          <cell r="AH834">
            <v>473</v>
          </cell>
          <cell r="AI834">
            <v>655</v>
          </cell>
          <cell r="AJ834">
            <v>297</v>
          </cell>
        </row>
        <row r="835">
          <cell r="E835" t="str">
            <v>WV Electric Power Distillate Fuel</v>
          </cell>
          <cell r="F835">
            <v>2141</v>
          </cell>
          <cell r="G835">
            <v>1978</v>
          </cell>
          <cell r="H835">
            <v>1790</v>
          </cell>
          <cell r="I835">
            <v>2078</v>
          </cell>
          <cell r="J835">
            <v>2462</v>
          </cell>
          <cell r="K835">
            <v>1968</v>
          </cell>
          <cell r="L835">
            <v>2054</v>
          </cell>
          <cell r="M835">
            <v>1700</v>
          </cell>
          <cell r="N835">
            <v>1884</v>
          </cell>
          <cell r="O835">
            <v>1867</v>
          </cell>
          <cell r="P835">
            <v>2610</v>
          </cell>
          <cell r="Q835">
            <v>2453</v>
          </cell>
          <cell r="R835">
            <v>2627</v>
          </cell>
          <cell r="S835">
            <v>2470</v>
          </cell>
          <cell r="T835">
            <v>2678</v>
          </cell>
          <cell r="U835">
            <v>2028</v>
          </cell>
          <cell r="V835">
            <v>1373</v>
          </cell>
          <cell r="W835">
            <v>1873</v>
          </cell>
          <cell r="X835">
            <v>1368</v>
          </cell>
          <cell r="Y835">
            <v>1756</v>
          </cell>
          <cell r="Z835">
            <v>1567</v>
          </cell>
          <cell r="AA835">
            <v>1885</v>
          </cell>
          <cell r="AB835">
            <v>1441</v>
          </cell>
          <cell r="AC835">
            <v>1551</v>
          </cell>
          <cell r="AD835">
            <v>1634</v>
          </cell>
          <cell r="AE835">
            <v>1421</v>
          </cell>
          <cell r="AF835">
            <v>1238</v>
          </cell>
          <cell r="AG835">
            <v>1196</v>
          </cell>
          <cell r="AH835">
            <v>1665</v>
          </cell>
          <cell r="AI835">
            <v>1324</v>
          </cell>
          <cell r="AJ835">
            <v>1479</v>
          </cell>
        </row>
        <row r="836">
          <cell r="E836" t="str">
            <v>WY Electric Power Distillate Fuel</v>
          </cell>
          <cell r="F836">
            <v>576</v>
          </cell>
          <cell r="G836">
            <v>713</v>
          </cell>
          <cell r="H836">
            <v>582</v>
          </cell>
          <cell r="I836">
            <v>604</v>
          </cell>
          <cell r="J836">
            <v>500</v>
          </cell>
          <cell r="K836">
            <v>743</v>
          </cell>
          <cell r="L836">
            <v>643</v>
          </cell>
          <cell r="M836">
            <v>609</v>
          </cell>
          <cell r="N836">
            <v>467</v>
          </cell>
          <cell r="O836">
            <v>494</v>
          </cell>
          <cell r="P836">
            <v>383</v>
          </cell>
          <cell r="Q836">
            <v>384</v>
          </cell>
          <cell r="R836">
            <v>444</v>
          </cell>
          <cell r="S836">
            <v>473</v>
          </cell>
          <cell r="T836">
            <v>533</v>
          </cell>
          <cell r="U836">
            <v>446</v>
          </cell>
          <cell r="V836">
            <v>509</v>
          </cell>
          <cell r="W836">
            <v>485</v>
          </cell>
          <cell r="X836">
            <v>458</v>
          </cell>
          <cell r="Y836">
            <v>527</v>
          </cell>
          <cell r="Z836">
            <v>601</v>
          </cell>
          <cell r="AA836">
            <v>565</v>
          </cell>
          <cell r="AB836">
            <v>454</v>
          </cell>
          <cell r="AC836">
            <v>408</v>
          </cell>
          <cell r="AD836">
            <v>387</v>
          </cell>
          <cell r="AE836">
            <v>430</v>
          </cell>
          <cell r="AF836">
            <v>430</v>
          </cell>
          <cell r="AG836">
            <v>428</v>
          </cell>
          <cell r="AH836">
            <v>371</v>
          </cell>
          <cell r="AI836">
            <v>423</v>
          </cell>
          <cell r="AJ836">
            <v>457</v>
          </cell>
        </row>
        <row r="837">
          <cell r="E837" t="str">
            <v>AK Transportation Ethanol</v>
          </cell>
          <cell r="F837">
            <v>0</v>
          </cell>
          <cell r="G837">
            <v>0</v>
          </cell>
          <cell r="H837">
            <v>0</v>
          </cell>
          <cell r="I837">
            <v>0</v>
          </cell>
          <cell r="J837">
            <v>3</v>
          </cell>
          <cell r="K837">
            <v>629</v>
          </cell>
          <cell r="L837">
            <v>690</v>
          </cell>
          <cell r="M837">
            <v>578</v>
          </cell>
          <cell r="N837">
            <v>337</v>
          </cell>
          <cell r="O837">
            <v>385</v>
          </cell>
          <cell r="P837">
            <v>168</v>
          </cell>
          <cell r="Q837">
            <v>410</v>
          </cell>
          <cell r="R837">
            <v>323</v>
          </cell>
          <cell r="S837">
            <v>219</v>
          </cell>
          <cell r="T837">
            <v>428</v>
          </cell>
          <cell r="U837">
            <v>0</v>
          </cell>
          <cell r="V837">
            <v>0</v>
          </cell>
          <cell r="W837">
            <v>0</v>
          </cell>
          <cell r="X837">
            <v>0</v>
          </cell>
          <cell r="Y837">
            <v>0</v>
          </cell>
          <cell r="Z837">
            <v>0</v>
          </cell>
          <cell r="AA837">
            <v>0</v>
          </cell>
          <cell r="AB837">
            <v>0</v>
          </cell>
          <cell r="AC837">
            <v>0</v>
          </cell>
          <cell r="AD837">
            <v>1994</v>
          </cell>
          <cell r="AE837">
            <v>0</v>
          </cell>
          <cell r="AF837">
            <v>0</v>
          </cell>
          <cell r="AG837">
            <v>0</v>
          </cell>
          <cell r="AH837">
            <v>0</v>
          </cell>
          <cell r="AI837">
            <v>0</v>
          </cell>
          <cell r="AJ837">
            <v>0</v>
          </cell>
        </row>
        <row r="838">
          <cell r="E838" t="str">
            <v>AL Transportation Ethanol</v>
          </cell>
          <cell r="F838">
            <v>1597</v>
          </cell>
          <cell r="G838">
            <v>1593</v>
          </cell>
          <cell r="H838">
            <v>2556</v>
          </cell>
          <cell r="I838">
            <v>1351</v>
          </cell>
          <cell r="J838">
            <v>1451</v>
          </cell>
          <cell r="K838">
            <v>1989</v>
          </cell>
          <cell r="L838">
            <v>344</v>
          </cell>
          <cell r="M838">
            <v>340</v>
          </cell>
          <cell r="N838">
            <v>281</v>
          </cell>
          <cell r="O838">
            <v>37</v>
          </cell>
          <cell r="P838">
            <v>0</v>
          </cell>
          <cell r="Q838">
            <v>1270</v>
          </cell>
          <cell r="R838">
            <v>865</v>
          </cell>
          <cell r="S838">
            <v>1247</v>
          </cell>
          <cell r="T838">
            <v>2465</v>
          </cell>
          <cell r="U838">
            <v>162</v>
          </cell>
          <cell r="V838">
            <v>149</v>
          </cell>
          <cell r="W838">
            <v>466</v>
          </cell>
          <cell r="X838">
            <v>3676</v>
          </cell>
          <cell r="Y838">
            <v>8980</v>
          </cell>
          <cell r="Z838">
            <v>23015</v>
          </cell>
          <cell r="AA838">
            <v>21752</v>
          </cell>
          <cell r="AB838">
            <v>21086</v>
          </cell>
          <cell r="AC838">
            <v>21684</v>
          </cell>
          <cell r="AD838">
            <v>21870</v>
          </cell>
          <cell r="AE838">
            <v>22433</v>
          </cell>
          <cell r="AF838">
            <v>22882</v>
          </cell>
          <cell r="AG838">
            <v>22766</v>
          </cell>
          <cell r="AH838">
            <v>21305</v>
          </cell>
          <cell r="AI838">
            <v>21400</v>
          </cell>
          <cell r="AJ838">
            <v>20912</v>
          </cell>
        </row>
        <row r="839">
          <cell r="E839" t="str">
            <v>AR Transportation Ethanol</v>
          </cell>
          <cell r="F839">
            <v>498</v>
          </cell>
          <cell r="G839">
            <v>314</v>
          </cell>
          <cell r="H839">
            <v>222</v>
          </cell>
          <cell r="I839">
            <v>155</v>
          </cell>
          <cell r="J839">
            <v>28</v>
          </cell>
          <cell r="K839">
            <v>31</v>
          </cell>
          <cell r="L839">
            <v>2</v>
          </cell>
          <cell r="M839">
            <v>0</v>
          </cell>
          <cell r="N839">
            <v>0</v>
          </cell>
          <cell r="O839">
            <v>0</v>
          </cell>
          <cell r="P839">
            <v>0</v>
          </cell>
          <cell r="Q839">
            <v>0</v>
          </cell>
          <cell r="R839">
            <v>0</v>
          </cell>
          <cell r="S839">
            <v>0</v>
          </cell>
          <cell r="T839">
            <v>0</v>
          </cell>
          <cell r="U839">
            <v>93</v>
          </cell>
          <cell r="V839">
            <v>86</v>
          </cell>
          <cell r="W839">
            <v>278</v>
          </cell>
          <cell r="X839">
            <v>2250</v>
          </cell>
          <cell r="Y839">
            <v>5855</v>
          </cell>
          <cell r="Z839">
            <v>12507</v>
          </cell>
          <cell r="AA839">
            <v>11778</v>
          </cell>
          <cell r="AB839">
            <v>11457</v>
          </cell>
          <cell r="AC839">
            <v>11575</v>
          </cell>
          <cell r="AD839">
            <v>12076</v>
          </cell>
          <cell r="AE839">
            <v>12136</v>
          </cell>
          <cell r="AF839">
            <v>12551</v>
          </cell>
          <cell r="AG839">
            <v>12588</v>
          </cell>
          <cell r="AH839">
            <v>11637</v>
          </cell>
          <cell r="AI839">
            <v>11589</v>
          </cell>
          <cell r="AJ839">
            <v>10351</v>
          </cell>
        </row>
        <row r="840">
          <cell r="E840" t="str">
            <v>AZ Transportation Ethanol</v>
          </cell>
          <cell r="F840">
            <v>0</v>
          </cell>
          <cell r="G840">
            <v>0</v>
          </cell>
          <cell r="H840">
            <v>0</v>
          </cell>
          <cell r="I840">
            <v>273</v>
          </cell>
          <cell r="J840">
            <v>716</v>
          </cell>
          <cell r="K840">
            <v>2251</v>
          </cell>
          <cell r="L840">
            <v>1898</v>
          </cell>
          <cell r="M840">
            <v>1885</v>
          </cell>
          <cell r="N840">
            <v>1454</v>
          </cell>
          <cell r="O840">
            <v>1260</v>
          </cell>
          <cell r="P840">
            <v>1442</v>
          </cell>
          <cell r="Q840">
            <v>1977</v>
          </cell>
          <cell r="R840">
            <v>1128</v>
          </cell>
          <cell r="S840">
            <v>1087</v>
          </cell>
          <cell r="T840">
            <v>1043</v>
          </cell>
          <cell r="U840">
            <v>13615</v>
          </cell>
          <cell r="V840">
            <v>14379</v>
          </cell>
          <cell r="W840">
            <v>16057</v>
          </cell>
          <cell r="X840">
            <v>19409</v>
          </cell>
          <cell r="Y840">
            <v>19371</v>
          </cell>
          <cell r="Z840">
            <v>19523</v>
          </cell>
          <cell r="AA840">
            <v>19650</v>
          </cell>
          <cell r="AB840">
            <v>19076</v>
          </cell>
          <cell r="AC840">
            <v>19877</v>
          </cell>
          <cell r="AD840">
            <v>21239</v>
          </cell>
          <cell r="AE840">
            <v>22820</v>
          </cell>
          <cell r="AF840">
            <v>23471</v>
          </cell>
          <cell r="AG840">
            <v>23821</v>
          </cell>
          <cell r="AH840">
            <v>24164</v>
          </cell>
          <cell r="AI840">
            <v>24777</v>
          </cell>
          <cell r="AJ840">
            <v>22093</v>
          </cell>
        </row>
        <row r="841">
          <cell r="E841" t="str">
            <v>CA Transportation Ethanol</v>
          </cell>
          <cell r="F841">
            <v>3863</v>
          </cell>
          <cell r="G841">
            <v>4858</v>
          </cell>
          <cell r="H841">
            <v>540</v>
          </cell>
          <cell r="I841">
            <v>1974</v>
          </cell>
          <cell r="J841">
            <v>2782</v>
          </cell>
          <cell r="K841">
            <v>8666</v>
          </cell>
          <cell r="L841">
            <v>7312</v>
          </cell>
          <cell r="M841">
            <v>7330</v>
          </cell>
          <cell r="N841">
            <v>5525</v>
          </cell>
          <cell r="O841">
            <v>4807</v>
          </cell>
          <cell r="P841">
            <v>5475</v>
          </cell>
          <cell r="Q841">
            <v>7542</v>
          </cell>
          <cell r="R841">
            <v>8849</v>
          </cell>
          <cell r="S841">
            <v>49263</v>
          </cell>
          <cell r="T841">
            <v>71034</v>
          </cell>
          <cell r="U841">
            <v>78364</v>
          </cell>
          <cell r="V841">
            <v>77403</v>
          </cell>
          <cell r="W841">
            <v>81460</v>
          </cell>
          <cell r="X841">
            <v>83148</v>
          </cell>
          <cell r="Y841">
            <v>81901</v>
          </cell>
          <cell r="Z841">
            <v>125153</v>
          </cell>
          <cell r="AA841">
            <v>121740</v>
          </cell>
          <cell r="AB841">
            <v>117771</v>
          </cell>
          <cell r="AC841">
            <v>121503</v>
          </cell>
          <cell r="AD841">
            <v>123600</v>
          </cell>
          <cell r="AE841">
            <v>123784</v>
          </cell>
          <cell r="AF841">
            <v>125504</v>
          </cell>
          <cell r="AG841">
            <v>126878</v>
          </cell>
          <cell r="AH841">
            <v>125582</v>
          </cell>
          <cell r="AI841">
            <v>125743</v>
          </cell>
          <cell r="AJ841">
            <v>100766</v>
          </cell>
        </row>
        <row r="842">
          <cell r="E842" t="str">
            <v>CO Transportation Ethanol</v>
          </cell>
          <cell r="F842">
            <v>781</v>
          </cell>
          <cell r="G842">
            <v>815</v>
          </cell>
          <cell r="H842">
            <v>1284</v>
          </cell>
          <cell r="I842">
            <v>2094</v>
          </cell>
          <cell r="J842">
            <v>2010</v>
          </cell>
          <cell r="K842">
            <v>3065</v>
          </cell>
          <cell r="L842">
            <v>5255</v>
          </cell>
          <cell r="M842">
            <v>5190</v>
          </cell>
          <cell r="N842">
            <v>5139</v>
          </cell>
          <cell r="O842">
            <v>4357</v>
          </cell>
          <cell r="P842">
            <v>4933</v>
          </cell>
          <cell r="Q842">
            <v>6663</v>
          </cell>
          <cell r="R842">
            <v>5917</v>
          </cell>
          <cell r="S842">
            <v>6854</v>
          </cell>
          <cell r="T842">
            <v>6551</v>
          </cell>
          <cell r="U842">
            <v>3696</v>
          </cell>
          <cell r="V842">
            <v>3304</v>
          </cell>
          <cell r="W842">
            <v>5703</v>
          </cell>
          <cell r="X842">
            <v>7277</v>
          </cell>
          <cell r="Y842">
            <v>8307</v>
          </cell>
          <cell r="Z842">
            <v>10202</v>
          </cell>
          <cell r="AA842">
            <v>12962</v>
          </cell>
          <cell r="AB842">
            <v>13946</v>
          </cell>
          <cell r="AC842">
            <v>14976</v>
          </cell>
          <cell r="AD842">
            <v>14937</v>
          </cell>
          <cell r="AE842">
            <v>18047</v>
          </cell>
          <cell r="AF842">
            <v>19217</v>
          </cell>
          <cell r="AG842">
            <v>19133</v>
          </cell>
          <cell r="AH842">
            <v>19234</v>
          </cell>
          <cell r="AI842">
            <v>19929</v>
          </cell>
          <cell r="AJ842">
            <v>16984</v>
          </cell>
        </row>
        <row r="843">
          <cell r="E843" t="str">
            <v>CT Transportation Ethanol</v>
          </cell>
          <cell r="F843">
            <v>0</v>
          </cell>
          <cell r="G843">
            <v>109</v>
          </cell>
          <cell r="H843">
            <v>438</v>
          </cell>
          <cell r="I843">
            <v>536</v>
          </cell>
          <cell r="J843">
            <v>367</v>
          </cell>
          <cell r="K843">
            <v>81</v>
          </cell>
          <cell r="L843">
            <v>270</v>
          </cell>
          <cell r="M843">
            <v>284</v>
          </cell>
          <cell r="N843">
            <v>276</v>
          </cell>
          <cell r="O843">
            <v>295</v>
          </cell>
          <cell r="P843">
            <v>325</v>
          </cell>
          <cell r="Q843">
            <v>100</v>
          </cell>
          <cell r="R843">
            <v>282</v>
          </cell>
          <cell r="S843">
            <v>1635</v>
          </cell>
          <cell r="T843">
            <v>12535</v>
          </cell>
          <cell r="U843">
            <v>3343</v>
          </cell>
          <cell r="V843">
            <v>9795</v>
          </cell>
          <cell r="W843">
            <v>11995</v>
          </cell>
          <cell r="X843">
            <v>9969</v>
          </cell>
          <cell r="Y843">
            <v>11993</v>
          </cell>
          <cell r="Z843">
            <v>12946</v>
          </cell>
          <cell r="AA843">
            <v>12271</v>
          </cell>
          <cell r="AB843">
            <v>11795</v>
          </cell>
          <cell r="AC843">
            <v>12028</v>
          </cell>
          <cell r="AD843">
            <v>12027</v>
          </cell>
          <cell r="AE843">
            <v>12265</v>
          </cell>
          <cell r="AF843">
            <v>12428</v>
          </cell>
          <cell r="AG843">
            <v>12448</v>
          </cell>
          <cell r="AH843">
            <v>12431</v>
          </cell>
          <cell r="AI843">
            <v>12492</v>
          </cell>
          <cell r="AJ843">
            <v>10424</v>
          </cell>
        </row>
        <row r="844">
          <cell r="E844" t="str">
            <v>DC Transportation Ethanol</v>
          </cell>
          <cell r="F844">
            <v>0</v>
          </cell>
          <cell r="G844">
            <v>3</v>
          </cell>
          <cell r="H844">
            <v>0</v>
          </cell>
          <cell r="I844">
            <v>0</v>
          </cell>
          <cell r="J844">
            <v>0</v>
          </cell>
          <cell r="K844">
            <v>0</v>
          </cell>
          <cell r="L844">
            <v>0</v>
          </cell>
          <cell r="M844">
            <v>0</v>
          </cell>
          <cell r="N844">
            <v>0</v>
          </cell>
          <cell r="O844">
            <v>0</v>
          </cell>
          <cell r="P844">
            <v>0</v>
          </cell>
          <cell r="Q844">
            <v>0</v>
          </cell>
          <cell r="R844">
            <v>0</v>
          </cell>
          <cell r="S844">
            <v>0</v>
          </cell>
          <cell r="T844">
            <v>0</v>
          </cell>
          <cell r="U844">
            <v>192</v>
          </cell>
          <cell r="V844">
            <v>533</v>
          </cell>
          <cell r="W844">
            <v>664</v>
          </cell>
          <cell r="X844">
            <v>471</v>
          </cell>
          <cell r="Y844">
            <v>546</v>
          </cell>
          <cell r="Z844">
            <v>910</v>
          </cell>
          <cell r="AA844">
            <v>896</v>
          </cell>
          <cell r="AB844">
            <v>783</v>
          </cell>
          <cell r="AC844">
            <v>811</v>
          </cell>
          <cell r="AD844">
            <v>908</v>
          </cell>
          <cell r="AE844">
            <v>921</v>
          </cell>
          <cell r="AF844">
            <v>979</v>
          </cell>
          <cell r="AG844">
            <v>855</v>
          </cell>
          <cell r="AH844">
            <v>988</v>
          </cell>
          <cell r="AI844">
            <v>976</v>
          </cell>
          <cell r="AJ844">
            <v>811</v>
          </cell>
        </row>
        <row r="845">
          <cell r="E845" t="str">
            <v>DE Transportation Ethanol</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917</v>
          </cell>
          <cell r="V845">
            <v>2706</v>
          </cell>
          <cell r="W845">
            <v>3364</v>
          </cell>
          <cell r="X845">
            <v>2783</v>
          </cell>
          <cell r="Y845">
            <v>3007</v>
          </cell>
          <cell r="Z845">
            <v>3841</v>
          </cell>
          <cell r="AA845">
            <v>3586</v>
          </cell>
          <cell r="AB845">
            <v>3466</v>
          </cell>
          <cell r="AC845">
            <v>3591</v>
          </cell>
          <cell r="AD845">
            <v>3615</v>
          </cell>
          <cell r="AE845">
            <v>3896</v>
          </cell>
          <cell r="AF845">
            <v>4024</v>
          </cell>
          <cell r="AG845">
            <v>4165</v>
          </cell>
          <cell r="AH845">
            <v>4286</v>
          </cell>
          <cell r="AI845">
            <v>4629</v>
          </cell>
          <cell r="AJ845">
            <v>3848</v>
          </cell>
        </row>
        <row r="846">
          <cell r="E846" t="str">
            <v>FL Transportation Ethanol</v>
          </cell>
          <cell r="F846">
            <v>624</v>
          </cell>
          <cell r="G846">
            <v>780</v>
          </cell>
          <cell r="H846">
            <v>785</v>
          </cell>
          <cell r="I846">
            <v>450</v>
          </cell>
          <cell r="J846">
            <v>365</v>
          </cell>
          <cell r="K846">
            <v>197</v>
          </cell>
          <cell r="L846">
            <v>69</v>
          </cell>
          <cell r="M846">
            <v>118</v>
          </cell>
          <cell r="N846">
            <v>120</v>
          </cell>
          <cell r="O846">
            <v>82</v>
          </cell>
          <cell r="P846">
            <v>152</v>
          </cell>
          <cell r="Q846">
            <v>89</v>
          </cell>
          <cell r="R846">
            <v>36</v>
          </cell>
          <cell r="S846">
            <v>0</v>
          </cell>
          <cell r="T846">
            <v>4</v>
          </cell>
          <cell r="U846">
            <v>4333</v>
          </cell>
          <cell r="V846">
            <v>6166</v>
          </cell>
          <cell r="W846">
            <v>8909</v>
          </cell>
          <cell r="X846">
            <v>46091</v>
          </cell>
          <cell r="Y846">
            <v>57827</v>
          </cell>
          <cell r="Z846">
            <v>58087</v>
          </cell>
          <cell r="AA846">
            <v>59232</v>
          </cell>
          <cell r="AB846">
            <v>62863</v>
          </cell>
          <cell r="AC846">
            <v>64401</v>
          </cell>
          <cell r="AD846">
            <v>63605</v>
          </cell>
          <cell r="AE846">
            <v>63546</v>
          </cell>
          <cell r="AF846">
            <v>66239</v>
          </cell>
          <cell r="AG846">
            <v>69563</v>
          </cell>
          <cell r="AH846">
            <v>72876</v>
          </cell>
          <cell r="AI846">
            <v>72402</v>
          </cell>
          <cell r="AJ846">
            <v>63046</v>
          </cell>
        </row>
        <row r="847">
          <cell r="E847" t="str">
            <v>GA Transportation Ethanol</v>
          </cell>
          <cell r="F847">
            <v>710</v>
          </cell>
          <cell r="G847">
            <v>772</v>
          </cell>
          <cell r="H847">
            <v>207</v>
          </cell>
          <cell r="I847">
            <v>389</v>
          </cell>
          <cell r="J847">
            <v>111</v>
          </cell>
          <cell r="K847">
            <v>10</v>
          </cell>
          <cell r="L847">
            <v>0</v>
          </cell>
          <cell r="M847">
            <v>0</v>
          </cell>
          <cell r="N847">
            <v>0</v>
          </cell>
          <cell r="O847">
            <v>0</v>
          </cell>
          <cell r="P847">
            <v>0</v>
          </cell>
          <cell r="Q847">
            <v>0</v>
          </cell>
          <cell r="R847">
            <v>0</v>
          </cell>
          <cell r="S847">
            <v>0</v>
          </cell>
          <cell r="T847">
            <v>0</v>
          </cell>
          <cell r="U847">
            <v>2316</v>
          </cell>
          <cell r="V847">
            <v>3340</v>
          </cell>
          <cell r="W847">
            <v>4986</v>
          </cell>
          <cell r="X847">
            <v>26676</v>
          </cell>
          <cell r="Y847">
            <v>33828</v>
          </cell>
          <cell r="Z847">
            <v>34733</v>
          </cell>
          <cell r="AA847">
            <v>34510</v>
          </cell>
          <cell r="AB847">
            <v>36241</v>
          </cell>
          <cell r="AC847">
            <v>37817</v>
          </cell>
          <cell r="AD847">
            <v>35506</v>
          </cell>
          <cell r="AE847">
            <v>36448</v>
          </cell>
          <cell r="AF847">
            <v>36188</v>
          </cell>
          <cell r="AG847">
            <v>38980</v>
          </cell>
          <cell r="AH847">
            <v>40108</v>
          </cell>
          <cell r="AI847">
            <v>39127</v>
          </cell>
          <cell r="AJ847">
            <v>36062</v>
          </cell>
        </row>
        <row r="848">
          <cell r="E848" t="str">
            <v>HI Transportation Ethanol</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1176</v>
          </cell>
          <cell r="V848">
            <v>1343</v>
          </cell>
          <cell r="W848">
            <v>1699</v>
          </cell>
          <cell r="X848">
            <v>3146</v>
          </cell>
          <cell r="Y848">
            <v>3604</v>
          </cell>
          <cell r="Z848">
            <v>2745</v>
          </cell>
          <cell r="AA848">
            <v>3190</v>
          </cell>
          <cell r="AB848">
            <v>2895</v>
          </cell>
          <cell r="AC848">
            <v>2990</v>
          </cell>
          <cell r="AD848">
            <v>3235</v>
          </cell>
          <cell r="AE848">
            <v>3769</v>
          </cell>
          <cell r="AF848">
            <v>3788</v>
          </cell>
          <cell r="AG848">
            <v>3822</v>
          </cell>
          <cell r="AH848">
            <v>3719</v>
          </cell>
          <cell r="AI848">
            <v>3806</v>
          </cell>
          <cell r="AJ848">
            <v>2943</v>
          </cell>
        </row>
        <row r="849">
          <cell r="E849" t="str">
            <v>IA Transportation Ethanol</v>
          </cell>
          <cell r="F849">
            <v>2953</v>
          </cell>
          <cell r="G849">
            <v>3601</v>
          </cell>
          <cell r="H849">
            <v>4485</v>
          </cell>
          <cell r="I849">
            <v>5343</v>
          </cell>
          <cell r="J849">
            <v>6196</v>
          </cell>
          <cell r="K849">
            <v>6085</v>
          </cell>
          <cell r="L849">
            <v>3866</v>
          </cell>
          <cell r="M849">
            <v>4680</v>
          </cell>
          <cell r="N849">
            <v>5824</v>
          </cell>
          <cell r="O849">
            <v>6316</v>
          </cell>
          <cell r="P849">
            <v>7415</v>
          </cell>
          <cell r="Q849">
            <v>7696</v>
          </cell>
          <cell r="R849">
            <v>7876</v>
          </cell>
          <cell r="S849">
            <v>8404</v>
          </cell>
          <cell r="T849">
            <v>8725</v>
          </cell>
          <cell r="U849">
            <v>2748</v>
          </cell>
          <cell r="V849">
            <v>2453</v>
          </cell>
          <cell r="W849">
            <v>4236</v>
          </cell>
          <cell r="X849">
            <v>7633</v>
          </cell>
          <cell r="Y849">
            <v>7362</v>
          </cell>
          <cell r="Z849">
            <v>12267</v>
          </cell>
          <cell r="AA849">
            <v>12920</v>
          </cell>
          <cell r="AB849">
            <v>12060</v>
          </cell>
          <cell r="AC849">
            <v>11856</v>
          </cell>
          <cell r="AD849">
            <v>13182</v>
          </cell>
          <cell r="AE849">
            <v>14404</v>
          </cell>
          <cell r="AF849">
            <v>15699</v>
          </cell>
          <cell r="AG849">
            <v>14461</v>
          </cell>
          <cell r="AH849">
            <v>14204</v>
          </cell>
          <cell r="AI849">
            <v>14328</v>
          </cell>
          <cell r="AJ849">
            <v>12542</v>
          </cell>
        </row>
        <row r="850">
          <cell r="E850" t="str">
            <v>ID Transportation Ethanol</v>
          </cell>
          <cell r="F850">
            <v>550</v>
          </cell>
          <cell r="G850">
            <v>605</v>
          </cell>
          <cell r="H850">
            <v>382</v>
          </cell>
          <cell r="I850">
            <v>62</v>
          </cell>
          <cell r="J850">
            <v>54</v>
          </cell>
          <cell r="K850">
            <v>36</v>
          </cell>
          <cell r="L850">
            <v>0</v>
          </cell>
          <cell r="M850">
            <v>0</v>
          </cell>
          <cell r="N850">
            <v>0</v>
          </cell>
          <cell r="O850">
            <v>0</v>
          </cell>
          <cell r="P850">
            <v>0</v>
          </cell>
          <cell r="Q850">
            <v>0</v>
          </cell>
          <cell r="R850">
            <v>0</v>
          </cell>
          <cell r="S850">
            <v>0</v>
          </cell>
          <cell r="T850">
            <v>0</v>
          </cell>
          <cell r="U850">
            <v>1115</v>
          </cell>
          <cell r="V850">
            <v>1072</v>
          </cell>
          <cell r="W850">
            <v>1796</v>
          </cell>
          <cell r="X850">
            <v>2207</v>
          </cell>
          <cell r="Y850">
            <v>2640</v>
          </cell>
          <cell r="Z850">
            <v>3231</v>
          </cell>
          <cell r="AA850">
            <v>4043</v>
          </cell>
          <cell r="AB850">
            <v>4517</v>
          </cell>
          <cell r="AC850">
            <v>4800</v>
          </cell>
          <cell r="AD850">
            <v>4789</v>
          </cell>
          <cell r="AE850">
            <v>5945</v>
          </cell>
          <cell r="AF850">
            <v>6422</v>
          </cell>
          <cell r="AG850">
            <v>6594</v>
          </cell>
          <cell r="AH850">
            <v>6186</v>
          </cell>
          <cell r="AI850">
            <v>6639</v>
          </cell>
          <cell r="AJ850">
            <v>6443</v>
          </cell>
        </row>
        <row r="851">
          <cell r="E851" t="str">
            <v>IL Transportation Ethanol</v>
          </cell>
          <cell r="F851">
            <v>11172</v>
          </cell>
          <cell r="G851">
            <v>12345</v>
          </cell>
          <cell r="H851">
            <v>14219</v>
          </cell>
          <cell r="I851">
            <v>14075</v>
          </cell>
          <cell r="J851">
            <v>17581</v>
          </cell>
          <cell r="K851">
            <v>14764</v>
          </cell>
          <cell r="L851">
            <v>10714</v>
          </cell>
          <cell r="M851">
            <v>15584</v>
          </cell>
          <cell r="N851">
            <v>18487</v>
          </cell>
          <cell r="O851">
            <v>19700</v>
          </cell>
          <cell r="P851">
            <v>23706</v>
          </cell>
          <cell r="Q851">
            <v>26797</v>
          </cell>
          <cell r="R851">
            <v>24708</v>
          </cell>
          <cell r="S851">
            <v>31940</v>
          </cell>
          <cell r="T851">
            <v>32977</v>
          </cell>
          <cell r="U851">
            <v>29608</v>
          </cell>
          <cell r="V851">
            <v>29209</v>
          </cell>
          <cell r="W851">
            <v>33466</v>
          </cell>
          <cell r="X851">
            <v>41045</v>
          </cell>
          <cell r="Y851">
            <v>38052</v>
          </cell>
          <cell r="Z851">
            <v>39605</v>
          </cell>
          <cell r="AA851">
            <v>37851</v>
          </cell>
          <cell r="AB851">
            <v>37622</v>
          </cell>
          <cell r="AC851">
            <v>38612</v>
          </cell>
          <cell r="AD851">
            <v>38837</v>
          </cell>
          <cell r="AE851">
            <v>37840</v>
          </cell>
          <cell r="AF851">
            <v>38710</v>
          </cell>
          <cell r="AG851">
            <v>38790</v>
          </cell>
          <cell r="AH851">
            <v>38117</v>
          </cell>
          <cell r="AI851">
            <v>37569</v>
          </cell>
          <cell r="AJ851">
            <v>31256</v>
          </cell>
        </row>
        <row r="852">
          <cell r="E852" t="str">
            <v>IN Transportation Ethanol</v>
          </cell>
          <cell r="F852">
            <v>5127</v>
          </cell>
          <cell r="G852">
            <v>6102</v>
          </cell>
          <cell r="H852">
            <v>5823</v>
          </cell>
          <cell r="I852">
            <v>6104</v>
          </cell>
          <cell r="J852">
            <v>6005</v>
          </cell>
          <cell r="K852">
            <v>7594</v>
          </cell>
          <cell r="L852">
            <v>3870</v>
          </cell>
          <cell r="M852">
            <v>5191</v>
          </cell>
          <cell r="N852">
            <v>4962</v>
          </cell>
          <cell r="O852">
            <v>8698</v>
          </cell>
          <cell r="P852">
            <v>9732</v>
          </cell>
          <cell r="Q852">
            <v>8983</v>
          </cell>
          <cell r="R852">
            <v>10197</v>
          </cell>
          <cell r="S852">
            <v>10926</v>
          </cell>
          <cell r="T852">
            <v>11002</v>
          </cell>
          <cell r="U852">
            <v>12420</v>
          </cell>
          <cell r="V852">
            <v>13131</v>
          </cell>
          <cell r="W852">
            <v>15818</v>
          </cell>
          <cell r="X852">
            <v>21288</v>
          </cell>
          <cell r="Y852">
            <v>23372</v>
          </cell>
          <cell r="Z852">
            <v>23364</v>
          </cell>
          <cell r="AA852">
            <v>23186</v>
          </cell>
          <cell r="AB852">
            <v>23994</v>
          </cell>
          <cell r="AC852">
            <v>25165</v>
          </cell>
          <cell r="AD852">
            <v>24944</v>
          </cell>
          <cell r="AE852">
            <v>24008</v>
          </cell>
          <cell r="AF852">
            <v>24294</v>
          </cell>
          <cell r="AG852">
            <v>24633</v>
          </cell>
          <cell r="AH852">
            <v>23826</v>
          </cell>
          <cell r="AI852">
            <v>23770</v>
          </cell>
          <cell r="AJ852">
            <v>22362</v>
          </cell>
        </row>
        <row r="853">
          <cell r="E853" t="str">
            <v>KS Transportation Ethanol</v>
          </cell>
          <cell r="F853">
            <v>586</v>
          </cell>
          <cell r="G853">
            <v>572</v>
          </cell>
          <cell r="H853">
            <v>564</v>
          </cell>
          <cell r="I853">
            <v>488</v>
          </cell>
          <cell r="J853">
            <v>459</v>
          </cell>
          <cell r="K853">
            <v>368</v>
          </cell>
          <cell r="L853">
            <v>227</v>
          </cell>
          <cell r="M853">
            <v>227</v>
          </cell>
          <cell r="N853">
            <v>279</v>
          </cell>
          <cell r="O853">
            <v>474</v>
          </cell>
          <cell r="P853">
            <v>208</v>
          </cell>
          <cell r="Q853">
            <v>195</v>
          </cell>
          <cell r="R853">
            <v>2353</v>
          </cell>
          <cell r="S853">
            <v>3338</v>
          </cell>
          <cell r="T853">
            <v>333</v>
          </cell>
          <cell r="U853">
            <v>2475</v>
          </cell>
          <cell r="V853">
            <v>2495</v>
          </cell>
          <cell r="W853">
            <v>4850</v>
          </cell>
          <cell r="X853">
            <v>8861</v>
          </cell>
          <cell r="Y853">
            <v>8518</v>
          </cell>
          <cell r="Z853">
            <v>8536</v>
          </cell>
          <cell r="AA853">
            <v>8605</v>
          </cell>
          <cell r="AB853">
            <v>8133</v>
          </cell>
          <cell r="AC853">
            <v>8328</v>
          </cell>
          <cell r="AD853">
            <v>9196</v>
          </cell>
          <cell r="AE853">
            <v>9723</v>
          </cell>
          <cell r="AF853">
            <v>10192</v>
          </cell>
          <cell r="AG853">
            <v>9846</v>
          </cell>
          <cell r="AH853">
            <v>9608</v>
          </cell>
          <cell r="AI853">
            <v>10277</v>
          </cell>
          <cell r="AJ853">
            <v>9379</v>
          </cell>
        </row>
        <row r="854">
          <cell r="E854" t="str">
            <v>KY Transportation Ethanol</v>
          </cell>
          <cell r="F854">
            <v>2828</v>
          </cell>
          <cell r="G854">
            <v>2787</v>
          </cell>
          <cell r="H854">
            <v>3275</v>
          </cell>
          <cell r="I854">
            <v>2069</v>
          </cell>
          <cell r="J854">
            <v>872</v>
          </cell>
          <cell r="K854">
            <v>438</v>
          </cell>
          <cell r="L854">
            <v>453</v>
          </cell>
          <cell r="M854">
            <v>539</v>
          </cell>
          <cell r="N854">
            <v>321</v>
          </cell>
          <cell r="O854">
            <v>299</v>
          </cell>
          <cell r="P854">
            <v>230</v>
          </cell>
          <cell r="Q854">
            <v>323</v>
          </cell>
          <cell r="R854">
            <v>2110</v>
          </cell>
          <cell r="S854">
            <v>4698</v>
          </cell>
          <cell r="T854">
            <v>4090</v>
          </cell>
          <cell r="U854">
            <v>9146</v>
          </cell>
          <cell r="V854">
            <v>9438</v>
          </cell>
          <cell r="W854">
            <v>11669</v>
          </cell>
          <cell r="X854">
            <v>15045</v>
          </cell>
          <cell r="Y854">
            <v>16580</v>
          </cell>
          <cell r="Z854">
            <v>16957</v>
          </cell>
          <cell r="AA854">
            <v>16873</v>
          </cell>
          <cell r="AB854">
            <v>17489</v>
          </cell>
          <cell r="AC854">
            <v>17811</v>
          </cell>
          <cell r="AD854">
            <v>17506</v>
          </cell>
          <cell r="AE854">
            <v>16940</v>
          </cell>
          <cell r="AF854">
            <v>17361</v>
          </cell>
          <cell r="AG854">
            <v>17522</v>
          </cell>
          <cell r="AH854">
            <v>17367</v>
          </cell>
          <cell r="AI854">
            <v>17581</v>
          </cell>
          <cell r="AJ854">
            <v>16147</v>
          </cell>
        </row>
        <row r="855">
          <cell r="E855" t="str">
            <v>LA Transportation Ethanol</v>
          </cell>
          <cell r="F855">
            <v>313</v>
          </cell>
          <cell r="G855">
            <v>583</v>
          </cell>
          <cell r="H855">
            <v>760</v>
          </cell>
          <cell r="I855">
            <v>753</v>
          </cell>
          <cell r="J855">
            <v>1059</v>
          </cell>
          <cell r="K855">
            <v>633</v>
          </cell>
          <cell r="L855">
            <v>152</v>
          </cell>
          <cell r="M855">
            <v>64</v>
          </cell>
          <cell r="N855">
            <v>55</v>
          </cell>
          <cell r="O855">
            <v>135</v>
          </cell>
          <cell r="P855">
            <v>22</v>
          </cell>
          <cell r="Q855">
            <v>0</v>
          </cell>
          <cell r="R855">
            <v>3002</v>
          </cell>
          <cell r="S855">
            <v>3730</v>
          </cell>
          <cell r="T855">
            <v>3805</v>
          </cell>
          <cell r="U855">
            <v>160</v>
          </cell>
          <cell r="V855">
            <v>152</v>
          </cell>
          <cell r="W855">
            <v>452</v>
          </cell>
          <cell r="X855">
            <v>4064</v>
          </cell>
          <cell r="Y855">
            <v>10739</v>
          </cell>
          <cell r="Z855">
            <v>19785</v>
          </cell>
          <cell r="AA855">
            <v>19108</v>
          </cell>
          <cell r="AB855">
            <v>17988</v>
          </cell>
          <cell r="AC855">
            <v>19143</v>
          </cell>
          <cell r="AD855">
            <v>19132</v>
          </cell>
          <cell r="AE855">
            <v>19726</v>
          </cell>
          <cell r="AF855">
            <v>18927</v>
          </cell>
          <cell r="AG855">
            <v>18344</v>
          </cell>
          <cell r="AH855">
            <v>17225</v>
          </cell>
          <cell r="AI855">
            <v>16899</v>
          </cell>
          <cell r="AJ855">
            <v>14339</v>
          </cell>
        </row>
        <row r="856">
          <cell r="E856" t="str">
            <v>MA Transportation Ethanol</v>
          </cell>
          <cell r="F856">
            <v>0</v>
          </cell>
          <cell r="G856">
            <v>0</v>
          </cell>
          <cell r="H856">
            <v>0</v>
          </cell>
          <cell r="I856">
            <v>0</v>
          </cell>
          <cell r="J856">
            <v>0</v>
          </cell>
          <cell r="K856">
            <v>0</v>
          </cell>
          <cell r="L856">
            <v>0</v>
          </cell>
          <cell r="M856">
            <v>0</v>
          </cell>
          <cell r="N856">
            <v>0</v>
          </cell>
          <cell r="O856">
            <v>0</v>
          </cell>
          <cell r="P856">
            <v>0</v>
          </cell>
          <cell r="Q856">
            <v>0</v>
          </cell>
          <cell r="R856">
            <v>72</v>
          </cell>
          <cell r="S856">
            <v>72</v>
          </cell>
          <cell r="T856">
            <v>684</v>
          </cell>
          <cell r="U856">
            <v>6018</v>
          </cell>
          <cell r="V856">
            <v>16266</v>
          </cell>
          <cell r="W856">
            <v>20911</v>
          </cell>
          <cell r="X856">
            <v>17439</v>
          </cell>
          <cell r="Y856">
            <v>19322</v>
          </cell>
          <cell r="Z856">
            <v>24151</v>
          </cell>
          <cell r="AA856">
            <v>23263</v>
          </cell>
          <cell r="AB856">
            <v>22634</v>
          </cell>
          <cell r="AC856">
            <v>22984</v>
          </cell>
          <cell r="AD856">
            <v>22872</v>
          </cell>
          <cell r="AE856">
            <v>23217</v>
          </cell>
          <cell r="AF856">
            <v>23339</v>
          </cell>
          <cell r="AG856">
            <v>23072</v>
          </cell>
          <cell r="AH856">
            <v>23102</v>
          </cell>
          <cell r="AI856">
            <v>23074</v>
          </cell>
          <cell r="AJ856">
            <v>18416</v>
          </cell>
        </row>
        <row r="857">
          <cell r="E857" t="str">
            <v>MD Transportation Ethanol</v>
          </cell>
          <cell r="F857">
            <v>0</v>
          </cell>
          <cell r="G857">
            <v>0</v>
          </cell>
          <cell r="H857">
            <v>0</v>
          </cell>
          <cell r="I857">
            <v>0</v>
          </cell>
          <cell r="J857">
            <v>0</v>
          </cell>
          <cell r="K857">
            <v>263</v>
          </cell>
          <cell r="L857">
            <v>222</v>
          </cell>
          <cell r="M857">
            <v>253</v>
          </cell>
          <cell r="N857">
            <v>209</v>
          </cell>
          <cell r="O857">
            <v>213</v>
          </cell>
          <cell r="P857">
            <v>237</v>
          </cell>
          <cell r="Q857">
            <v>25</v>
          </cell>
          <cell r="R857">
            <v>3009</v>
          </cell>
          <cell r="S857">
            <v>19</v>
          </cell>
          <cell r="T857">
            <v>24</v>
          </cell>
          <cell r="U857">
            <v>4809</v>
          </cell>
          <cell r="V857">
            <v>13500</v>
          </cell>
          <cell r="W857">
            <v>16888</v>
          </cell>
          <cell r="X857">
            <v>15159</v>
          </cell>
          <cell r="Y857">
            <v>17882</v>
          </cell>
          <cell r="Z857">
            <v>22884</v>
          </cell>
          <cell r="AA857">
            <v>22037</v>
          </cell>
          <cell r="AB857">
            <v>22031</v>
          </cell>
          <cell r="AC857">
            <v>23432</v>
          </cell>
          <cell r="AD857">
            <v>22760</v>
          </cell>
          <cell r="AE857">
            <v>23346</v>
          </cell>
          <cell r="AF857">
            <v>22436</v>
          </cell>
          <cell r="AG857">
            <v>22337</v>
          </cell>
          <cell r="AH857">
            <v>22182</v>
          </cell>
          <cell r="AI857">
            <v>22448</v>
          </cell>
          <cell r="AJ857">
            <v>17785</v>
          </cell>
        </row>
        <row r="858">
          <cell r="E858" t="str">
            <v>ME Transportation Ethanol</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375</v>
          </cell>
          <cell r="V858">
            <v>551</v>
          </cell>
          <cell r="W858">
            <v>789</v>
          </cell>
          <cell r="X858">
            <v>4054</v>
          </cell>
          <cell r="Y858">
            <v>5154</v>
          </cell>
          <cell r="Z858">
            <v>4766</v>
          </cell>
          <cell r="AA858">
            <v>4897</v>
          </cell>
          <cell r="AB858">
            <v>5014</v>
          </cell>
          <cell r="AC858">
            <v>5762</v>
          </cell>
          <cell r="AD858">
            <v>5892</v>
          </cell>
          <cell r="AE858">
            <v>6073</v>
          </cell>
          <cell r="AF858">
            <v>6405</v>
          </cell>
          <cell r="AG858">
            <v>5307</v>
          </cell>
          <cell r="AH858">
            <v>5300</v>
          </cell>
          <cell r="AI858">
            <v>5309</v>
          </cell>
          <cell r="AJ858">
            <v>4831</v>
          </cell>
        </row>
        <row r="859">
          <cell r="E859" t="str">
            <v>MI Transportation Ethanol</v>
          </cell>
          <cell r="F859">
            <v>4107</v>
          </cell>
          <cell r="G859">
            <v>5395</v>
          </cell>
          <cell r="H859">
            <v>4672</v>
          </cell>
          <cell r="I859">
            <v>5522</v>
          </cell>
          <cell r="J859">
            <v>6354</v>
          </cell>
          <cell r="K859">
            <v>4175</v>
          </cell>
          <cell r="L859">
            <v>1758</v>
          </cell>
          <cell r="M859">
            <v>2241</v>
          </cell>
          <cell r="N859">
            <v>2896</v>
          </cell>
          <cell r="O859">
            <v>3283</v>
          </cell>
          <cell r="P859">
            <v>7781</v>
          </cell>
          <cell r="Q859">
            <v>4744</v>
          </cell>
          <cell r="R859">
            <v>10057</v>
          </cell>
          <cell r="S859">
            <v>12614</v>
          </cell>
          <cell r="T859">
            <v>13032</v>
          </cell>
          <cell r="U859">
            <v>17297</v>
          </cell>
          <cell r="V859">
            <v>18194</v>
          </cell>
          <cell r="W859">
            <v>22344</v>
          </cell>
          <cell r="X859">
            <v>30697</v>
          </cell>
          <cell r="Y859">
            <v>34822</v>
          </cell>
          <cell r="Z859">
            <v>33424</v>
          </cell>
          <cell r="AA859">
            <v>34216</v>
          </cell>
          <cell r="AB859">
            <v>36374</v>
          </cell>
          <cell r="AC859">
            <v>38461</v>
          </cell>
          <cell r="AD859">
            <v>36851</v>
          </cell>
          <cell r="AE859">
            <v>35319</v>
          </cell>
          <cell r="AF859">
            <v>36098</v>
          </cell>
          <cell r="AG859">
            <v>36263</v>
          </cell>
          <cell r="AH859">
            <v>35944</v>
          </cell>
          <cell r="AI859">
            <v>36103</v>
          </cell>
          <cell r="AJ859">
            <v>31640</v>
          </cell>
        </row>
        <row r="860">
          <cell r="E860" t="str">
            <v>MN Transportation Ethanol</v>
          </cell>
          <cell r="F860">
            <v>1888</v>
          </cell>
          <cell r="G860">
            <v>3691</v>
          </cell>
          <cell r="H860">
            <v>5811</v>
          </cell>
          <cell r="I860">
            <v>10906</v>
          </cell>
          <cell r="J860">
            <v>12480</v>
          </cell>
          <cell r="K860">
            <v>13447</v>
          </cell>
          <cell r="L860">
            <v>10348</v>
          </cell>
          <cell r="M860">
            <v>14884</v>
          </cell>
          <cell r="N860">
            <v>16888</v>
          </cell>
          <cell r="O860">
            <v>18732</v>
          </cell>
          <cell r="P860">
            <v>19054</v>
          </cell>
          <cell r="Q860">
            <v>19348</v>
          </cell>
          <cell r="R860">
            <v>20974</v>
          </cell>
          <cell r="S860">
            <v>22585</v>
          </cell>
          <cell r="T860">
            <v>21709</v>
          </cell>
          <cell r="U860">
            <v>17032</v>
          </cell>
          <cell r="V860">
            <v>15379</v>
          </cell>
          <cell r="W860">
            <v>19523</v>
          </cell>
          <cell r="X860">
            <v>21012</v>
          </cell>
          <cell r="Y860">
            <v>20687</v>
          </cell>
          <cell r="Z860">
            <v>26309</v>
          </cell>
          <cell r="AA860">
            <v>23597</v>
          </cell>
          <cell r="AB860">
            <v>24463</v>
          </cell>
          <cell r="AC860">
            <v>24824</v>
          </cell>
          <cell r="AD860">
            <v>24861</v>
          </cell>
          <cell r="AE860">
            <v>25889</v>
          </cell>
          <cell r="AF860">
            <v>26387</v>
          </cell>
          <cell r="AG860">
            <v>26576</v>
          </cell>
          <cell r="AH860">
            <v>25782</v>
          </cell>
          <cell r="AI860">
            <v>26104</v>
          </cell>
          <cell r="AJ860">
            <v>22597</v>
          </cell>
        </row>
        <row r="861">
          <cell r="E861" t="str">
            <v>MO Transportation Ethanol</v>
          </cell>
          <cell r="F861">
            <v>2159</v>
          </cell>
          <cell r="G861">
            <v>1951</v>
          </cell>
          <cell r="H861">
            <v>2302</v>
          </cell>
          <cell r="I861">
            <v>2599</v>
          </cell>
          <cell r="J861">
            <v>2911</v>
          </cell>
          <cell r="K861">
            <v>1946</v>
          </cell>
          <cell r="L861">
            <v>1024</v>
          </cell>
          <cell r="M861">
            <v>564</v>
          </cell>
          <cell r="N861">
            <v>645</v>
          </cell>
          <cell r="O861">
            <v>1385</v>
          </cell>
          <cell r="P861">
            <v>2377</v>
          </cell>
          <cell r="Q861">
            <v>2130</v>
          </cell>
          <cell r="R861">
            <v>5120</v>
          </cell>
          <cell r="S861">
            <v>7275</v>
          </cell>
          <cell r="T861">
            <v>7734</v>
          </cell>
          <cell r="U861">
            <v>9542</v>
          </cell>
          <cell r="V861">
            <v>9535</v>
          </cell>
          <cell r="W861">
            <v>13372</v>
          </cell>
          <cell r="X861">
            <v>19541</v>
          </cell>
          <cell r="Y861">
            <v>18361</v>
          </cell>
          <cell r="Z861">
            <v>22410</v>
          </cell>
          <cell r="AA861">
            <v>22059</v>
          </cell>
          <cell r="AB861">
            <v>21533</v>
          </cell>
          <cell r="AC861">
            <v>21421</v>
          </cell>
          <cell r="AD861">
            <v>23419</v>
          </cell>
          <cell r="AE861">
            <v>25041</v>
          </cell>
          <cell r="AF861">
            <v>25336</v>
          </cell>
          <cell r="AG861">
            <v>25261</v>
          </cell>
          <cell r="AH861">
            <v>24790</v>
          </cell>
          <cell r="AI861">
            <v>24896</v>
          </cell>
          <cell r="AJ861">
            <v>22892</v>
          </cell>
        </row>
        <row r="862">
          <cell r="E862" t="str">
            <v>MS Transportation Ethanol</v>
          </cell>
          <cell r="F862">
            <v>0</v>
          </cell>
          <cell r="G862">
            <v>0</v>
          </cell>
          <cell r="H862">
            <v>0</v>
          </cell>
          <cell r="I862">
            <v>477</v>
          </cell>
          <cell r="J862">
            <v>336</v>
          </cell>
          <cell r="K862">
            <v>188</v>
          </cell>
          <cell r="L862">
            <v>19</v>
          </cell>
          <cell r="M862">
            <v>0</v>
          </cell>
          <cell r="N862">
            <v>0</v>
          </cell>
          <cell r="O862">
            <v>0</v>
          </cell>
          <cell r="P862">
            <v>0</v>
          </cell>
          <cell r="Q862">
            <v>0</v>
          </cell>
          <cell r="R862">
            <v>0</v>
          </cell>
          <cell r="S862">
            <v>0</v>
          </cell>
          <cell r="T862">
            <v>0</v>
          </cell>
          <cell r="U862">
            <v>113</v>
          </cell>
          <cell r="V862">
            <v>105</v>
          </cell>
          <cell r="W862">
            <v>338</v>
          </cell>
          <cell r="X862">
            <v>2783</v>
          </cell>
          <cell r="Y862">
            <v>6959</v>
          </cell>
          <cell r="Z862">
            <v>14255</v>
          </cell>
          <cell r="AA862">
            <v>13330</v>
          </cell>
          <cell r="AB862">
            <v>13334</v>
          </cell>
          <cell r="AC862">
            <v>13595</v>
          </cell>
          <cell r="AD862">
            <v>14264</v>
          </cell>
          <cell r="AE862">
            <v>14519</v>
          </cell>
          <cell r="AF862">
            <v>14707</v>
          </cell>
          <cell r="AG862">
            <v>14457</v>
          </cell>
          <cell r="AH862">
            <v>13224</v>
          </cell>
          <cell r="AI862">
            <v>13292</v>
          </cell>
          <cell r="AJ862">
            <v>11986</v>
          </cell>
        </row>
        <row r="863">
          <cell r="E863" t="str">
            <v>MT Transportation Ethanol</v>
          </cell>
          <cell r="F863">
            <v>11</v>
          </cell>
          <cell r="G863">
            <v>44</v>
          </cell>
          <cell r="H863">
            <v>43</v>
          </cell>
          <cell r="I863">
            <v>50</v>
          </cell>
          <cell r="J863">
            <v>0</v>
          </cell>
          <cell r="K863">
            <v>55</v>
          </cell>
          <cell r="L863">
            <v>0</v>
          </cell>
          <cell r="M863">
            <v>0</v>
          </cell>
          <cell r="N863">
            <v>35</v>
          </cell>
          <cell r="O863">
            <v>37</v>
          </cell>
          <cell r="P863">
            <v>45</v>
          </cell>
          <cell r="Q863">
            <v>117</v>
          </cell>
          <cell r="R863">
            <v>117</v>
          </cell>
          <cell r="S863">
            <v>99</v>
          </cell>
          <cell r="T863">
            <v>123</v>
          </cell>
          <cell r="U863">
            <v>853</v>
          </cell>
          <cell r="V863">
            <v>1015</v>
          </cell>
          <cell r="W863">
            <v>1744</v>
          </cell>
          <cell r="X863">
            <v>2215</v>
          </cell>
          <cell r="Y863">
            <v>2556</v>
          </cell>
          <cell r="Z863">
            <v>2359</v>
          </cell>
          <cell r="AA863">
            <v>2997</v>
          </cell>
          <cell r="AB863">
            <v>3310</v>
          </cell>
          <cell r="AC863">
            <v>3501</v>
          </cell>
          <cell r="AD863">
            <v>3462</v>
          </cell>
          <cell r="AE863">
            <v>4240</v>
          </cell>
          <cell r="AF863">
            <v>4486</v>
          </cell>
          <cell r="AG863">
            <v>4499</v>
          </cell>
          <cell r="AH863">
            <v>4417</v>
          </cell>
          <cell r="AI863">
            <v>4503</v>
          </cell>
          <cell r="AJ863">
            <v>4248</v>
          </cell>
        </row>
        <row r="864">
          <cell r="E864" t="str">
            <v>NC Transportation Ethanol</v>
          </cell>
          <cell r="F864">
            <v>0</v>
          </cell>
          <cell r="G864">
            <v>412</v>
          </cell>
          <cell r="H864">
            <v>266</v>
          </cell>
          <cell r="I864">
            <v>268</v>
          </cell>
          <cell r="J864">
            <v>1021</v>
          </cell>
          <cell r="K864">
            <v>97</v>
          </cell>
          <cell r="L864">
            <v>2698</v>
          </cell>
          <cell r="M864">
            <v>2729</v>
          </cell>
          <cell r="N864">
            <v>3336</v>
          </cell>
          <cell r="O864">
            <v>2872</v>
          </cell>
          <cell r="P864">
            <v>3238</v>
          </cell>
          <cell r="Q864">
            <v>4413</v>
          </cell>
          <cell r="R864">
            <v>5434</v>
          </cell>
          <cell r="S864">
            <v>7094</v>
          </cell>
          <cell r="T864">
            <v>7561</v>
          </cell>
          <cell r="U864">
            <v>2074</v>
          </cell>
          <cell r="V864">
            <v>2970</v>
          </cell>
          <cell r="W864">
            <v>4406</v>
          </cell>
          <cell r="X864">
            <v>23798</v>
          </cell>
          <cell r="Y864">
            <v>30313</v>
          </cell>
          <cell r="Z864">
            <v>31571</v>
          </cell>
          <cell r="AA864">
            <v>31756</v>
          </cell>
          <cell r="AB864">
            <v>32733</v>
          </cell>
          <cell r="AC864">
            <v>33835</v>
          </cell>
          <cell r="AD864">
            <v>33094</v>
          </cell>
          <cell r="AE864">
            <v>33397</v>
          </cell>
          <cell r="AF864">
            <v>35439</v>
          </cell>
          <cell r="AG864">
            <v>36493</v>
          </cell>
          <cell r="AH864">
            <v>37614</v>
          </cell>
          <cell r="AI864">
            <v>38252</v>
          </cell>
          <cell r="AJ864">
            <v>33841</v>
          </cell>
        </row>
        <row r="865">
          <cell r="E865" t="str">
            <v>ND Transportation Ethanol</v>
          </cell>
          <cell r="F865">
            <v>262</v>
          </cell>
          <cell r="G865">
            <v>397</v>
          </cell>
          <cell r="H865">
            <v>466</v>
          </cell>
          <cell r="I865">
            <v>467</v>
          </cell>
          <cell r="J865">
            <v>551</v>
          </cell>
          <cell r="K865">
            <v>523</v>
          </cell>
          <cell r="L865">
            <v>393</v>
          </cell>
          <cell r="M865">
            <v>390</v>
          </cell>
          <cell r="N865">
            <v>375</v>
          </cell>
          <cell r="O865">
            <v>405</v>
          </cell>
          <cell r="P865">
            <v>488</v>
          </cell>
          <cell r="Q865">
            <v>583</v>
          </cell>
          <cell r="R865">
            <v>738</v>
          </cell>
          <cell r="S865">
            <v>881</v>
          </cell>
          <cell r="T865">
            <v>772</v>
          </cell>
          <cell r="U865">
            <v>1704</v>
          </cell>
          <cell r="V865">
            <v>1628</v>
          </cell>
          <cell r="W865">
            <v>2023</v>
          </cell>
          <cell r="X865">
            <v>2478</v>
          </cell>
          <cell r="Y865">
            <v>2622</v>
          </cell>
          <cell r="Z865">
            <v>3284</v>
          </cell>
          <cell r="AA865">
            <v>3264</v>
          </cell>
          <cell r="AB865">
            <v>3506</v>
          </cell>
          <cell r="AC865">
            <v>3681</v>
          </cell>
          <cell r="AD865">
            <v>3847</v>
          </cell>
          <cell r="AE865">
            <v>3864</v>
          </cell>
          <cell r="AF865">
            <v>3633</v>
          </cell>
          <cell r="AG865">
            <v>3602</v>
          </cell>
          <cell r="AH865">
            <v>3587</v>
          </cell>
          <cell r="AI865">
            <v>3669</v>
          </cell>
          <cell r="AJ865">
            <v>3250</v>
          </cell>
        </row>
        <row r="866">
          <cell r="E866" t="str">
            <v>NE Transportation Ethanol</v>
          </cell>
          <cell r="F866">
            <v>2314</v>
          </cell>
          <cell r="G866">
            <v>2732</v>
          </cell>
          <cell r="H866">
            <v>3250</v>
          </cell>
          <cell r="I866">
            <v>2687</v>
          </cell>
          <cell r="J866">
            <v>1810</v>
          </cell>
          <cell r="K866">
            <v>2154</v>
          </cell>
          <cell r="L866">
            <v>1393</v>
          </cell>
          <cell r="M866">
            <v>1588</v>
          </cell>
          <cell r="N866">
            <v>1655</v>
          </cell>
          <cell r="O866">
            <v>1973</v>
          </cell>
          <cell r="P866">
            <v>2626</v>
          </cell>
          <cell r="Q866">
            <v>2161</v>
          </cell>
          <cell r="R866">
            <v>2731</v>
          </cell>
          <cell r="S866">
            <v>2974</v>
          </cell>
          <cell r="T866">
            <v>2769</v>
          </cell>
          <cell r="U866">
            <v>1419</v>
          </cell>
          <cell r="V866">
            <v>1386</v>
          </cell>
          <cell r="W866">
            <v>2571</v>
          </cell>
          <cell r="X866">
            <v>4636</v>
          </cell>
          <cell r="Y866">
            <v>4521</v>
          </cell>
          <cell r="Z866">
            <v>5413</v>
          </cell>
          <cell r="AA866">
            <v>5452</v>
          </cell>
          <cell r="AB866">
            <v>5453</v>
          </cell>
          <cell r="AC866">
            <v>5407</v>
          </cell>
          <cell r="AD866">
            <v>6132</v>
          </cell>
          <cell r="AE866">
            <v>6666</v>
          </cell>
          <cell r="AF866">
            <v>6771</v>
          </cell>
          <cell r="AG866">
            <v>6834</v>
          </cell>
          <cell r="AH866">
            <v>6823</v>
          </cell>
          <cell r="AI866">
            <v>6945</v>
          </cell>
          <cell r="AJ866">
            <v>6306</v>
          </cell>
        </row>
        <row r="867">
          <cell r="E867" t="str">
            <v>NH Transportation Ethanol</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1158</v>
          </cell>
          <cell r="V867">
            <v>2802</v>
          </cell>
          <cell r="W867">
            <v>3534</v>
          </cell>
          <cell r="X867">
            <v>3660</v>
          </cell>
          <cell r="Y867">
            <v>4443</v>
          </cell>
          <cell r="Z867">
            <v>5943</v>
          </cell>
          <cell r="AA867">
            <v>5690</v>
          </cell>
          <cell r="AB867">
            <v>5614</v>
          </cell>
          <cell r="AC867">
            <v>5804</v>
          </cell>
          <cell r="AD867">
            <v>5811</v>
          </cell>
          <cell r="AE867">
            <v>5783</v>
          </cell>
          <cell r="AF867">
            <v>5817</v>
          </cell>
          <cell r="AG867">
            <v>5914</v>
          </cell>
          <cell r="AH867">
            <v>5977</v>
          </cell>
          <cell r="AI867">
            <v>6043</v>
          </cell>
          <cell r="AJ867">
            <v>5149</v>
          </cell>
        </row>
        <row r="868">
          <cell r="E868" t="str">
            <v>NJ Transportation Ethanol</v>
          </cell>
          <cell r="F868">
            <v>0</v>
          </cell>
          <cell r="G868">
            <v>0</v>
          </cell>
          <cell r="H868">
            <v>0</v>
          </cell>
          <cell r="I868">
            <v>92</v>
          </cell>
          <cell r="J868">
            <v>326</v>
          </cell>
          <cell r="K868">
            <v>1004</v>
          </cell>
          <cell r="L868">
            <v>847</v>
          </cell>
          <cell r="M868">
            <v>961</v>
          </cell>
          <cell r="N868">
            <v>755</v>
          </cell>
          <cell r="O868">
            <v>647</v>
          </cell>
          <cell r="P868">
            <v>765</v>
          </cell>
          <cell r="Q868">
            <v>1019</v>
          </cell>
          <cell r="R868">
            <v>87</v>
          </cell>
          <cell r="S868">
            <v>89</v>
          </cell>
          <cell r="T868">
            <v>494</v>
          </cell>
          <cell r="U868">
            <v>9530</v>
          </cell>
          <cell r="V868">
            <v>25615</v>
          </cell>
          <cell r="W868">
            <v>31968</v>
          </cell>
          <cell r="X868">
            <v>27056</v>
          </cell>
          <cell r="Y868">
            <v>32022</v>
          </cell>
          <cell r="Z868">
            <v>36335</v>
          </cell>
          <cell r="AA868">
            <v>34729</v>
          </cell>
          <cell r="AB868">
            <v>33128</v>
          </cell>
          <cell r="AC868">
            <v>33940</v>
          </cell>
          <cell r="AD868">
            <v>34523</v>
          </cell>
          <cell r="AE868">
            <v>34097</v>
          </cell>
          <cell r="AF868">
            <v>34712</v>
          </cell>
          <cell r="AG868">
            <v>33269</v>
          </cell>
          <cell r="AH868">
            <v>32308</v>
          </cell>
          <cell r="AI868">
            <v>32658</v>
          </cell>
          <cell r="AJ868">
            <v>25869</v>
          </cell>
        </row>
        <row r="869">
          <cell r="E869" t="str">
            <v>NM Transportation Ethanol</v>
          </cell>
          <cell r="F869">
            <v>1254</v>
          </cell>
          <cell r="G869">
            <v>1234</v>
          </cell>
          <cell r="H869">
            <v>978</v>
          </cell>
          <cell r="I869">
            <v>199</v>
          </cell>
          <cell r="J869">
            <v>515</v>
          </cell>
          <cell r="K869">
            <v>1583</v>
          </cell>
          <cell r="L869">
            <v>1333</v>
          </cell>
          <cell r="M869">
            <v>1337</v>
          </cell>
          <cell r="N869">
            <v>2271</v>
          </cell>
          <cell r="O869">
            <v>1911</v>
          </cell>
          <cell r="P869">
            <v>2173</v>
          </cell>
          <cell r="Q869">
            <v>713</v>
          </cell>
          <cell r="R869">
            <v>607</v>
          </cell>
          <cell r="S869">
            <v>484</v>
          </cell>
          <cell r="T869">
            <v>536</v>
          </cell>
          <cell r="U869">
            <v>1010</v>
          </cell>
          <cell r="V869">
            <v>978</v>
          </cell>
          <cell r="W869">
            <v>1277</v>
          </cell>
          <cell r="X869">
            <v>2727</v>
          </cell>
          <cell r="Y869">
            <v>4031</v>
          </cell>
          <cell r="Z869">
            <v>7836</v>
          </cell>
          <cell r="AA869">
            <v>7917</v>
          </cell>
          <cell r="AB869">
            <v>7796</v>
          </cell>
          <cell r="AC869">
            <v>7110</v>
          </cell>
          <cell r="AD869">
            <v>6481</v>
          </cell>
          <cell r="AE869">
            <v>8073</v>
          </cell>
          <cell r="AF869">
            <v>7903</v>
          </cell>
          <cell r="AG869">
            <v>8448</v>
          </cell>
          <cell r="AH869">
            <v>7609</v>
          </cell>
          <cell r="AI869">
            <v>8447</v>
          </cell>
          <cell r="AJ869">
            <v>7580</v>
          </cell>
        </row>
        <row r="870">
          <cell r="E870" t="str">
            <v>NV Transportation Ethanol</v>
          </cell>
          <cell r="F870">
            <v>396</v>
          </cell>
          <cell r="G870">
            <v>539</v>
          </cell>
          <cell r="H870">
            <v>650</v>
          </cell>
          <cell r="I870">
            <v>783</v>
          </cell>
          <cell r="J870">
            <v>0</v>
          </cell>
          <cell r="K870">
            <v>1041</v>
          </cell>
          <cell r="L870">
            <v>0</v>
          </cell>
          <cell r="M870">
            <v>0</v>
          </cell>
          <cell r="N870">
            <v>1196</v>
          </cell>
          <cell r="O870">
            <v>2191</v>
          </cell>
          <cell r="P870">
            <v>2377</v>
          </cell>
          <cell r="Q870">
            <v>2536</v>
          </cell>
          <cell r="R870">
            <v>2993</v>
          </cell>
          <cell r="S870">
            <v>3500</v>
          </cell>
          <cell r="T870">
            <v>3586</v>
          </cell>
          <cell r="U870">
            <v>3591</v>
          </cell>
          <cell r="V870">
            <v>3475</v>
          </cell>
          <cell r="W870">
            <v>4248</v>
          </cell>
          <cell r="X870">
            <v>6401</v>
          </cell>
          <cell r="Y870">
            <v>7268</v>
          </cell>
          <cell r="Z870">
            <v>7330</v>
          </cell>
          <cell r="AA870">
            <v>7344</v>
          </cell>
          <cell r="AB870">
            <v>7047</v>
          </cell>
          <cell r="AC870">
            <v>7270</v>
          </cell>
          <cell r="AD870">
            <v>7834</v>
          </cell>
          <cell r="AE870">
            <v>9395</v>
          </cell>
          <cell r="AF870">
            <v>9530</v>
          </cell>
          <cell r="AG870">
            <v>9934</v>
          </cell>
          <cell r="AH870">
            <v>10104</v>
          </cell>
          <cell r="AI870">
            <v>10212</v>
          </cell>
          <cell r="AJ870">
            <v>8759</v>
          </cell>
        </row>
        <row r="871">
          <cell r="E871" t="str">
            <v>NY Transportation Ethanol</v>
          </cell>
          <cell r="F871">
            <v>0</v>
          </cell>
          <cell r="G871">
            <v>0</v>
          </cell>
          <cell r="H871">
            <v>0</v>
          </cell>
          <cell r="I871">
            <v>285</v>
          </cell>
          <cell r="J871">
            <v>704</v>
          </cell>
          <cell r="K871">
            <v>2246</v>
          </cell>
          <cell r="L871">
            <v>1894</v>
          </cell>
          <cell r="M871">
            <v>1824</v>
          </cell>
          <cell r="N871">
            <v>1355</v>
          </cell>
          <cell r="O871">
            <v>1172</v>
          </cell>
          <cell r="P871">
            <v>1296</v>
          </cell>
          <cell r="Q871">
            <v>366</v>
          </cell>
          <cell r="R871">
            <v>324</v>
          </cell>
          <cell r="S871">
            <v>1872</v>
          </cell>
          <cell r="T871">
            <v>23945</v>
          </cell>
          <cell r="U871">
            <v>7908</v>
          </cell>
          <cell r="V871">
            <v>20599</v>
          </cell>
          <cell r="W871">
            <v>25949</v>
          </cell>
          <cell r="X871">
            <v>34081</v>
          </cell>
          <cell r="Y871">
            <v>41053</v>
          </cell>
          <cell r="Z871">
            <v>45902</v>
          </cell>
          <cell r="AA871">
            <v>43651</v>
          </cell>
          <cell r="AB871">
            <v>43007</v>
          </cell>
          <cell r="AC871">
            <v>43420</v>
          </cell>
          <cell r="AD871">
            <v>44791</v>
          </cell>
          <cell r="AE871">
            <v>42699</v>
          </cell>
          <cell r="AF871">
            <v>44635</v>
          </cell>
          <cell r="AG871">
            <v>45895</v>
          </cell>
          <cell r="AH871">
            <v>46726</v>
          </cell>
          <cell r="AI871">
            <v>46412</v>
          </cell>
          <cell r="AJ871">
            <v>38219</v>
          </cell>
        </row>
        <row r="872">
          <cell r="E872" t="str">
            <v>OH Transportation Ethanol</v>
          </cell>
          <cell r="F872">
            <v>8618</v>
          </cell>
          <cell r="G872">
            <v>9083</v>
          </cell>
          <cell r="H872">
            <v>11138</v>
          </cell>
          <cell r="I872">
            <v>16058</v>
          </cell>
          <cell r="J872">
            <v>18810</v>
          </cell>
          <cell r="K872">
            <v>17599</v>
          </cell>
          <cell r="L872">
            <v>6944</v>
          </cell>
          <cell r="M872">
            <v>12403</v>
          </cell>
          <cell r="N872">
            <v>18422</v>
          </cell>
          <cell r="O872">
            <v>18998</v>
          </cell>
          <cell r="P872">
            <v>19397</v>
          </cell>
          <cell r="Q872">
            <v>16929</v>
          </cell>
          <cell r="R872">
            <v>16558</v>
          </cell>
          <cell r="S872">
            <v>15307</v>
          </cell>
          <cell r="T872">
            <v>15059</v>
          </cell>
          <cell r="U872">
            <v>18452</v>
          </cell>
          <cell r="V872">
            <v>20120</v>
          </cell>
          <cell r="W872">
            <v>25216</v>
          </cell>
          <cell r="X872">
            <v>34870</v>
          </cell>
          <cell r="Y872">
            <v>38922</v>
          </cell>
          <cell r="Z872">
            <v>37215</v>
          </cell>
          <cell r="AA872">
            <v>37937</v>
          </cell>
          <cell r="AB872">
            <v>40157</v>
          </cell>
          <cell r="AC872">
            <v>41800</v>
          </cell>
          <cell r="AD872">
            <v>41245</v>
          </cell>
          <cell r="AE872">
            <v>38098</v>
          </cell>
          <cell r="AF872">
            <v>38541</v>
          </cell>
          <cell r="AG872">
            <v>39118</v>
          </cell>
          <cell r="AH872">
            <v>38330</v>
          </cell>
          <cell r="AI872">
            <v>38658</v>
          </cell>
          <cell r="AJ872">
            <v>34409</v>
          </cell>
        </row>
        <row r="873">
          <cell r="E873" t="str">
            <v>OK Transportation Ethanol</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3464</v>
          </cell>
          <cell r="V873">
            <v>3452</v>
          </cell>
          <cell r="W873">
            <v>6815</v>
          </cell>
          <cell r="X873">
            <v>12800</v>
          </cell>
          <cell r="Y873">
            <v>11669</v>
          </cell>
          <cell r="Z873">
            <v>12301</v>
          </cell>
          <cell r="AA873">
            <v>12057</v>
          </cell>
          <cell r="AB873">
            <v>12562</v>
          </cell>
          <cell r="AC873">
            <v>11911</v>
          </cell>
          <cell r="AD873">
            <v>13801</v>
          </cell>
          <cell r="AE873">
            <v>14820</v>
          </cell>
          <cell r="AF873">
            <v>14843</v>
          </cell>
          <cell r="AG873">
            <v>14646</v>
          </cell>
          <cell r="AH873">
            <v>14854</v>
          </cell>
          <cell r="AI873">
            <v>14859</v>
          </cell>
          <cell r="AJ873">
            <v>13475</v>
          </cell>
        </row>
        <row r="874">
          <cell r="E874" t="str">
            <v>OR Transportation Ethanol</v>
          </cell>
          <cell r="F874">
            <v>0</v>
          </cell>
          <cell r="G874">
            <v>0</v>
          </cell>
          <cell r="H874">
            <v>1738</v>
          </cell>
          <cell r="I874">
            <v>2989</v>
          </cell>
          <cell r="J874">
            <v>0</v>
          </cell>
          <cell r="K874">
            <v>0</v>
          </cell>
          <cell r="L874">
            <v>0</v>
          </cell>
          <cell r="M874">
            <v>0</v>
          </cell>
          <cell r="N874">
            <v>1201</v>
          </cell>
          <cell r="O874">
            <v>1026</v>
          </cell>
          <cell r="P874">
            <v>1148</v>
          </cell>
          <cell r="Q874">
            <v>1483</v>
          </cell>
          <cell r="R874">
            <v>2822</v>
          </cell>
          <cell r="S874">
            <v>2148</v>
          </cell>
          <cell r="T874">
            <v>2254</v>
          </cell>
          <cell r="U874">
            <v>3853</v>
          </cell>
          <cell r="V874">
            <v>4319</v>
          </cell>
          <cell r="W874">
            <v>5491</v>
          </cell>
          <cell r="X874">
            <v>9725</v>
          </cell>
          <cell r="Y874">
            <v>11219</v>
          </cell>
          <cell r="Z874">
            <v>9966</v>
          </cell>
          <cell r="AA874">
            <v>9959</v>
          </cell>
          <cell r="AB874">
            <v>9430</v>
          </cell>
          <cell r="AC874">
            <v>9635</v>
          </cell>
          <cell r="AD874">
            <v>10614</v>
          </cell>
          <cell r="AE874">
            <v>12719</v>
          </cell>
          <cell r="AF874">
            <v>12973</v>
          </cell>
          <cell r="AG874">
            <v>13408</v>
          </cell>
          <cell r="AH874">
            <v>13362</v>
          </cell>
          <cell r="AI874">
            <v>13292</v>
          </cell>
          <cell r="AJ874">
            <v>11531</v>
          </cell>
        </row>
        <row r="875">
          <cell r="E875" t="str">
            <v>PA Transportation Ethanol</v>
          </cell>
          <cell r="F875">
            <v>0</v>
          </cell>
          <cell r="G875">
            <v>0</v>
          </cell>
          <cell r="H875">
            <v>0</v>
          </cell>
          <cell r="I875">
            <v>746</v>
          </cell>
          <cell r="J875">
            <v>1911</v>
          </cell>
          <cell r="K875">
            <v>5945</v>
          </cell>
          <cell r="L875">
            <v>4464</v>
          </cell>
          <cell r="M875">
            <v>4932</v>
          </cell>
          <cell r="N875">
            <v>1127</v>
          </cell>
          <cell r="O875">
            <v>973</v>
          </cell>
          <cell r="P875">
            <v>1099</v>
          </cell>
          <cell r="Q875">
            <v>1406</v>
          </cell>
          <cell r="R875">
            <v>469</v>
          </cell>
          <cell r="S875">
            <v>559</v>
          </cell>
          <cell r="T875">
            <v>7335</v>
          </cell>
          <cell r="U875">
            <v>4668</v>
          </cell>
          <cell r="V875">
            <v>10270</v>
          </cell>
          <cell r="W875">
            <v>13850</v>
          </cell>
          <cell r="X875">
            <v>29741</v>
          </cell>
          <cell r="Y875">
            <v>36848</v>
          </cell>
          <cell r="Z875">
            <v>39062</v>
          </cell>
          <cell r="AA875">
            <v>38964</v>
          </cell>
          <cell r="AB875">
            <v>39225</v>
          </cell>
          <cell r="AC875">
            <v>40080</v>
          </cell>
          <cell r="AD875">
            <v>38973</v>
          </cell>
          <cell r="AE875">
            <v>37598</v>
          </cell>
          <cell r="AF875">
            <v>38375</v>
          </cell>
          <cell r="AG875">
            <v>39375</v>
          </cell>
          <cell r="AH875">
            <v>38979</v>
          </cell>
          <cell r="AI875">
            <v>39211</v>
          </cell>
          <cell r="AJ875">
            <v>33120</v>
          </cell>
        </row>
        <row r="876">
          <cell r="E876" t="str">
            <v>RI Transportation Ethanol</v>
          </cell>
          <cell r="F876">
            <v>0</v>
          </cell>
          <cell r="G876">
            <v>0</v>
          </cell>
          <cell r="H876">
            <v>0</v>
          </cell>
          <cell r="I876">
            <v>0</v>
          </cell>
          <cell r="J876">
            <v>0</v>
          </cell>
          <cell r="K876">
            <v>0</v>
          </cell>
          <cell r="L876">
            <v>0</v>
          </cell>
          <cell r="M876">
            <v>0</v>
          </cell>
          <cell r="N876">
            <v>0</v>
          </cell>
          <cell r="O876">
            <v>0</v>
          </cell>
          <cell r="P876">
            <v>0</v>
          </cell>
          <cell r="Q876">
            <v>0</v>
          </cell>
          <cell r="R876">
            <v>35</v>
          </cell>
          <cell r="S876">
            <v>38</v>
          </cell>
          <cell r="T876">
            <v>678</v>
          </cell>
          <cell r="U876">
            <v>1022</v>
          </cell>
          <cell r="V876">
            <v>2740</v>
          </cell>
          <cell r="W876">
            <v>3524</v>
          </cell>
          <cell r="X876">
            <v>3275</v>
          </cell>
          <cell r="Y876">
            <v>3780</v>
          </cell>
          <cell r="Z876">
            <v>3405</v>
          </cell>
          <cell r="AA876">
            <v>3124</v>
          </cell>
          <cell r="AB876">
            <v>2961</v>
          </cell>
          <cell r="AC876">
            <v>3037</v>
          </cell>
          <cell r="AD876">
            <v>3107</v>
          </cell>
          <cell r="AE876">
            <v>3152</v>
          </cell>
          <cell r="AF876">
            <v>3085</v>
          </cell>
          <cell r="AG876">
            <v>3094</v>
          </cell>
          <cell r="AH876">
            <v>3212</v>
          </cell>
          <cell r="AI876">
            <v>3207</v>
          </cell>
          <cell r="AJ876">
            <v>2683</v>
          </cell>
        </row>
        <row r="877">
          <cell r="E877" t="str">
            <v>SC Transportation Ethanol</v>
          </cell>
          <cell r="F877">
            <v>501</v>
          </cell>
          <cell r="G877">
            <v>1</v>
          </cell>
          <cell r="H877">
            <v>0</v>
          </cell>
          <cell r="I877">
            <v>0</v>
          </cell>
          <cell r="J877">
            <v>0</v>
          </cell>
          <cell r="K877">
            <v>0</v>
          </cell>
          <cell r="L877">
            <v>0</v>
          </cell>
          <cell r="M877">
            <v>0</v>
          </cell>
          <cell r="N877">
            <v>0</v>
          </cell>
          <cell r="O877">
            <v>0</v>
          </cell>
          <cell r="P877">
            <v>0</v>
          </cell>
          <cell r="Q877">
            <v>0</v>
          </cell>
          <cell r="R877">
            <v>0</v>
          </cell>
          <cell r="S877">
            <v>0</v>
          </cell>
          <cell r="T877">
            <v>0</v>
          </cell>
          <cell r="U877">
            <v>1204</v>
          </cell>
          <cell r="V877">
            <v>1772</v>
          </cell>
          <cell r="W877">
            <v>2663</v>
          </cell>
          <cell r="X877">
            <v>14496</v>
          </cell>
          <cell r="Y877">
            <v>18522</v>
          </cell>
          <cell r="Z877">
            <v>18854</v>
          </cell>
          <cell r="AA877">
            <v>18995</v>
          </cell>
          <cell r="AB877">
            <v>20450</v>
          </cell>
          <cell r="AC877">
            <v>20949</v>
          </cell>
          <cell r="AD877">
            <v>20367</v>
          </cell>
          <cell r="AE877">
            <v>20791</v>
          </cell>
          <cell r="AF877">
            <v>21649</v>
          </cell>
          <cell r="AG877">
            <v>22410</v>
          </cell>
          <cell r="AH877">
            <v>22691</v>
          </cell>
          <cell r="AI877">
            <v>22628</v>
          </cell>
          <cell r="AJ877">
            <v>19919</v>
          </cell>
        </row>
        <row r="878">
          <cell r="E878" t="str">
            <v>SD Transportation Ethanol</v>
          </cell>
          <cell r="F878">
            <v>460</v>
          </cell>
          <cell r="G878">
            <v>1061</v>
          </cell>
          <cell r="H878">
            <v>1393</v>
          </cell>
          <cell r="I878">
            <v>1539</v>
          </cell>
          <cell r="J878">
            <v>1782</v>
          </cell>
          <cell r="K878">
            <v>1660</v>
          </cell>
          <cell r="L878">
            <v>1171</v>
          </cell>
          <cell r="M878">
            <v>1306</v>
          </cell>
          <cell r="N878">
            <v>1529</v>
          </cell>
          <cell r="O878">
            <v>1688</v>
          </cell>
          <cell r="P878">
            <v>1845</v>
          </cell>
          <cell r="Q878">
            <v>1693</v>
          </cell>
          <cell r="R878">
            <v>1924</v>
          </cell>
          <cell r="S878">
            <v>1891</v>
          </cell>
          <cell r="T878">
            <v>1763</v>
          </cell>
          <cell r="U878">
            <v>2152</v>
          </cell>
          <cell r="V878">
            <v>2006</v>
          </cell>
          <cell r="W878">
            <v>2711</v>
          </cell>
          <cell r="X878">
            <v>3172</v>
          </cell>
          <cell r="Y878">
            <v>3258</v>
          </cell>
          <cell r="Z878">
            <v>3768</v>
          </cell>
          <cell r="AA878">
            <v>3556</v>
          </cell>
          <cell r="AB878">
            <v>3663</v>
          </cell>
          <cell r="AC878">
            <v>3685</v>
          </cell>
          <cell r="AD878">
            <v>3759</v>
          </cell>
          <cell r="AE878">
            <v>3972</v>
          </cell>
          <cell r="AF878">
            <v>4017</v>
          </cell>
          <cell r="AG878">
            <v>3989</v>
          </cell>
          <cell r="AH878">
            <v>3961</v>
          </cell>
          <cell r="AI878">
            <v>3906</v>
          </cell>
          <cell r="AJ878">
            <v>3788</v>
          </cell>
        </row>
        <row r="879">
          <cell r="E879" t="str">
            <v>TN Transportation Ethanol</v>
          </cell>
          <cell r="F879">
            <v>1984</v>
          </cell>
          <cell r="G879">
            <v>1451</v>
          </cell>
          <cell r="H879">
            <v>1762</v>
          </cell>
          <cell r="I879">
            <v>2026</v>
          </cell>
          <cell r="J879">
            <v>2879</v>
          </cell>
          <cell r="K879">
            <v>1225</v>
          </cell>
          <cell r="L879">
            <v>23</v>
          </cell>
          <cell r="M879">
            <v>24</v>
          </cell>
          <cell r="N879">
            <v>28</v>
          </cell>
          <cell r="O879">
            <v>0</v>
          </cell>
          <cell r="P879">
            <v>0</v>
          </cell>
          <cell r="Q879">
            <v>0</v>
          </cell>
          <cell r="R879">
            <v>0</v>
          </cell>
          <cell r="S879">
            <v>0</v>
          </cell>
          <cell r="T879">
            <v>0</v>
          </cell>
          <cell r="U879">
            <v>11673</v>
          </cell>
          <cell r="V879">
            <v>12298</v>
          </cell>
          <cell r="W879">
            <v>15630</v>
          </cell>
          <cell r="X879">
            <v>21413</v>
          </cell>
          <cell r="Y879">
            <v>25842</v>
          </cell>
          <cell r="Z879">
            <v>23623</v>
          </cell>
          <cell r="AA879">
            <v>24396</v>
          </cell>
          <cell r="AB879">
            <v>25611</v>
          </cell>
          <cell r="AC879">
            <v>26651</v>
          </cell>
          <cell r="AD879">
            <v>26555</v>
          </cell>
          <cell r="AE879">
            <v>24876</v>
          </cell>
          <cell r="AF879">
            <v>25987</v>
          </cell>
          <cell r="AG879">
            <v>26540</v>
          </cell>
          <cell r="AH879">
            <v>25749</v>
          </cell>
          <cell r="AI879">
            <v>26533</v>
          </cell>
          <cell r="AJ879">
            <v>24887</v>
          </cell>
        </row>
        <row r="880">
          <cell r="E880" t="str">
            <v>TX Transportation Ethanol</v>
          </cell>
          <cell r="F880">
            <v>1960</v>
          </cell>
          <cell r="G880">
            <v>1957</v>
          </cell>
          <cell r="H880">
            <v>2217</v>
          </cell>
          <cell r="I880">
            <v>510</v>
          </cell>
          <cell r="J880">
            <v>1265</v>
          </cell>
          <cell r="K880">
            <v>4134</v>
          </cell>
          <cell r="L880">
            <v>1540</v>
          </cell>
          <cell r="M880">
            <v>3635</v>
          </cell>
          <cell r="N880">
            <v>5372</v>
          </cell>
          <cell r="O880">
            <v>4678</v>
          </cell>
          <cell r="P880">
            <v>5360</v>
          </cell>
          <cell r="Q880">
            <v>5383</v>
          </cell>
          <cell r="R880">
            <v>2344</v>
          </cell>
          <cell r="S880">
            <v>1907</v>
          </cell>
          <cell r="T880">
            <v>2254</v>
          </cell>
          <cell r="U880">
            <v>1361</v>
          </cell>
          <cell r="V880">
            <v>36743</v>
          </cell>
          <cell r="W880">
            <v>52727</v>
          </cell>
          <cell r="X880">
            <v>62850</v>
          </cell>
          <cell r="Y880">
            <v>65783</v>
          </cell>
          <cell r="Z880">
            <v>84231</v>
          </cell>
          <cell r="AA880">
            <v>99881</v>
          </cell>
          <cell r="AB880">
            <v>93779</v>
          </cell>
          <cell r="AC880">
            <v>93532</v>
          </cell>
          <cell r="AD880">
            <v>104017</v>
          </cell>
          <cell r="AE880">
            <v>106302</v>
          </cell>
          <cell r="AF880">
            <v>118453</v>
          </cell>
          <cell r="AG880">
            <v>119961</v>
          </cell>
          <cell r="AH880">
            <v>121360</v>
          </cell>
          <cell r="AI880">
            <v>124314</v>
          </cell>
          <cell r="AJ880">
            <v>107669</v>
          </cell>
        </row>
        <row r="881">
          <cell r="E881" t="str">
            <v>US Transportation Ethanol</v>
          </cell>
          <cell r="F881">
            <v>60254</v>
          </cell>
          <cell r="G881">
            <v>69774</v>
          </cell>
          <cell r="H881">
            <v>79277</v>
          </cell>
          <cell r="I881">
            <v>93188</v>
          </cell>
          <cell r="J881">
            <v>104446</v>
          </cell>
          <cell r="K881">
            <v>112145</v>
          </cell>
          <cell r="L881">
            <v>80484</v>
          </cell>
          <cell r="M881">
            <v>101196</v>
          </cell>
          <cell r="N881">
            <v>112221</v>
          </cell>
          <cell r="O881">
            <v>117411</v>
          </cell>
          <cell r="P881">
            <v>134597</v>
          </cell>
          <cell r="Q881">
            <v>140409</v>
          </cell>
          <cell r="R881">
            <v>167052</v>
          </cell>
          <cell r="S881">
            <v>227531</v>
          </cell>
          <cell r="T881">
            <v>286229</v>
          </cell>
          <cell r="U881">
            <v>327770</v>
          </cell>
          <cell r="V881">
            <v>442403</v>
          </cell>
          <cell r="W881">
            <v>557570</v>
          </cell>
          <cell r="X881">
            <v>785807</v>
          </cell>
          <cell r="Y881">
            <v>893957</v>
          </cell>
          <cell r="Z881">
            <v>1041483</v>
          </cell>
          <cell r="AA881">
            <v>1045041</v>
          </cell>
          <cell r="AB881">
            <v>1044666</v>
          </cell>
          <cell r="AC881">
            <v>1071703</v>
          </cell>
          <cell r="AD881">
            <v>1093418</v>
          </cell>
          <cell r="AE881">
            <v>1109733</v>
          </cell>
          <cell r="AF881">
            <v>1143028</v>
          </cell>
          <cell r="AG881">
            <v>1155526</v>
          </cell>
          <cell r="AH881">
            <v>1152372</v>
          </cell>
          <cell r="AI881">
            <v>1161542</v>
          </cell>
          <cell r="AJ881">
            <v>1004223</v>
          </cell>
        </row>
        <row r="882">
          <cell r="E882" t="str">
            <v>UT Transportation Ethanol</v>
          </cell>
          <cell r="F882">
            <v>4</v>
          </cell>
          <cell r="G882">
            <v>2</v>
          </cell>
          <cell r="H882">
            <v>23</v>
          </cell>
          <cell r="I882">
            <v>66</v>
          </cell>
          <cell r="J882">
            <v>0</v>
          </cell>
          <cell r="K882">
            <v>0</v>
          </cell>
          <cell r="L882">
            <v>74</v>
          </cell>
          <cell r="M882">
            <v>0</v>
          </cell>
          <cell r="N882">
            <v>1018</v>
          </cell>
          <cell r="O882">
            <v>866</v>
          </cell>
          <cell r="P882">
            <v>985</v>
          </cell>
          <cell r="Q882">
            <v>1281</v>
          </cell>
          <cell r="R882">
            <v>340</v>
          </cell>
          <cell r="S882">
            <v>259</v>
          </cell>
          <cell r="T882">
            <v>126</v>
          </cell>
          <cell r="U882">
            <v>2094</v>
          </cell>
          <cell r="V882">
            <v>1762</v>
          </cell>
          <cell r="W882">
            <v>3057</v>
          </cell>
          <cell r="X882">
            <v>3698</v>
          </cell>
          <cell r="Y882">
            <v>4260</v>
          </cell>
          <cell r="Z882">
            <v>4959</v>
          </cell>
          <cell r="AA882">
            <v>6598</v>
          </cell>
          <cell r="AB882">
            <v>7007</v>
          </cell>
          <cell r="AC882">
            <v>7590</v>
          </cell>
          <cell r="AD882">
            <v>7551</v>
          </cell>
          <cell r="AE882">
            <v>9312</v>
          </cell>
          <cell r="AF882">
            <v>9950</v>
          </cell>
          <cell r="AG882">
            <v>10078</v>
          </cell>
          <cell r="AH882">
            <v>10022</v>
          </cell>
          <cell r="AI882">
            <v>10536</v>
          </cell>
          <cell r="AJ882">
            <v>9788</v>
          </cell>
        </row>
        <row r="883">
          <cell r="E883" t="str">
            <v>VA Transportation Ethanol</v>
          </cell>
          <cell r="F883">
            <v>1298</v>
          </cell>
          <cell r="G883">
            <v>1248</v>
          </cell>
          <cell r="H883">
            <v>939</v>
          </cell>
          <cell r="I883">
            <v>177</v>
          </cell>
          <cell r="J883">
            <v>950</v>
          </cell>
          <cell r="K883">
            <v>3</v>
          </cell>
          <cell r="L883">
            <v>3273</v>
          </cell>
          <cell r="M883">
            <v>2527</v>
          </cell>
          <cell r="N883">
            <v>3155</v>
          </cell>
          <cell r="O883">
            <v>2706</v>
          </cell>
          <cell r="P883">
            <v>3065</v>
          </cell>
          <cell r="Q883">
            <v>2861</v>
          </cell>
          <cell r="R883">
            <v>5048</v>
          </cell>
          <cell r="S883">
            <v>6657</v>
          </cell>
          <cell r="T883">
            <v>6991</v>
          </cell>
          <cell r="U883">
            <v>5480</v>
          </cell>
          <cell r="V883">
            <v>14118</v>
          </cell>
          <cell r="W883">
            <v>18555</v>
          </cell>
          <cell r="X883">
            <v>23057</v>
          </cell>
          <cell r="Y883">
            <v>29538</v>
          </cell>
          <cell r="Z883">
            <v>32711</v>
          </cell>
          <cell r="AA883">
            <v>30460</v>
          </cell>
          <cell r="AB883">
            <v>31406</v>
          </cell>
          <cell r="AC883">
            <v>31817</v>
          </cell>
          <cell r="AD883">
            <v>32309</v>
          </cell>
          <cell r="AE883">
            <v>31718</v>
          </cell>
          <cell r="AF883">
            <v>32435</v>
          </cell>
          <cell r="AG883">
            <v>33066</v>
          </cell>
          <cell r="AH883">
            <v>33415</v>
          </cell>
          <cell r="AI883">
            <v>33383</v>
          </cell>
          <cell r="AJ883">
            <v>29724</v>
          </cell>
        </row>
        <row r="884">
          <cell r="E884" t="str">
            <v>VT Transportation Ethanol</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161</v>
          </cell>
          <cell r="V884">
            <v>228</v>
          </cell>
          <cell r="W884">
            <v>332</v>
          </cell>
          <cell r="X884">
            <v>1740</v>
          </cell>
          <cell r="Y884">
            <v>2552</v>
          </cell>
          <cell r="Z884">
            <v>2327</v>
          </cell>
          <cell r="AA884">
            <v>2336</v>
          </cell>
          <cell r="AB884">
            <v>2423</v>
          </cell>
          <cell r="AC884">
            <v>2470</v>
          </cell>
          <cell r="AD884">
            <v>2384</v>
          </cell>
          <cell r="AE884">
            <v>2299</v>
          </cell>
          <cell r="AF884">
            <v>2353</v>
          </cell>
          <cell r="AG884">
            <v>2412</v>
          </cell>
          <cell r="AH884">
            <v>2286</v>
          </cell>
          <cell r="AI884">
            <v>2423</v>
          </cell>
          <cell r="AJ884">
            <v>1984</v>
          </cell>
        </row>
        <row r="885">
          <cell r="E885" t="str">
            <v>WA Transportation Ethanol</v>
          </cell>
          <cell r="F885">
            <v>699</v>
          </cell>
          <cell r="G885">
            <v>821</v>
          </cell>
          <cell r="H885">
            <v>3828</v>
          </cell>
          <cell r="I885">
            <v>6677</v>
          </cell>
          <cell r="J885">
            <v>7707</v>
          </cell>
          <cell r="K885">
            <v>2535</v>
          </cell>
          <cell r="L885">
            <v>1125</v>
          </cell>
          <cell r="M885">
            <v>2131</v>
          </cell>
          <cell r="N885">
            <v>2869</v>
          </cell>
          <cell r="O885">
            <v>2429</v>
          </cell>
          <cell r="P885">
            <v>2739</v>
          </cell>
          <cell r="Q885">
            <v>1979</v>
          </cell>
          <cell r="R885">
            <v>5734</v>
          </cell>
          <cell r="S885">
            <v>5521</v>
          </cell>
          <cell r="T885">
            <v>1847</v>
          </cell>
          <cell r="U885">
            <v>7225</v>
          </cell>
          <cell r="V885">
            <v>7921</v>
          </cell>
          <cell r="W885">
            <v>10028</v>
          </cell>
          <cell r="X885">
            <v>17592</v>
          </cell>
          <cell r="Y885">
            <v>20428</v>
          </cell>
          <cell r="Z885">
            <v>17470</v>
          </cell>
          <cell r="AA885">
            <v>18012</v>
          </cell>
          <cell r="AB885">
            <v>17193</v>
          </cell>
          <cell r="AC885">
            <v>18062</v>
          </cell>
          <cell r="AD885">
            <v>19385</v>
          </cell>
          <cell r="AE885">
            <v>23234</v>
          </cell>
          <cell r="AF885">
            <v>22890</v>
          </cell>
          <cell r="AG885">
            <v>23294</v>
          </cell>
          <cell r="AH885">
            <v>24026</v>
          </cell>
          <cell r="AI885">
            <v>24648</v>
          </cell>
          <cell r="AJ885">
            <v>19364</v>
          </cell>
        </row>
        <row r="886">
          <cell r="E886" t="str">
            <v>WI Transportation Ethanol</v>
          </cell>
          <cell r="F886">
            <v>664</v>
          </cell>
          <cell r="G886">
            <v>1654</v>
          </cell>
          <cell r="H886">
            <v>1444</v>
          </cell>
          <cell r="I886">
            <v>1213</v>
          </cell>
          <cell r="J886">
            <v>1334</v>
          </cell>
          <cell r="K886">
            <v>2932</v>
          </cell>
          <cell r="L886">
            <v>4641</v>
          </cell>
          <cell r="M886">
            <v>5431</v>
          </cell>
          <cell r="N886">
            <v>2822</v>
          </cell>
          <cell r="O886">
            <v>2382</v>
          </cell>
          <cell r="P886">
            <v>2668</v>
          </cell>
          <cell r="Q886">
            <v>6765</v>
          </cell>
          <cell r="R886">
            <v>10807</v>
          </cell>
          <cell r="S886">
            <v>8947</v>
          </cell>
          <cell r="T886">
            <v>8461</v>
          </cell>
          <cell r="U886">
            <v>13769</v>
          </cell>
          <cell r="V886">
            <v>12469</v>
          </cell>
          <cell r="W886">
            <v>15560</v>
          </cell>
          <cell r="X886">
            <v>19277</v>
          </cell>
          <cell r="Y886">
            <v>19758</v>
          </cell>
          <cell r="Z886">
            <v>22270</v>
          </cell>
          <cell r="AA886">
            <v>20399</v>
          </cell>
          <cell r="AB886">
            <v>20127</v>
          </cell>
          <cell r="AC886">
            <v>20494</v>
          </cell>
          <cell r="AD886">
            <v>21706</v>
          </cell>
          <cell r="AE886">
            <v>21835</v>
          </cell>
          <cell r="AF886">
            <v>21781</v>
          </cell>
          <cell r="AG886">
            <v>21640</v>
          </cell>
          <cell r="AH886">
            <v>22330</v>
          </cell>
          <cell r="AI886">
            <v>22264</v>
          </cell>
          <cell r="AJ886">
            <v>19662</v>
          </cell>
        </row>
        <row r="887">
          <cell r="E887" t="str">
            <v>WV Transportation Ethanol</v>
          </cell>
          <cell r="F887">
            <v>0</v>
          </cell>
          <cell r="G887">
            <v>0</v>
          </cell>
          <cell r="H887">
            <v>378</v>
          </cell>
          <cell r="I887">
            <v>222</v>
          </cell>
          <cell r="J887">
            <v>165</v>
          </cell>
          <cell r="K887">
            <v>112</v>
          </cell>
          <cell r="L887">
            <v>18</v>
          </cell>
          <cell r="M887">
            <v>16</v>
          </cell>
          <cell r="N887">
            <v>2</v>
          </cell>
          <cell r="O887">
            <v>0</v>
          </cell>
          <cell r="P887">
            <v>26</v>
          </cell>
          <cell r="Q887">
            <v>430</v>
          </cell>
          <cell r="R887">
            <v>1064</v>
          </cell>
          <cell r="S887">
            <v>1398</v>
          </cell>
          <cell r="T887">
            <v>1497</v>
          </cell>
          <cell r="U887">
            <v>380</v>
          </cell>
          <cell r="V887">
            <v>538</v>
          </cell>
          <cell r="W887">
            <v>763</v>
          </cell>
          <cell r="X887">
            <v>4189</v>
          </cell>
          <cell r="Y887">
            <v>5684</v>
          </cell>
          <cell r="Z887">
            <v>6107</v>
          </cell>
          <cell r="AA887">
            <v>6030</v>
          </cell>
          <cell r="AB887">
            <v>6254</v>
          </cell>
          <cell r="AC887">
            <v>6187</v>
          </cell>
          <cell r="AD887">
            <v>6264</v>
          </cell>
          <cell r="AE887">
            <v>5954</v>
          </cell>
          <cell r="AF887">
            <v>6231</v>
          </cell>
          <cell r="AG887">
            <v>6210</v>
          </cell>
          <cell r="AH887">
            <v>6708</v>
          </cell>
          <cell r="AI887">
            <v>6627</v>
          </cell>
          <cell r="AJ887">
            <v>5561</v>
          </cell>
        </row>
        <row r="888">
          <cell r="E888" t="str">
            <v>WY Transportation Ethanol</v>
          </cell>
          <cell r="F888">
            <v>73</v>
          </cell>
          <cell r="G888">
            <v>262</v>
          </cell>
          <cell r="H888">
            <v>440</v>
          </cell>
          <cell r="I888">
            <v>513</v>
          </cell>
          <cell r="J888">
            <v>580</v>
          </cell>
          <cell r="K888">
            <v>440</v>
          </cell>
          <cell r="L888">
            <v>158</v>
          </cell>
          <cell r="M888">
            <v>11</v>
          </cell>
          <cell r="N888">
            <v>0</v>
          </cell>
          <cell r="O888">
            <v>0</v>
          </cell>
          <cell r="P888">
            <v>0</v>
          </cell>
          <cell r="Q888">
            <v>0</v>
          </cell>
          <cell r="R888">
            <v>0</v>
          </cell>
          <cell r="S888">
            <v>0</v>
          </cell>
          <cell r="T888">
            <v>0</v>
          </cell>
          <cell r="U888">
            <v>498</v>
          </cell>
          <cell r="V888">
            <v>498</v>
          </cell>
          <cell r="W888">
            <v>895</v>
          </cell>
          <cell r="X888">
            <v>1136</v>
          </cell>
          <cell r="Y888">
            <v>1393</v>
          </cell>
          <cell r="Z888">
            <v>1635</v>
          </cell>
          <cell r="AA888">
            <v>1985</v>
          </cell>
          <cell r="AB888">
            <v>2261</v>
          </cell>
          <cell r="AC888">
            <v>2387</v>
          </cell>
          <cell r="AD888">
            <v>2289</v>
          </cell>
          <cell r="AE888">
            <v>2786</v>
          </cell>
          <cell r="AF888">
            <v>2953</v>
          </cell>
          <cell r="AG888">
            <v>2915</v>
          </cell>
          <cell r="AH888">
            <v>2733</v>
          </cell>
          <cell r="AI888">
            <v>2750</v>
          </cell>
          <cell r="AJ888">
            <v>2584</v>
          </cell>
        </row>
        <row r="889">
          <cell r="E889" t="str">
            <v>AK Commercial Ethanol</v>
          </cell>
          <cell r="F889">
            <v>0</v>
          </cell>
          <cell r="G889">
            <v>0</v>
          </cell>
          <cell r="H889">
            <v>0</v>
          </cell>
          <cell r="I889">
            <v>0</v>
          </cell>
          <cell r="J889">
            <v>0</v>
          </cell>
          <cell r="K889">
            <v>2</v>
          </cell>
          <cell r="L889">
            <v>32</v>
          </cell>
          <cell r="M889">
            <v>7</v>
          </cell>
          <cell r="N889">
            <v>6</v>
          </cell>
          <cell r="O889">
            <v>5</v>
          </cell>
          <cell r="P889">
            <v>2</v>
          </cell>
          <cell r="Q889">
            <v>50</v>
          </cell>
          <cell r="R889">
            <v>7</v>
          </cell>
          <cell r="S889">
            <v>0</v>
          </cell>
          <cell r="T889">
            <v>6</v>
          </cell>
          <cell r="U889">
            <v>0</v>
          </cell>
          <cell r="V889">
            <v>0</v>
          </cell>
          <cell r="W889">
            <v>0</v>
          </cell>
          <cell r="X889">
            <v>0</v>
          </cell>
          <cell r="Y889">
            <v>0</v>
          </cell>
          <cell r="Z889">
            <v>0</v>
          </cell>
          <cell r="AA889">
            <v>0</v>
          </cell>
          <cell r="AB889">
            <v>0</v>
          </cell>
          <cell r="AC889">
            <v>0</v>
          </cell>
          <cell r="AD889">
            <v>22</v>
          </cell>
          <cell r="AE889">
            <v>0</v>
          </cell>
          <cell r="AF889">
            <v>0</v>
          </cell>
          <cell r="AG889">
            <v>0</v>
          </cell>
          <cell r="AH889">
            <v>0</v>
          </cell>
          <cell r="AI889">
            <v>0</v>
          </cell>
          <cell r="AJ889">
            <v>0</v>
          </cell>
        </row>
        <row r="890">
          <cell r="E890" t="str">
            <v>AL Commercial Ethanol</v>
          </cell>
          <cell r="F890">
            <v>8</v>
          </cell>
          <cell r="G890">
            <v>5</v>
          </cell>
          <cell r="H890">
            <v>7</v>
          </cell>
          <cell r="I890">
            <v>1</v>
          </cell>
          <cell r="J890">
            <v>1</v>
          </cell>
          <cell r="K890">
            <v>2</v>
          </cell>
          <cell r="L890">
            <v>0</v>
          </cell>
          <cell r="M890">
            <v>0</v>
          </cell>
          <cell r="N890">
            <v>0</v>
          </cell>
          <cell r="O890">
            <v>0</v>
          </cell>
          <cell r="P890">
            <v>0</v>
          </cell>
          <cell r="Q890">
            <v>1</v>
          </cell>
          <cell r="R890">
            <v>1</v>
          </cell>
          <cell r="S890">
            <v>1</v>
          </cell>
          <cell r="T890">
            <v>2</v>
          </cell>
          <cell r="U890">
            <v>0</v>
          </cell>
          <cell r="V890">
            <v>0</v>
          </cell>
          <cell r="W890">
            <v>0</v>
          </cell>
          <cell r="X890">
            <v>3</v>
          </cell>
          <cell r="Y890">
            <v>6</v>
          </cell>
          <cell r="Z890">
            <v>16</v>
          </cell>
          <cell r="AA890">
            <v>16</v>
          </cell>
          <cell r="AB890">
            <v>16</v>
          </cell>
          <cell r="AC890">
            <v>16</v>
          </cell>
          <cell r="AD890">
            <v>16</v>
          </cell>
          <cell r="AE890">
            <v>372</v>
          </cell>
          <cell r="AF890">
            <v>472</v>
          </cell>
          <cell r="AG890">
            <v>381</v>
          </cell>
          <cell r="AH890">
            <v>379</v>
          </cell>
          <cell r="AI890">
            <v>371</v>
          </cell>
          <cell r="AJ890">
            <v>361</v>
          </cell>
        </row>
        <row r="891">
          <cell r="E891" t="str">
            <v>AR Commercial Ethanol</v>
          </cell>
          <cell r="F891">
            <v>2</v>
          </cell>
          <cell r="G891">
            <v>1</v>
          </cell>
          <cell r="H891">
            <v>1</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1</v>
          </cell>
          <cell r="X891">
            <v>9</v>
          </cell>
          <cell r="Y891">
            <v>23</v>
          </cell>
          <cell r="Z891">
            <v>59</v>
          </cell>
          <cell r="AA891">
            <v>26</v>
          </cell>
          <cell r="AB891">
            <v>26</v>
          </cell>
          <cell r="AC891">
            <v>20</v>
          </cell>
          <cell r="AD891">
            <v>29</v>
          </cell>
          <cell r="AE891">
            <v>224</v>
          </cell>
          <cell r="AF891">
            <v>196</v>
          </cell>
          <cell r="AG891">
            <v>195</v>
          </cell>
          <cell r="AH891">
            <v>184</v>
          </cell>
          <cell r="AI891">
            <v>180</v>
          </cell>
          <cell r="AJ891">
            <v>175</v>
          </cell>
        </row>
        <row r="892">
          <cell r="E892" t="str">
            <v>AZ Commercial Ethanol</v>
          </cell>
          <cell r="F892">
            <v>0</v>
          </cell>
          <cell r="G892">
            <v>0</v>
          </cell>
          <cell r="H892">
            <v>0</v>
          </cell>
          <cell r="I892">
            <v>1</v>
          </cell>
          <cell r="J892">
            <v>1</v>
          </cell>
          <cell r="K892">
            <v>2</v>
          </cell>
          <cell r="L892">
            <v>1</v>
          </cell>
          <cell r="M892">
            <v>1</v>
          </cell>
          <cell r="N892">
            <v>1</v>
          </cell>
          <cell r="O892">
            <v>1</v>
          </cell>
          <cell r="P892">
            <v>1</v>
          </cell>
          <cell r="Q892">
            <v>1</v>
          </cell>
          <cell r="R892">
            <v>1</v>
          </cell>
          <cell r="S892">
            <v>1</v>
          </cell>
          <cell r="T892">
            <v>1</v>
          </cell>
          <cell r="U892">
            <v>8</v>
          </cell>
          <cell r="V892">
            <v>9</v>
          </cell>
          <cell r="W892">
            <v>10</v>
          </cell>
          <cell r="X892">
            <v>14</v>
          </cell>
          <cell r="Y892">
            <v>35</v>
          </cell>
          <cell r="Z892">
            <v>46</v>
          </cell>
          <cell r="AA892">
            <v>41</v>
          </cell>
          <cell r="AB892">
            <v>34</v>
          </cell>
          <cell r="AC892">
            <v>40</v>
          </cell>
          <cell r="AD892">
            <v>15</v>
          </cell>
          <cell r="AE892">
            <v>646</v>
          </cell>
          <cell r="AF892">
            <v>641</v>
          </cell>
          <cell r="AG892">
            <v>653</v>
          </cell>
          <cell r="AH892">
            <v>660</v>
          </cell>
          <cell r="AI892">
            <v>675</v>
          </cell>
          <cell r="AJ892">
            <v>685</v>
          </cell>
        </row>
        <row r="893">
          <cell r="E893" t="str">
            <v>CA Commercial Ethanol</v>
          </cell>
          <cell r="F893">
            <v>25</v>
          </cell>
          <cell r="G893">
            <v>27</v>
          </cell>
          <cell r="H893">
            <v>3</v>
          </cell>
          <cell r="I893">
            <v>2</v>
          </cell>
          <cell r="J893">
            <v>2</v>
          </cell>
          <cell r="K893">
            <v>7</v>
          </cell>
          <cell r="L893">
            <v>5</v>
          </cell>
          <cell r="M893">
            <v>5</v>
          </cell>
          <cell r="N893">
            <v>4</v>
          </cell>
          <cell r="O893">
            <v>3</v>
          </cell>
          <cell r="P893">
            <v>4</v>
          </cell>
          <cell r="Q893">
            <v>5</v>
          </cell>
          <cell r="R893">
            <v>6</v>
          </cell>
          <cell r="S893">
            <v>36</v>
          </cell>
          <cell r="T893">
            <v>52</v>
          </cell>
          <cell r="U893">
            <v>57</v>
          </cell>
          <cell r="V893">
            <v>58</v>
          </cell>
          <cell r="W893">
            <v>61</v>
          </cell>
          <cell r="X893">
            <v>64</v>
          </cell>
          <cell r="Y893">
            <v>62</v>
          </cell>
          <cell r="Z893">
            <v>94</v>
          </cell>
          <cell r="AA893">
            <v>93</v>
          </cell>
          <cell r="AB893">
            <v>90</v>
          </cell>
          <cell r="AC893">
            <v>96</v>
          </cell>
          <cell r="AD893">
            <v>93</v>
          </cell>
          <cell r="AE893">
            <v>3625</v>
          </cell>
          <cell r="AF893">
            <v>3616</v>
          </cell>
          <cell r="AG893">
            <v>3688</v>
          </cell>
          <cell r="AH893">
            <v>3733</v>
          </cell>
          <cell r="AI893">
            <v>3826</v>
          </cell>
          <cell r="AJ893">
            <v>3876</v>
          </cell>
        </row>
        <row r="894">
          <cell r="E894" t="str">
            <v>CO Commercial Ethanol</v>
          </cell>
          <cell r="F894">
            <v>6</v>
          </cell>
          <cell r="G894">
            <v>8</v>
          </cell>
          <cell r="H894">
            <v>6</v>
          </cell>
          <cell r="I894">
            <v>2</v>
          </cell>
          <cell r="J894">
            <v>3</v>
          </cell>
          <cell r="K894">
            <v>4</v>
          </cell>
          <cell r="L894">
            <v>33</v>
          </cell>
          <cell r="M894">
            <v>4</v>
          </cell>
          <cell r="N894">
            <v>4</v>
          </cell>
          <cell r="O894">
            <v>16</v>
          </cell>
          <cell r="P894">
            <v>14</v>
          </cell>
          <cell r="Q894">
            <v>6</v>
          </cell>
          <cell r="R894">
            <v>5</v>
          </cell>
          <cell r="S894">
            <v>6</v>
          </cell>
          <cell r="T894">
            <v>5</v>
          </cell>
          <cell r="U894">
            <v>3</v>
          </cell>
          <cell r="V894">
            <v>3</v>
          </cell>
          <cell r="W894">
            <v>5</v>
          </cell>
          <cell r="X894">
            <v>6</v>
          </cell>
          <cell r="Y894">
            <v>7</v>
          </cell>
          <cell r="Z894">
            <v>9</v>
          </cell>
          <cell r="AA894">
            <v>11</v>
          </cell>
          <cell r="AB894">
            <v>12</v>
          </cell>
          <cell r="AC894">
            <v>13</v>
          </cell>
          <cell r="AD894">
            <v>12</v>
          </cell>
          <cell r="AE894">
            <v>487</v>
          </cell>
          <cell r="AF894">
            <v>512</v>
          </cell>
          <cell r="AG894">
            <v>522</v>
          </cell>
          <cell r="AH894">
            <v>531</v>
          </cell>
          <cell r="AI894">
            <v>544</v>
          </cell>
          <cell r="AJ894">
            <v>552</v>
          </cell>
        </row>
        <row r="895">
          <cell r="E895" t="str">
            <v>CT Commercial Ethanol</v>
          </cell>
          <cell r="F895">
            <v>0</v>
          </cell>
          <cell r="G895">
            <v>2</v>
          </cell>
          <cell r="H895">
            <v>22</v>
          </cell>
          <cell r="I895">
            <v>27</v>
          </cell>
          <cell r="J895">
            <v>12</v>
          </cell>
          <cell r="K895">
            <v>1</v>
          </cell>
          <cell r="L895">
            <v>7</v>
          </cell>
          <cell r="M895">
            <v>9</v>
          </cell>
          <cell r="N895">
            <v>6</v>
          </cell>
          <cell r="O895">
            <v>6</v>
          </cell>
          <cell r="P895">
            <v>8</v>
          </cell>
          <cell r="Q895">
            <v>1</v>
          </cell>
          <cell r="R895">
            <v>6</v>
          </cell>
          <cell r="S895">
            <v>79</v>
          </cell>
          <cell r="T895">
            <v>45</v>
          </cell>
          <cell r="U895">
            <v>17</v>
          </cell>
          <cell r="V895">
            <v>12</v>
          </cell>
          <cell r="W895">
            <v>13</v>
          </cell>
          <cell r="X895">
            <v>21</v>
          </cell>
          <cell r="Y895">
            <v>14</v>
          </cell>
          <cell r="Z895">
            <v>14</v>
          </cell>
          <cell r="AA895">
            <v>15</v>
          </cell>
          <cell r="AB895">
            <v>12</v>
          </cell>
          <cell r="AC895">
            <v>13</v>
          </cell>
          <cell r="AD895">
            <v>12</v>
          </cell>
          <cell r="AE895">
            <v>333</v>
          </cell>
          <cell r="AF895">
            <v>320</v>
          </cell>
          <cell r="AG895">
            <v>324</v>
          </cell>
          <cell r="AH895">
            <v>327</v>
          </cell>
          <cell r="AI895">
            <v>335</v>
          </cell>
          <cell r="AJ895">
            <v>341</v>
          </cell>
        </row>
        <row r="896">
          <cell r="E896" t="str">
            <v>DC Commercial Ethanol</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16</v>
          </cell>
          <cell r="V896">
            <v>12</v>
          </cell>
          <cell r="W896">
            <v>5</v>
          </cell>
          <cell r="X896">
            <v>12</v>
          </cell>
          <cell r="Y896">
            <v>7</v>
          </cell>
          <cell r="Z896">
            <v>83</v>
          </cell>
          <cell r="AA896">
            <v>97</v>
          </cell>
          <cell r="AB896">
            <v>2</v>
          </cell>
          <cell r="AC896">
            <v>3</v>
          </cell>
          <cell r="AD896">
            <v>2</v>
          </cell>
          <cell r="AE896">
            <v>23</v>
          </cell>
          <cell r="AF896">
            <v>27</v>
          </cell>
          <cell r="AG896">
            <v>27</v>
          </cell>
          <cell r="AH896">
            <v>28</v>
          </cell>
          <cell r="AI896">
            <v>30</v>
          </cell>
          <cell r="AJ896">
            <v>30</v>
          </cell>
        </row>
        <row r="897">
          <cell r="E897" t="str">
            <v>DE Commercial Ethanol</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1</v>
          </cell>
          <cell r="V897">
            <v>2</v>
          </cell>
          <cell r="W897">
            <v>2</v>
          </cell>
          <cell r="X897">
            <v>2</v>
          </cell>
          <cell r="Y897">
            <v>2</v>
          </cell>
          <cell r="Z897">
            <v>2</v>
          </cell>
          <cell r="AA897">
            <v>2</v>
          </cell>
          <cell r="AB897">
            <v>2</v>
          </cell>
          <cell r="AC897">
            <v>2</v>
          </cell>
          <cell r="AD897">
            <v>2</v>
          </cell>
          <cell r="AE897">
            <v>84</v>
          </cell>
          <cell r="AF897">
            <v>84</v>
          </cell>
          <cell r="AG897">
            <v>86</v>
          </cell>
          <cell r="AH897">
            <v>86</v>
          </cell>
          <cell r="AI897">
            <v>88</v>
          </cell>
          <cell r="AJ897">
            <v>90</v>
          </cell>
        </row>
        <row r="898">
          <cell r="E898" t="str">
            <v>FL Commercial Ethanol</v>
          </cell>
          <cell r="F898">
            <v>6</v>
          </cell>
          <cell r="G898">
            <v>5</v>
          </cell>
          <cell r="H898">
            <v>5</v>
          </cell>
          <cell r="I898">
            <v>0</v>
          </cell>
          <cell r="J898">
            <v>0</v>
          </cell>
          <cell r="K898">
            <v>0</v>
          </cell>
          <cell r="L898">
            <v>0</v>
          </cell>
          <cell r="M898">
            <v>0</v>
          </cell>
          <cell r="N898">
            <v>0</v>
          </cell>
          <cell r="O898">
            <v>0</v>
          </cell>
          <cell r="P898">
            <v>0</v>
          </cell>
          <cell r="Q898">
            <v>0</v>
          </cell>
          <cell r="R898">
            <v>0</v>
          </cell>
          <cell r="S898">
            <v>0</v>
          </cell>
          <cell r="T898">
            <v>0</v>
          </cell>
          <cell r="U898">
            <v>8</v>
          </cell>
          <cell r="V898">
            <v>13</v>
          </cell>
          <cell r="W898">
            <v>29</v>
          </cell>
          <cell r="X898">
            <v>148</v>
          </cell>
          <cell r="Y898">
            <v>197</v>
          </cell>
          <cell r="Z898">
            <v>552</v>
          </cell>
          <cell r="AA898">
            <v>297</v>
          </cell>
          <cell r="AB898">
            <v>125</v>
          </cell>
          <cell r="AC898">
            <v>240</v>
          </cell>
          <cell r="AD898">
            <v>192</v>
          </cell>
          <cell r="AE898">
            <v>1714</v>
          </cell>
          <cell r="AF898">
            <v>2119</v>
          </cell>
          <cell r="AG898">
            <v>1849</v>
          </cell>
          <cell r="AH898">
            <v>1938</v>
          </cell>
          <cell r="AI898">
            <v>1946</v>
          </cell>
          <cell r="AJ898">
            <v>1949</v>
          </cell>
        </row>
        <row r="899">
          <cell r="E899" t="str">
            <v>GA Commercial Ethanol</v>
          </cell>
          <cell r="F899">
            <v>5</v>
          </cell>
          <cell r="G899">
            <v>3</v>
          </cell>
          <cell r="H899">
            <v>1</v>
          </cell>
          <cell r="I899">
            <v>0</v>
          </cell>
          <cell r="J899">
            <v>0</v>
          </cell>
          <cell r="K899">
            <v>0</v>
          </cell>
          <cell r="L899">
            <v>0</v>
          </cell>
          <cell r="M899">
            <v>0</v>
          </cell>
          <cell r="N899">
            <v>0</v>
          </cell>
          <cell r="O899">
            <v>0</v>
          </cell>
          <cell r="P899">
            <v>0</v>
          </cell>
          <cell r="Q899">
            <v>0</v>
          </cell>
          <cell r="R899">
            <v>0</v>
          </cell>
          <cell r="S899">
            <v>0</v>
          </cell>
          <cell r="T899">
            <v>0</v>
          </cell>
          <cell r="U899">
            <v>1</v>
          </cell>
          <cell r="V899">
            <v>2</v>
          </cell>
          <cell r="W899">
            <v>3</v>
          </cell>
          <cell r="X899">
            <v>17</v>
          </cell>
          <cell r="Y899">
            <v>21</v>
          </cell>
          <cell r="Z899">
            <v>21</v>
          </cell>
          <cell r="AA899">
            <v>22</v>
          </cell>
          <cell r="AB899">
            <v>23</v>
          </cell>
          <cell r="AC899">
            <v>24</v>
          </cell>
          <cell r="AD899">
            <v>23</v>
          </cell>
          <cell r="AE899">
            <v>748</v>
          </cell>
          <cell r="AF899">
            <v>787</v>
          </cell>
          <cell r="AG899">
            <v>820</v>
          </cell>
          <cell r="AH899">
            <v>856</v>
          </cell>
          <cell r="AI899">
            <v>861</v>
          </cell>
          <cell r="AJ899">
            <v>862</v>
          </cell>
        </row>
        <row r="900">
          <cell r="E900" t="str">
            <v>HI Commercial Ethanol</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1</v>
          </cell>
          <cell r="V900">
            <v>1</v>
          </cell>
          <cell r="W900">
            <v>2</v>
          </cell>
          <cell r="X900">
            <v>4</v>
          </cell>
          <cell r="Y900">
            <v>4</v>
          </cell>
          <cell r="Z900">
            <v>3</v>
          </cell>
          <cell r="AA900">
            <v>4</v>
          </cell>
          <cell r="AB900">
            <v>3</v>
          </cell>
          <cell r="AC900">
            <v>4</v>
          </cell>
          <cell r="AD900">
            <v>4</v>
          </cell>
          <cell r="AE900">
            <v>111</v>
          </cell>
          <cell r="AF900">
            <v>112</v>
          </cell>
          <cell r="AG900">
            <v>115</v>
          </cell>
          <cell r="AH900">
            <v>117</v>
          </cell>
          <cell r="AI900">
            <v>119</v>
          </cell>
          <cell r="AJ900">
            <v>121</v>
          </cell>
        </row>
        <row r="901">
          <cell r="E901" t="str">
            <v>IA Commercial Ethanol</v>
          </cell>
          <cell r="F901">
            <v>14</v>
          </cell>
          <cell r="G901">
            <v>86</v>
          </cell>
          <cell r="H901">
            <v>96</v>
          </cell>
          <cell r="I901">
            <v>109</v>
          </cell>
          <cell r="J901">
            <v>7</v>
          </cell>
          <cell r="K901">
            <v>6</v>
          </cell>
          <cell r="L901">
            <v>27</v>
          </cell>
          <cell r="M901">
            <v>61</v>
          </cell>
          <cell r="N901">
            <v>77</v>
          </cell>
          <cell r="O901">
            <v>77</v>
          </cell>
          <cell r="P901">
            <v>112</v>
          </cell>
          <cell r="Q901">
            <v>120</v>
          </cell>
          <cell r="R901">
            <v>140</v>
          </cell>
          <cell r="S901">
            <v>151</v>
          </cell>
          <cell r="T901">
            <v>240</v>
          </cell>
          <cell r="U901">
            <v>55</v>
          </cell>
          <cell r="V901">
            <v>89</v>
          </cell>
          <cell r="W901">
            <v>183</v>
          </cell>
          <cell r="X901">
            <v>308</v>
          </cell>
          <cell r="Y901">
            <v>353</v>
          </cell>
          <cell r="Z901">
            <v>752</v>
          </cell>
          <cell r="AA901">
            <v>738</v>
          </cell>
          <cell r="AB901">
            <v>730</v>
          </cell>
          <cell r="AC901">
            <v>725</v>
          </cell>
          <cell r="AD901">
            <v>742</v>
          </cell>
          <cell r="AE901">
            <v>1061</v>
          </cell>
          <cell r="AF901">
            <v>218</v>
          </cell>
          <cell r="AG901">
            <v>224</v>
          </cell>
          <cell r="AH901">
            <v>225</v>
          </cell>
          <cell r="AI901">
            <v>230</v>
          </cell>
          <cell r="AJ901">
            <v>231</v>
          </cell>
        </row>
        <row r="902">
          <cell r="E902" t="str">
            <v>ID Commercial Ethanol</v>
          </cell>
          <cell r="F902">
            <v>7</v>
          </cell>
          <cell r="G902">
            <v>19</v>
          </cell>
          <cell r="H902">
            <v>11</v>
          </cell>
          <cell r="I902">
            <v>0</v>
          </cell>
          <cell r="J902">
            <v>0</v>
          </cell>
          <cell r="K902">
            <v>0</v>
          </cell>
          <cell r="L902">
            <v>0</v>
          </cell>
          <cell r="M902">
            <v>0</v>
          </cell>
          <cell r="N902">
            <v>0</v>
          </cell>
          <cell r="O902">
            <v>0</v>
          </cell>
          <cell r="P902">
            <v>0</v>
          </cell>
          <cell r="Q902">
            <v>0</v>
          </cell>
          <cell r="R902">
            <v>0</v>
          </cell>
          <cell r="S902">
            <v>0</v>
          </cell>
          <cell r="T902">
            <v>0</v>
          </cell>
          <cell r="U902">
            <v>1</v>
          </cell>
          <cell r="V902">
            <v>4</v>
          </cell>
          <cell r="W902">
            <v>2</v>
          </cell>
          <cell r="X902">
            <v>11</v>
          </cell>
          <cell r="Y902">
            <v>5</v>
          </cell>
          <cell r="Z902">
            <v>4</v>
          </cell>
          <cell r="AA902">
            <v>6</v>
          </cell>
          <cell r="AB902">
            <v>12</v>
          </cell>
          <cell r="AC902">
            <v>15</v>
          </cell>
          <cell r="AD902">
            <v>16</v>
          </cell>
          <cell r="AE902">
            <v>121</v>
          </cell>
          <cell r="AF902">
            <v>113</v>
          </cell>
          <cell r="AG902">
            <v>115</v>
          </cell>
          <cell r="AH902">
            <v>118</v>
          </cell>
          <cell r="AI902">
            <v>120</v>
          </cell>
          <cell r="AJ902">
            <v>122</v>
          </cell>
        </row>
        <row r="903">
          <cell r="E903" t="str">
            <v>IL Commercial Ethanol</v>
          </cell>
          <cell r="F903">
            <v>60</v>
          </cell>
          <cell r="G903">
            <v>48</v>
          </cell>
          <cell r="H903">
            <v>51</v>
          </cell>
          <cell r="I903">
            <v>17</v>
          </cell>
          <cell r="J903">
            <v>26</v>
          </cell>
          <cell r="K903">
            <v>19</v>
          </cell>
          <cell r="L903">
            <v>18</v>
          </cell>
          <cell r="M903">
            <v>31</v>
          </cell>
          <cell r="N903">
            <v>38</v>
          </cell>
          <cell r="O903">
            <v>25</v>
          </cell>
          <cell r="P903">
            <v>44</v>
          </cell>
          <cell r="Q903">
            <v>57</v>
          </cell>
          <cell r="R903">
            <v>78</v>
          </cell>
          <cell r="S903">
            <v>97</v>
          </cell>
          <cell r="T903">
            <v>107</v>
          </cell>
          <cell r="U903">
            <v>61</v>
          </cell>
          <cell r="V903">
            <v>102</v>
          </cell>
          <cell r="W903">
            <v>66</v>
          </cell>
          <cell r="X903">
            <v>93</v>
          </cell>
          <cell r="Y903">
            <v>296</v>
          </cell>
          <cell r="Z903">
            <v>83</v>
          </cell>
          <cell r="AA903">
            <v>64</v>
          </cell>
          <cell r="AB903">
            <v>87</v>
          </cell>
          <cell r="AC903">
            <v>62</v>
          </cell>
          <cell r="AD903">
            <v>58</v>
          </cell>
          <cell r="AE903">
            <v>915</v>
          </cell>
          <cell r="AF903">
            <v>904</v>
          </cell>
          <cell r="AG903">
            <v>902</v>
          </cell>
          <cell r="AH903">
            <v>909</v>
          </cell>
          <cell r="AI903">
            <v>932</v>
          </cell>
          <cell r="AJ903">
            <v>953</v>
          </cell>
        </row>
        <row r="904">
          <cell r="E904" t="str">
            <v>IN Commercial Ethanol</v>
          </cell>
          <cell r="F904">
            <v>47</v>
          </cell>
          <cell r="G904">
            <v>36</v>
          </cell>
          <cell r="H904">
            <v>32</v>
          </cell>
          <cell r="I904">
            <v>27</v>
          </cell>
          <cell r="J904">
            <v>24</v>
          </cell>
          <cell r="K904">
            <v>19</v>
          </cell>
          <cell r="L904">
            <v>9</v>
          </cell>
          <cell r="M904">
            <v>13</v>
          </cell>
          <cell r="N904">
            <v>11</v>
          </cell>
          <cell r="O904">
            <v>22</v>
          </cell>
          <cell r="P904">
            <v>12</v>
          </cell>
          <cell r="Q904">
            <v>31</v>
          </cell>
          <cell r="R904">
            <v>32</v>
          </cell>
          <cell r="S904">
            <v>36</v>
          </cell>
          <cell r="T904">
            <v>30</v>
          </cell>
          <cell r="U904">
            <v>39</v>
          </cell>
          <cell r="V904">
            <v>37</v>
          </cell>
          <cell r="W904">
            <v>59</v>
          </cell>
          <cell r="X904">
            <v>114</v>
          </cell>
          <cell r="Y904">
            <v>234</v>
          </cell>
          <cell r="Z904">
            <v>191</v>
          </cell>
          <cell r="AA904">
            <v>214</v>
          </cell>
          <cell r="AB904">
            <v>213</v>
          </cell>
          <cell r="AC904">
            <v>207</v>
          </cell>
          <cell r="AD904">
            <v>199</v>
          </cell>
          <cell r="AE904">
            <v>526</v>
          </cell>
          <cell r="AF904">
            <v>535</v>
          </cell>
          <cell r="AG904">
            <v>483</v>
          </cell>
          <cell r="AH904">
            <v>486</v>
          </cell>
          <cell r="AI904">
            <v>500</v>
          </cell>
          <cell r="AJ904">
            <v>517</v>
          </cell>
        </row>
        <row r="905">
          <cell r="E905" t="str">
            <v>KS Commercial Ethanol</v>
          </cell>
          <cell r="F905">
            <v>3</v>
          </cell>
          <cell r="G905">
            <v>3</v>
          </cell>
          <cell r="H905">
            <v>2</v>
          </cell>
          <cell r="I905">
            <v>1</v>
          </cell>
          <cell r="J905">
            <v>1</v>
          </cell>
          <cell r="K905">
            <v>1</v>
          </cell>
          <cell r="L905">
            <v>1</v>
          </cell>
          <cell r="M905">
            <v>1</v>
          </cell>
          <cell r="N905">
            <v>1</v>
          </cell>
          <cell r="O905">
            <v>1</v>
          </cell>
          <cell r="P905">
            <v>1</v>
          </cell>
          <cell r="Q905">
            <v>1</v>
          </cell>
          <cell r="R905">
            <v>4</v>
          </cell>
          <cell r="S905">
            <v>11</v>
          </cell>
          <cell r="T905">
            <v>1</v>
          </cell>
          <cell r="U905">
            <v>7</v>
          </cell>
          <cell r="V905">
            <v>11</v>
          </cell>
          <cell r="W905">
            <v>12</v>
          </cell>
          <cell r="X905">
            <v>18</v>
          </cell>
          <cell r="Y905">
            <v>21</v>
          </cell>
          <cell r="Z905">
            <v>21</v>
          </cell>
          <cell r="AA905">
            <v>16</v>
          </cell>
          <cell r="AB905">
            <v>26</v>
          </cell>
          <cell r="AC905">
            <v>10</v>
          </cell>
          <cell r="AD905">
            <v>21</v>
          </cell>
          <cell r="AE905">
            <v>212</v>
          </cell>
          <cell r="AF905">
            <v>203</v>
          </cell>
          <cell r="AG905">
            <v>199</v>
          </cell>
          <cell r="AH905">
            <v>196</v>
          </cell>
          <cell r="AI905">
            <v>201</v>
          </cell>
          <cell r="AJ905">
            <v>202</v>
          </cell>
        </row>
        <row r="906">
          <cell r="E906" t="str">
            <v>KY Commercial Ethanol</v>
          </cell>
          <cell r="F906">
            <v>30</v>
          </cell>
          <cell r="G906">
            <v>21</v>
          </cell>
          <cell r="H906">
            <v>21</v>
          </cell>
          <cell r="I906">
            <v>2</v>
          </cell>
          <cell r="J906">
            <v>1</v>
          </cell>
          <cell r="K906">
            <v>0</v>
          </cell>
          <cell r="L906">
            <v>0</v>
          </cell>
          <cell r="M906">
            <v>0</v>
          </cell>
          <cell r="N906">
            <v>1</v>
          </cell>
          <cell r="O906">
            <v>0</v>
          </cell>
          <cell r="P906">
            <v>0</v>
          </cell>
          <cell r="Q906">
            <v>0</v>
          </cell>
          <cell r="R906">
            <v>2</v>
          </cell>
          <cell r="S906">
            <v>4</v>
          </cell>
          <cell r="T906">
            <v>3</v>
          </cell>
          <cell r="U906">
            <v>8</v>
          </cell>
          <cell r="V906">
            <v>8</v>
          </cell>
          <cell r="W906">
            <v>10</v>
          </cell>
          <cell r="X906">
            <v>13</v>
          </cell>
          <cell r="Y906">
            <v>14</v>
          </cell>
          <cell r="Z906">
            <v>14</v>
          </cell>
          <cell r="AA906">
            <v>14</v>
          </cell>
          <cell r="AB906">
            <v>15</v>
          </cell>
          <cell r="AC906">
            <v>16</v>
          </cell>
          <cell r="AD906">
            <v>15</v>
          </cell>
          <cell r="AE906">
            <v>246</v>
          </cell>
          <cell r="AF906">
            <v>260</v>
          </cell>
          <cell r="AG906">
            <v>267</v>
          </cell>
          <cell r="AH906">
            <v>267</v>
          </cell>
          <cell r="AI906">
            <v>274</v>
          </cell>
          <cell r="AJ906">
            <v>282</v>
          </cell>
        </row>
        <row r="907">
          <cell r="E907" t="str">
            <v>LA Commercial Ethanol</v>
          </cell>
          <cell r="F907">
            <v>2</v>
          </cell>
          <cell r="G907">
            <v>4</v>
          </cell>
          <cell r="H907">
            <v>4</v>
          </cell>
          <cell r="I907">
            <v>1</v>
          </cell>
          <cell r="J907">
            <v>1</v>
          </cell>
          <cell r="K907">
            <v>1</v>
          </cell>
          <cell r="L907">
            <v>0</v>
          </cell>
          <cell r="M907">
            <v>0</v>
          </cell>
          <cell r="N907">
            <v>0</v>
          </cell>
          <cell r="O907">
            <v>0</v>
          </cell>
          <cell r="P907">
            <v>1</v>
          </cell>
          <cell r="Q907">
            <v>0</v>
          </cell>
          <cell r="R907">
            <v>44</v>
          </cell>
          <cell r="S907">
            <v>147</v>
          </cell>
          <cell r="T907">
            <v>107</v>
          </cell>
          <cell r="U907">
            <v>3</v>
          </cell>
          <cell r="V907">
            <v>0</v>
          </cell>
          <cell r="W907">
            <v>24</v>
          </cell>
          <cell r="X907">
            <v>3</v>
          </cell>
          <cell r="Y907">
            <v>9</v>
          </cell>
          <cell r="Z907">
            <v>16</v>
          </cell>
          <cell r="AA907">
            <v>15</v>
          </cell>
          <cell r="AB907">
            <v>15</v>
          </cell>
          <cell r="AC907">
            <v>16</v>
          </cell>
          <cell r="AD907">
            <v>15</v>
          </cell>
          <cell r="AE907">
            <v>282</v>
          </cell>
          <cell r="AF907">
            <v>285</v>
          </cell>
          <cell r="AG907">
            <v>290</v>
          </cell>
          <cell r="AH907">
            <v>279</v>
          </cell>
          <cell r="AI907">
            <v>272</v>
          </cell>
          <cell r="AJ907">
            <v>263</v>
          </cell>
        </row>
        <row r="908">
          <cell r="E908" t="str">
            <v>MA Commercial Ethanol</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1</v>
          </cell>
          <cell r="U908">
            <v>5</v>
          </cell>
          <cell r="V908">
            <v>18</v>
          </cell>
          <cell r="W908">
            <v>24</v>
          </cell>
          <cell r="X908">
            <v>21</v>
          </cell>
          <cell r="Y908">
            <v>24</v>
          </cell>
          <cell r="Z908">
            <v>18</v>
          </cell>
          <cell r="AA908">
            <v>52</v>
          </cell>
          <cell r="AB908">
            <v>15</v>
          </cell>
          <cell r="AC908">
            <v>17</v>
          </cell>
          <cell r="AD908">
            <v>17</v>
          </cell>
          <cell r="AE908">
            <v>502</v>
          </cell>
          <cell r="AF908">
            <v>503</v>
          </cell>
          <cell r="AG908">
            <v>512</v>
          </cell>
          <cell r="AH908">
            <v>506</v>
          </cell>
          <cell r="AI908">
            <v>518</v>
          </cell>
          <cell r="AJ908">
            <v>527</v>
          </cell>
        </row>
        <row r="909">
          <cell r="E909" t="str">
            <v>MD Commercial Ethanol</v>
          </cell>
          <cell r="F909">
            <v>0</v>
          </cell>
          <cell r="G909">
            <v>0</v>
          </cell>
          <cell r="H909">
            <v>0</v>
          </cell>
          <cell r="I909">
            <v>0</v>
          </cell>
          <cell r="J909">
            <v>0</v>
          </cell>
          <cell r="K909">
            <v>0</v>
          </cell>
          <cell r="L909">
            <v>0</v>
          </cell>
          <cell r="M909">
            <v>0</v>
          </cell>
          <cell r="N909">
            <v>0</v>
          </cell>
          <cell r="O909">
            <v>0</v>
          </cell>
          <cell r="P909">
            <v>0</v>
          </cell>
          <cell r="Q909">
            <v>0</v>
          </cell>
          <cell r="R909">
            <v>2</v>
          </cell>
          <cell r="S909">
            <v>0</v>
          </cell>
          <cell r="T909">
            <v>0</v>
          </cell>
          <cell r="U909">
            <v>3</v>
          </cell>
          <cell r="V909">
            <v>7</v>
          </cell>
          <cell r="W909">
            <v>9</v>
          </cell>
          <cell r="X909">
            <v>8</v>
          </cell>
          <cell r="Y909">
            <v>9</v>
          </cell>
          <cell r="Z909">
            <v>12</v>
          </cell>
          <cell r="AA909">
            <v>12</v>
          </cell>
          <cell r="AB909">
            <v>12</v>
          </cell>
          <cell r="AC909">
            <v>12</v>
          </cell>
          <cell r="AD909">
            <v>12</v>
          </cell>
          <cell r="AE909">
            <v>599</v>
          </cell>
          <cell r="AF909">
            <v>604</v>
          </cell>
          <cell r="AG909">
            <v>617</v>
          </cell>
          <cell r="AH909">
            <v>627</v>
          </cell>
          <cell r="AI909">
            <v>641</v>
          </cell>
          <cell r="AJ909">
            <v>649</v>
          </cell>
        </row>
        <row r="910">
          <cell r="E910" t="str">
            <v>ME Commercial Ethanol</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1</v>
          </cell>
          <cell r="W910">
            <v>2</v>
          </cell>
          <cell r="X910">
            <v>5</v>
          </cell>
          <cell r="Y910">
            <v>11</v>
          </cell>
          <cell r="Z910">
            <v>11</v>
          </cell>
          <cell r="AA910">
            <v>6</v>
          </cell>
          <cell r="AB910">
            <v>6</v>
          </cell>
          <cell r="AC910">
            <v>10</v>
          </cell>
          <cell r="AD910">
            <v>8</v>
          </cell>
          <cell r="AE910">
            <v>105</v>
          </cell>
          <cell r="AF910">
            <v>108</v>
          </cell>
          <cell r="AG910">
            <v>111</v>
          </cell>
          <cell r="AH910">
            <v>113</v>
          </cell>
          <cell r="AI910">
            <v>115</v>
          </cell>
          <cell r="AJ910">
            <v>117</v>
          </cell>
        </row>
        <row r="911">
          <cell r="E911" t="str">
            <v>MI Commercial Ethanol</v>
          </cell>
          <cell r="F911">
            <v>32</v>
          </cell>
          <cell r="G911">
            <v>32</v>
          </cell>
          <cell r="H911">
            <v>26</v>
          </cell>
          <cell r="I911">
            <v>4</v>
          </cell>
          <cell r="J911">
            <v>22</v>
          </cell>
          <cell r="K911">
            <v>3</v>
          </cell>
          <cell r="L911">
            <v>1</v>
          </cell>
          <cell r="M911">
            <v>2</v>
          </cell>
          <cell r="N911">
            <v>5</v>
          </cell>
          <cell r="O911">
            <v>5</v>
          </cell>
          <cell r="P911">
            <v>11</v>
          </cell>
          <cell r="Q911">
            <v>18</v>
          </cell>
          <cell r="R911">
            <v>21</v>
          </cell>
          <cell r="S911">
            <v>22</v>
          </cell>
          <cell r="T911">
            <v>21</v>
          </cell>
          <cell r="U911">
            <v>31</v>
          </cell>
          <cell r="V911">
            <v>14</v>
          </cell>
          <cell r="W911">
            <v>16</v>
          </cell>
          <cell r="X911">
            <v>23</v>
          </cell>
          <cell r="Y911">
            <v>41</v>
          </cell>
          <cell r="Z911">
            <v>26</v>
          </cell>
          <cell r="AA911">
            <v>26</v>
          </cell>
          <cell r="AB911">
            <v>28</v>
          </cell>
          <cell r="AC911">
            <v>29</v>
          </cell>
          <cell r="AD911">
            <v>1123</v>
          </cell>
          <cell r="AE911">
            <v>654</v>
          </cell>
          <cell r="AF911">
            <v>663</v>
          </cell>
          <cell r="AG911">
            <v>684</v>
          </cell>
          <cell r="AH911">
            <v>687</v>
          </cell>
          <cell r="AI911">
            <v>706</v>
          </cell>
          <cell r="AJ911">
            <v>733</v>
          </cell>
        </row>
        <row r="912">
          <cell r="E912" t="str">
            <v>MN Commercial Ethanol</v>
          </cell>
          <cell r="F912">
            <v>66</v>
          </cell>
          <cell r="G912">
            <v>16</v>
          </cell>
          <cell r="H912">
            <v>14</v>
          </cell>
          <cell r="I912">
            <v>11</v>
          </cell>
          <cell r="J912">
            <v>12</v>
          </cell>
          <cell r="K912">
            <v>13</v>
          </cell>
          <cell r="L912">
            <v>10</v>
          </cell>
          <cell r="M912">
            <v>284</v>
          </cell>
          <cell r="N912">
            <v>299</v>
          </cell>
          <cell r="O912">
            <v>16</v>
          </cell>
          <cell r="P912">
            <v>16</v>
          </cell>
          <cell r="Q912">
            <v>17</v>
          </cell>
          <cell r="R912">
            <v>18</v>
          </cell>
          <cell r="S912">
            <v>287</v>
          </cell>
          <cell r="T912">
            <v>18</v>
          </cell>
          <cell r="U912">
            <v>14</v>
          </cell>
          <cell r="V912">
            <v>343</v>
          </cell>
          <cell r="W912">
            <v>295</v>
          </cell>
          <cell r="X912">
            <v>296</v>
          </cell>
          <cell r="Y912">
            <v>226</v>
          </cell>
          <cell r="Z912">
            <v>303</v>
          </cell>
          <cell r="AA912">
            <v>262</v>
          </cell>
          <cell r="AB912">
            <v>284</v>
          </cell>
          <cell r="AC912">
            <v>262</v>
          </cell>
          <cell r="AD912">
            <v>268</v>
          </cell>
          <cell r="AE912">
            <v>661</v>
          </cell>
          <cell r="AF912">
            <v>677</v>
          </cell>
          <cell r="AG912">
            <v>434</v>
          </cell>
          <cell r="AH912">
            <v>438</v>
          </cell>
          <cell r="AI912">
            <v>450</v>
          </cell>
          <cell r="AJ912">
            <v>454</v>
          </cell>
        </row>
        <row r="913">
          <cell r="E913" t="str">
            <v>MO Commercial Ethanol</v>
          </cell>
          <cell r="F913">
            <v>8</v>
          </cell>
          <cell r="G913">
            <v>4</v>
          </cell>
          <cell r="H913">
            <v>4</v>
          </cell>
          <cell r="I913">
            <v>5</v>
          </cell>
          <cell r="J913">
            <v>4</v>
          </cell>
          <cell r="K913">
            <v>3</v>
          </cell>
          <cell r="L913">
            <v>2</v>
          </cell>
          <cell r="M913">
            <v>1</v>
          </cell>
          <cell r="N913">
            <v>1</v>
          </cell>
          <cell r="O913">
            <v>6</v>
          </cell>
          <cell r="P913">
            <v>9</v>
          </cell>
          <cell r="Q913">
            <v>10</v>
          </cell>
          <cell r="R913">
            <v>21</v>
          </cell>
          <cell r="S913">
            <v>28</v>
          </cell>
          <cell r="T913">
            <v>24</v>
          </cell>
          <cell r="U913">
            <v>37</v>
          </cell>
          <cell r="V913">
            <v>7</v>
          </cell>
          <cell r="W913">
            <v>10</v>
          </cell>
          <cell r="X913">
            <v>15</v>
          </cell>
          <cell r="Y913">
            <v>14</v>
          </cell>
          <cell r="Z913">
            <v>17</v>
          </cell>
          <cell r="AA913">
            <v>17</v>
          </cell>
          <cell r="AB913">
            <v>17</v>
          </cell>
          <cell r="AC913">
            <v>17</v>
          </cell>
          <cell r="AD913">
            <v>18</v>
          </cell>
          <cell r="AE913">
            <v>446</v>
          </cell>
          <cell r="AF913">
            <v>448</v>
          </cell>
          <cell r="AG913">
            <v>458</v>
          </cell>
          <cell r="AH913">
            <v>459</v>
          </cell>
          <cell r="AI913">
            <v>469</v>
          </cell>
          <cell r="AJ913">
            <v>472</v>
          </cell>
        </row>
        <row r="914">
          <cell r="E914" t="str">
            <v>MS Commercial Ethanol</v>
          </cell>
          <cell r="F914">
            <v>0</v>
          </cell>
          <cell r="G914">
            <v>0</v>
          </cell>
          <cell r="H914">
            <v>0</v>
          </cell>
          <cell r="I914">
            <v>1</v>
          </cell>
          <cell r="J914">
            <v>2</v>
          </cell>
          <cell r="K914">
            <v>0</v>
          </cell>
          <cell r="L914">
            <v>0</v>
          </cell>
          <cell r="M914">
            <v>0</v>
          </cell>
          <cell r="N914">
            <v>0</v>
          </cell>
          <cell r="O914">
            <v>0</v>
          </cell>
          <cell r="P914">
            <v>0</v>
          </cell>
          <cell r="Q914">
            <v>0</v>
          </cell>
          <cell r="R914">
            <v>0</v>
          </cell>
          <cell r="S914">
            <v>0</v>
          </cell>
          <cell r="T914">
            <v>0</v>
          </cell>
          <cell r="U914">
            <v>1</v>
          </cell>
          <cell r="V914">
            <v>0</v>
          </cell>
          <cell r="W914">
            <v>0</v>
          </cell>
          <cell r="X914">
            <v>3</v>
          </cell>
          <cell r="Y914">
            <v>6</v>
          </cell>
          <cell r="Z914">
            <v>12</v>
          </cell>
          <cell r="AA914">
            <v>11</v>
          </cell>
          <cell r="AB914">
            <v>13</v>
          </cell>
          <cell r="AC914">
            <v>13</v>
          </cell>
          <cell r="AD914">
            <v>12</v>
          </cell>
          <cell r="AE914">
            <v>165</v>
          </cell>
          <cell r="AF914">
            <v>170</v>
          </cell>
          <cell r="AG914">
            <v>169</v>
          </cell>
          <cell r="AH914">
            <v>161</v>
          </cell>
          <cell r="AI914">
            <v>158</v>
          </cell>
          <cell r="AJ914">
            <v>153</v>
          </cell>
        </row>
        <row r="915">
          <cell r="E915" t="str">
            <v>MT Commercial Ethanol</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1</v>
          </cell>
          <cell r="V915">
            <v>1</v>
          </cell>
          <cell r="W915">
            <v>2</v>
          </cell>
          <cell r="X915">
            <v>3</v>
          </cell>
          <cell r="Y915">
            <v>3</v>
          </cell>
          <cell r="Z915">
            <v>3</v>
          </cell>
          <cell r="AA915">
            <v>4</v>
          </cell>
          <cell r="AB915">
            <v>4</v>
          </cell>
          <cell r="AC915">
            <v>4</v>
          </cell>
          <cell r="AD915">
            <v>4</v>
          </cell>
          <cell r="AE915">
            <v>51</v>
          </cell>
          <cell r="AF915">
            <v>54</v>
          </cell>
          <cell r="AG915">
            <v>54</v>
          </cell>
          <cell r="AH915">
            <v>55</v>
          </cell>
          <cell r="AI915">
            <v>56</v>
          </cell>
          <cell r="AJ915">
            <v>57</v>
          </cell>
        </row>
        <row r="916">
          <cell r="E916" t="str">
            <v>NC Commercial Ethanol</v>
          </cell>
          <cell r="F916">
            <v>0</v>
          </cell>
          <cell r="G916">
            <v>2</v>
          </cell>
          <cell r="H916">
            <v>1</v>
          </cell>
          <cell r="I916">
            <v>0</v>
          </cell>
          <cell r="J916">
            <v>1</v>
          </cell>
          <cell r="K916">
            <v>0</v>
          </cell>
          <cell r="L916">
            <v>10</v>
          </cell>
          <cell r="M916">
            <v>5</v>
          </cell>
          <cell r="N916">
            <v>12</v>
          </cell>
          <cell r="O916">
            <v>9</v>
          </cell>
          <cell r="P916">
            <v>11</v>
          </cell>
          <cell r="Q916">
            <v>12</v>
          </cell>
          <cell r="R916">
            <v>15</v>
          </cell>
          <cell r="S916">
            <v>83</v>
          </cell>
          <cell r="T916">
            <v>108</v>
          </cell>
          <cell r="U916">
            <v>39</v>
          </cell>
          <cell r="V916">
            <v>46</v>
          </cell>
          <cell r="W916">
            <v>48</v>
          </cell>
          <cell r="X916">
            <v>278</v>
          </cell>
          <cell r="Y916">
            <v>566</v>
          </cell>
          <cell r="Z916">
            <v>296</v>
          </cell>
          <cell r="AA916">
            <v>119</v>
          </cell>
          <cell r="AB916">
            <v>119</v>
          </cell>
          <cell r="AC916">
            <v>106</v>
          </cell>
          <cell r="AD916">
            <v>114</v>
          </cell>
          <cell r="AE916">
            <v>811</v>
          </cell>
          <cell r="AF916">
            <v>887</v>
          </cell>
          <cell r="AG916">
            <v>793</v>
          </cell>
          <cell r="AH916">
            <v>832</v>
          </cell>
          <cell r="AI916">
            <v>834</v>
          </cell>
          <cell r="AJ916">
            <v>834</v>
          </cell>
        </row>
        <row r="917">
          <cell r="E917" t="str">
            <v>ND Commercial Ethanol</v>
          </cell>
          <cell r="F917">
            <v>3</v>
          </cell>
          <cell r="G917">
            <v>2</v>
          </cell>
          <cell r="H917">
            <v>2</v>
          </cell>
          <cell r="I917">
            <v>1</v>
          </cell>
          <cell r="J917">
            <v>1</v>
          </cell>
          <cell r="K917">
            <v>1</v>
          </cell>
          <cell r="L917">
            <v>0</v>
          </cell>
          <cell r="M917">
            <v>0</v>
          </cell>
          <cell r="N917">
            <v>1</v>
          </cell>
          <cell r="O917">
            <v>1</v>
          </cell>
          <cell r="P917">
            <v>1</v>
          </cell>
          <cell r="Q917">
            <v>1</v>
          </cell>
          <cell r="R917">
            <v>1</v>
          </cell>
          <cell r="S917">
            <v>2</v>
          </cell>
          <cell r="T917">
            <v>1</v>
          </cell>
          <cell r="U917">
            <v>2</v>
          </cell>
          <cell r="V917">
            <v>4</v>
          </cell>
          <cell r="W917">
            <v>4</v>
          </cell>
          <cell r="X917">
            <v>5</v>
          </cell>
          <cell r="Y917">
            <v>6</v>
          </cell>
          <cell r="Z917">
            <v>7</v>
          </cell>
          <cell r="AA917">
            <v>4</v>
          </cell>
          <cell r="AB917">
            <v>7</v>
          </cell>
          <cell r="AC917">
            <v>8</v>
          </cell>
          <cell r="AD917">
            <v>7</v>
          </cell>
          <cell r="AE917">
            <v>35</v>
          </cell>
          <cell r="AF917">
            <v>36</v>
          </cell>
          <cell r="AG917">
            <v>37</v>
          </cell>
          <cell r="AH917">
            <v>37</v>
          </cell>
          <cell r="AI917">
            <v>38</v>
          </cell>
          <cell r="AJ917">
            <v>38</v>
          </cell>
        </row>
        <row r="918">
          <cell r="E918" t="str">
            <v>NE Commercial Ethanol</v>
          </cell>
          <cell r="F918">
            <v>21</v>
          </cell>
          <cell r="G918">
            <v>16</v>
          </cell>
          <cell r="H918">
            <v>18</v>
          </cell>
          <cell r="I918">
            <v>3</v>
          </cell>
          <cell r="J918">
            <v>2</v>
          </cell>
          <cell r="K918">
            <v>2</v>
          </cell>
          <cell r="L918">
            <v>2</v>
          </cell>
          <cell r="M918">
            <v>2</v>
          </cell>
          <cell r="N918">
            <v>2</v>
          </cell>
          <cell r="O918">
            <v>2</v>
          </cell>
          <cell r="P918">
            <v>38</v>
          </cell>
          <cell r="Q918">
            <v>23</v>
          </cell>
          <cell r="R918">
            <v>18</v>
          </cell>
          <cell r="S918">
            <v>15</v>
          </cell>
          <cell r="T918">
            <v>29</v>
          </cell>
          <cell r="U918">
            <v>2</v>
          </cell>
          <cell r="V918">
            <v>8</v>
          </cell>
          <cell r="W918">
            <v>15</v>
          </cell>
          <cell r="X918">
            <v>25</v>
          </cell>
          <cell r="Y918">
            <v>22</v>
          </cell>
          <cell r="Z918">
            <v>6</v>
          </cell>
          <cell r="AA918">
            <v>23</v>
          </cell>
          <cell r="AB918">
            <v>21</v>
          </cell>
          <cell r="AC918">
            <v>16</v>
          </cell>
          <cell r="AD918">
            <v>19</v>
          </cell>
          <cell r="AE918">
            <v>130</v>
          </cell>
          <cell r="AF918">
            <v>127</v>
          </cell>
          <cell r="AG918">
            <v>120</v>
          </cell>
          <cell r="AH918">
            <v>120</v>
          </cell>
          <cell r="AI918">
            <v>123</v>
          </cell>
          <cell r="AJ918">
            <v>123</v>
          </cell>
        </row>
        <row r="919">
          <cell r="E919" t="str">
            <v>NH Commercial Ethanol</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1</v>
          </cell>
          <cell r="V919">
            <v>22</v>
          </cell>
          <cell r="W919">
            <v>10</v>
          </cell>
          <cell r="X919">
            <v>13</v>
          </cell>
          <cell r="Y919">
            <v>12</v>
          </cell>
          <cell r="Z919">
            <v>19</v>
          </cell>
          <cell r="AA919">
            <v>18</v>
          </cell>
          <cell r="AB919">
            <v>19</v>
          </cell>
          <cell r="AC919">
            <v>20</v>
          </cell>
          <cell r="AD919">
            <v>20</v>
          </cell>
          <cell r="AE919">
            <v>123</v>
          </cell>
          <cell r="AF919">
            <v>126</v>
          </cell>
          <cell r="AG919">
            <v>113</v>
          </cell>
          <cell r="AH919">
            <v>114</v>
          </cell>
          <cell r="AI919">
            <v>117</v>
          </cell>
          <cell r="AJ919">
            <v>118</v>
          </cell>
        </row>
        <row r="920">
          <cell r="E920" t="str">
            <v>NJ Commercial Ethanol</v>
          </cell>
          <cell r="F920">
            <v>0</v>
          </cell>
          <cell r="G920">
            <v>0</v>
          </cell>
          <cell r="H920">
            <v>0</v>
          </cell>
          <cell r="I920">
            <v>0</v>
          </cell>
          <cell r="J920">
            <v>0</v>
          </cell>
          <cell r="K920">
            <v>1</v>
          </cell>
          <cell r="L920">
            <v>1</v>
          </cell>
          <cell r="M920">
            <v>1</v>
          </cell>
          <cell r="N920">
            <v>1</v>
          </cell>
          <cell r="O920">
            <v>1</v>
          </cell>
          <cell r="P920">
            <v>1</v>
          </cell>
          <cell r="Q920">
            <v>1</v>
          </cell>
          <cell r="R920">
            <v>0</v>
          </cell>
          <cell r="S920">
            <v>0</v>
          </cell>
          <cell r="T920">
            <v>0</v>
          </cell>
          <cell r="U920">
            <v>7</v>
          </cell>
          <cell r="V920">
            <v>17</v>
          </cell>
          <cell r="W920">
            <v>23</v>
          </cell>
          <cell r="X920">
            <v>20</v>
          </cell>
          <cell r="Y920">
            <v>22</v>
          </cell>
          <cell r="Z920">
            <v>25</v>
          </cell>
          <cell r="AA920">
            <v>23</v>
          </cell>
          <cell r="AB920">
            <v>23</v>
          </cell>
          <cell r="AC920">
            <v>26</v>
          </cell>
          <cell r="AD920">
            <v>53</v>
          </cell>
          <cell r="AE920">
            <v>779</v>
          </cell>
          <cell r="AF920">
            <v>783</v>
          </cell>
          <cell r="AG920">
            <v>783</v>
          </cell>
          <cell r="AH920">
            <v>784</v>
          </cell>
          <cell r="AI920">
            <v>803</v>
          </cell>
          <cell r="AJ920">
            <v>816</v>
          </cell>
        </row>
        <row r="921">
          <cell r="E921" t="str">
            <v>NM Commercial Ethanol</v>
          </cell>
          <cell r="F921">
            <v>9</v>
          </cell>
          <cell r="G921">
            <v>7</v>
          </cell>
          <cell r="H921">
            <v>5</v>
          </cell>
          <cell r="I921">
            <v>0</v>
          </cell>
          <cell r="J921">
            <v>0</v>
          </cell>
          <cell r="K921">
            <v>1</v>
          </cell>
          <cell r="L921">
            <v>1</v>
          </cell>
          <cell r="M921">
            <v>1</v>
          </cell>
          <cell r="N921">
            <v>2</v>
          </cell>
          <cell r="O921">
            <v>2</v>
          </cell>
          <cell r="P921">
            <v>2</v>
          </cell>
          <cell r="Q921">
            <v>1</v>
          </cell>
          <cell r="R921">
            <v>10</v>
          </cell>
          <cell r="S921">
            <v>12</v>
          </cell>
          <cell r="T921">
            <v>2</v>
          </cell>
          <cell r="U921">
            <v>1</v>
          </cell>
          <cell r="V921">
            <v>1</v>
          </cell>
          <cell r="W921">
            <v>1</v>
          </cell>
          <cell r="X921">
            <v>3</v>
          </cell>
          <cell r="Y921">
            <v>4</v>
          </cell>
          <cell r="Z921">
            <v>7</v>
          </cell>
          <cell r="AA921">
            <v>8</v>
          </cell>
          <cell r="AB921">
            <v>8</v>
          </cell>
          <cell r="AC921">
            <v>7</v>
          </cell>
          <cell r="AD921">
            <v>6</v>
          </cell>
          <cell r="AE921">
            <v>138</v>
          </cell>
          <cell r="AF921">
            <v>137</v>
          </cell>
          <cell r="AG921">
            <v>140</v>
          </cell>
          <cell r="AH921">
            <v>129</v>
          </cell>
          <cell r="AI921">
            <v>143</v>
          </cell>
          <cell r="AJ921">
            <v>146</v>
          </cell>
        </row>
        <row r="922">
          <cell r="E922" t="str">
            <v>NV Commercial Ethanol</v>
          </cell>
          <cell r="F922">
            <v>2</v>
          </cell>
          <cell r="G922">
            <v>3</v>
          </cell>
          <cell r="H922">
            <v>3</v>
          </cell>
          <cell r="I922">
            <v>1</v>
          </cell>
          <cell r="J922">
            <v>0</v>
          </cell>
          <cell r="K922">
            <v>1</v>
          </cell>
          <cell r="L922">
            <v>0</v>
          </cell>
          <cell r="M922">
            <v>0</v>
          </cell>
          <cell r="N922">
            <v>1</v>
          </cell>
          <cell r="O922">
            <v>1</v>
          </cell>
          <cell r="P922">
            <v>1</v>
          </cell>
          <cell r="Q922">
            <v>2</v>
          </cell>
          <cell r="R922">
            <v>2</v>
          </cell>
          <cell r="S922">
            <v>2</v>
          </cell>
          <cell r="T922">
            <v>2</v>
          </cell>
          <cell r="U922">
            <v>2</v>
          </cell>
          <cell r="V922">
            <v>2</v>
          </cell>
          <cell r="W922">
            <v>3</v>
          </cell>
          <cell r="X922">
            <v>7</v>
          </cell>
          <cell r="Y922">
            <v>5</v>
          </cell>
          <cell r="Z922">
            <v>5</v>
          </cell>
          <cell r="AA922">
            <v>5</v>
          </cell>
          <cell r="AB922">
            <v>5</v>
          </cell>
          <cell r="AC922">
            <v>8</v>
          </cell>
          <cell r="AD922">
            <v>5</v>
          </cell>
          <cell r="AE922">
            <v>301</v>
          </cell>
          <cell r="AF922">
            <v>304</v>
          </cell>
          <cell r="AG922">
            <v>307</v>
          </cell>
          <cell r="AH922">
            <v>310</v>
          </cell>
          <cell r="AI922">
            <v>318</v>
          </cell>
          <cell r="AJ922">
            <v>323</v>
          </cell>
        </row>
        <row r="923">
          <cell r="E923" t="str">
            <v>NY Commercial Ethanol</v>
          </cell>
          <cell r="F923">
            <v>0</v>
          </cell>
          <cell r="G923">
            <v>0</v>
          </cell>
          <cell r="H923">
            <v>0</v>
          </cell>
          <cell r="I923">
            <v>0</v>
          </cell>
          <cell r="J923">
            <v>1</v>
          </cell>
          <cell r="K923">
            <v>4</v>
          </cell>
          <cell r="L923">
            <v>3</v>
          </cell>
          <cell r="M923">
            <v>3</v>
          </cell>
          <cell r="N923">
            <v>2</v>
          </cell>
          <cell r="O923">
            <v>2</v>
          </cell>
          <cell r="P923">
            <v>2</v>
          </cell>
          <cell r="Q923">
            <v>1</v>
          </cell>
          <cell r="R923">
            <v>2</v>
          </cell>
          <cell r="S923">
            <v>4</v>
          </cell>
          <cell r="T923">
            <v>35</v>
          </cell>
          <cell r="U923">
            <v>14</v>
          </cell>
          <cell r="V923">
            <v>43</v>
          </cell>
          <cell r="W923">
            <v>50</v>
          </cell>
          <cell r="X923">
            <v>53</v>
          </cell>
          <cell r="Y923">
            <v>65</v>
          </cell>
          <cell r="Z923">
            <v>61</v>
          </cell>
          <cell r="AA923">
            <v>63</v>
          </cell>
          <cell r="AB923">
            <v>60</v>
          </cell>
          <cell r="AC923">
            <v>66</v>
          </cell>
          <cell r="AD923">
            <v>67</v>
          </cell>
          <cell r="AE923">
            <v>1068</v>
          </cell>
          <cell r="AF923">
            <v>1066</v>
          </cell>
          <cell r="AG923">
            <v>1079</v>
          </cell>
          <cell r="AH923">
            <v>1086</v>
          </cell>
          <cell r="AI923">
            <v>1103</v>
          </cell>
          <cell r="AJ923">
            <v>1115</v>
          </cell>
        </row>
        <row r="924">
          <cell r="E924" t="str">
            <v>OH Commercial Ethanol</v>
          </cell>
          <cell r="F924">
            <v>84</v>
          </cell>
          <cell r="G924">
            <v>78</v>
          </cell>
          <cell r="H924">
            <v>71</v>
          </cell>
          <cell r="I924">
            <v>56</v>
          </cell>
          <cell r="J924">
            <v>75</v>
          </cell>
          <cell r="K924">
            <v>67</v>
          </cell>
          <cell r="L924">
            <v>22</v>
          </cell>
          <cell r="M924">
            <v>211</v>
          </cell>
          <cell r="N924">
            <v>116</v>
          </cell>
          <cell r="O924">
            <v>28</v>
          </cell>
          <cell r="P924">
            <v>85</v>
          </cell>
          <cell r="Q924">
            <v>30</v>
          </cell>
          <cell r="R924">
            <v>55</v>
          </cell>
          <cell r="S924">
            <v>27</v>
          </cell>
          <cell r="T924">
            <v>23</v>
          </cell>
          <cell r="U924">
            <v>42</v>
          </cell>
          <cell r="V924">
            <v>75</v>
          </cell>
          <cell r="W924">
            <v>95</v>
          </cell>
          <cell r="X924">
            <v>111</v>
          </cell>
          <cell r="Y924">
            <v>105</v>
          </cell>
          <cell r="Z924">
            <v>87</v>
          </cell>
          <cell r="AA924">
            <v>32</v>
          </cell>
          <cell r="AB924">
            <v>34</v>
          </cell>
          <cell r="AC924">
            <v>36</v>
          </cell>
          <cell r="AD924">
            <v>34</v>
          </cell>
          <cell r="AE924">
            <v>994</v>
          </cell>
          <cell r="AF924">
            <v>998</v>
          </cell>
          <cell r="AG924">
            <v>1030</v>
          </cell>
          <cell r="AH924">
            <v>1035</v>
          </cell>
          <cell r="AI924">
            <v>1062</v>
          </cell>
          <cell r="AJ924">
            <v>1103</v>
          </cell>
        </row>
        <row r="925">
          <cell r="E925" t="str">
            <v>OK Commercial Ethanol</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11</v>
          </cell>
          <cell r="V925">
            <v>10</v>
          </cell>
          <cell r="W925">
            <v>34</v>
          </cell>
          <cell r="X925">
            <v>58</v>
          </cell>
          <cell r="Y925">
            <v>47</v>
          </cell>
          <cell r="Z925">
            <v>44</v>
          </cell>
          <cell r="AA925">
            <v>43</v>
          </cell>
          <cell r="AB925">
            <v>46</v>
          </cell>
          <cell r="AC925">
            <v>49</v>
          </cell>
          <cell r="AD925">
            <v>48</v>
          </cell>
          <cell r="AE925">
            <v>318</v>
          </cell>
          <cell r="AF925">
            <v>311</v>
          </cell>
          <cell r="AG925">
            <v>288</v>
          </cell>
          <cell r="AH925">
            <v>290</v>
          </cell>
          <cell r="AI925">
            <v>296</v>
          </cell>
          <cell r="AJ925">
            <v>298</v>
          </cell>
        </row>
        <row r="926">
          <cell r="E926" t="str">
            <v>OR Commercial Ethanol</v>
          </cell>
          <cell r="F926">
            <v>0</v>
          </cell>
          <cell r="G926">
            <v>0</v>
          </cell>
          <cell r="H926">
            <v>9</v>
          </cell>
          <cell r="I926">
            <v>3</v>
          </cell>
          <cell r="J926">
            <v>0</v>
          </cell>
          <cell r="K926">
            <v>0</v>
          </cell>
          <cell r="L926">
            <v>0</v>
          </cell>
          <cell r="M926">
            <v>0</v>
          </cell>
          <cell r="N926">
            <v>1</v>
          </cell>
          <cell r="O926">
            <v>1</v>
          </cell>
          <cell r="P926">
            <v>1</v>
          </cell>
          <cell r="Q926">
            <v>1</v>
          </cell>
          <cell r="R926">
            <v>2</v>
          </cell>
          <cell r="S926">
            <v>2</v>
          </cell>
          <cell r="T926">
            <v>2</v>
          </cell>
          <cell r="U926">
            <v>3</v>
          </cell>
          <cell r="V926">
            <v>8</v>
          </cell>
          <cell r="W926">
            <v>5</v>
          </cell>
          <cell r="X926">
            <v>9</v>
          </cell>
          <cell r="Y926">
            <v>10</v>
          </cell>
          <cell r="Z926">
            <v>9</v>
          </cell>
          <cell r="AA926">
            <v>9</v>
          </cell>
          <cell r="AB926">
            <v>9</v>
          </cell>
          <cell r="AC926">
            <v>9</v>
          </cell>
          <cell r="AD926">
            <v>10</v>
          </cell>
          <cell r="AE926">
            <v>320</v>
          </cell>
          <cell r="AF926">
            <v>330</v>
          </cell>
          <cell r="AG926">
            <v>339</v>
          </cell>
          <cell r="AH926">
            <v>343</v>
          </cell>
          <cell r="AI926">
            <v>353</v>
          </cell>
          <cell r="AJ926">
            <v>357</v>
          </cell>
        </row>
        <row r="927">
          <cell r="E927" t="str">
            <v>PA Commercial Ethanol</v>
          </cell>
          <cell r="F927">
            <v>0</v>
          </cell>
          <cell r="G927">
            <v>0</v>
          </cell>
          <cell r="H927">
            <v>0</v>
          </cell>
          <cell r="I927">
            <v>1</v>
          </cell>
          <cell r="J927">
            <v>2</v>
          </cell>
          <cell r="K927">
            <v>5</v>
          </cell>
          <cell r="L927">
            <v>3</v>
          </cell>
          <cell r="M927">
            <v>12</v>
          </cell>
          <cell r="N927">
            <v>9</v>
          </cell>
          <cell r="O927">
            <v>2</v>
          </cell>
          <cell r="P927">
            <v>1</v>
          </cell>
          <cell r="Q927">
            <v>1</v>
          </cell>
          <cell r="R927">
            <v>1</v>
          </cell>
          <cell r="S927">
            <v>1</v>
          </cell>
          <cell r="T927">
            <v>7</v>
          </cell>
          <cell r="U927">
            <v>3</v>
          </cell>
          <cell r="V927">
            <v>8</v>
          </cell>
          <cell r="W927">
            <v>10</v>
          </cell>
          <cell r="X927">
            <v>23</v>
          </cell>
          <cell r="Y927">
            <v>28</v>
          </cell>
          <cell r="Z927">
            <v>29</v>
          </cell>
          <cell r="AA927">
            <v>30</v>
          </cell>
          <cell r="AB927">
            <v>30</v>
          </cell>
          <cell r="AC927">
            <v>31</v>
          </cell>
          <cell r="AD927">
            <v>30</v>
          </cell>
          <cell r="AE927">
            <v>922</v>
          </cell>
          <cell r="AF927">
            <v>941</v>
          </cell>
          <cell r="AG927">
            <v>974</v>
          </cell>
          <cell r="AH927">
            <v>1010</v>
          </cell>
          <cell r="AI927">
            <v>1018</v>
          </cell>
          <cell r="AJ927">
            <v>1023</v>
          </cell>
        </row>
        <row r="928">
          <cell r="E928" t="str">
            <v>RI Commercial Ethanol</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1</v>
          </cell>
          <cell r="U928">
            <v>1</v>
          </cell>
          <cell r="V928">
            <v>3</v>
          </cell>
          <cell r="W928">
            <v>4</v>
          </cell>
          <cell r="X928">
            <v>3</v>
          </cell>
          <cell r="Y928">
            <v>4</v>
          </cell>
          <cell r="Z928">
            <v>4</v>
          </cell>
          <cell r="AA928">
            <v>4</v>
          </cell>
          <cell r="AB928">
            <v>3</v>
          </cell>
          <cell r="AC928">
            <v>4</v>
          </cell>
          <cell r="AD928">
            <v>4</v>
          </cell>
          <cell r="AE928">
            <v>72</v>
          </cell>
          <cell r="AF928">
            <v>72</v>
          </cell>
          <cell r="AG928">
            <v>74</v>
          </cell>
          <cell r="AH928">
            <v>75</v>
          </cell>
          <cell r="AI928">
            <v>77</v>
          </cell>
          <cell r="AJ928">
            <v>78</v>
          </cell>
        </row>
        <row r="929">
          <cell r="E929" t="str">
            <v>SC Commercial Ethanol</v>
          </cell>
          <cell r="F929">
            <v>3</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1</v>
          </cell>
          <cell r="V929">
            <v>1</v>
          </cell>
          <cell r="W929">
            <v>2</v>
          </cell>
          <cell r="X929">
            <v>8</v>
          </cell>
          <cell r="Y929">
            <v>10</v>
          </cell>
          <cell r="Z929">
            <v>10</v>
          </cell>
          <cell r="AA929">
            <v>11</v>
          </cell>
          <cell r="AB929">
            <v>11</v>
          </cell>
          <cell r="AC929">
            <v>12</v>
          </cell>
          <cell r="AD929">
            <v>11</v>
          </cell>
          <cell r="AE929">
            <v>374</v>
          </cell>
          <cell r="AF929">
            <v>400</v>
          </cell>
          <cell r="AG929">
            <v>416</v>
          </cell>
          <cell r="AH929">
            <v>451</v>
          </cell>
          <cell r="AI929">
            <v>449</v>
          </cell>
          <cell r="AJ929">
            <v>448</v>
          </cell>
        </row>
        <row r="930">
          <cell r="E930" t="str">
            <v>SD Commercial Ethanol</v>
          </cell>
          <cell r="F930">
            <v>4</v>
          </cell>
          <cell r="G930">
            <v>7</v>
          </cell>
          <cell r="H930">
            <v>9</v>
          </cell>
          <cell r="I930">
            <v>2</v>
          </cell>
          <cell r="J930">
            <v>2</v>
          </cell>
          <cell r="K930">
            <v>2</v>
          </cell>
          <cell r="L930">
            <v>1</v>
          </cell>
          <cell r="M930">
            <v>1</v>
          </cell>
          <cell r="N930">
            <v>2</v>
          </cell>
          <cell r="O930">
            <v>2</v>
          </cell>
          <cell r="P930">
            <v>2</v>
          </cell>
          <cell r="Q930">
            <v>5</v>
          </cell>
          <cell r="R930">
            <v>5</v>
          </cell>
          <cell r="S930">
            <v>2</v>
          </cell>
          <cell r="T930">
            <v>2</v>
          </cell>
          <cell r="U930">
            <v>3</v>
          </cell>
          <cell r="V930">
            <v>3</v>
          </cell>
          <cell r="W930">
            <v>3</v>
          </cell>
          <cell r="X930">
            <v>4</v>
          </cell>
          <cell r="Y930">
            <v>4</v>
          </cell>
          <cell r="Z930">
            <v>4</v>
          </cell>
          <cell r="AA930">
            <v>4</v>
          </cell>
          <cell r="AB930">
            <v>4</v>
          </cell>
          <cell r="AC930">
            <v>4</v>
          </cell>
          <cell r="AD930">
            <v>4</v>
          </cell>
          <cell r="AE930">
            <v>47</v>
          </cell>
          <cell r="AF930">
            <v>47</v>
          </cell>
          <cell r="AG930">
            <v>48</v>
          </cell>
          <cell r="AH930">
            <v>48</v>
          </cell>
          <cell r="AI930">
            <v>49</v>
          </cell>
          <cell r="AJ930">
            <v>49</v>
          </cell>
        </row>
        <row r="931">
          <cell r="E931" t="str">
            <v>TN Commercial Ethanol</v>
          </cell>
          <cell r="F931">
            <v>16</v>
          </cell>
          <cell r="G931">
            <v>11</v>
          </cell>
          <cell r="H931">
            <v>11</v>
          </cell>
          <cell r="I931">
            <v>7</v>
          </cell>
          <cell r="J931">
            <v>2</v>
          </cell>
          <cell r="K931">
            <v>1</v>
          </cell>
          <cell r="L931">
            <v>0</v>
          </cell>
          <cell r="M931">
            <v>0</v>
          </cell>
          <cell r="N931">
            <v>0</v>
          </cell>
          <cell r="O931">
            <v>0</v>
          </cell>
          <cell r="P931">
            <v>0</v>
          </cell>
          <cell r="Q931">
            <v>0</v>
          </cell>
          <cell r="R931">
            <v>0</v>
          </cell>
          <cell r="S931">
            <v>0</v>
          </cell>
          <cell r="T931">
            <v>0</v>
          </cell>
          <cell r="U931">
            <v>9</v>
          </cell>
          <cell r="V931">
            <v>9</v>
          </cell>
          <cell r="W931">
            <v>12</v>
          </cell>
          <cell r="X931">
            <v>16</v>
          </cell>
          <cell r="Y931">
            <v>19</v>
          </cell>
          <cell r="Z931">
            <v>17</v>
          </cell>
          <cell r="AA931">
            <v>18</v>
          </cell>
          <cell r="AB931">
            <v>19</v>
          </cell>
          <cell r="AC931">
            <v>20</v>
          </cell>
          <cell r="AD931">
            <v>19</v>
          </cell>
          <cell r="AE931">
            <v>439</v>
          </cell>
          <cell r="AF931">
            <v>443</v>
          </cell>
          <cell r="AG931">
            <v>456</v>
          </cell>
          <cell r="AH931">
            <v>459</v>
          </cell>
          <cell r="AI931">
            <v>474</v>
          </cell>
          <cell r="AJ931">
            <v>488</v>
          </cell>
        </row>
        <row r="932">
          <cell r="E932" t="str">
            <v>TX Commercial Ethanol</v>
          </cell>
          <cell r="F932">
            <v>23</v>
          </cell>
          <cell r="G932">
            <v>16</v>
          </cell>
          <cell r="H932">
            <v>16</v>
          </cell>
          <cell r="I932">
            <v>0</v>
          </cell>
          <cell r="J932">
            <v>1</v>
          </cell>
          <cell r="K932">
            <v>3</v>
          </cell>
          <cell r="L932">
            <v>1</v>
          </cell>
          <cell r="M932">
            <v>3</v>
          </cell>
          <cell r="N932">
            <v>4</v>
          </cell>
          <cell r="O932">
            <v>3</v>
          </cell>
          <cell r="P932">
            <v>4</v>
          </cell>
          <cell r="Q932">
            <v>4</v>
          </cell>
          <cell r="R932">
            <v>2</v>
          </cell>
          <cell r="S932">
            <v>1</v>
          </cell>
          <cell r="T932">
            <v>1</v>
          </cell>
          <cell r="U932">
            <v>1</v>
          </cell>
          <cell r="V932">
            <v>25</v>
          </cell>
          <cell r="W932">
            <v>69</v>
          </cell>
          <cell r="X932">
            <v>80</v>
          </cell>
          <cell r="Y932">
            <v>72</v>
          </cell>
          <cell r="Z932">
            <v>96</v>
          </cell>
          <cell r="AA932">
            <v>106</v>
          </cell>
          <cell r="AB932">
            <v>99</v>
          </cell>
          <cell r="AC932">
            <v>100</v>
          </cell>
          <cell r="AD932">
            <v>102</v>
          </cell>
          <cell r="AE932">
            <v>1710</v>
          </cell>
          <cell r="AF932">
            <v>1828</v>
          </cell>
          <cell r="AG932">
            <v>1817</v>
          </cell>
          <cell r="AH932">
            <v>1825</v>
          </cell>
          <cell r="AI932">
            <v>1873</v>
          </cell>
          <cell r="AJ932">
            <v>1897</v>
          </cell>
        </row>
        <row r="933">
          <cell r="E933" t="str">
            <v>US Commercial Ethanol</v>
          </cell>
          <cell r="F933">
            <v>506</v>
          </cell>
          <cell r="G933">
            <v>483</v>
          </cell>
          <cell r="H933">
            <v>480</v>
          </cell>
          <cell r="I933">
            <v>293</v>
          </cell>
          <cell r="J933">
            <v>218</v>
          </cell>
          <cell r="K933">
            <v>176</v>
          </cell>
          <cell r="L933">
            <v>206</v>
          </cell>
          <cell r="M933">
            <v>672</v>
          </cell>
          <cell r="N933">
            <v>618</v>
          </cell>
          <cell r="O933">
            <v>259</v>
          </cell>
          <cell r="P933">
            <v>402</v>
          </cell>
          <cell r="Q933">
            <v>420</v>
          </cell>
          <cell r="R933">
            <v>540</v>
          </cell>
          <cell r="S933">
            <v>1088</v>
          </cell>
          <cell r="T933">
            <v>903</v>
          </cell>
          <cell r="U933">
            <v>586</v>
          </cell>
          <cell r="V933">
            <v>1109</v>
          </cell>
          <cell r="W933">
            <v>1349</v>
          </cell>
          <cell r="X933">
            <v>2099</v>
          </cell>
          <cell r="Y933">
            <v>2802</v>
          </cell>
          <cell r="Z933">
            <v>3259</v>
          </cell>
          <cell r="AA933">
            <v>2863</v>
          </cell>
          <cell r="AB933">
            <v>2552</v>
          </cell>
          <cell r="AC933">
            <v>2639</v>
          </cell>
          <cell r="AD933">
            <v>3706</v>
          </cell>
          <cell r="AE933">
            <v>25701</v>
          </cell>
          <cell r="AF933">
            <v>25772</v>
          </cell>
          <cell r="AG933">
            <v>25129</v>
          </cell>
          <cell r="AH933">
            <v>25495</v>
          </cell>
          <cell r="AI933">
            <v>25962</v>
          </cell>
          <cell r="AJ933">
            <v>26261</v>
          </cell>
        </row>
        <row r="934">
          <cell r="E934" t="str">
            <v>UT Commercial Ethanol</v>
          </cell>
          <cell r="F934">
            <v>0</v>
          </cell>
          <cell r="G934">
            <v>0</v>
          </cell>
          <cell r="H934">
            <v>0</v>
          </cell>
          <cell r="I934">
            <v>0</v>
          </cell>
          <cell r="J934">
            <v>0</v>
          </cell>
          <cell r="K934">
            <v>0</v>
          </cell>
          <cell r="L934">
            <v>0</v>
          </cell>
          <cell r="M934">
            <v>0</v>
          </cell>
          <cell r="N934">
            <v>1</v>
          </cell>
          <cell r="O934">
            <v>1</v>
          </cell>
          <cell r="P934">
            <v>1</v>
          </cell>
          <cell r="Q934">
            <v>1</v>
          </cell>
          <cell r="R934">
            <v>0</v>
          </cell>
          <cell r="S934">
            <v>0</v>
          </cell>
          <cell r="T934">
            <v>0</v>
          </cell>
          <cell r="U934">
            <v>2</v>
          </cell>
          <cell r="V934">
            <v>2</v>
          </cell>
          <cell r="W934">
            <v>3</v>
          </cell>
          <cell r="X934">
            <v>4</v>
          </cell>
          <cell r="Y934">
            <v>4</v>
          </cell>
          <cell r="Z934">
            <v>5</v>
          </cell>
          <cell r="AA934">
            <v>7</v>
          </cell>
          <cell r="AB934">
            <v>7</v>
          </cell>
          <cell r="AC934">
            <v>8</v>
          </cell>
          <cell r="AD934">
            <v>7</v>
          </cell>
          <cell r="AE934">
            <v>140</v>
          </cell>
          <cell r="AF934">
            <v>151</v>
          </cell>
          <cell r="AG934">
            <v>154</v>
          </cell>
          <cell r="AH934">
            <v>156</v>
          </cell>
          <cell r="AI934">
            <v>160</v>
          </cell>
          <cell r="AJ934">
            <v>162</v>
          </cell>
        </row>
        <row r="935">
          <cell r="E935" t="str">
            <v>VA Commercial Ethanol</v>
          </cell>
          <cell r="F935">
            <v>9</v>
          </cell>
          <cell r="G935">
            <v>6</v>
          </cell>
          <cell r="H935">
            <v>5</v>
          </cell>
          <cell r="I935">
            <v>0</v>
          </cell>
          <cell r="J935">
            <v>2</v>
          </cell>
          <cell r="K935">
            <v>0</v>
          </cell>
          <cell r="L935">
            <v>5</v>
          </cell>
          <cell r="M935">
            <v>4</v>
          </cell>
          <cell r="N935">
            <v>5</v>
          </cell>
          <cell r="O935">
            <v>5</v>
          </cell>
          <cell r="P935">
            <v>4</v>
          </cell>
          <cell r="Q935">
            <v>4</v>
          </cell>
          <cell r="R935">
            <v>7</v>
          </cell>
          <cell r="S935">
            <v>9</v>
          </cell>
          <cell r="T935">
            <v>9</v>
          </cell>
          <cell r="U935">
            <v>7</v>
          </cell>
          <cell r="V935">
            <v>15</v>
          </cell>
          <cell r="W935">
            <v>22</v>
          </cell>
          <cell r="X935">
            <v>25</v>
          </cell>
          <cell r="Y935">
            <v>31</v>
          </cell>
          <cell r="Z935">
            <v>28</v>
          </cell>
          <cell r="AA935">
            <v>36</v>
          </cell>
          <cell r="AB935">
            <v>33</v>
          </cell>
          <cell r="AC935">
            <v>32</v>
          </cell>
          <cell r="AD935">
            <v>34</v>
          </cell>
          <cell r="AE935">
            <v>766</v>
          </cell>
          <cell r="AF935">
            <v>782</v>
          </cell>
          <cell r="AG935">
            <v>794</v>
          </cell>
          <cell r="AH935">
            <v>815</v>
          </cell>
          <cell r="AI935">
            <v>826</v>
          </cell>
          <cell r="AJ935">
            <v>832</v>
          </cell>
        </row>
        <row r="936">
          <cell r="E936" t="str">
            <v>VT Commercial Ethanol</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2</v>
          </cell>
          <cell r="Y936">
            <v>2</v>
          </cell>
          <cell r="Z936">
            <v>2</v>
          </cell>
          <cell r="AA936">
            <v>2</v>
          </cell>
          <cell r="AB936">
            <v>2</v>
          </cell>
          <cell r="AC936">
            <v>2</v>
          </cell>
          <cell r="AD936">
            <v>2</v>
          </cell>
          <cell r="AE936">
            <v>42</v>
          </cell>
          <cell r="AF936">
            <v>44</v>
          </cell>
          <cell r="AG936">
            <v>45</v>
          </cell>
          <cell r="AH936">
            <v>48</v>
          </cell>
          <cell r="AI936">
            <v>49</v>
          </cell>
          <cell r="AJ936">
            <v>49</v>
          </cell>
        </row>
        <row r="937">
          <cell r="E937" t="str">
            <v>WA Commercial Ethanol</v>
          </cell>
          <cell r="F937">
            <v>4</v>
          </cell>
          <cell r="G937">
            <v>3</v>
          </cell>
          <cell r="H937">
            <v>9</v>
          </cell>
          <cell r="I937">
            <v>6</v>
          </cell>
          <cell r="J937">
            <v>7</v>
          </cell>
          <cell r="K937">
            <v>3</v>
          </cell>
          <cell r="L937">
            <v>1</v>
          </cell>
          <cell r="M937">
            <v>2</v>
          </cell>
          <cell r="N937">
            <v>3</v>
          </cell>
          <cell r="O937">
            <v>12</v>
          </cell>
          <cell r="P937">
            <v>12</v>
          </cell>
          <cell r="Q937">
            <v>5</v>
          </cell>
          <cell r="R937">
            <v>17</v>
          </cell>
          <cell r="S937">
            <v>7</v>
          </cell>
          <cell r="T937">
            <v>2</v>
          </cell>
          <cell r="U937">
            <v>15</v>
          </cell>
          <cell r="V937">
            <v>17</v>
          </cell>
          <cell r="W937">
            <v>26</v>
          </cell>
          <cell r="X937">
            <v>45</v>
          </cell>
          <cell r="Y937">
            <v>45</v>
          </cell>
          <cell r="Z937">
            <v>27</v>
          </cell>
          <cell r="AA937">
            <v>30</v>
          </cell>
          <cell r="AB937">
            <v>40</v>
          </cell>
          <cell r="AC937">
            <v>47</v>
          </cell>
          <cell r="AD937">
            <v>43</v>
          </cell>
          <cell r="AE937">
            <v>574</v>
          </cell>
          <cell r="AF937">
            <v>650</v>
          </cell>
          <cell r="AG937">
            <v>564</v>
          </cell>
          <cell r="AH937">
            <v>573</v>
          </cell>
          <cell r="AI937">
            <v>584</v>
          </cell>
          <cell r="AJ937">
            <v>592</v>
          </cell>
        </row>
        <row r="938">
          <cell r="E938" t="str">
            <v>WI Commercial Ethanol</v>
          </cell>
          <cell r="F938">
            <v>4</v>
          </cell>
          <cell r="G938">
            <v>8</v>
          </cell>
          <cell r="H938">
            <v>6</v>
          </cell>
          <cell r="I938">
            <v>1</v>
          </cell>
          <cell r="J938">
            <v>2</v>
          </cell>
          <cell r="K938">
            <v>3</v>
          </cell>
          <cell r="L938">
            <v>7</v>
          </cell>
          <cell r="M938">
            <v>5</v>
          </cell>
          <cell r="N938">
            <v>3</v>
          </cell>
          <cell r="O938">
            <v>3</v>
          </cell>
          <cell r="P938">
            <v>4</v>
          </cell>
          <cell r="Q938">
            <v>9</v>
          </cell>
          <cell r="R938">
            <v>15</v>
          </cell>
          <cell r="S938">
            <v>12</v>
          </cell>
          <cell r="T938">
            <v>12</v>
          </cell>
          <cell r="U938">
            <v>20</v>
          </cell>
          <cell r="V938">
            <v>12</v>
          </cell>
          <cell r="W938">
            <v>14</v>
          </cell>
          <cell r="X938">
            <v>18</v>
          </cell>
          <cell r="Y938">
            <v>18</v>
          </cell>
          <cell r="Z938">
            <v>20</v>
          </cell>
          <cell r="AA938">
            <v>19</v>
          </cell>
          <cell r="AB938">
            <v>19</v>
          </cell>
          <cell r="AC938">
            <v>20</v>
          </cell>
          <cell r="AD938">
            <v>19</v>
          </cell>
          <cell r="AE938">
            <v>417</v>
          </cell>
          <cell r="AF938">
            <v>417</v>
          </cell>
          <cell r="AG938">
            <v>425</v>
          </cell>
          <cell r="AH938">
            <v>424</v>
          </cell>
          <cell r="AI938">
            <v>432</v>
          </cell>
          <cell r="AJ938">
            <v>438</v>
          </cell>
        </row>
        <row r="939">
          <cell r="E939" t="str">
            <v>WV Commercial Ethanol</v>
          </cell>
          <cell r="F939">
            <v>0</v>
          </cell>
          <cell r="G939">
            <v>0</v>
          </cell>
          <cell r="H939">
            <v>4</v>
          </cell>
          <cell r="I939">
            <v>0</v>
          </cell>
          <cell r="J939">
            <v>0</v>
          </cell>
          <cell r="K939">
            <v>0</v>
          </cell>
          <cell r="L939">
            <v>0</v>
          </cell>
          <cell r="M939">
            <v>0</v>
          </cell>
          <cell r="N939">
            <v>0</v>
          </cell>
          <cell r="O939">
            <v>0</v>
          </cell>
          <cell r="P939">
            <v>0</v>
          </cell>
          <cell r="Q939">
            <v>0</v>
          </cell>
          <cell r="R939">
            <v>1</v>
          </cell>
          <cell r="S939">
            <v>1</v>
          </cell>
          <cell r="T939">
            <v>2</v>
          </cell>
          <cell r="U939">
            <v>1</v>
          </cell>
          <cell r="V939">
            <v>1</v>
          </cell>
          <cell r="W939">
            <v>1</v>
          </cell>
          <cell r="X939">
            <v>7</v>
          </cell>
          <cell r="Y939">
            <v>8</v>
          </cell>
          <cell r="Z939">
            <v>8</v>
          </cell>
          <cell r="AA939">
            <v>9</v>
          </cell>
          <cell r="AB939">
            <v>8</v>
          </cell>
          <cell r="AC939">
            <v>9</v>
          </cell>
          <cell r="AD939">
            <v>8</v>
          </cell>
          <cell r="AE939">
            <v>116</v>
          </cell>
          <cell r="AF939">
            <v>123</v>
          </cell>
          <cell r="AG939">
            <v>123</v>
          </cell>
          <cell r="AH939">
            <v>129</v>
          </cell>
          <cell r="AI939">
            <v>129</v>
          </cell>
          <cell r="AJ939">
            <v>129</v>
          </cell>
        </row>
        <row r="940">
          <cell r="E940" t="str">
            <v>WY Commercial Ethanol</v>
          </cell>
          <cell r="F940">
            <v>1</v>
          </cell>
          <cell r="G940">
            <v>3</v>
          </cell>
          <cell r="H940">
            <v>5</v>
          </cell>
          <cell r="I940">
            <v>1</v>
          </cell>
          <cell r="J940">
            <v>1</v>
          </cell>
          <cell r="K940">
            <v>0</v>
          </cell>
          <cell r="L940">
            <v>1</v>
          </cell>
          <cell r="M940">
            <v>0</v>
          </cell>
          <cell r="N940">
            <v>0</v>
          </cell>
          <cell r="O940">
            <v>0</v>
          </cell>
          <cell r="P940">
            <v>0</v>
          </cell>
          <cell r="Q940">
            <v>0</v>
          </cell>
          <cell r="R940">
            <v>0</v>
          </cell>
          <cell r="S940">
            <v>0</v>
          </cell>
          <cell r="T940">
            <v>0</v>
          </cell>
          <cell r="U940">
            <v>21</v>
          </cell>
          <cell r="V940">
            <v>23</v>
          </cell>
          <cell r="W940">
            <v>49</v>
          </cell>
          <cell r="X940">
            <v>50</v>
          </cell>
          <cell r="Y940">
            <v>51</v>
          </cell>
          <cell r="Z940">
            <v>58</v>
          </cell>
          <cell r="AA940">
            <v>160</v>
          </cell>
          <cell r="AB940">
            <v>102</v>
          </cell>
          <cell r="AC940">
            <v>112</v>
          </cell>
          <cell r="AD940">
            <v>90</v>
          </cell>
          <cell r="AE940">
            <v>151</v>
          </cell>
          <cell r="AF940">
            <v>138</v>
          </cell>
          <cell r="AG940">
            <v>31</v>
          </cell>
          <cell r="AH940">
            <v>34</v>
          </cell>
          <cell r="AI940">
            <v>35</v>
          </cell>
          <cell r="AJ940">
            <v>35</v>
          </cell>
        </row>
        <row r="941">
          <cell r="E941" t="str">
            <v>AK Industrial Ethanol</v>
          </cell>
          <cell r="F941">
            <v>0</v>
          </cell>
          <cell r="G941">
            <v>0</v>
          </cell>
          <cell r="H941">
            <v>0</v>
          </cell>
          <cell r="I941">
            <v>0</v>
          </cell>
          <cell r="J941">
            <v>0</v>
          </cell>
          <cell r="K941">
            <v>6</v>
          </cell>
          <cell r="L941">
            <v>7</v>
          </cell>
          <cell r="M941">
            <v>5</v>
          </cell>
          <cell r="N941">
            <v>4</v>
          </cell>
          <cell r="O941">
            <v>2</v>
          </cell>
          <cell r="P941">
            <v>1</v>
          </cell>
          <cell r="Q941">
            <v>6</v>
          </cell>
          <cell r="R941">
            <v>5</v>
          </cell>
          <cell r="S941">
            <v>4</v>
          </cell>
          <cell r="T941">
            <v>7</v>
          </cell>
          <cell r="U941">
            <v>0</v>
          </cell>
          <cell r="V941">
            <v>0</v>
          </cell>
          <cell r="W941">
            <v>0</v>
          </cell>
          <cell r="X941">
            <v>0</v>
          </cell>
          <cell r="Y941">
            <v>0</v>
          </cell>
          <cell r="Z941">
            <v>0</v>
          </cell>
          <cell r="AA941">
            <v>0</v>
          </cell>
          <cell r="AB941">
            <v>0</v>
          </cell>
          <cell r="AC941">
            <v>0</v>
          </cell>
          <cell r="AD941">
            <v>39</v>
          </cell>
          <cell r="AE941">
            <v>0</v>
          </cell>
          <cell r="AF941">
            <v>0</v>
          </cell>
          <cell r="AG941">
            <v>0</v>
          </cell>
          <cell r="AH941">
            <v>0</v>
          </cell>
          <cell r="AI941">
            <v>0</v>
          </cell>
          <cell r="AJ941">
            <v>0</v>
          </cell>
        </row>
        <row r="942">
          <cell r="E942" t="str">
            <v>AL Industrial Ethanol</v>
          </cell>
          <cell r="F942">
            <v>15</v>
          </cell>
          <cell r="G942">
            <v>13</v>
          </cell>
          <cell r="H942">
            <v>22</v>
          </cell>
          <cell r="I942">
            <v>15</v>
          </cell>
          <cell r="J942">
            <v>18</v>
          </cell>
          <cell r="K942">
            <v>24</v>
          </cell>
          <cell r="L942">
            <v>4</v>
          </cell>
          <cell r="M942">
            <v>4</v>
          </cell>
          <cell r="N942">
            <v>3</v>
          </cell>
          <cell r="O942">
            <v>0</v>
          </cell>
          <cell r="P942">
            <v>0</v>
          </cell>
          <cell r="Q942">
            <v>22</v>
          </cell>
          <cell r="R942">
            <v>15</v>
          </cell>
          <cell r="S942">
            <v>24</v>
          </cell>
          <cell r="T942">
            <v>52</v>
          </cell>
          <cell r="U942">
            <v>3</v>
          </cell>
          <cell r="V942">
            <v>3</v>
          </cell>
          <cell r="W942">
            <v>8</v>
          </cell>
          <cell r="X942">
            <v>61</v>
          </cell>
          <cell r="Y942">
            <v>145</v>
          </cell>
          <cell r="Z942">
            <v>242</v>
          </cell>
          <cell r="AA942">
            <v>228</v>
          </cell>
          <cell r="AB942">
            <v>171</v>
          </cell>
          <cell r="AC942">
            <v>181</v>
          </cell>
          <cell r="AD942">
            <v>188</v>
          </cell>
          <cell r="AE942">
            <v>305</v>
          </cell>
          <cell r="AF942">
            <v>307</v>
          </cell>
          <cell r="AG942">
            <v>312</v>
          </cell>
          <cell r="AH942">
            <v>302</v>
          </cell>
          <cell r="AI942">
            <v>290</v>
          </cell>
          <cell r="AJ942">
            <v>282</v>
          </cell>
        </row>
        <row r="943">
          <cell r="E943" t="str">
            <v>AR Industrial Ethanol</v>
          </cell>
          <cell r="F943">
            <v>7</v>
          </cell>
          <cell r="G943">
            <v>5</v>
          </cell>
          <cell r="H943">
            <v>3</v>
          </cell>
          <cell r="I943">
            <v>2</v>
          </cell>
          <cell r="J943">
            <v>0</v>
          </cell>
          <cell r="K943">
            <v>0</v>
          </cell>
          <cell r="L943">
            <v>0</v>
          </cell>
          <cell r="M943">
            <v>0</v>
          </cell>
          <cell r="N943">
            <v>0</v>
          </cell>
          <cell r="O943">
            <v>0</v>
          </cell>
          <cell r="P943">
            <v>0</v>
          </cell>
          <cell r="Q943">
            <v>0</v>
          </cell>
          <cell r="R943">
            <v>0</v>
          </cell>
          <cell r="S943">
            <v>0</v>
          </cell>
          <cell r="T943">
            <v>0</v>
          </cell>
          <cell r="U943">
            <v>3</v>
          </cell>
          <cell r="V943">
            <v>3</v>
          </cell>
          <cell r="W943">
            <v>8</v>
          </cell>
          <cell r="X943">
            <v>46</v>
          </cell>
          <cell r="Y943">
            <v>118</v>
          </cell>
          <cell r="Z943">
            <v>278</v>
          </cell>
          <cell r="AA943">
            <v>274</v>
          </cell>
          <cell r="AB943">
            <v>244</v>
          </cell>
          <cell r="AC943">
            <v>271</v>
          </cell>
          <cell r="AD943">
            <v>234</v>
          </cell>
          <cell r="AE943">
            <v>260</v>
          </cell>
          <cell r="AF943">
            <v>273</v>
          </cell>
          <cell r="AG943">
            <v>276</v>
          </cell>
          <cell r="AH943">
            <v>265</v>
          </cell>
          <cell r="AI943">
            <v>251</v>
          </cell>
          <cell r="AJ943">
            <v>244</v>
          </cell>
        </row>
        <row r="944">
          <cell r="E944" t="str">
            <v>AZ Industrial Ethanol</v>
          </cell>
          <cell r="F944">
            <v>0</v>
          </cell>
          <cell r="G944">
            <v>0</v>
          </cell>
          <cell r="H944">
            <v>0</v>
          </cell>
          <cell r="I944">
            <v>2</v>
          </cell>
          <cell r="J944">
            <v>6</v>
          </cell>
          <cell r="K944">
            <v>20</v>
          </cell>
          <cell r="L944">
            <v>17</v>
          </cell>
          <cell r="M944">
            <v>18</v>
          </cell>
          <cell r="N944">
            <v>13</v>
          </cell>
          <cell r="O944">
            <v>8</v>
          </cell>
          <cell r="P944">
            <v>9</v>
          </cell>
          <cell r="Q944">
            <v>31</v>
          </cell>
          <cell r="R944">
            <v>17</v>
          </cell>
          <cell r="S944">
            <v>18</v>
          </cell>
          <cell r="T944">
            <v>20</v>
          </cell>
          <cell r="U944">
            <v>215</v>
          </cell>
          <cell r="V944">
            <v>258</v>
          </cell>
          <cell r="W944">
            <v>251</v>
          </cell>
          <cell r="X944">
            <v>315</v>
          </cell>
          <cell r="Y944">
            <v>310</v>
          </cell>
          <cell r="Z944">
            <v>274</v>
          </cell>
          <cell r="AA944">
            <v>282</v>
          </cell>
          <cell r="AB944">
            <v>294</v>
          </cell>
          <cell r="AC944">
            <v>313</v>
          </cell>
          <cell r="AD944">
            <v>319</v>
          </cell>
          <cell r="AE944">
            <v>615</v>
          </cell>
          <cell r="AF944">
            <v>623</v>
          </cell>
          <cell r="AG944">
            <v>632</v>
          </cell>
          <cell r="AH944">
            <v>632</v>
          </cell>
          <cell r="AI944">
            <v>645</v>
          </cell>
          <cell r="AJ944">
            <v>676</v>
          </cell>
        </row>
        <row r="945">
          <cell r="E945" t="str">
            <v>CA Industrial Ethanol</v>
          </cell>
          <cell r="F945">
            <v>41</v>
          </cell>
          <cell r="G945">
            <v>54</v>
          </cell>
          <cell r="H945">
            <v>6</v>
          </cell>
          <cell r="I945">
            <v>17</v>
          </cell>
          <cell r="J945">
            <v>25</v>
          </cell>
          <cell r="K945">
            <v>80</v>
          </cell>
          <cell r="L945">
            <v>64</v>
          </cell>
          <cell r="M945">
            <v>67</v>
          </cell>
          <cell r="N945">
            <v>55</v>
          </cell>
          <cell r="O945">
            <v>28</v>
          </cell>
          <cell r="P945">
            <v>32</v>
          </cell>
          <cell r="Q945">
            <v>98</v>
          </cell>
          <cell r="R945">
            <v>117</v>
          </cell>
          <cell r="S945">
            <v>681</v>
          </cell>
          <cell r="T945">
            <v>1098</v>
          </cell>
          <cell r="U945">
            <v>1121</v>
          </cell>
          <cell r="V945">
            <v>1129</v>
          </cell>
          <cell r="W945">
            <v>963</v>
          </cell>
          <cell r="X945">
            <v>907</v>
          </cell>
          <cell r="Y945">
            <v>869</v>
          </cell>
          <cell r="Z945">
            <v>2069</v>
          </cell>
          <cell r="AA945">
            <v>2034</v>
          </cell>
          <cell r="AB945">
            <v>2111</v>
          </cell>
          <cell r="AC945">
            <v>2236</v>
          </cell>
          <cell r="AD945">
            <v>1637</v>
          </cell>
          <cell r="AE945">
            <v>2157</v>
          </cell>
          <cell r="AF945">
            <v>2142</v>
          </cell>
          <cell r="AG945">
            <v>2181</v>
          </cell>
          <cell r="AH945">
            <v>2203</v>
          </cell>
          <cell r="AI945">
            <v>2233</v>
          </cell>
          <cell r="AJ945">
            <v>2256</v>
          </cell>
        </row>
        <row r="946">
          <cell r="E946" t="str">
            <v>CO Industrial Ethanol</v>
          </cell>
          <cell r="F946">
            <v>9</v>
          </cell>
          <cell r="G946">
            <v>12</v>
          </cell>
          <cell r="H946">
            <v>18</v>
          </cell>
          <cell r="I946">
            <v>28</v>
          </cell>
          <cell r="J946">
            <v>30</v>
          </cell>
          <cell r="K946">
            <v>41</v>
          </cell>
          <cell r="L946">
            <v>79</v>
          </cell>
          <cell r="M946">
            <v>82</v>
          </cell>
          <cell r="N946">
            <v>73</v>
          </cell>
          <cell r="O946">
            <v>53</v>
          </cell>
          <cell r="P946">
            <v>58</v>
          </cell>
          <cell r="Q946">
            <v>161</v>
          </cell>
          <cell r="R946">
            <v>152</v>
          </cell>
          <cell r="S946">
            <v>183</v>
          </cell>
          <cell r="T946">
            <v>186</v>
          </cell>
          <cell r="U946">
            <v>102</v>
          </cell>
          <cell r="V946">
            <v>95</v>
          </cell>
          <cell r="W946">
            <v>90</v>
          </cell>
          <cell r="X946">
            <v>94</v>
          </cell>
          <cell r="Y946">
            <v>107</v>
          </cell>
          <cell r="Z946">
            <v>192</v>
          </cell>
          <cell r="AA946">
            <v>248</v>
          </cell>
          <cell r="AB946">
            <v>244</v>
          </cell>
          <cell r="AC946">
            <v>251</v>
          </cell>
          <cell r="AD946">
            <v>212</v>
          </cell>
          <cell r="AE946">
            <v>405</v>
          </cell>
          <cell r="AF946">
            <v>434</v>
          </cell>
          <cell r="AG946">
            <v>439</v>
          </cell>
          <cell r="AH946">
            <v>451</v>
          </cell>
          <cell r="AI946">
            <v>454</v>
          </cell>
          <cell r="AJ946">
            <v>462</v>
          </cell>
        </row>
        <row r="947">
          <cell r="E947" t="str">
            <v>CT Industrial Ethanol</v>
          </cell>
          <cell r="F947">
            <v>0</v>
          </cell>
          <cell r="G947">
            <v>1</v>
          </cell>
          <cell r="H947">
            <v>3</v>
          </cell>
          <cell r="I947">
            <v>3</v>
          </cell>
          <cell r="J947">
            <v>2</v>
          </cell>
          <cell r="K947">
            <v>1</v>
          </cell>
          <cell r="L947">
            <v>2</v>
          </cell>
          <cell r="M947">
            <v>2</v>
          </cell>
          <cell r="N947">
            <v>1</v>
          </cell>
          <cell r="O947">
            <v>2</v>
          </cell>
          <cell r="P947">
            <v>2</v>
          </cell>
          <cell r="Q947">
            <v>2</v>
          </cell>
          <cell r="R947">
            <v>4</v>
          </cell>
          <cell r="S947">
            <v>24</v>
          </cell>
          <cell r="T947">
            <v>186</v>
          </cell>
          <cell r="U947">
            <v>50</v>
          </cell>
          <cell r="V947">
            <v>153</v>
          </cell>
          <cell r="W947">
            <v>142</v>
          </cell>
          <cell r="X947">
            <v>103</v>
          </cell>
          <cell r="Y947">
            <v>118</v>
          </cell>
          <cell r="Z947">
            <v>182</v>
          </cell>
          <cell r="AA947">
            <v>173</v>
          </cell>
          <cell r="AB947">
            <v>169</v>
          </cell>
          <cell r="AC947">
            <v>176</v>
          </cell>
          <cell r="AD947">
            <v>135</v>
          </cell>
          <cell r="AE947">
            <v>134</v>
          </cell>
          <cell r="AF947">
            <v>134</v>
          </cell>
          <cell r="AG947">
            <v>137</v>
          </cell>
          <cell r="AH947">
            <v>138</v>
          </cell>
          <cell r="AI947">
            <v>141</v>
          </cell>
          <cell r="AJ947">
            <v>143</v>
          </cell>
        </row>
        <row r="948">
          <cell r="E948" t="str">
            <v>DC Industrial Ethanol</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7</v>
          </cell>
          <cell r="V948">
            <v>20</v>
          </cell>
          <cell r="W948">
            <v>12</v>
          </cell>
          <cell r="X948">
            <v>13</v>
          </cell>
          <cell r="Y948">
            <v>13</v>
          </cell>
          <cell r="Z948">
            <v>12</v>
          </cell>
          <cell r="AA948">
            <v>12</v>
          </cell>
          <cell r="AB948">
            <v>12</v>
          </cell>
          <cell r="AC948">
            <v>12</v>
          </cell>
          <cell r="AD948">
            <v>16</v>
          </cell>
          <cell r="AE948">
            <v>13</v>
          </cell>
          <cell r="AF948">
            <v>13</v>
          </cell>
          <cell r="AG948">
            <v>13</v>
          </cell>
          <cell r="AH948">
            <v>13</v>
          </cell>
          <cell r="AI948">
            <v>14</v>
          </cell>
          <cell r="AJ948">
            <v>14</v>
          </cell>
        </row>
        <row r="949">
          <cell r="E949" t="str">
            <v>DE Industrial Ethanol</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9</v>
          </cell>
          <cell r="V949">
            <v>29</v>
          </cell>
          <cell r="W949">
            <v>60</v>
          </cell>
          <cell r="X949">
            <v>38</v>
          </cell>
          <cell r="Y949">
            <v>39</v>
          </cell>
          <cell r="Z949">
            <v>62</v>
          </cell>
          <cell r="AA949">
            <v>61</v>
          </cell>
          <cell r="AB949">
            <v>57</v>
          </cell>
          <cell r="AC949">
            <v>61</v>
          </cell>
          <cell r="AD949">
            <v>58</v>
          </cell>
          <cell r="AE949">
            <v>50</v>
          </cell>
          <cell r="AF949">
            <v>50</v>
          </cell>
          <cell r="AG949">
            <v>51</v>
          </cell>
          <cell r="AH949">
            <v>52</v>
          </cell>
          <cell r="AI949">
            <v>52</v>
          </cell>
          <cell r="AJ949">
            <v>52</v>
          </cell>
        </row>
        <row r="950">
          <cell r="E950" t="str">
            <v>FL Industrial Ethanol</v>
          </cell>
          <cell r="F950">
            <v>5</v>
          </cell>
          <cell r="G950">
            <v>5</v>
          </cell>
          <cell r="H950">
            <v>5</v>
          </cell>
          <cell r="I950">
            <v>3</v>
          </cell>
          <cell r="J950">
            <v>2</v>
          </cell>
          <cell r="K950">
            <v>1</v>
          </cell>
          <cell r="L950">
            <v>1</v>
          </cell>
          <cell r="M950">
            <v>1</v>
          </cell>
          <cell r="N950">
            <v>1</v>
          </cell>
          <cell r="O950">
            <v>1</v>
          </cell>
          <cell r="P950">
            <v>1</v>
          </cell>
          <cell r="Q950">
            <v>1</v>
          </cell>
          <cell r="R950">
            <v>0</v>
          </cell>
          <cell r="S950">
            <v>0</v>
          </cell>
          <cell r="T950">
            <v>0</v>
          </cell>
          <cell r="U950">
            <v>59</v>
          </cell>
          <cell r="V950">
            <v>86</v>
          </cell>
          <cell r="W950">
            <v>153</v>
          </cell>
          <cell r="X950">
            <v>816</v>
          </cell>
          <cell r="Y950">
            <v>973</v>
          </cell>
          <cell r="Z950">
            <v>618</v>
          </cell>
          <cell r="AA950">
            <v>604</v>
          </cell>
          <cell r="AB950">
            <v>662</v>
          </cell>
          <cell r="AC950">
            <v>679</v>
          </cell>
          <cell r="AD950">
            <v>688</v>
          </cell>
          <cell r="AE950">
            <v>1395</v>
          </cell>
          <cell r="AF950">
            <v>1451</v>
          </cell>
          <cell r="AG950">
            <v>1505</v>
          </cell>
          <cell r="AH950">
            <v>1608</v>
          </cell>
          <cell r="AI950">
            <v>1606</v>
          </cell>
          <cell r="AJ950">
            <v>1620</v>
          </cell>
        </row>
        <row r="951">
          <cell r="E951" t="str">
            <v>GA Industrial Ethanol</v>
          </cell>
          <cell r="F951">
            <v>11</v>
          </cell>
          <cell r="G951">
            <v>11</v>
          </cell>
          <cell r="H951">
            <v>3</v>
          </cell>
          <cell r="I951">
            <v>3</v>
          </cell>
          <cell r="J951">
            <v>1</v>
          </cell>
          <cell r="K951">
            <v>0</v>
          </cell>
          <cell r="L951">
            <v>0</v>
          </cell>
          <cell r="M951">
            <v>0</v>
          </cell>
          <cell r="N951">
            <v>0</v>
          </cell>
          <cell r="O951">
            <v>0</v>
          </cell>
          <cell r="P951">
            <v>0</v>
          </cell>
          <cell r="Q951">
            <v>0</v>
          </cell>
          <cell r="R951">
            <v>0</v>
          </cell>
          <cell r="S951">
            <v>0</v>
          </cell>
          <cell r="T951">
            <v>0</v>
          </cell>
          <cell r="U951">
            <v>53</v>
          </cell>
          <cell r="V951">
            <v>80</v>
          </cell>
          <cell r="W951">
            <v>75</v>
          </cell>
          <cell r="X951">
            <v>388</v>
          </cell>
          <cell r="Y951">
            <v>469</v>
          </cell>
          <cell r="Z951">
            <v>394</v>
          </cell>
          <cell r="AA951">
            <v>407</v>
          </cell>
          <cell r="AB951">
            <v>418</v>
          </cell>
          <cell r="AC951">
            <v>455</v>
          </cell>
          <cell r="AD951">
            <v>383</v>
          </cell>
          <cell r="AE951">
            <v>395</v>
          </cell>
          <cell r="AF951">
            <v>412</v>
          </cell>
          <cell r="AG951">
            <v>429</v>
          </cell>
          <cell r="AH951">
            <v>450</v>
          </cell>
          <cell r="AI951">
            <v>447</v>
          </cell>
          <cell r="AJ951">
            <v>450</v>
          </cell>
        </row>
        <row r="952">
          <cell r="E952" t="str">
            <v>HI Industrial Ethanol</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14</v>
          </cell>
          <cell r="V952">
            <v>17</v>
          </cell>
          <cell r="W952">
            <v>37</v>
          </cell>
          <cell r="X952">
            <v>75</v>
          </cell>
          <cell r="Y952">
            <v>79</v>
          </cell>
          <cell r="Z952">
            <v>40</v>
          </cell>
          <cell r="AA952">
            <v>43</v>
          </cell>
          <cell r="AB952">
            <v>39</v>
          </cell>
          <cell r="AC952">
            <v>39</v>
          </cell>
          <cell r="AD952">
            <v>52</v>
          </cell>
          <cell r="AE952">
            <v>102</v>
          </cell>
          <cell r="AF952">
            <v>100</v>
          </cell>
          <cell r="AG952">
            <v>103</v>
          </cell>
          <cell r="AH952">
            <v>105</v>
          </cell>
          <cell r="AI952">
            <v>107</v>
          </cell>
          <cell r="AJ952">
            <v>109</v>
          </cell>
        </row>
        <row r="953">
          <cell r="E953" t="str">
            <v>IA Industrial Ethanol</v>
          </cell>
          <cell r="F953">
            <v>104</v>
          </cell>
          <cell r="G953">
            <v>137</v>
          </cell>
          <cell r="H953">
            <v>157</v>
          </cell>
          <cell r="I953">
            <v>137</v>
          </cell>
          <cell r="J953">
            <v>210</v>
          </cell>
          <cell r="K953">
            <v>189</v>
          </cell>
          <cell r="L953">
            <v>124</v>
          </cell>
          <cell r="M953">
            <v>150</v>
          </cell>
          <cell r="N953">
            <v>147</v>
          </cell>
          <cell r="O953">
            <v>156</v>
          </cell>
          <cell r="P953">
            <v>164</v>
          </cell>
          <cell r="Q953">
            <v>264</v>
          </cell>
          <cell r="R953">
            <v>276</v>
          </cell>
          <cell r="S953">
            <v>307</v>
          </cell>
          <cell r="T953">
            <v>403</v>
          </cell>
          <cell r="U953">
            <v>117</v>
          </cell>
          <cell r="V953">
            <v>112</v>
          </cell>
          <cell r="W953">
            <v>158</v>
          </cell>
          <cell r="X953">
            <v>229</v>
          </cell>
          <cell r="Y953">
            <v>231</v>
          </cell>
          <cell r="Z953">
            <v>435</v>
          </cell>
          <cell r="AA953">
            <v>466</v>
          </cell>
          <cell r="AB953">
            <v>336</v>
          </cell>
          <cell r="AC953">
            <v>320</v>
          </cell>
          <cell r="AD953">
            <v>276</v>
          </cell>
          <cell r="AE953">
            <v>299</v>
          </cell>
          <cell r="AF953">
            <v>345</v>
          </cell>
          <cell r="AG953">
            <v>352</v>
          </cell>
          <cell r="AH953">
            <v>345</v>
          </cell>
          <cell r="AI953">
            <v>321</v>
          </cell>
          <cell r="AJ953">
            <v>325</v>
          </cell>
        </row>
        <row r="954">
          <cell r="E954" t="str">
            <v>ID Industrial Ethanol</v>
          </cell>
          <cell r="F954">
            <v>18</v>
          </cell>
          <cell r="G954">
            <v>25</v>
          </cell>
          <cell r="H954">
            <v>13</v>
          </cell>
          <cell r="I954">
            <v>2</v>
          </cell>
          <cell r="J954">
            <v>2</v>
          </cell>
          <cell r="K954">
            <v>1</v>
          </cell>
          <cell r="L954">
            <v>0</v>
          </cell>
          <cell r="M954">
            <v>0</v>
          </cell>
          <cell r="N954">
            <v>0</v>
          </cell>
          <cell r="O954">
            <v>0</v>
          </cell>
          <cell r="P954">
            <v>0</v>
          </cell>
          <cell r="Q954">
            <v>0</v>
          </cell>
          <cell r="R954">
            <v>0</v>
          </cell>
          <cell r="S954">
            <v>0</v>
          </cell>
          <cell r="T954">
            <v>0</v>
          </cell>
          <cell r="U954">
            <v>53</v>
          </cell>
          <cell r="V954">
            <v>52</v>
          </cell>
          <cell r="W954">
            <v>78</v>
          </cell>
          <cell r="X954">
            <v>91</v>
          </cell>
          <cell r="Y954">
            <v>95</v>
          </cell>
          <cell r="Z954">
            <v>120</v>
          </cell>
          <cell r="AA954">
            <v>159</v>
          </cell>
          <cell r="AB954">
            <v>152</v>
          </cell>
          <cell r="AC954">
            <v>172</v>
          </cell>
          <cell r="AD954">
            <v>153</v>
          </cell>
          <cell r="AE954">
            <v>188</v>
          </cell>
          <cell r="AF954">
            <v>207</v>
          </cell>
          <cell r="AG954">
            <v>205</v>
          </cell>
          <cell r="AH954">
            <v>209</v>
          </cell>
          <cell r="AI954">
            <v>209</v>
          </cell>
          <cell r="AJ954">
            <v>213</v>
          </cell>
        </row>
        <row r="955">
          <cell r="E955" t="str">
            <v>IL Industrial Ethanol</v>
          </cell>
          <cell r="F955">
            <v>136</v>
          </cell>
          <cell r="G955">
            <v>161</v>
          </cell>
          <cell r="H955">
            <v>165</v>
          </cell>
          <cell r="I955">
            <v>207</v>
          </cell>
          <cell r="J955">
            <v>243</v>
          </cell>
          <cell r="K955">
            <v>202</v>
          </cell>
          <cell r="L955">
            <v>143</v>
          </cell>
          <cell r="M955">
            <v>208</v>
          </cell>
          <cell r="N955">
            <v>222</v>
          </cell>
          <cell r="O955">
            <v>182</v>
          </cell>
          <cell r="P955">
            <v>206</v>
          </cell>
          <cell r="Q955">
            <v>471</v>
          </cell>
          <cell r="R955">
            <v>463</v>
          </cell>
          <cell r="S955">
            <v>651</v>
          </cell>
          <cell r="T955">
            <v>729</v>
          </cell>
          <cell r="U955">
            <v>642</v>
          </cell>
          <cell r="V955">
            <v>656</v>
          </cell>
          <cell r="W955">
            <v>491</v>
          </cell>
          <cell r="X955">
            <v>521</v>
          </cell>
          <cell r="Y955">
            <v>495</v>
          </cell>
          <cell r="Z955">
            <v>730</v>
          </cell>
          <cell r="AA955">
            <v>713</v>
          </cell>
          <cell r="AB955">
            <v>685</v>
          </cell>
          <cell r="AC955">
            <v>719</v>
          </cell>
          <cell r="AD955">
            <v>567</v>
          </cell>
          <cell r="AE955">
            <v>665</v>
          </cell>
          <cell r="AF955">
            <v>715</v>
          </cell>
          <cell r="AG955">
            <v>730</v>
          </cell>
          <cell r="AH955">
            <v>732</v>
          </cell>
          <cell r="AI955">
            <v>729</v>
          </cell>
          <cell r="AJ955">
            <v>747</v>
          </cell>
        </row>
        <row r="956">
          <cell r="E956" t="str">
            <v>IN Industrial Ethanol</v>
          </cell>
          <cell r="F956">
            <v>53</v>
          </cell>
          <cell r="G956">
            <v>72</v>
          </cell>
          <cell r="H956">
            <v>61</v>
          </cell>
          <cell r="I956">
            <v>70</v>
          </cell>
          <cell r="J956">
            <v>76</v>
          </cell>
          <cell r="K956">
            <v>93</v>
          </cell>
          <cell r="L956">
            <v>46</v>
          </cell>
          <cell r="M956">
            <v>64</v>
          </cell>
          <cell r="N956">
            <v>44</v>
          </cell>
          <cell r="O956">
            <v>79</v>
          </cell>
          <cell r="P956">
            <v>79</v>
          </cell>
          <cell r="Q956">
            <v>132</v>
          </cell>
          <cell r="R956">
            <v>162</v>
          </cell>
          <cell r="S956">
            <v>171</v>
          </cell>
          <cell r="T956">
            <v>223</v>
          </cell>
          <cell r="U956">
            <v>230</v>
          </cell>
          <cell r="V956">
            <v>255</v>
          </cell>
          <cell r="W956">
            <v>543</v>
          </cell>
          <cell r="X956">
            <v>705</v>
          </cell>
          <cell r="Y956">
            <v>752</v>
          </cell>
          <cell r="Z956">
            <v>418</v>
          </cell>
          <cell r="AA956">
            <v>433</v>
          </cell>
          <cell r="AB956">
            <v>472</v>
          </cell>
          <cell r="AC956">
            <v>487</v>
          </cell>
          <cell r="AD956">
            <v>323</v>
          </cell>
          <cell r="AE956">
            <v>332</v>
          </cell>
          <cell r="AF956">
            <v>368</v>
          </cell>
          <cell r="AG956">
            <v>363</v>
          </cell>
          <cell r="AH956">
            <v>363</v>
          </cell>
          <cell r="AI956">
            <v>359</v>
          </cell>
          <cell r="AJ956">
            <v>373</v>
          </cell>
        </row>
        <row r="957">
          <cell r="E957" t="str">
            <v>KS Industrial Ethanol</v>
          </cell>
          <cell r="F957">
            <v>16</v>
          </cell>
          <cell r="G957">
            <v>16</v>
          </cell>
          <cell r="H957">
            <v>14</v>
          </cell>
          <cell r="I957">
            <v>16</v>
          </cell>
          <cell r="J957">
            <v>15</v>
          </cell>
          <cell r="K957">
            <v>13</v>
          </cell>
          <cell r="L957">
            <v>8</v>
          </cell>
          <cell r="M957">
            <v>8</v>
          </cell>
          <cell r="N957">
            <v>10</v>
          </cell>
          <cell r="O957">
            <v>10</v>
          </cell>
          <cell r="P957">
            <v>5</v>
          </cell>
          <cell r="Q957">
            <v>6</v>
          </cell>
          <cell r="R957">
            <v>87</v>
          </cell>
          <cell r="S957">
            <v>116</v>
          </cell>
          <cell r="T957">
            <v>14</v>
          </cell>
          <cell r="U957">
            <v>110</v>
          </cell>
          <cell r="V957">
            <v>105</v>
          </cell>
          <cell r="W957">
            <v>160</v>
          </cell>
          <cell r="X957">
            <v>234</v>
          </cell>
          <cell r="Y957">
            <v>225</v>
          </cell>
          <cell r="Z957">
            <v>172</v>
          </cell>
          <cell r="AA957">
            <v>180</v>
          </cell>
          <cell r="AB957">
            <v>150</v>
          </cell>
          <cell r="AC957">
            <v>148</v>
          </cell>
          <cell r="AD957">
            <v>121</v>
          </cell>
          <cell r="AE957">
            <v>292</v>
          </cell>
          <cell r="AF957">
            <v>329</v>
          </cell>
          <cell r="AG957">
            <v>335</v>
          </cell>
          <cell r="AH957">
            <v>333</v>
          </cell>
          <cell r="AI957">
            <v>318</v>
          </cell>
          <cell r="AJ957">
            <v>319</v>
          </cell>
        </row>
        <row r="958">
          <cell r="E958" t="str">
            <v>KY Industrial Ethanol</v>
          </cell>
          <cell r="F958">
            <v>57</v>
          </cell>
          <cell r="G958">
            <v>57</v>
          </cell>
          <cell r="H958">
            <v>65</v>
          </cell>
          <cell r="I958">
            <v>48</v>
          </cell>
          <cell r="J958">
            <v>22</v>
          </cell>
          <cell r="K958">
            <v>11</v>
          </cell>
          <cell r="L958">
            <v>13</v>
          </cell>
          <cell r="M958">
            <v>14</v>
          </cell>
          <cell r="N958">
            <v>5</v>
          </cell>
          <cell r="O958">
            <v>5</v>
          </cell>
          <cell r="P958">
            <v>4</v>
          </cell>
          <cell r="Q958">
            <v>11</v>
          </cell>
          <cell r="R958">
            <v>75</v>
          </cell>
          <cell r="S958">
            <v>178</v>
          </cell>
          <cell r="T958">
            <v>169</v>
          </cell>
          <cell r="U958">
            <v>379</v>
          </cell>
          <cell r="V958">
            <v>422</v>
          </cell>
          <cell r="W958">
            <v>253</v>
          </cell>
          <cell r="X958">
            <v>232</v>
          </cell>
          <cell r="Y958">
            <v>254</v>
          </cell>
          <cell r="Z958">
            <v>246</v>
          </cell>
          <cell r="AA958">
            <v>250</v>
          </cell>
          <cell r="AB958">
            <v>242</v>
          </cell>
          <cell r="AC958">
            <v>249</v>
          </cell>
          <cell r="AD958">
            <v>180</v>
          </cell>
          <cell r="AE958">
            <v>179</v>
          </cell>
          <cell r="AF958">
            <v>189</v>
          </cell>
          <cell r="AG958">
            <v>193</v>
          </cell>
          <cell r="AH958">
            <v>192</v>
          </cell>
          <cell r="AI958">
            <v>190</v>
          </cell>
          <cell r="AJ958">
            <v>197</v>
          </cell>
        </row>
        <row r="959">
          <cell r="E959" t="str">
            <v>LA Industrial Ethanol</v>
          </cell>
          <cell r="F959">
            <v>2</v>
          </cell>
          <cell r="G959">
            <v>5</v>
          </cell>
          <cell r="H959">
            <v>6</v>
          </cell>
          <cell r="I959">
            <v>11</v>
          </cell>
          <cell r="J959">
            <v>19</v>
          </cell>
          <cell r="K959">
            <v>11</v>
          </cell>
          <cell r="L959">
            <v>2</v>
          </cell>
          <cell r="M959">
            <v>1</v>
          </cell>
          <cell r="N959">
            <v>1</v>
          </cell>
          <cell r="O959">
            <v>2</v>
          </cell>
          <cell r="P959">
            <v>0</v>
          </cell>
          <cell r="Q959">
            <v>0</v>
          </cell>
          <cell r="R959">
            <v>69</v>
          </cell>
          <cell r="S959">
            <v>90</v>
          </cell>
          <cell r="T959">
            <v>108</v>
          </cell>
          <cell r="U959">
            <v>4</v>
          </cell>
          <cell r="V959">
            <v>3</v>
          </cell>
          <cell r="W959">
            <v>14</v>
          </cell>
          <cell r="X959">
            <v>54</v>
          </cell>
          <cell r="Y959">
            <v>130</v>
          </cell>
          <cell r="Z959">
            <v>391</v>
          </cell>
          <cell r="AA959">
            <v>408</v>
          </cell>
          <cell r="AB959">
            <v>376</v>
          </cell>
          <cell r="AC959">
            <v>415</v>
          </cell>
          <cell r="AD959">
            <v>281</v>
          </cell>
          <cell r="AE959">
            <v>268</v>
          </cell>
          <cell r="AF959">
            <v>274</v>
          </cell>
          <cell r="AG959">
            <v>278</v>
          </cell>
          <cell r="AH959">
            <v>267</v>
          </cell>
          <cell r="AI959">
            <v>257</v>
          </cell>
          <cell r="AJ959">
            <v>251</v>
          </cell>
        </row>
        <row r="960">
          <cell r="E960" t="str">
            <v>MA Industrial Ethanol</v>
          </cell>
          <cell r="F960">
            <v>0</v>
          </cell>
          <cell r="G960">
            <v>0</v>
          </cell>
          <cell r="H960">
            <v>0</v>
          </cell>
          <cell r="I960">
            <v>0</v>
          </cell>
          <cell r="J960">
            <v>0</v>
          </cell>
          <cell r="K960">
            <v>0</v>
          </cell>
          <cell r="L960">
            <v>0</v>
          </cell>
          <cell r="M960">
            <v>0</v>
          </cell>
          <cell r="N960">
            <v>0</v>
          </cell>
          <cell r="O960">
            <v>0</v>
          </cell>
          <cell r="P960">
            <v>0</v>
          </cell>
          <cell r="Q960">
            <v>0</v>
          </cell>
          <cell r="R960">
            <v>1</v>
          </cell>
          <cell r="S960">
            <v>1</v>
          </cell>
          <cell r="T960">
            <v>10</v>
          </cell>
          <cell r="U960">
            <v>82</v>
          </cell>
          <cell r="V960">
            <v>224</v>
          </cell>
          <cell r="W960">
            <v>237</v>
          </cell>
          <cell r="X960">
            <v>189</v>
          </cell>
          <cell r="Y960">
            <v>204</v>
          </cell>
          <cell r="Z960">
            <v>332</v>
          </cell>
          <cell r="AA960">
            <v>340</v>
          </cell>
          <cell r="AB960">
            <v>323</v>
          </cell>
          <cell r="AC960">
            <v>342</v>
          </cell>
          <cell r="AD960">
            <v>275</v>
          </cell>
          <cell r="AE960">
            <v>272</v>
          </cell>
          <cell r="AF960">
            <v>273</v>
          </cell>
          <cell r="AG960">
            <v>279</v>
          </cell>
          <cell r="AH960">
            <v>283</v>
          </cell>
          <cell r="AI960">
            <v>291</v>
          </cell>
          <cell r="AJ960">
            <v>295</v>
          </cell>
        </row>
        <row r="961">
          <cell r="E961" t="str">
            <v>MD Industrial Ethanol</v>
          </cell>
          <cell r="F961">
            <v>0</v>
          </cell>
          <cell r="G961">
            <v>0</v>
          </cell>
          <cell r="H961">
            <v>0</v>
          </cell>
          <cell r="I961">
            <v>0</v>
          </cell>
          <cell r="J961">
            <v>0</v>
          </cell>
          <cell r="K961">
            <v>2</v>
          </cell>
          <cell r="L961">
            <v>1</v>
          </cell>
          <cell r="M961">
            <v>2</v>
          </cell>
          <cell r="N961">
            <v>1</v>
          </cell>
          <cell r="O961">
            <v>1</v>
          </cell>
          <cell r="P961">
            <v>1</v>
          </cell>
          <cell r="Q961">
            <v>0</v>
          </cell>
          <cell r="R961">
            <v>43</v>
          </cell>
          <cell r="S961">
            <v>0</v>
          </cell>
          <cell r="T961">
            <v>0</v>
          </cell>
          <cell r="U961">
            <v>74</v>
          </cell>
          <cell r="V961">
            <v>216</v>
          </cell>
          <cell r="W961">
            <v>270</v>
          </cell>
          <cell r="X961">
            <v>209</v>
          </cell>
          <cell r="Y961">
            <v>222</v>
          </cell>
          <cell r="Z961">
            <v>275</v>
          </cell>
          <cell r="AA961">
            <v>281</v>
          </cell>
          <cell r="AB961">
            <v>263</v>
          </cell>
          <cell r="AC961">
            <v>280</v>
          </cell>
          <cell r="AD961">
            <v>295</v>
          </cell>
          <cell r="AE961">
            <v>190</v>
          </cell>
          <cell r="AF961">
            <v>199</v>
          </cell>
          <cell r="AG961">
            <v>204</v>
          </cell>
          <cell r="AH961">
            <v>207</v>
          </cell>
          <cell r="AI961">
            <v>209</v>
          </cell>
          <cell r="AJ961">
            <v>212</v>
          </cell>
        </row>
        <row r="962">
          <cell r="E962" t="str">
            <v>ME Industrial Ethanol</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6</v>
          </cell>
          <cell r="V962">
            <v>10</v>
          </cell>
          <cell r="W962">
            <v>12</v>
          </cell>
          <cell r="X962">
            <v>52</v>
          </cell>
          <cell r="Y962">
            <v>63</v>
          </cell>
          <cell r="Z962">
            <v>93</v>
          </cell>
          <cell r="AA962">
            <v>97</v>
          </cell>
          <cell r="AB962">
            <v>95</v>
          </cell>
          <cell r="AC962">
            <v>97</v>
          </cell>
          <cell r="AD962">
            <v>86</v>
          </cell>
          <cell r="AE962">
            <v>75</v>
          </cell>
          <cell r="AF962">
            <v>79</v>
          </cell>
          <cell r="AG962">
            <v>81</v>
          </cell>
          <cell r="AH962">
            <v>82</v>
          </cell>
          <cell r="AI962">
            <v>83</v>
          </cell>
          <cell r="AJ962">
            <v>83</v>
          </cell>
        </row>
        <row r="963">
          <cell r="E963" t="str">
            <v>MI Industrial Ethanol</v>
          </cell>
          <cell r="F963">
            <v>41</v>
          </cell>
          <cell r="G963">
            <v>60</v>
          </cell>
          <cell r="H963">
            <v>44</v>
          </cell>
          <cell r="I963">
            <v>55</v>
          </cell>
          <cell r="J963">
            <v>71</v>
          </cell>
          <cell r="K963">
            <v>50</v>
          </cell>
          <cell r="L963">
            <v>23</v>
          </cell>
          <cell r="M963">
            <v>26</v>
          </cell>
          <cell r="N963">
            <v>28</v>
          </cell>
          <cell r="O963">
            <v>28</v>
          </cell>
          <cell r="P963">
            <v>71</v>
          </cell>
          <cell r="Q963">
            <v>74</v>
          </cell>
          <cell r="R963">
            <v>162</v>
          </cell>
          <cell r="S963">
            <v>218</v>
          </cell>
          <cell r="T963">
            <v>258</v>
          </cell>
          <cell r="U963">
            <v>330</v>
          </cell>
          <cell r="V963">
            <v>374</v>
          </cell>
          <cell r="W963">
            <v>436</v>
          </cell>
          <cell r="X963">
            <v>528</v>
          </cell>
          <cell r="Y963">
            <v>464</v>
          </cell>
          <cell r="Z963">
            <v>391</v>
          </cell>
          <cell r="AA963">
            <v>394</v>
          </cell>
          <cell r="AB963">
            <v>462</v>
          </cell>
          <cell r="AC963">
            <v>495</v>
          </cell>
          <cell r="AD963">
            <v>337</v>
          </cell>
          <cell r="AE963">
            <v>510</v>
          </cell>
          <cell r="AF963">
            <v>525</v>
          </cell>
          <cell r="AG963">
            <v>538</v>
          </cell>
          <cell r="AH963">
            <v>543</v>
          </cell>
          <cell r="AI963">
            <v>547</v>
          </cell>
          <cell r="AJ963">
            <v>566</v>
          </cell>
        </row>
        <row r="964">
          <cell r="E964" t="str">
            <v>MN Industrial Ethanol</v>
          </cell>
          <cell r="F964">
            <v>47</v>
          </cell>
          <cell r="G964">
            <v>113</v>
          </cell>
          <cell r="H964">
            <v>171</v>
          </cell>
          <cell r="I964">
            <v>266</v>
          </cell>
          <cell r="J964">
            <v>305</v>
          </cell>
          <cell r="K964">
            <v>302</v>
          </cell>
          <cell r="L964">
            <v>128</v>
          </cell>
          <cell r="M964">
            <v>519</v>
          </cell>
          <cell r="N964">
            <v>375</v>
          </cell>
          <cell r="O964">
            <v>327</v>
          </cell>
          <cell r="P964">
            <v>316</v>
          </cell>
          <cell r="Q964">
            <v>467</v>
          </cell>
          <cell r="R964">
            <v>477</v>
          </cell>
          <cell r="S964">
            <v>492</v>
          </cell>
          <cell r="T964">
            <v>480</v>
          </cell>
          <cell r="U964">
            <v>349</v>
          </cell>
          <cell r="V964">
            <v>305</v>
          </cell>
          <cell r="W964">
            <v>463</v>
          </cell>
          <cell r="X964">
            <v>318</v>
          </cell>
          <cell r="Y964">
            <v>343</v>
          </cell>
          <cell r="Z964">
            <v>575</v>
          </cell>
          <cell r="AA964">
            <v>549</v>
          </cell>
          <cell r="AB964">
            <v>555</v>
          </cell>
          <cell r="AC964">
            <v>613</v>
          </cell>
          <cell r="AD964">
            <v>513</v>
          </cell>
          <cell r="AE964">
            <v>518</v>
          </cell>
          <cell r="AF964">
            <v>563</v>
          </cell>
          <cell r="AG964">
            <v>571</v>
          </cell>
          <cell r="AH964">
            <v>574</v>
          </cell>
          <cell r="AI964">
            <v>563</v>
          </cell>
          <cell r="AJ964">
            <v>571</v>
          </cell>
        </row>
        <row r="965">
          <cell r="E965" t="str">
            <v>MO Industrial Ethanol</v>
          </cell>
          <cell r="F965">
            <v>23</v>
          </cell>
          <cell r="G965">
            <v>23</v>
          </cell>
          <cell r="H965">
            <v>24</v>
          </cell>
          <cell r="I965">
            <v>59</v>
          </cell>
          <cell r="J965">
            <v>72</v>
          </cell>
          <cell r="K965">
            <v>49</v>
          </cell>
          <cell r="L965">
            <v>25</v>
          </cell>
          <cell r="M965">
            <v>14</v>
          </cell>
          <cell r="N965">
            <v>9</v>
          </cell>
          <cell r="O965">
            <v>18</v>
          </cell>
          <cell r="P965">
            <v>29</v>
          </cell>
          <cell r="Q965">
            <v>53</v>
          </cell>
          <cell r="R965">
            <v>132</v>
          </cell>
          <cell r="S965">
            <v>190</v>
          </cell>
          <cell r="T965">
            <v>234</v>
          </cell>
          <cell r="U965">
            <v>274</v>
          </cell>
          <cell r="V965">
            <v>286</v>
          </cell>
          <cell r="W965">
            <v>212</v>
          </cell>
          <cell r="X965">
            <v>240</v>
          </cell>
          <cell r="Y965">
            <v>251</v>
          </cell>
          <cell r="Z965">
            <v>298</v>
          </cell>
          <cell r="AA965">
            <v>293</v>
          </cell>
          <cell r="AB965">
            <v>167</v>
          </cell>
          <cell r="AC965">
            <v>169</v>
          </cell>
          <cell r="AD965">
            <v>126</v>
          </cell>
          <cell r="AE965">
            <v>325</v>
          </cell>
          <cell r="AF965">
            <v>312</v>
          </cell>
          <cell r="AG965">
            <v>317</v>
          </cell>
          <cell r="AH965">
            <v>322</v>
          </cell>
          <cell r="AI965">
            <v>324</v>
          </cell>
          <cell r="AJ965">
            <v>329</v>
          </cell>
        </row>
        <row r="966">
          <cell r="E966" t="str">
            <v>MS Industrial Ethanol</v>
          </cell>
          <cell r="F966">
            <v>0</v>
          </cell>
          <cell r="G966">
            <v>0</v>
          </cell>
          <cell r="H966">
            <v>0</v>
          </cell>
          <cell r="I966">
            <v>6</v>
          </cell>
          <cell r="J966">
            <v>4</v>
          </cell>
          <cell r="K966">
            <v>2</v>
          </cell>
          <cell r="L966">
            <v>0</v>
          </cell>
          <cell r="M966">
            <v>0</v>
          </cell>
          <cell r="N966">
            <v>0</v>
          </cell>
          <cell r="O966">
            <v>0</v>
          </cell>
          <cell r="P966">
            <v>0</v>
          </cell>
          <cell r="Q966">
            <v>0</v>
          </cell>
          <cell r="R966">
            <v>0</v>
          </cell>
          <cell r="S966">
            <v>0</v>
          </cell>
          <cell r="T966">
            <v>0</v>
          </cell>
          <cell r="U966">
            <v>4</v>
          </cell>
          <cell r="V966">
            <v>4</v>
          </cell>
          <cell r="W966">
            <v>5</v>
          </cell>
          <cell r="X966">
            <v>31</v>
          </cell>
          <cell r="Y966">
            <v>81</v>
          </cell>
          <cell r="Z966">
            <v>228</v>
          </cell>
          <cell r="AA966">
            <v>223</v>
          </cell>
          <cell r="AB966">
            <v>206</v>
          </cell>
          <cell r="AC966">
            <v>231</v>
          </cell>
          <cell r="AD966">
            <v>203</v>
          </cell>
          <cell r="AE966">
            <v>142</v>
          </cell>
          <cell r="AF966">
            <v>136</v>
          </cell>
          <cell r="AG966">
            <v>137</v>
          </cell>
          <cell r="AH966">
            <v>131</v>
          </cell>
          <cell r="AI966">
            <v>124</v>
          </cell>
          <cell r="AJ966">
            <v>121</v>
          </cell>
        </row>
        <row r="967">
          <cell r="E967" t="str">
            <v>MT Industrial Ethanol</v>
          </cell>
          <cell r="F967">
            <v>1</v>
          </cell>
          <cell r="G967">
            <v>3</v>
          </cell>
          <cell r="H967">
            <v>2</v>
          </cell>
          <cell r="I967">
            <v>3</v>
          </cell>
          <cell r="J967">
            <v>0</v>
          </cell>
          <cell r="K967">
            <v>3</v>
          </cell>
          <cell r="L967">
            <v>0</v>
          </cell>
          <cell r="M967">
            <v>0</v>
          </cell>
          <cell r="N967">
            <v>1</v>
          </cell>
          <cell r="O967">
            <v>1</v>
          </cell>
          <cell r="P967">
            <v>2</v>
          </cell>
          <cell r="Q967">
            <v>6</v>
          </cell>
          <cell r="R967">
            <v>6</v>
          </cell>
          <cell r="S967">
            <v>5</v>
          </cell>
          <cell r="T967">
            <v>7</v>
          </cell>
          <cell r="U967">
            <v>49</v>
          </cell>
          <cell r="V967">
            <v>63</v>
          </cell>
          <cell r="W967">
            <v>76</v>
          </cell>
          <cell r="X967">
            <v>71</v>
          </cell>
          <cell r="Y967">
            <v>80</v>
          </cell>
          <cell r="Z967">
            <v>60</v>
          </cell>
          <cell r="AA967">
            <v>78</v>
          </cell>
          <cell r="AB967">
            <v>78</v>
          </cell>
          <cell r="AC967">
            <v>86</v>
          </cell>
          <cell r="AD967">
            <v>82</v>
          </cell>
          <cell r="AE967">
            <v>120</v>
          </cell>
          <cell r="AF967">
            <v>122</v>
          </cell>
          <cell r="AG967">
            <v>123</v>
          </cell>
          <cell r="AH967">
            <v>125</v>
          </cell>
          <cell r="AI967">
            <v>125</v>
          </cell>
          <cell r="AJ967">
            <v>128</v>
          </cell>
        </row>
        <row r="968">
          <cell r="E968" t="str">
            <v>NC Industrial Ethanol</v>
          </cell>
          <cell r="F968">
            <v>0</v>
          </cell>
          <cell r="G968">
            <v>5</v>
          </cell>
          <cell r="H968">
            <v>3</v>
          </cell>
          <cell r="I968">
            <v>3</v>
          </cell>
          <cell r="J968">
            <v>11</v>
          </cell>
          <cell r="K968">
            <v>1</v>
          </cell>
          <cell r="L968">
            <v>31</v>
          </cell>
          <cell r="M968">
            <v>32</v>
          </cell>
          <cell r="N968">
            <v>33</v>
          </cell>
          <cell r="O968">
            <v>20</v>
          </cell>
          <cell r="P968">
            <v>27</v>
          </cell>
          <cell r="Q968">
            <v>92</v>
          </cell>
          <cell r="R968">
            <v>108</v>
          </cell>
          <cell r="S968">
            <v>118</v>
          </cell>
          <cell r="T968">
            <v>146</v>
          </cell>
          <cell r="U968">
            <v>37</v>
          </cell>
          <cell r="V968">
            <v>56</v>
          </cell>
          <cell r="W968">
            <v>58</v>
          </cell>
          <cell r="X968">
            <v>241</v>
          </cell>
          <cell r="Y968">
            <v>326</v>
          </cell>
          <cell r="Z968">
            <v>501</v>
          </cell>
          <cell r="AA968">
            <v>533</v>
          </cell>
          <cell r="AB968">
            <v>521</v>
          </cell>
          <cell r="AC968">
            <v>553</v>
          </cell>
          <cell r="AD968">
            <v>413</v>
          </cell>
          <cell r="AE968">
            <v>415</v>
          </cell>
          <cell r="AF968">
            <v>419</v>
          </cell>
          <cell r="AG968">
            <v>435</v>
          </cell>
          <cell r="AH968">
            <v>459</v>
          </cell>
          <cell r="AI968">
            <v>454</v>
          </cell>
          <cell r="AJ968">
            <v>456</v>
          </cell>
        </row>
        <row r="969">
          <cell r="E969" t="str">
            <v>ND Industrial Ethanol</v>
          </cell>
          <cell r="F969">
            <v>29</v>
          </cell>
          <cell r="G969">
            <v>42</v>
          </cell>
          <cell r="H969">
            <v>45</v>
          </cell>
          <cell r="I969">
            <v>40</v>
          </cell>
          <cell r="J969">
            <v>50</v>
          </cell>
          <cell r="K969">
            <v>45</v>
          </cell>
          <cell r="L969">
            <v>28</v>
          </cell>
          <cell r="M969">
            <v>22</v>
          </cell>
          <cell r="N969">
            <v>26</v>
          </cell>
          <cell r="O969">
            <v>21</v>
          </cell>
          <cell r="P969">
            <v>27</v>
          </cell>
          <cell r="Q969">
            <v>39</v>
          </cell>
          <cell r="R969">
            <v>51</v>
          </cell>
          <cell r="S969">
            <v>62</v>
          </cell>
          <cell r="T969">
            <v>70</v>
          </cell>
          <cell r="U969">
            <v>132</v>
          </cell>
          <cell r="V969">
            <v>142</v>
          </cell>
          <cell r="W969">
            <v>145</v>
          </cell>
          <cell r="X969">
            <v>134</v>
          </cell>
          <cell r="Y969">
            <v>142</v>
          </cell>
          <cell r="Z969">
            <v>109</v>
          </cell>
          <cell r="AA969">
            <v>109</v>
          </cell>
          <cell r="AB969">
            <v>98</v>
          </cell>
          <cell r="AC969">
            <v>105</v>
          </cell>
          <cell r="AD969">
            <v>91</v>
          </cell>
          <cell r="AE969">
            <v>145</v>
          </cell>
          <cell r="AF969">
            <v>132</v>
          </cell>
          <cell r="AG969">
            <v>134</v>
          </cell>
          <cell r="AH969">
            <v>131</v>
          </cell>
          <cell r="AI969">
            <v>130</v>
          </cell>
          <cell r="AJ969">
            <v>131</v>
          </cell>
        </row>
        <row r="970">
          <cell r="E970" t="str">
            <v>NE Industrial Ethanol</v>
          </cell>
          <cell r="F970">
            <v>127</v>
          </cell>
          <cell r="G970">
            <v>153</v>
          </cell>
          <cell r="H970">
            <v>157</v>
          </cell>
          <cell r="I970">
            <v>108</v>
          </cell>
          <cell r="J970">
            <v>77</v>
          </cell>
          <cell r="K970">
            <v>88</v>
          </cell>
          <cell r="L970">
            <v>58</v>
          </cell>
          <cell r="M970">
            <v>68</v>
          </cell>
          <cell r="N970">
            <v>90</v>
          </cell>
          <cell r="O970">
            <v>68</v>
          </cell>
          <cell r="P970">
            <v>85</v>
          </cell>
          <cell r="Q970">
            <v>107</v>
          </cell>
          <cell r="R970">
            <v>143</v>
          </cell>
          <cell r="S970">
            <v>166</v>
          </cell>
          <cell r="T970">
            <v>187</v>
          </cell>
          <cell r="U970">
            <v>94</v>
          </cell>
          <cell r="V970">
            <v>94</v>
          </cell>
          <cell r="W970">
            <v>95</v>
          </cell>
          <cell r="X970">
            <v>108</v>
          </cell>
          <cell r="Y970">
            <v>114</v>
          </cell>
          <cell r="Z970">
            <v>175</v>
          </cell>
          <cell r="AA970">
            <v>186</v>
          </cell>
          <cell r="AB970">
            <v>163</v>
          </cell>
          <cell r="AC970">
            <v>151</v>
          </cell>
          <cell r="AD970">
            <v>141</v>
          </cell>
          <cell r="AE970">
            <v>234</v>
          </cell>
          <cell r="AF970">
            <v>213</v>
          </cell>
          <cell r="AG970">
            <v>217</v>
          </cell>
          <cell r="AH970">
            <v>218</v>
          </cell>
          <cell r="AI970">
            <v>211</v>
          </cell>
          <cell r="AJ970">
            <v>213</v>
          </cell>
        </row>
        <row r="971">
          <cell r="E971" t="str">
            <v>NH Industrial Ethanol</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24</v>
          </cell>
          <cell r="V971">
            <v>60</v>
          </cell>
          <cell r="W971">
            <v>38</v>
          </cell>
          <cell r="X971">
            <v>32</v>
          </cell>
          <cell r="Y971">
            <v>38</v>
          </cell>
          <cell r="Z971">
            <v>64</v>
          </cell>
          <cell r="AA971">
            <v>65</v>
          </cell>
          <cell r="AB971">
            <v>63</v>
          </cell>
          <cell r="AC971">
            <v>67</v>
          </cell>
          <cell r="AD971">
            <v>52</v>
          </cell>
          <cell r="AE971">
            <v>62</v>
          </cell>
          <cell r="AF971">
            <v>63</v>
          </cell>
          <cell r="AG971">
            <v>64</v>
          </cell>
          <cell r="AH971">
            <v>66</v>
          </cell>
          <cell r="AI971">
            <v>67</v>
          </cell>
          <cell r="AJ971">
            <v>68</v>
          </cell>
        </row>
        <row r="972">
          <cell r="E972" t="str">
            <v>NJ Industrial Ethanol</v>
          </cell>
          <cell r="F972">
            <v>0</v>
          </cell>
          <cell r="G972">
            <v>0</v>
          </cell>
          <cell r="H972">
            <v>0</v>
          </cell>
          <cell r="I972">
            <v>1</v>
          </cell>
          <cell r="J972">
            <v>2</v>
          </cell>
          <cell r="K972">
            <v>7</v>
          </cell>
          <cell r="L972">
            <v>6</v>
          </cell>
          <cell r="M972">
            <v>7</v>
          </cell>
          <cell r="N972">
            <v>4</v>
          </cell>
          <cell r="O972">
            <v>2</v>
          </cell>
          <cell r="P972">
            <v>2</v>
          </cell>
          <cell r="Q972">
            <v>11</v>
          </cell>
          <cell r="R972">
            <v>1</v>
          </cell>
          <cell r="S972">
            <v>1</v>
          </cell>
          <cell r="T972">
            <v>6</v>
          </cell>
          <cell r="U972">
            <v>98</v>
          </cell>
          <cell r="V972">
            <v>274</v>
          </cell>
          <cell r="W972">
            <v>358</v>
          </cell>
          <cell r="X972">
            <v>251</v>
          </cell>
          <cell r="Y972">
            <v>292</v>
          </cell>
          <cell r="Z972">
            <v>416</v>
          </cell>
          <cell r="AA972">
            <v>398</v>
          </cell>
          <cell r="AB972">
            <v>380</v>
          </cell>
          <cell r="AC972">
            <v>394</v>
          </cell>
          <cell r="AD972">
            <v>307</v>
          </cell>
          <cell r="AE972">
            <v>449</v>
          </cell>
          <cell r="AF972">
            <v>450</v>
          </cell>
          <cell r="AG972">
            <v>461</v>
          </cell>
          <cell r="AH972">
            <v>467</v>
          </cell>
          <cell r="AI972">
            <v>478</v>
          </cell>
          <cell r="AJ972">
            <v>487</v>
          </cell>
        </row>
        <row r="973">
          <cell r="E973" t="str">
            <v>NM Industrial Ethanol</v>
          </cell>
          <cell r="F973">
            <v>23</v>
          </cell>
          <cell r="G973">
            <v>24</v>
          </cell>
          <cell r="H973">
            <v>17</v>
          </cell>
          <cell r="I973">
            <v>6</v>
          </cell>
          <cell r="J973">
            <v>15</v>
          </cell>
          <cell r="K973">
            <v>51</v>
          </cell>
          <cell r="L973">
            <v>45</v>
          </cell>
          <cell r="M973">
            <v>45</v>
          </cell>
          <cell r="N973">
            <v>53</v>
          </cell>
          <cell r="O973">
            <v>30</v>
          </cell>
          <cell r="P973">
            <v>36</v>
          </cell>
          <cell r="Q973">
            <v>21</v>
          </cell>
          <cell r="R973">
            <v>18</v>
          </cell>
          <cell r="S973">
            <v>15</v>
          </cell>
          <cell r="T973">
            <v>18</v>
          </cell>
          <cell r="U973">
            <v>33</v>
          </cell>
          <cell r="V973">
            <v>33</v>
          </cell>
          <cell r="W973">
            <v>29</v>
          </cell>
          <cell r="X973">
            <v>59</v>
          </cell>
          <cell r="Y973">
            <v>81</v>
          </cell>
          <cell r="Z973">
            <v>149</v>
          </cell>
          <cell r="AA973">
            <v>145</v>
          </cell>
          <cell r="AB973">
            <v>134</v>
          </cell>
          <cell r="AC973">
            <v>128</v>
          </cell>
          <cell r="AD973">
            <v>99</v>
          </cell>
          <cell r="AE973">
            <v>205</v>
          </cell>
          <cell r="AF973">
            <v>212</v>
          </cell>
          <cell r="AG973">
            <v>214</v>
          </cell>
          <cell r="AH973">
            <v>206</v>
          </cell>
          <cell r="AI973">
            <v>214</v>
          </cell>
          <cell r="AJ973">
            <v>218</v>
          </cell>
        </row>
        <row r="974">
          <cell r="E974" t="str">
            <v>NV Industrial Ethanol</v>
          </cell>
          <cell r="F974">
            <v>5</v>
          </cell>
          <cell r="G974">
            <v>6</v>
          </cell>
          <cell r="H974">
            <v>7</v>
          </cell>
          <cell r="I974">
            <v>7</v>
          </cell>
          <cell r="J974">
            <v>0</v>
          </cell>
          <cell r="K974">
            <v>12</v>
          </cell>
          <cell r="L974">
            <v>0</v>
          </cell>
          <cell r="M974">
            <v>0</v>
          </cell>
          <cell r="N974">
            <v>24</v>
          </cell>
          <cell r="O974">
            <v>14</v>
          </cell>
          <cell r="P974">
            <v>12</v>
          </cell>
          <cell r="Q974">
            <v>52</v>
          </cell>
          <cell r="R974">
            <v>61</v>
          </cell>
          <cell r="S974">
            <v>72</v>
          </cell>
          <cell r="T974">
            <v>80</v>
          </cell>
          <cell r="U974">
            <v>83</v>
          </cell>
          <cell r="V974">
            <v>78</v>
          </cell>
          <cell r="W974">
            <v>47</v>
          </cell>
          <cell r="X974">
            <v>100</v>
          </cell>
          <cell r="Y974">
            <v>111</v>
          </cell>
          <cell r="Z974">
            <v>90</v>
          </cell>
          <cell r="AA974">
            <v>84</v>
          </cell>
          <cell r="AB974">
            <v>85</v>
          </cell>
          <cell r="AC974">
            <v>85</v>
          </cell>
          <cell r="AD974">
            <v>111</v>
          </cell>
          <cell r="AE974">
            <v>160</v>
          </cell>
          <cell r="AF974">
            <v>159</v>
          </cell>
          <cell r="AG974">
            <v>162</v>
          </cell>
          <cell r="AH974">
            <v>168</v>
          </cell>
          <cell r="AI974">
            <v>172</v>
          </cell>
          <cell r="AJ974">
            <v>175</v>
          </cell>
        </row>
        <row r="975">
          <cell r="E975" t="str">
            <v>NY Industrial Ethanol</v>
          </cell>
          <cell r="F975">
            <v>0</v>
          </cell>
          <cell r="G975">
            <v>0</v>
          </cell>
          <cell r="H975">
            <v>0</v>
          </cell>
          <cell r="I975">
            <v>2</v>
          </cell>
          <cell r="J975">
            <v>6</v>
          </cell>
          <cell r="K975">
            <v>19</v>
          </cell>
          <cell r="L975">
            <v>16</v>
          </cell>
          <cell r="M975">
            <v>17</v>
          </cell>
          <cell r="N975">
            <v>11</v>
          </cell>
          <cell r="O975">
            <v>8</v>
          </cell>
          <cell r="P975">
            <v>9</v>
          </cell>
          <cell r="Q975">
            <v>5</v>
          </cell>
          <cell r="R975">
            <v>5</v>
          </cell>
          <cell r="S975">
            <v>29</v>
          </cell>
          <cell r="T975">
            <v>380</v>
          </cell>
          <cell r="U975">
            <v>130</v>
          </cell>
          <cell r="V975">
            <v>364</v>
          </cell>
          <cell r="W975">
            <v>411</v>
          </cell>
          <cell r="X975">
            <v>429</v>
          </cell>
          <cell r="Y975">
            <v>500</v>
          </cell>
          <cell r="Z975">
            <v>791</v>
          </cell>
          <cell r="AA975">
            <v>529</v>
          </cell>
          <cell r="AB975">
            <v>777</v>
          </cell>
          <cell r="AC975">
            <v>787</v>
          </cell>
          <cell r="AD975">
            <v>723</v>
          </cell>
          <cell r="AE975">
            <v>935</v>
          </cell>
          <cell r="AF975">
            <v>943</v>
          </cell>
          <cell r="AG975">
            <v>975</v>
          </cell>
          <cell r="AH975">
            <v>997</v>
          </cell>
          <cell r="AI975">
            <v>1010</v>
          </cell>
          <cell r="AJ975">
            <v>1024</v>
          </cell>
        </row>
        <row r="976">
          <cell r="E976" t="str">
            <v>OH Industrial Ethanol</v>
          </cell>
          <cell r="F976">
            <v>77</v>
          </cell>
          <cell r="G976">
            <v>81</v>
          </cell>
          <cell r="H976">
            <v>296</v>
          </cell>
          <cell r="I976">
            <v>159</v>
          </cell>
          <cell r="J976">
            <v>185</v>
          </cell>
          <cell r="K976">
            <v>184</v>
          </cell>
          <cell r="L976">
            <v>73</v>
          </cell>
          <cell r="M976">
            <v>133</v>
          </cell>
          <cell r="N976">
            <v>205</v>
          </cell>
          <cell r="O976">
            <v>179</v>
          </cell>
          <cell r="P976">
            <v>114</v>
          </cell>
          <cell r="Q976">
            <v>266</v>
          </cell>
          <cell r="R976">
            <v>270</v>
          </cell>
          <cell r="S976">
            <v>263</v>
          </cell>
          <cell r="T976">
            <v>297</v>
          </cell>
          <cell r="U976">
            <v>355</v>
          </cell>
          <cell r="V976">
            <v>404</v>
          </cell>
          <cell r="W976">
            <v>400</v>
          </cell>
          <cell r="X976">
            <v>448</v>
          </cell>
          <cell r="Y976">
            <v>489</v>
          </cell>
          <cell r="Z976">
            <v>438</v>
          </cell>
          <cell r="AA976">
            <v>514</v>
          </cell>
          <cell r="AB976">
            <v>545</v>
          </cell>
          <cell r="AC976">
            <v>576</v>
          </cell>
          <cell r="AD976">
            <v>353</v>
          </cell>
          <cell r="AE976">
            <v>520</v>
          </cell>
          <cell r="AF976">
            <v>516</v>
          </cell>
          <cell r="AG976">
            <v>530</v>
          </cell>
          <cell r="AH976">
            <v>535</v>
          </cell>
          <cell r="AI976">
            <v>538</v>
          </cell>
          <cell r="AJ976">
            <v>559</v>
          </cell>
        </row>
        <row r="977">
          <cell r="E977" t="str">
            <v>OK Industrial Ethanol</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127</v>
          </cell>
          <cell r="V977">
            <v>139</v>
          </cell>
          <cell r="W977">
            <v>197</v>
          </cell>
          <cell r="X977">
            <v>325</v>
          </cell>
          <cell r="Y977">
            <v>303</v>
          </cell>
          <cell r="Z977">
            <v>229</v>
          </cell>
          <cell r="AA977">
            <v>243</v>
          </cell>
          <cell r="AB977">
            <v>237</v>
          </cell>
          <cell r="AC977">
            <v>253</v>
          </cell>
          <cell r="AD977">
            <v>214</v>
          </cell>
          <cell r="AE977">
            <v>296</v>
          </cell>
          <cell r="AF977">
            <v>315</v>
          </cell>
          <cell r="AG977">
            <v>321</v>
          </cell>
          <cell r="AH977">
            <v>323</v>
          </cell>
          <cell r="AI977">
            <v>307</v>
          </cell>
          <cell r="AJ977">
            <v>306</v>
          </cell>
        </row>
        <row r="978">
          <cell r="E978" t="str">
            <v>OR Industrial Ethanol</v>
          </cell>
          <cell r="F978">
            <v>0</v>
          </cell>
          <cell r="G978">
            <v>0</v>
          </cell>
          <cell r="H978">
            <v>14</v>
          </cell>
          <cell r="I978">
            <v>41</v>
          </cell>
          <cell r="J978">
            <v>0</v>
          </cell>
          <cell r="K978">
            <v>0</v>
          </cell>
          <cell r="L978">
            <v>0</v>
          </cell>
          <cell r="M978">
            <v>0</v>
          </cell>
          <cell r="N978">
            <v>23</v>
          </cell>
          <cell r="O978">
            <v>11</v>
          </cell>
          <cell r="P978">
            <v>13</v>
          </cell>
          <cell r="Q978">
            <v>34</v>
          </cell>
          <cell r="R978">
            <v>67</v>
          </cell>
          <cell r="S978">
            <v>53</v>
          </cell>
          <cell r="T978">
            <v>66</v>
          </cell>
          <cell r="U978">
            <v>102</v>
          </cell>
          <cell r="V978">
            <v>119</v>
          </cell>
          <cell r="W978">
            <v>129</v>
          </cell>
          <cell r="X978">
            <v>192</v>
          </cell>
          <cell r="Y978">
            <v>213</v>
          </cell>
          <cell r="Z978">
            <v>217</v>
          </cell>
          <cell r="AA978">
            <v>283</v>
          </cell>
          <cell r="AB978">
            <v>227</v>
          </cell>
          <cell r="AC978">
            <v>245</v>
          </cell>
          <cell r="AD978">
            <v>154</v>
          </cell>
          <cell r="AE978">
            <v>232</v>
          </cell>
          <cell r="AF978">
            <v>228</v>
          </cell>
          <cell r="AG978">
            <v>234</v>
          </cell>
          <cell r="AH978">
            <v>237</v>
          </cell>
          <cell r="AI978">
            <v>239</v>
          </cell>
          <cell r="AJ978">
            <v>240</v>
          </cell>
        </row>
        <row r="979">
          <cell r="E979" t="str">
            <v>PA Industrial Ethanol</v>
          </cell>
          <cell r="F979">
            <v>0</v>
          </cell>
          <cell r="G979">
            <v>0</v>
          </cell>
          <cell r="H979">
            <v>0</v>
          </cell>
          <cell r="I979">
            <v>7</v>
          </cell>
          <cell r="J979">
            <v>16</v>
          </cell>
          <cell r="K979">
            <v>50</v>
          </cell>
          <cell r="L979">
            <v>34</v>
          </cell>
          <cell r="M979">
            <v>39</v>
          </cell>
          <cell r="N979">
            <v>9</v>
          </cell>
          <cell r="O979">
            <v>6</v>
          </cell>
          <cell r="P979">
            <v>7</v>
          </cell>
          <cell r="Q979">
            <v>16</v>
          </cell>
          <cell r="R979">
            <v>6</v>
          </cell>
          <cell r="S979">
            <v>7</v>
          </cell>
          <cell r="T979">
            <v>109</v>
          </cell>
          <cell r="U979">
            <v>70</v>
          </cell>
          <cell r="V979">
            <v>180</v>
          </cell>
          <cell r="W979">
            <v>175</v>
          </cell>
          <cell r="X979">
            <v>208</v>
          </cell>
          <cell r="Y979">
            <v>255</v>
          </cell>
          <cell r="Z979">
            <v>664</v>
          </cell>
          <cell r="AA979">
            <v>408</v>
          </cell>
          <cell r="AB979">
            <v>698</v>
          </cell>
          <cell r="AC979">
            <v>730</v>
          </cell>
          <cell r="AD979">
            <v>578</v>
          </cell>
          <cell r="AE979">
            <v>498</v>
          </cell>
          <cell r="AF979">
            <v>501</v>
          </cell>
          <cell r="AG979">
            <v>517</v>
          </cell>
          <cell r="AH979">
            <v>535</v>
          </cell>
          <cell r="AI979">
            <v>535</v>
          </cell>
          <cell r="AJ979">
            <v>537</v>
          </cell>
        </row>
        <row r="980">
          <cell r="E980" t="str">
            <v>RI Industrial Ethanol</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8</v>
          </cell>
          <cell r="U980">
            <v>12</v>
          </cell>
          <cell r="V980">
            <v>32</v>
          </cell>
          <cell r="W980">
            <v>57</v>
          </cell>
          <cell r="X980">
            <v>53</v>
          </cell>
          <cell r="Y980">
            <v>60</v>
          </cell>
          <cell r="Z980">
            <v>41</v>
          </cell>
          <cell r="AA980">
            <v>40</v>
          </cell>
          <cell r="AB980">
            <v>41</v>
          </cell>
          <cell r="AC980">
            <v>43</v>
          </cell>
          <cell r="AD980">
            <v>43</v>
          </cell>
          <cell r="AE980">
            <v>43</v>
          </cell>
          <cell r="AF980">
            <v>43</v>
          </cell>
          <cell r="AG980">
            <v>44</v>
          </cell>
          <cell r="AH980">
            <v>44</v>
          </cell>
          <cell r="AI980">
            <v>45</v>
          </cell>
          <cell r="AJ980">
            <v>46</v>
          </cell>
        </row>
        <row r="981">
          <cell r="E981" t="str">
            <v>SC Industrial Ethanol</v>
          </cell>
          <cell r="F981">
            <v>8</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21</v>
          </cell>
          <cell r="V981">
            <v>32</v>
          </cell>
          <cell r="W981">
            <v>31</v>
          </cell>
          <cell r="X981">
            <v>180</v>
          </cell>
          <cell r="Y981">
            <v>213</v>
          </cell>
          <cell r="Z981">
            <v>156</v>
          </cell>
          <cell r="AA981">
            <v>159</v>
          </cell>
          <cell r="AB981">
            <v>174</v>
          </cell>
          <cell r="AC981">
            <v>183</v>
          </cell>
          <cell r="AD981">
            <v>151</v>
          </cell>
          <cell r="AE981">
            <v>190</v>
          </cell>
          <cell r="AF981">
            <v>195</v>
          </cell>
          <cell r="AG981">
            <v>202</v>
          </cell>
          <cell r="AH981">
            <v>215</v>
          </cell>
          <cell r="AI981">
            <v>214</v>
          </cell>
          <cell r="AJ981">
            <v>215</v>
          </cell>
        </row>
        <row r="982">
          <cell r="E982" t="str">
            <v>SD Industrial Ethanol</v>
          </cell>
          <cell r="F982">
            <v>27</v>
          </cell>
          <cell r="G982">
            <v>60</v>
          </cell>
          <cell r="H982">
            <v>67</v>
          </cell>
          <cell r="I982">
            <v>92</v>
          </cell>
          <cell r="J982">
            <v>88</v>
          </cell>
          <cell r="K982">
            <v>94</v>
          </cell>
          <cell r="L982">
            <v>66</v>
          </cell>
          <cell r="M982">
            <v>77</v>
          </cell>
          <cell r="N982">
            <v>59</v>
          </cell>
          <cell r="O982">
            <v>76</v>
          </cell>
          <cell r="P982">
            <v>78</v>
          </cell>
          <cell r="Q982">
            <v>112</v>
          </cell>
          <cell r="R982">
            <v>121</v>
          </cell>
          <cell r="S982">
            <v>136</v>
          </cell>
          <cell r="T982">
            <v>153</v>
          </cell>
          <cell r="U982">
            <v>180</v>
          </cell>
          <cell r="V982">
            <v>181</v>
          </cell>
          <cell r="W982">
            <v>155</v>
          </cell>
          <cell r="X982">
            <v>132</v>
          </cell>
          <cell r="Y982">
            <v>132</v>
          </cell>
          <cell r="Z982">
            <v>119</v>
          </cell>
          <cell r="AA982">
            <v>113</v>
          </cell>
          <cell r="AB982">
            <v>107</v>
          </cell>
          <cell r="AC982">
            <v>112</v>
          </cell>
          <cell r="AD982">
            <v>104</v>
          </cell>
          <cell r="AE982">
            <v>102</v>
          </cell>
          <cell r="AF982">
            <v>93</v>
          </cell>
          <cell r="AG982">
            <v>94</v>
          </cell>
          <cell r="AH982">
            <v>94</v>
          </cell>
          <cell r="AI982">
            <v>91</v>
          </cell>
          <cell r="AJ982">
            <v>93</v>
          </cell>
        </row>
        <row r="983">
          <cell r="E983" t="str">
            <v>TN Industrial Ethanol</v>
          </cell>
          <cell r="F983">
            <v>20</v>
          </cell>
          <cell r="G983">
            <v>15</v>
          </cell>
          <cell r="H983">
            <v>18</v>
          </cell>
          <cell r="I983">
            <v>24</v>
          </cell>
          <cell r="J983">
            <v>36</v>
          </cell>
          <cell r="K983">
            <v>17</v>
          </cell>
          <cell r="L983">
            <v>0</v>
          </cell>
          <cell r="M983">
            <v>0</v>
          </cell>
          <cell r="N983">
            <v>0</v>
          </cell>
          <cell r="O983">
            <v>0</v>
          </cell>
          <cell r="P983">
            <v>0</v>
          </cell>
          <cell r="Q983">
            <v>0</v>
          </cell>
          <cell r="R983">
            <v>0</v>
          </cell>
          <cell r="S983">
            <v>0</v>
          </cell>
          <cell r="T983">
            <v>0</v>
          </cell>
          <cell r="U983">
            <v>193</v>
          </cell>
          <cell r="V983">
            <v>229</v>
          </cell>
          <cell r="W983">
            <v>393</v>
          </cell>
          <cell r="X983">
            <v>444</v>
          </cell>
          <cell r="Y983">
            <v>512</v>
          </cell>
          <cell r="Z983">
            <v>255</v>
          </cell>
          <cell r="AA983">
            <v>279</v>
          </cell>
          <cell r="AB983">
            <v>297</v>
          </cell>
          <cell r="AC983">
            <v>329</v>
          </cell>
          <cell r="AD983">
            <v>215</v>
          </cell>
          <cell r="AE983">
            <v>370</v>
          </cell>
          <cell r="AF983">
            <v>378</v>
          </cell>
          <cell r="AG983">
            <v>387</v>
          </cell>
          <cell r="AH983">
            <v>399</v>
          </cell>
          <cell r="AI983">
            <v>402</v>
          </cell>
          <cell r="AJ983">
            <v>419</v>
          </cell>
        </row>
        <row r="984">
          <cell r="E984" t="str">
            <v>TX Industrial Ethanol</v>
          </cell>
          <cell r="F984">
            <v>43</v>
          </cell>
          <cell r="G984">
            <v>47</v>
          </cell>
          <cell r="H984">
            <v>49</v>
          </cell>
          <cell r="I984">
            <v>9</v>
          </cell>
          <cell r="J984">
            <v>22</v>
          </cell>
          <cell r="K984">
            <v>78</v>
          </cell>
          <cell r="L984">
            <v>28</v>
          </cell>
          <cell r="M984">
            <v>70</v>
          </cell>
          <cell r="N984">
            <v>115</v>
          </cell>
          <cell r="O984">
            <v>49</v>
          </cell>
          <cell r="P984">
            <v>56</v>
          </cell>
          <cell r="Q984">
            <v>99</v>
          </cell>
          <cell r="R984">
            <v>45</v>
          </cell>
          <cell r="S984">
            <v>38</v>
          </cell>
          <cell r="T984">
            <v>50</v>
          </cell>
          <cell r="U984">
            <v>29</v>
          </cell>
          <cell r="V984">
            <v>802</v>
          </cell>
          <cell r="W984">
            <v>845</v>
          </cell>
          <cell r="X984">
            <v>856</v>
          </cell>
          <cell r="Y984">
            <v>879</v>
          </cell>
          <cell r="Z984">
            <v>1683</v>
          </cell>
          <cell r="AA984">
            <v>2125</v>
          </cell>
          <cell r="AB984">
            <v>1832</v>
          </cell>
          <cell r="AC984">
            <v>1930</v>
          </cell>
          <cell r="AD984">
            <v>1507</v>
          </cell>
          <cell r="AE984">
            <v>1223</v>
          </cell>
          <cell r="AF984">
            <v>1318</v>
          </cell>
          <cell r="AG984">
            <v>1340</v>
          </cell>
          <cell r="AH984">
            <v>1362</v>
          </cell>
          <cell r="AI984">
            <v>1385</v>
          </cell>
          <cell r="AJ984">
            <v>1412</v>
          </cell>
        </row>
        <row r="985">
          <cell r="E985" t="str">
            <v>US Industrial Ethanol</v>
          </cell>
          <cell r="F985">
            <v>980</v>
          </cell>
          <cell r="G985">
            <v>1284</v>
          </cell>
          <cell r="H985">
            <v>1583</v>
          </cell>
          <cell r="I985">
            <v>1565</v>
          </cell>
          <cell r="J985">
            <v>1772</v>
          </cell>
          <cell r="K985">
            <v>1849</v>
          </cell>
          <cell r="L985">
            <v>1202</v>
          </cell>
          <cell r="M985">
            <v>1829</v>
          </cell>
          <cell r="N985">
            <v>1744</v>
          </cell>
          <cell r="O985">
            <v>1463</v>
          </cell>
          <cell r="P985">
            <v>1535</v>
          </cell>
          <cell r="Q985">
            <v>2912</v>
          </cell>
          <cell r="R985">
            <v>3600</v>
          </cell>
          <cell r="S985">
            <v>4744</v>
          </cell>
          <cell r="T985">
            <v>6197</v>
          </cell>
          <cell r="U985">
            <v>6792</v>
          </cell>
          <cell r="V985">
            <v>9108</v>
          </cell>
          <cell r="W985">
            <v>9678</v>
          </cell>
          <cell r="X985">
            <v>11713</v>
          </cell>
          <cell r="Y985">
            <v>12894</v>
          </cell>
          <cell r="Z985">
            <v>16476</v>
          </cell>
          <cell r="AA985">
            <v>16731</v>
          </cell>
          <cell r="AB985">
            <v>16629</v>
          </cell>
          <cell r="AC985">
            <v>17483</v>
          </cell>
          <cell r="AD985">
            <v>14164</v>
          </cell>
          <cell r="AE985">
            <v>17621</v>
          </cell>
          <cell r="AF985">
            <v>18081</v>
          </cell>
          <cell r="AG985">
            <v>18471</v>
          </cell>
          <cell r="AH985">
            <v>18765</v>
          </cell>
          <cell r="AI985">
            <v>18775</v>
          </cell>
          <cell r="AJ985">
            <v>19045</v>
          </cell>
        </row>
        <row r="986">
          <cell r="E986" t="str">
            <v>UT Industrial Ethanol</v>
          </cell>
          <cell r="F986">
            <v>0</v>
          </cell>
          <cell r="G986">
            <v>0</v>
          </cell>
          <cell r="H986">
            <v>0</v>
          </cell>
          <cell r="I986">
            <v>1</v>
          </cell>
          <cell r="J986">
            <v>0</v>
          </cell>
          <cell r="K986">
            <v>0</v>
          </cell>
          <cell r="L986">
            <v>1</v>
          </cell>
          <cell r="M986">
            <v>0</v>
          </cell>
          <cell r="N986">
            <v>11</v>
          </cell>
          <cell r="O986">
            <v>9</v>
          </cell>
          <cell r="P986">
            <v>10</v>
          </cell>
          <cell r="Q986">
            <v>28</v>
          </cell>
          <cell r="R986">
            <v>7</v>
          </cell>
          <cell r="S986">
            <v>6</v>
          </cell>
          <cell r="T986">
            <v>3</v>
          </cell>
          <cell r="U986">
            <v>51</v>
          </cell>
          <cell r="V986">
            <v>44</v>
          </cell>
          <cell r="W986">
            <v>63</v>
          </cell>
          <cell r="X986">
            <v>73</v>
          </cell>
          <cell r="Y986">
            <v>80</v>
          </cell>
          <cell r="Z986">
            <v>75</v>
          </cell>
          <cell r="AA986">
            <v>103</v>
          </cell>
          <cell r="AB986">
            <v>110</v>
          </cell>
          <cell r="AC986">
            <v>116</v>
          </cell>
          <cell r="AD986">
            <v>90</v>
          </cell>
          <cell r="AE986">
            <v>141</v>
          </cell>
          <cell r="AF986">
            <v>149</v>
          </cell>
          <cell r="AG986">
            <v>151</v>
          </cell>
          <cell r="AH986">
            <v>156</v>
          </cell>
          <cell r="AI986">
            <v>159</v>
          </cell>
          <cell r="AJ986">
            <v>162</v>
          </cell>
        </row>
        <row r="987">
          <cell r="E987" t="str">
            <v>VA Industrial Ethanol</v>
          </cell>
          <cell r="F987">
            <v>13</v>
          </cell>
          <cell r="G987">
            <v>12</v>
          </cell>
          <cell r="H987">
            <v>9</v>
          </cell>
          <cell r="I987">
            <v>2</v>
          </cell>
          <cell r="J987">
            <v>9</v>
          </cell>
          <cell r="K987">
            <v>0</v>
          </cell>
          <cell r="L987">
            <v>32</v>
          </cell>
          <cell r="M987">
            <v>25</v>
          </cell>
          <cell r="N987">
            <v>31</v>
          </cell>
          <cell r="O987">
            <v>18</v>
          </cell>
          <cell r="P987">
            <v>21</v>
          </cell>
          <cell r="Q987">
            <v>44</v>
          </cell>
          <cell r="R987">
            <v>78</v>
          </cell>
          <cell r="S987">
            <v>102</v>
          </cell>
          <cell r="T987">
            <v>131</v>
          </cell>
          <cell r="U987">
            <v>96</v>
          </cell>
          <cell r="V987">
            <v>257</v>
          </cell>
          <cell r="W987">
            <v>205</v>
          </cell>
          <cell r="X987">
            <v>199</v>
          </cell>
          <cell r="Y987">
            <v>256</v>
          </cell>
          <cell r="Z987">
            <v>333</v>
          </cell>
          <cell r="AA987">
            <v>324</v>
          </cell>
          <cell r="AB987">
            <v>329</v>
          </cell>
          <cell r="AC987">
            <v>347</v>
          </cell>
          <cell r="AD987">
            <v>331</v>
          </cell>
          <cell r="AE987">
            <v>255</v>
          </cell>
          <cell r="AF987">
            <v>256</v>
          </cell>
          <cell r="AG987">
            <v>262</v>
          </cell>
          <cell r="AH987">
            <v>269</v>
          </cell>
          <cell r="AI987">
            <v>270</v>
          </cell>
          <cell r="AJ987">
            <v>272</v>
          </cell>
        </row>
        <row r="988">
          <cell r="E988" t="str">
            <v>VT Industrial Ethanol</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5</v>
          </cell>
          <cell r="V988">
            <v>7</v>
          </cell>
          <cell r="W988">
            <v>8</v>
          </cell>
          <cell r="X988">
            <v>25</v>
          </cell>
          <cell r="Y988">
            <v>37</v>
          </cell>
          <cell r="Z988">
            <v>45</v>
          </cell>
          <cell r="AA988">
            <v>47</v>
          </cell>
          <cell r="AB988">
            <v>42</v>
          </cell>
          <cell r="AC988">
            <v>43</v>
          </cell>
          <cell r="AD988">
            <v>40</v>
          </cell>
          <cell r="AE988">
            <v>30</v>
          </cell>
          <cell r="AF988">
            <v>30</v>
          </cell>
          <cell r="AG988">
            <v>31</v>
          </cell>
          <cell r="AH988">
            <v>32</v>
          </cell>
          <cell r="AI988">
            <v>31</v>
          </cell>
          <cell r="AJ988">
            <v>31</v>
          </cell>
        </row>
        <row r="989">
          <cell r="E989" t="str">
            <v>WA Industrial Ethanol</v>
          </cell>
          <cell r="F989">
            <v>9</v>
          </cell>
          <cell r="G989">
            <v>12</v>
          </cell>
          <cell r="H989">
            <v>57</v>
          </cell>
          <cell r="I989">
            <v>62</v>
          </cell>
          <cell r="J989">
            <v>72</v>
          </cell>
          <cell r="K989">
            <v>24</v>
          </cell>
          <cell r="L989">
            <v>10</v>
          </cell>
          <cell r="M989">
            <v>21</v>
          </cell>
          <cell r="N989">
            <v>23</v>
          </cell>
          <cell r="O989">
            <v>20</v>
          </cell>
          <cell r="P989">
            <v>23</v>
          </cell>
          <cell r="Q989">
            <v>33</v>
          </cell>
          <cell r="R989">
            <v>100</v>
          </cell>
          <cell r="S989">
            <v>98</v>
          </cell>
          <cell r="T989">
            <v>37</v>
          </cell>
          <cell r="U989">
            <v>143</v>
          </cell>
          <cell r="V989">
            <v>162</v>
          </cell>
          <cell r="W989">
            <v>150</v>
          </cell>
          <cell r="X989">
            <v>245</v>
          </cell>
          <cell r="Y989">
            <v>272</v>
          </cell>
          <cell r="Z989">
            <v>311</v>
          </cell>
          <cell r="AA989">
            <v>328</v>
          </cell>
          <cell r="AB989">
            <v>309</v>
          </cell>
          <cell r="AC989">
            <v>321</v>
          </cell>
          <cell r="AD989">
            <v>310</v>
          </cell>
          <cell r="AE989">
            <v>360</v>
          </cell>
          <cell r="AF989">
            <v>351</v>
          </cell>
          <cell r="AG989">
            <v>361</v>
          </cell>
          <cell r="AH989">
            <v>365</v>
          </cell>
          <cell r="AI989">
            <v>369</v>
          </cell>
          <cell r="AJ989">
            <v>375</v>
          </cell>
        </row>
        <row r="990">
          <cell r="E990" t="str">
            <v>WI Industrial Ethanol</v>
          </cell>
          <cell r="F990">
            <v>11</v>
          </cell>
          <cell r="G990">
            <v>34</v>
          </cell>
          <cell r="H990">
            <v>24</v>
          </cell>
          <cell r="I990">
            <v>20</v>
          </cell>
          <cell r="J990">
            <v>23</v>
          </cell>
          <cell r="K990">
            <v>51</v>
          </cell>
          <cell r="L990">
            <v>77</v>
          </cell>
          <cell r="M990">
            <v>91</v>
          </cell>
          <cell r="N990">
            <v>33</v>
          </cell>
          <cell r="O990">
            <v>31</v>
          </cell>
          <cell r="P990">
            <v>36</v>
          </cell>
          <cell r="Q990">
            <v>139</v>
          </cell>
          <cell r="R990">
            <v>235</v>
          </cell>
          <cell r="S990">
            <v>199</v>
          </cell>
          <cell r="T990">
            <v>239</v>
          </cell>
          <cell r="U990">
            <v>395</v>
          </cell>
          <cell r="V990">
            <v>413</v>
          </cell>
          <cell r="W990">
            <v>431</v>
          </cell>
          <cell r="X990">
            <v>312</v>
          </cell>
          <cell r="Y990">
            <v>329</v>
          </cell>
          <cell r="Z990">
            <v>383</v>
          </cell>
          <cell r="AA990">
            <v>373</v>
          </cell>
          <cell r="AB990">
            <v>351</v>
          </cell>
          <cell r="AC990">
            <v>361</v>
          </cell>
          <cell r="AD990">
            <v>268</v>
          </cell>
          <cell r="AE990">
            <v>372</v>
          </cell>
          <cell r="AF990">
            <v>364</v>
          </cell>
          <cell r="AG990">
            <v>369</v>
          </cell>
          <cell r="AH990">
            <v>375</v>
          </cell>
          <cell r="AI990">
            <v>377</v>
          </cell>
          <cell r="AJ990">
            <v>381</v>
          </cell>
        </row>
        <row r="991">
          <cell r="E991" t="str">
            <v>WV Industrial Ethanol</v>
          </cell>
          <cell r="F991">
            <v>0</v>
          </cell>
          <cell r="G991">
            <v>0</v>
          </cell>
          <cell r="H991">
            <v>5</v>
          </cell>
          <cell r="I991">
            <v>2</v>
          </cell>
          <cell r="J991">
            <v>2</v>
          </cell>
          <cell r="K991">
            <v>1</v>
          </cell>
          <cell r="L991">
            <v>0</v>
          </cell>
          <cell r="M991">
            <v>0</v>
          </cell>
          <cell r="N991">
            <v>0</v>
          </cell>
          <cell r="O991">
            <v>0</v>
          </cell>
          <cell r="P991">
            <v>0</v>
          </cell>
          <cell r="Q991">
            <v>7</v>
          </cell>
          <cell r="R991">
            <v>18</v>
          </cell>
          <cell r="S991">
            <v>25</v>
          </cell>
          <cell r="T991">
            <v>31</v>
          </cell>
          <cell r="U991">
            <v>8</v>
          </cell>
          <cell r="V991">
            <v>11</v>
          </cell>
          <cell r="W991">
            <v>13</v>
          </cell>
          <cell r="X991">
            <v>65</v>
          </cell>
          <cell r="Y991">
            <v>80</v>
          </cell>
          <cell r="Z991">
            <v>59</v>
          </cell>
          <cell r="AA991">
            <v>60</v>
          </cell>
          <cell r="AB991">
            <v>63</v>
          </cell>
          <cell r="AC991">
            <v>66</v>
          </cell>
          <cell r="AD991">
            <v>51</v>
          </cell>
          <cell r="AE991">
            <v>90</v>
          </cell>
          <cell r="AF991">
            <v>93</v>
          </cell>
          <cell r="AG991">
            <v>97</v>
          </cell>
          <cell r="AH991">
            <v>98</v>
          </cell>
          <cell r="AI991">
            <v>98</v>
          </cell>
          <cell r="AJ991">
            <v>97</v>
          </cell>
        </row>
        <row r="992">
          <cell r="E992" t="str">
            <v>WY Industrial Ethanol</v>
          </cell>
          <cell r="F992">
            <v>5</v>
          </cell>
          <cell r="G992">
            <v>20</v>
          </cell>
          <cell r="H992">
            <v>31</v>
          </cell>
          <cell r="I992">
            <v>28</v>
          </cell>
          <cell r="J992">
            <v>33</v>
          </cell>
          <cell r="K992">
            <v>26</v>
          </cell>
          <cell r="L992">
            <v>10</v>
          </cell>
          <cell r="M992">
            <v>1</v>
          </cell>
          <cell r="N992">
            <v>0</v>
          </cell>
          <cell r="O992">
            <v>0</v>
          </cell>
          <cell r="P992">
            <v>0</v>
          </cell>
          <cell r="Q992">
            <v>0</v>
          </cell>
          <cell r="R992">
            <v>0</v>
          </cell>
          <cell r="S992">
            <v>0</v>
          </cell>
          <cell r="T992">
            <v>0</v>
          </cell>
          <cell r="U992">
            <v>33</v>
          </cell>
          <cell r="V992">
            <v>34</v>
          </cell>
          <cell r="W992">
            <v>36</v>
          </cell>
          <cell r="X992">
            <v>42</v>
          </cell>
          <cell r="Y992">
            <v>49</v>
          </cell>
          <cell r="Z992">
            <v>45</v>
          </cell>
          <cell r="AA992">
            <v>53</v>
          </cell>
          <cell r="AB992">
            <v>58</v>
          </cell>
          <cell r="AC992">
            <v>63</v>
          </cell>
          <cell r="AD992">
            <v>39</v>
          </cell>
          <cell r="AE992">
            <v>82</v>
          </cell>
          <cell r="AF992">
            <v>84</v>
          </cell>
          <cell r="AG992">
            <v>85</v>
          </cell>
          <cell r="AH992">
            <v>86</v>
          </cell>
          <cell r="AI992">
            <v>89</v>
          </cell>
          <cell r="AJ992">
            <v>89</v>
          </cell>
        </row>
        <row r="993">
          <cell r="E993" t="str">
            <v>AK Industrial Feedstocks, Naphtha less than 401 F</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row>
        <row r="994">
          <cell r="E994" t="str">
            <v>AL Industrial Feedstocks, Naphtha less than 401 F</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row>
        <row r="995">
          <cell r="E995" t="str">
            <v>AR Industrial Feedstocks, Naphtha less than 401 F</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row>
        <row r="996">
          <cell r="E996" t="str">
            <v>AZ Industrial Feedstocks, Naphtha less than 401 F</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row>
        <row r="997">
          <cell r="E997" t="str">
            <v>CA Industrial Feedstocks, Naphtha less than 401 F</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row>
        <row r="998">
          <cell r="E998" t="str">
            <v>CO Industrial Feedstocks, Naphtha less than 401 F</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row>
        <row r="999">
          <cell r="E999" t="str">
            <v>CT Industrial Feedstocks, Naphtha less than 401 F</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row>
        <row r="1000">
          <cell r="E1000" t="str">
            <v>DC Industrial Feedstocks, Naphtha less than 401 F</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row>
        <row r="1001">
          <cell r="E1001" t="str">
            <v>DE Industrial Feedstocks, Naphtha less than 401 F</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row>
        <row r="1002">
          <cell r="E1002" t="str">
            <v>FL Industrial Feedstocks, Naphtha less than 401 F</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row>
        <row r="1003">
          <cell r="E1003" t="str">
            <v>GA Industrial Feedstocks, Naphtha less than 401 F</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row>
        <row r="1004">
          <cell r="E1004" t="str">
            <v>HI Industrial Feedstocks, Naphtha less than 401 F</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row>
        <row r="1005">
          <cell r="E1005" t="str">
            <v>IA Industrial Feedstocks, Naphtha less than 401 F</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row>
        <row r="1006">
          <cell r="E1006" t="str">
            <v>ID Industrial Feedstocks, Naphtha less than 401 F</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row>
        <row r="1007">
          <cell r="E1007" t="str">
            <v>IL Industrial Feedstocks, Naphtha less than 401 F</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row>
        <row r="1008">
          <cell r="E1008" t="str">
            <v>IN Industrial Feedstocks, Naphtha less than 401 F</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row>
        <row r="1009">
          <cell r="E1009" t="str">
            <v>KS Industrial Feedstocks, Naphtha less than 401 F</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row>
        <row r="1010">
          <cell r="E1010" t="str">
            <v>KY Industrial Feedstocks, Naphtha less than 401 F</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row>
        <row r="1011">
          <cell r="E1011" t="str">
            <v>LA Industrial Feedstocks, Naphtha less than 401 F</v>
          </cell>
          <cell r="F1011">
            <v>135525</v>
          </cell>
          <cell r="G1011">
            <v>116489</v>
          </cell>
          <cell r="H1011">
            <v>146953</v>
          </cell>
          <cell r="I1011">
            <v>136613</v>
          </cell>
          <cell r="J1011">
            <v>155218</v>
          </cell>
          <cell r="K1011">
            <v>145331</v>
          </cell>
          <cell r="L1011">
            <v>186770</v>
          </cell>
          <cell r="M1011">
            <v>209007</v>
          </cell>
          <cell r="N1011">
            <v>222912</v>
          </cell>
          <cell r="O1011">
            <v>185945</v>
          </cell>
          <cell r="P1011">
            <v>192150</v>
          </cell>
          <cell r="Q1011">
            <v>128951</v>
          </cell>
          <cell r="R1011">
            <v>125315</v>
          </cell>
          <cell r="S1011">
            <v>126356</v>
          </cell>
          <cell r="T1011">
            <v>147977</v>
          </cell>
          <cell r="U1011">
            <v>132379</v>
          </cell>
          <cell r="V1011">
            <v>114290</v>
          </cell>
          <cell r="W1011">
            <v>98015</v>
          </cell>
          <cell r="X1011">
            <v>79700</v>
          </cell>
          <cell r="Y1011">
            <v>71966</v>
          </cell>
          <cell r="Z1011">
            <v>68213</v>
          </cell>
          <cell r="AA1011">
            <v>67761</v>
          </cell>
          <cell r="AB1011">
            <v>63118</v>
          </cell>
          <cell r="AC1011">
            <v>72005</v>
          </cell>
          <cell r="AD1011">
            <v>65019</v>
          </cell>
          <cell r="AE1011">
            <v>62882</v>
          </cell>
          <cell r="AF1011">
            <v>61701</v>
          </cell>
          <cell r="AG1011">
            <v>64074</v>
          </cell>
          <cell r="AH1011">
            <v>65677</v>
          </cell>
          <cell r="AI1011">
            <v>58274</v>
          </cell>
          <cell r="AJ1011">
            <v>52092</v>
          </cell>
        </row>
        <row r="1012">
          <cell r="E1012" t="str">
            <v>MA Industrial Feedstocks, Naphtha less than 401 F</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row>
        <row r="1013">
          <cell r="E1013" t="str">
            <v>MD Industrial Feedstocks, Naphtha less than 401 F</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row>
        <row r="1014">
          <cell r="E1014" t="str">
            <v>ME Industrial Feedstocks, Naphtha less than 401 F</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row>
        <row r="1015">
          <cell r="E1015" t="str">
            <v>MI Industrial Feedstocks, Naphtha less than 401 F</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row>
        <row r="1016">
          <cell r="E1016" t="str">
            <v>MN Industrial Feedstocks, Naphtha less than 401 F</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row>
        <row r="1017">
          <cell r="E1017" t="str">
            <v>MO Industrial Feedstocks, Naphtha less than 401 F</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row>
        <row r="1018">
          <cell r="E1018" t="str">
            <v>MS Industrial Feedstocks, Naphtha less than 401 F</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row>
        <row r="1019">
          <cell r="E1019" t="str">
            <v>MT Industrial Feedstocks, Naphtha less than 401 F</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row>
        <row r="1020">
          <cell r="E1020" t="str">
            <v>NC Industrial Feedstocks, Naphtha less than 401 F</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row>
        <row r="1021">
          <cell r="E1021" t="str">
            <v>ND Industrial Feedstocks, Naphtha less than 401 F</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row>
        <row r="1022">
          <cell r="E1022" t="str">
            <v>NE Industrial Feedstocks, Naphtha less than 401 F</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row>
        <row r="1023">
          <cell r="E1023" t="str">
            <v>NH Industrial Feedstocks, Naphtha less than 401 F</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row>
        <row r="1024">
          <cell r="E1024" t="str">
            <v>NJ Industrial Feedstocks, Naphtha less than 401 F</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row>
        <row r="1025">
          <cell r="E1025" t="str">
            <v>NM Industrial Feedstocks, Naphtha less than 401 F</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row>
        <row r="1026">
          <cell r="E1026" t="str">
            <v>NV Industrial Feedstocks, Naphtha less than 401 F</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row>
        <row r="1027">
          <cell r="E1027" t="str">
            <v>NY Industrial Feedstocks, Naphtha less than 401 F</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row>
        <row r="1028">
          <cell r="E1028" t="str">
            <v>OH Industrial Feedstocks, Naphtha less than 401 F</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row>
        <row r="1029">
          <cell r="E1029" t="str">
            <v>OK Industrial Feedstocks, Naphtha less than 401 F</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row>
        <row r="1030">
          <cell r="E1030" t="str">
            <v>OR Industrial Feedstocks, Naphtha less than 401 F</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row>
        <row r="1031">
          <cell r="E1031" t="str">
            <v>PA Industrial Feedstocks, Naphtha less than 401 F</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row>
        <row r="1032">
          <cell r="E1032" t="str">
            <v>RI Industrial Feedstocks, Naphtha less than 401 F</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row>
        <row r="1033">
          <cell r="E1033" t="str">
            <v>SC Industrial Feedstocks, Naphtha less than 401 F</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row>
        <row r="1034">
          <cell r="E1034" t="str">
            <v>SD Industrial Feedstocks, Naphtha less than 401 F</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row>
        <row r="1035">
          <cell r="E1035" t="str">
            <v>TN Industrial Feedstocks, Naphtha less than 401 F</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row>
        <row r="1036">
          <cell r="E1036" t="str">
            <v>TX Industrial Feedstocks, Naphtha less than 401 F</v>
          </cell>
          <cell r="F1036">
            <v>212275</v>
          </cell>
          <cell r="G1036">
            <v>182458</v>
          </cell>
          <cell r="H1036">
            <v>230174</v>
          </cell>
          <cell r="I1036">
            <v>213979</v>
          </cell>
          <cell r="J1036">
            <v>243121</v>
          </cell>
          <cell r="K1036">
            <v>227634</v>
          </cell>
          <cell r="L1036">
            <v>292540</v>
          </cell>
          <cell r="M1036">
            <v>327370</v>
          </cell>
          <cell r="N1036">
            <v>361080</v>
          </cell>
          <cell r="O1036">
            <v>316131</v>
          </cell>
          <cell r="P1036">
            <v>421383</v>
          </cell>
          <cell r="Q1036">
            <v>364765</v>
          </cell>
          <cell r="R1036">
            <v>457240</v>
          </cell>
          <cell r="S1036">
            <v>486600</v>
          </cell>
          <cell r="T1036">
            <v>601453</v>
          </cell>
          <cell r="U1036">
            <v>566287</v>
          </cell>
          <cell r="V1036">
            <v>514562</v>
          </cell>
          <cell r="W1036">
            <v>464440</v>
          </cell>
          <cell r="X1036">
            <v>397474</v>
          </cell>
          <cell r="Y1036">
            <v>399903</v>
          </cell>
          <cell r="Z1036">
            <v>422359</v>
          </cell>
          <cell r="AA1036">
            <v>419558</v>
          </cell>
          <cell r="AB1036">
            <v>390803</v>
          </cell>
          <cell r="AC1036">
            <v>445831</v>
          </cell>
          <cell r="AD1036">
            <v>377587</v>
          </cell>
          <cell r="AE1036">
            <v>365177</v>
          </cell>
          <cell r="AF1036">
            <v>358322</v>
          </cell>
          <cell r="AG1036">
            <v>372103</v>
          </cell>
          <cell r="AH1036">
            <v>381410</v>
          </cell>
          <cell r="AI1036">
            <v>338417</v>
          </cell>
          <cell r="AJ1036">
            <v>302516</v>
          </cell>
        </row>
        <row r="1037">
          <cell r="E1037" t="str">
            <v>US Industrial Feedstocks, Naphtha less than 401 F</v>
          </cell>
          <cell r="F1037">
            <v>347801</v>
          </cell>
          <cell r="G1037">
            <v>298947</v>
          </cell>
          <cell r="H1037">
            <v>377127</v>
          </cell>
          <cell r="I1037">
            <v>350593</v>
          </cell>
          <cell r="J1037">
            <v>398339</v>
          </cell>
          <cell r="K1037">
            <v>372965</v>
          </cell>
          <cell r="L1037">
            <v>479310</v>
          </cell>
          <cell r="M1037">
            <v>536377</v>
          </cell>
          <cell r="N1037">
            <v>583992</v>
          </cell>
          <cell r="O1037">
            <v>502076</v>
          </cell>
          <cell r="P1037">
            <v>613533</v>
          </cell>
          <cell r="Q1037">
            <v>493716</v>
          </cell>
          <cell r="R1037">
            <v>582554</v>
          </cell>
          <cell r="S1037">
            <v>612956</v>
          </cell>
          <cell r="T1037">
            <v>749430</v>
          </cell>
          <cell r="U1037">
            <v>698666</v>
          </cell>
          <cell r="V1037">
            <v>628852</v>
          </cell>
          <cell r="W1037">
            <v>562454</v>
          </cell>
          <cell r="X1037">
            <v>477174</v>
          </cell>
          <cell r="Y1037">
            <v>471869</v>
          </cell>
          <cell r="Z1037">
            <v>490573</v>
          </cell>
          <cell r="AA1037">
            <v>487319</v>
          </cell>
          <cell r="AB1037">
            <v>453921</v>
          </cell>
          <cell r="AC1037">
            <v>517836</v>
          </cell>
          <cell r="AD1037">
            <v>442606</v>
          </cell>
          <cell r="AE1037">
            <v>428058</v>
          </cell>
          <cell r="AF1037">
            <v>420024</v>
          </cell>
          <cell r="AG1037">
            <v>436177</v>
          </cell>
          <cell r="AH1037">
            <v>447088</v>
          </cell>
          <cell r="AI1037">
            <v>396691</v>
          </cell>
          <cell r="AJ1037">
            <v>354607</v>
          </cell>
        </row>
        <row r="1038">
          <cell r="E1038" t="str">
            <v>UT Industrial Feedstocks, Naphtha less than 401 F</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row>
        <row r="1039">
          <cell r="E1039" t="str">
            <v>VA Industrial Feedstocks, Naphtha less than 401 F</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row>
        <row r="1040">
          <cell r="E1040" t="str">
            <v>VT Industrial Feedstocks, Naphtha less than 401 F</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row>
        <row r="1041">
          <cell r="E1041" t="str">
            <v>WA Industrial Feedstocks, Naphtha less than 401 F</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E1042" t="str">
            <v>WI Industrial Feedstocks, Naphtha less than 401 F</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E1043" t="str">
            <v>WV Industrial Feedstocks, Naphtha less than 401 F</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row>
        <row r="1044">
          <cell r="E1044" t="str">
            <v>WY Industrial Feedstocks, Naphtha less than 401 F</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row>
        <row r="1045">
          <cell r="E1045" t="str">
            <v>AK Industrial Feedstocks, Other Oils greater than 401 F</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row>
        <row r="1046">
          <cell r="E1046" t="str">
            <v>AL Industrial Feedstocks, Other Oils greater than 401 F</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row>
        <row r="1047">
          <cell r="E1047" t="str">
            <v>AR Industrial Feedstocks, Other Oils greater than 401 F</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row>
        <row r="1048">
          <cell r="E1048" t="str">
            <v>AZ Industrial Feedstocks, Other Oils greater than 401 F</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row>
        <row r="1049">
          <cell r="E1049" t="str">
            <v>CA Industrial Feedstocks, Other Oils greater than 401 F</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row>
        <row r="1050">
          <cell r="E1050" t="str">
            <v>CO Industrial Feedstocks, Other Oils greater than 401 F</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row>
        <row r="1051">
          <cell r="E1051" t="str">
            <v>CT Industrial Feedstocks, Other Oils greater than 401 F</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row>
        <row r="1052">
          <cell r="E1052" t="str">
            <v>DC Industrial Feedstocks, Other Oils greater than 401 F</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row>
        <row r="1053">
          <cell r="E1053" t="str">
            <v>DE Industrial Feedstocks, Other Oils greater than 401 F</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row>
        <row r="1054">
          <cell r="E1054" t="str">
            <v>FL Industrial Feedstocks, Other Oils greater than 401 F</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row>
        <row r="1055">
          <cell r="E1055" t="str">
            <v>GA Industrial Feedstocks, Other Oils greater than 401 F</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row>
        <row r="1056">
          <cell r="E1056" t="str">
            <v>HI Industrial Feedstocks, Other Oils greater than 401 F</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row>
        <row r="1057">
          <cell r="E1057" t="str">
            <v>IA Industrial Feedstocks, Other Oils greater than 401 F</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row>
        <row r="1058">
          <cell r="E1058" t="str">
            <v>ID Industrial Feedstocks, Other Oils greater than 401 F</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row>
        <row r="1059">
          <cell r="E1059" t="str">
            <v>IL Industrial Feedstocks, Other Oils greater than 401 F</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row>
        <row r="1060">
          <cell r="E1060" t="str">
            <v>IN Industrial Feedstocks, Other Oils greater than 401 F</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row>
        <row r="1061">
          <cell r="E1061" t="str">
            <v>KS Industrial Feedstocks, Other Oils greater than 401 F</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row>
        <row r="1062">
          <cell r="E1062" t="str">
            <v>KY Industrial Feedstocks, Other Oils greater than 401 F</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row>
        <row r="1063">
          <cell r="E1063" t="str">
            <v>LA Industrial Feedstocks, Other Oils greater than 401 F</v>
          </cell>
          <cell r="F1063">
            <v>223445</v>
          </cell>
          <cell r="G1063">
            <v>245191</v>
          </cell>
          <cell r="H1063">
            <v>241403</v>
          </cell>
          <cell r="I1063">
            <v>250164</v>
          </cell>
          <cell r="J1063">
            <v>248554</v>
          </cell>
          <cell r="K1063">
            <v>237401</v>
          </cell>
          <cell r="L1063">
            <v>216250</v>
          </cell>
          <cell r="M1063">
            <v>255252</v>
          </cell>
          <cell r="N1063">
            <v>239331</v>
          </cell>
          <cell r="O1063">
            <v>263918</v>
          </cell>
          <cell r="P1063">
            <v>282826</v>
          </cell>
          <cell r="Q1063">
            <v>306167</v>
          </cell>
          <cell r="R1063">
            <v>337679</v>
          </cell>
          <cell r="S1063">
            <v>412384</v>
          </cell>
          <cell r="T1063">
            <v>501101</v>
          </cell>
          <cell r="U1063">
            <v>470058</v>
          </cell>
          <cell r="V1063">
            <v>541113</v>
          </cell>
          <cell r="W1063">
            <v>652687</v>
          </cell>
          <cell r="X1063">
            <v>647763</v>
          </cell>
          <cell r="Y1063">
            <v>424776</v>
          </cell>
          <cell r="Z1063">
            <v>452521</v>
          </cell>
          <cell r="AA1063">
            <v>388528</v>
          </cell>
          <cell r="AB1063">
            <v>287242</v>
          </cell>
          <cell r="AC1063">
            <v>223919</v>
          </cell>
          <cell r="AD1063">
            <v>247225</v>
          </cell>
          <cell r="AE1063">
            <v>229039</v>
          </cell>
          <cell r="AF1063">
            <v>222457</v>
          </cell>
          <cell r="AG1063">
            <v>262929</v>
          </cell>
          <cell r="AH1063">
            <v>239081</v>
          </cell>
          <cell r="AI1063">
            <v>234089</v>
          </cell>
          <cell r="AJ1063">
            <v>217010</v>
          </cell>
        </row>
        <row r="1064">
          <cell r="E1064" t="str">
            <v>MA Industrial Feedstocks, Other Oils greater than 401 F</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row>
        <row r="1065">
          <cell r="E1065" t="str">
            <v>MD Industrial Feedstocks, Other Oils greater than 401 F</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row>
        <row r="1066">
          <cell r="E1066" t="str">
            <v>ME Industrial Feedstocks, Other Oils greater than 401 F</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row>
        <row r="1067">
          <cell r="E1067" t="str">
            <v>MI Industrial Feedstocks, Other Oils greater than 401 F</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row>
        <row r="1068">
          <cell r="E1068" t="str">
            <v>MN Industrial Feedstocks, Other Oils greater than 401 F</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row>
        <row r="1069">
          <cell r="E1069" t="str">
            <v>MO Industrial Feedstocks, Other Oils greater than 401 F</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row>
        <row r="1070">
          <cell r="E1070" t="str">
            <v>MS Industrial Feedstocks, Other Oils greater than 401 F</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row>
        <row r="1071">
          <cell r="E1071" t="str">
            <v>MT Industrial Feedstocks, Other Oils greater than 401 F</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row>
        <row r="1072">
          <cell r="E1072" t="str">
            <v>NC Industrial Feedstocks, Other Oils greater than 401 F</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row>
        <row r="1073">
          <cell r="E1073" t="str">
            <v>ND Industrial Feedstocks, Other Oils greater than 401 F</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row>
        <row r="1074">
          <cell r="E1074" t="str">
            <v>NE Industrial Feedstocks, Other Oils greater than 401 F</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row>
        <row r="1075">
          <cell r="E1075" t="str">
            <v>NH Industrial Feedstocks, Other Oils greater than 401 F</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row>
        <row r="1076">
          <cell r="E1076" t="str">
            <v>NJ Industrial Feedstocks, Other Oils greater than 401 F</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row>
        <row r="1077">
          <cell r="E1077" t="str">
            <v>NM Industrial Feedstocks, Other Oils greater than 401 F</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row>
        <row r="1078">
          <cell r="E1078" t="str">
            <v>NV Industrial Feedstocks, Other Oils greater than 401 F</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row>
        <row r="1079">
          <cell r="E1079" t="str">
            <v>NY Industrial Feedstocks, Other Oils greater than 401 F</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row>
        <row r="1080">
          <cell r="E1080" t="str">
            <v>OH Industrial Feedstocks, Other Oils greater than 401 F</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row>
        <row r="1081">
          <cell r="E1081" t="str">
            <v>OK Industrial Feedstocks, Other Oils greater than 401 F</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row>
        <row r="1082">
          <cell r="E1082" t="str">
            <v>OR Industrial Feedstocks, Other Oils greater than 401 F</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row>
        <row r="1083">
          <cell r="E1083" t="str">
            <v>PA Industrial Feedstocks, Other Oils greater than 401 F</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row>
        <row r="1084">
          <cell r="E1084" t="str">
            <v>RI Industrial Feedstocks, Other Oils greater than 401 F</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row>
        <row r="1085">
          <cell r="E1085" t="str">
            <v>SC Industrial Feedstocks, Other Oils greater than 401 F</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row>
        <row r="1086">
          <cell r="E1086" t="str">
            <v>SD Industrial Feedstocks, Other Oils greater than 401 F</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row>
        <row r="1087">
          <cell r="E1087" t="str">
            <v>TN Industrial Feedstocks, Other Oils greater than 401 F</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row>
        <row r="1088">
          <cell r="E1088" t="str">
            <v>TX Industrial Feedstocks, Other Oils greater than 401 F</v>
          </cell>
          <cell r="F1088">
            <v>530479</v>
          </cell>
          <cell r="G1088">
            <v>582105</v>
          </cell>
          <cell r="H1088">
            <v>573113</v>
          </cell>
          <cell r="I1088">
            <v>593913</v>
          </cell>
          <cell r="J1088">
            <v>590089</v>
          </cell>
          <cell r="K1088">
            <v>563612</v>
          </cell>
          <cell r="L1088">
            <v>513396</v>
          </cell>
          <cell r="M1088">
            <v>605992</v>
          </cell>
          <cell r="N1088">
            <v>579337</v>
          </cell>
          <cell r="O1088">
            <v>547225</v>
          </cell>
          <cell r="P1088">
            <v>439328</v>
          </cell>
          <cell r="Q1088">
            <v>356287</v>
          </cell>
          <cell r="R1088">
            <v>294386</v>
          </cell>
          <cell r="S1088">
            <v>286994</v>
          </cell>
          <cell r="T1088">
            <v>278389</v>
          </cell>
          <cell r="U1088">
            <v>237924</v>
          </cell>
          <cell r="V1088">
            <v>249526</v>
          </cell>
          <cell r="W1088">
            <v>91404</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row>
        <row r="1089">
          <cell r="E1089" t="str">
            <v>US Industrial Feedstocks, Other Oils greater than 401 F</v>
          </cell>
          <cell r="F1089">
            <v>753924</v>
          </cell>
          <cell r="G1089">
            <v>827296</v>
          </cell>
          <cell r="H1089">
            <v>814516</v>
          </cell>
          <cell r="I1089">
            <v>844077</v>
          </cell>
          <cell r="J1089">
            <v>838643</v>
          </cell>
          <cell r="K1089">
            <v>801013</v>
          </cell>
          <cell r="L1089">
            <v>729645</v>
          </cell>
          <cell r="M1089">
            <v>861244</v>
          </cell>
          <cell r="N1089">
            <v>818669</v>
          </cell>
          <cell r="O1089">
            <v>811143</v>
          </cell>
          <cell r="P1089">
            <v>722154</v>
          </cell>
          <cell r="Q1089">
            <v>662454</v>
          </cell>
          <cell r="R1089">
            <v>632065</v>
          </cell>
          <cell r="S1089">
            <v>699379</v>
          </cell>
          <cell r="T1089">
            <v>779490</v>
          </cell>
          <cell r="U1089">
            <v>707982</v>
          </cell>
          <cell r="V1089">
            <v>790639</v>
          </cell>
          <cell r="W1089">
            <v>744091</v>
          </cell>
          <cell r="X1089">
            <v>647763</v>
          </cell>
          <cell r="Y1089">
            <v>424776</v>
          </cell>
          <cell r="Z1089">
            <v>452521</v>
          </cell>
          <cell r="AA1089">
            <v>388528</v>
          </cell>
          <cell r="AB1089">
            <v>287242</v>
          </cell>
          <cell r="AC1089">
            <v>223919</v>
          </cell>
          <cell r="AD1089">
            <v>247225</v>
          </cell>
          <cell r="AE1089">
            <v>229039</v>
          </cell>
          <cell r="AF1089">
            <v>222457</v>
          </cell>
          <cell r="AG1089">
            <v>262929</v>
          </cell>
          <cell r="AH1089">
            <v>239081</v>
          </cell>
          <cell r="AI1089">
            <v>234089</v>
          </cell>
          <cell r="AJ1089">
            <v>217010</v>
          </cell>
        </row>
        <row r="1090">
          <cell r="E1090" t="str">
            <v>UT Industrial Feedstocks, Other Oils greater than 401 F</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row>
        <row r="1091">
          <cell r="E1091" t="str">
            <v>VA Industrial Feedstocks, Other Oils greater than 401 F</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row>
        <row r="1092">
          <cell r="E1092" t="str">
            <v>VT Industrial Feedstocks, Other Oils greater than 401 F</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row>
        <row r="1093">
          <cell r="E1093" t="str">
            <v>WA Industrial Feedstocks, Other Oils greater than 401 F</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row>
        <row r="1094">
          <cell r="E1094" t="str">
            <v>WI Industrial Feedstocks, Other Oils greater than 401 F</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row>
        <row r="1095">
          <cell r="E1095" t="str">
            <v>WV Industrial Feedstocks, Other Oils greater than 401 F</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row>
        <row r="1096">
          <cell r="E1096" t="str">
            <v>WY Industrial Feedstocks, Other Oils greater than 401 F</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row>
        <row r="1097">
          <cell r="E1097" t="str">
            <v>AK Industrial Feedstocks, Still Gas</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row>
        <row r="1098">
          <cell r="E1098" t="str">
            <v>AL Industrial Feedstocks, Still Gas</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row>
        <row r="1099">
          <cell r="E1099" t="str">
            <v>AR Industrial Feedstocks, Still Gas</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row>
        <row r="1100">
          <cell r="E1100" t="str">
            <v>AZ Industrial Feedstocks, Still Gas</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row>
        <row r="1101">
          <cell r="E1101" t="str">
            <v>CA Industrial Feedstocks, Still Gas</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row>
        <row r="1102">
          <cell r="E1102" t="str">
            <v>CO Industrial Feedstocks, Still Gas</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row>
        <row r="1103">
          <cell r="E1103" t="str">
            <v>CT Industrial Feedstocks, Still Gas</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row>
        <row r="1104">
          <cell r="E1104" t="str">
            <v>DC Industrial Feedstocks, Still Gas</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row>
        <row r="1105">
          <cell r="E1105" t="str">
            <v>DE Industrial Feedstocks, Still Gas</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row>
        <row r="1106">
          <cell r="E1106" t="str">
            <v>FL Industrial Feedstocks, Still Gas</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row>
        <row r="1107">
          <cell r="E1107" t="str">
            <v>GA Industrial Feedstocks, Still Gas</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row>
        <row r="1108">
          <cell r="E1108" t="str">
            <v>HI Industrial Feedstocks, Still Gas</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row>
        <row r="1109">
          <cell r="E1109" t="str">
            <v>IA Industrial Feedstocks, Still Gas</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row>
        <row r="1110">
          <cell r="E1110" t="str">
            <v>ID Industrial Feedstocks, Still Gas</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row>
        <row r="1111">
          <cell r="E1111" t="str">
            <v>IL Industrial Feedstocks, Still Gas</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row>
        <row r="1112">
          <cell r="E1112" t="str">
            <v>IN Industrial Feedstocks, Still Gas</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row>
        <row r="1113">
          <cell r="E1113" t="str">
            <v>KS Industrial Feedstocks, Still Gas</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row>
        <row r="1114">
          <cell r="E1114" t="str">
            <v>KY Industrial Feedstocks, Still Gas</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row>
        <row r="1115">
          <cell r="E1115" t="str">
            <v>LA Industrial Feedstocks, Still Gas</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row>
        <row r="1116">
          <cell r="E1116" t="str">
            <v>MA Industrial Feedstocks, Still Gas</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row>
        <row r="1117">
          <cell r="E1117" t="str">
            <v>MD Industrial Feedstocks, Still Gas</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row>
        <row r="1118">
          <cell r="E1118" t="str">
            <v>ME Industrial Feedstocks, Still Gas</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row>
        <row r="1119">
          <cell r="E1119" t="str">
            <v>MI Industrial Feedstocks, Still Gas</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row>
        <row r="1120">
          <cell r="E1120" t="str">
            <v>MN Industrial Feedstocks, Still Gas</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row>
        <row r="1121">
          <cell r="E1121" t="str">
            <v>MO Industrial Feedstocks, Still Gas</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row>
        <row r="1122">
          <cell r="E1122" t="str">
            <v>MS Industrial Feedstocks, Still Gas</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row>
        <row r="1123">
          <cell r="E1123" t="str">
            <v>MT Industrial Feedstocks, Still Gas</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row>
        <row r="1124">
          <cell r="E1124" t="str">
            <v>NC Industrial Feedstocks, Still Gas</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row>
        <row r="1125">
          <cell r="E1125" t="str">
            <v>ND Industrial Feedstocks, Still Gas</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row>
        <row r="1126">
          <cell r="E1126" t="str">
            <v>NE Industrial Feedstocks, Still Gas</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row>
        <row r="1127">
          <cell r="E1127" t="str">
            <v>NH Industrial Feedstocks, Still Gas</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row>
        <row r="1128">
          <cell r="E1128" t="str">
            <v>NJ Industrial Feedstocks, Still Gas</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row>
        <row r="1129">
          <cell r="E1129" t="str">
            <v>NM Industrial Feedstocks, Still Gas</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row>
        <row r="1130">
          <cell r="E1130" t="str">
            <v>NV Industrial Feedstocks, Still Gas</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row>
        <row r="1131">
          <cell r="E1131" t="str">
            <v>NY Industrial Feedstocks, Still Gas</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row>
        <row r="1132">
          <cell r="E1132" t="str">
            <v>OH Industrial Feedstocks, Still Gas</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row>
        <row r="1133">
          <cell r="E1133" t="str">
            <v>OK Industrial Feedstocks, Still Gas</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row>
        <row r="1134">
          <cell r="E1134" t="str">
            <v>OR Industrial Feedstocks, Still Gas</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row>
        <row r="1135">
          <cell r="E1135" t="str">
            <v>PA Industrial Feedstocks, Still Gas</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row>
        <row r="1136">
          <cell r="E1136" t="str">
            <v>RI Industrial Feedstocks, Still Gas</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row>
        <row r="1137">
          <cell r="E1137" t="str">
            <v>SC Industrial Feedstocks, Still Gas</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row>
        <row r="1138">
          <cell r="E1138" t="str">
            <v>SD Industrial Feedstocks, Still Gas</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row>
        <row r="1139">
          <cell r="E1139" t="str">
            <v>TN Industrial Feedstocks, Still Gas</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row>
        <row r="1140">
          <cell r="E1140" t="str">
            <v>TX Industrial Feedstocks, Still Gas</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row>
        <row r="1141">
          <cell r="E1141" t="str">
            <v>US Industrial Feedstocks, Still Gas</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row>
        <row r="1142">
          <cell r="E1142" t="str">
            <v>UT Industrial Feedstocks, Still Gas</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row>
        <row r="1143">
          <cell r="E1143" t="str">
            <v>VA Industrial Feedstocks, Still Gas</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row>
        <row r="1144">
          <cell r="E1144" t="str">
            <v>VT Industrial Feedstocks, Still Gas</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row>
        <row r="1145">
          <cell r="E1145" t="str">
            <v>WA Industrial Feedstocks, Still Gas</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row>
        <row r="1146">
          <cell r="E1146" t="str">
            <v>WI Industrial Feedstocks, Still Gas</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row>
        <row r="1147">
          <cell r="E1147" t="str">
            <v>WV Industrial Feedstocks, Still Gas</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row>
        <row r="1148">
          <cell r="E1148" t="str">
            <v>WY Industrial Feedstocks, Still Gas</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row>
        <row r="1149">
          <cell r="E1149" t="str">
            <v>AK Transportation Jet Fuel, Total</v>
          </cell>
          <cell r="F1149">
            <v>97938</v>
          </cell>
          <cell r="G1149">
            <v>96115</v>
          </cell>
          <cell r="H1149">
            <v>82920</v>
          </cell>
          <cell r="I1149">
            <v>83243</v>
          </cell>
          <cell r="J1149">
            <v>91158</v>
          </cell>
          <cell r="K1149">
            <v>95925</v>
          </cell>
          <cell r="L1149">
            <v>105753</v>
          </cell>
          <cell r="M1149">
            <v>119680</v>
          </cell>
          <cell r="N1149">
            <v>124199</v>
          </cell>
          <cell r="O1149">
            <v>134117</v>
          </cell>
          <cell r="P1149">
            <v>146698</v>
          </cell>
          <cell r="Q1149">
            <v>137600</v>
          </cell>
          <cell r="R1149">
            <v>143166</v>
          </cell>
          <cell r="S1149">
            <v>155158</v>
          </cell>
          <cell r="T1149">
            <v>175506</v>
          </cell>
          <cell r="U1149">
            <v>181100</v>
          </cell>
          <cell r="V1149">
            <v>180003</v>
          </cell>
          <cell r="W1149">
            <v>164732</v>
          </cell>
          <cell r="X1149">
            <v>135044</v>
          </cell>
          <cell r="Y1149">
            <v>106292</v>
          </cell>
          <cell r="Z1149">
            <v>112547</v>
          </cell>
          <cell r="AA1149">
            <v>103430</v>
          </cell>
          <cell r="AB1149">
            <v>93339</v>
          </cell>
          <cell r="AC1149">
            <v>86993</v>
          </cell>
          <cell r="AD1149">
            <v>87257</v>
          </cell>
          <cell r="AE1149">
            <v>93338</v>
          </cell>
          <cell r="AF1149">
            <v>90867</v>
          </cell>
          <cell r="AG1149">
            <v>92322</v>
          </cell>
          <cell r="AH1149">
            <v>94428</v>
          </cell>
          <cell r="AI1149">
            <v>93039</v>
          </cell>
          <cell r="AJ1149">
            <v>104310</v>
          </cell>
        </row>
        <row r="1150">
          <cell r="E1150" t="str">
            <v>AL Transportation Jet Fuel, Total</v>
          </cell>
          <cell r="F1150">
            <v>10551</v>
          </cell>
          <cell r="G1150">
            <v>12641</v>
          </cell>
          <cell r="H1150">
            <v>11695</v>
          </cell>
          <cell r="I1150">
            <v>10975</v>
          </cell>
          <cell r="J1150">
            <v>19608</v>
          </cell>
          <cell r="K1150">
            <v>21763</v>
          </cell>
          <cell r="L1150">
            <v>19886</v>
          </cell>
          <cell r="M1150">
            <v>12379</v>
          </cell>
          <cell r="N1150">
            <v>19985</v>
          </cell>
          <cell r="O1150">
            <v>11129</v>
          </cell>
          <cell r="P1150">
            <v>13312</v>
          </cell>
          <cell r="Q1150">
            <v>13283</v>
          </cell>
          <cell r="R1150">
            <v>12797</v>
          </cell>
          <cell r="S1150">
            <v>14564</v>
          </cell>
          <cell r="T1150">
            <v>14481</v>
          </cell>
          <cell r="U1150">
            <v>13982</v>
          </cell>
          <cell r="V1150">
            <v>13113</v>
          </cell>
          <cell r="W1150">
            <v>13162</v>
          </cell>
          <cell r="X1150">
            <v>12299</v>
          </cell>
          <cell r="Y1150">
            <v>9887</v>
          </cell>
          <cell r="Z1150">
            <v>12083</v>
          </cell>
          <cell r="AA1150">
            <v>13582</v>
          </cell>
          <cell r="AB1150">
            <v>12978</v>
          </cell>
          <cell r="AC1150">
            <v>11431</v>
          </cell>
          <cell r="AD1150">
            <v>11629</v>
          </cell>
          <cell r="AE1150">
            <v>11103</v>
          </cell>
          <cell r="AF1150">
            <v>10440</v>
          </cell>
          <cell r="AG1150">
            <v>11532</v>
          </cell>
          <cell r="AH1150">
            <v>11445</v>
          </cell>
          <cell r="AI1150">
            <v>12057</v>
          </cell>
          <cell r="AJ1150">
            <v>8471</v>
          </cell>
        </row>
        <row r="1151">
          <cell r="E1151" t="str">
            <v>AR Transportation Jet Fuel, Total</v>
          </cell>
          <cell r="F1151">
            <v>9246</v>
          </cell>
          <cell r="G1151">
            <v>9737</v>
          </cell>
          <cell r="H1151">
            <v>6204</v>
          </cell>
          <cell r="I1151">
            <v>5651</v>
          </cell>
          <cell r="J1151">
            <v>9069</v>
          </cell>
          <cell r="K1151">
            <v>6668</v>
          </cell>
          <cell r="L1151">
            <v>8695</v>
          </cell>
          <cell r="M1151">
            <v>8727</v>
          </cell>
          <cell r="N1151">
            <v>8665</v>
          </cell>
          <cell r="O1151">
            <v>25941</v>
          </cell>
          <cell r="P1151">
            <v>27600</v>
          </cell>
          <cell r="Q1151">
            <v>5876</v>
          </cell>
          <cell r="R1151">
            <v>4500</v>
          </cell>
          <cell r="S1151">
            <v>4660</v>
          </cell>
          <cell r="T1151">
            <v>4096</v>
          </cell>
          <cell r="U1151">
            <v>7094</v>
          </cell>
          <cell r="V1151">
            <v>6706</v>
          </cell>
          <cell r="W1151">
            <v>6951</v>
          </cell>
          <cell r="X1151">
            <v>6152</v>
          </cell>
          <cell r="Y1151">
            <v>4537</v>
          </cell>
          <cell r="Z1151">
            <v>7858</v>
          </cell>
          <cell r="AA1151">
            <v>7788</v>
          </cell>
          <cell r="AB1151">
            <v>8056</v>
          </cell>
          <cell r="AC1151">
            <v>7615</v>
          </cell>
          <cell r="AD1151">
            <v>7851</v>
          </cell>
          <cell r="AE1151">
            <v>7378</v>
          </cell>
          <cell r="AF1151">
            <v>7140</v>
          </cell>
          <cell r="AG1151">
            <v>7599</v>
          </cell>
          <cell r="AH1151">
            <v>6556</v>
          </cell>
          <cell r="AI1151">
            <v>6984</v>
          </cell>
          <cell r="AJ1151">
            <v>5181</v>
          </cell>
        </row>
        <row r="1152">
          <cell r="E1152" t="str">
            <v>AZ Transportation Jet Fuel, Total</v>
          </cell>
          <cell r="F1152">
            <v>47306</v>
          </cell>
          <cell r="G1152">
            <v>53729</v>
          </cell>
          <cell r="H1152">
            <v>46426</v>
          </cell>
          <cell r="I1152">
            <v>44237</v>
          </cell>
          <cell r="J1152">
            <v>41933</v>
          </cell>
          <cell r="K1152">
            <v>43015</v>
          </cell>
          <cell r="L1152">
            <v>44912</v>
          </cell>
          <cell r="M1152">
            <v>45232</v>
          </cell>
          <cell r="N1152">
            <v>49197</v>
          </cell>
          <cell r="O1152">
            <v>54588</v>
          </cell>
          <cell r="P1152">
            <v>59156</v>
          </cell>
          <cell r="Q1152">
            <v>56211</v>
          </cell>
          <cell r="R1152">
            <v>58649</v>
          </cell>
          <cell r="S1152">
            <v>60388</v>
          </cell>
          <cell r="T1152">
            <v>46810</v>
          </cell>
          <cell r="U1152">
            <v>45463</v>
          </cell>
          <cell r="V1152">
            <v>43776</v>
          </cell>
          <cell r="W1152">
            <v>37490</v>
          </cell>
          <cell r="X1152">
            <v>38348</v>
          </cell>
          <cell r="Y1152">
            <v>26569</v>
          </cell>
          <cell r="Z1152">
            <v>72361</v>
          </cell>
          <cell r="AA1152">
            <v>74309</v>
          </cell>
          <cell r="AB1152">
            <v>72748</v>
          </cell>
          <cell r="AC1152">
            <v>73509</v>
          </cell>
          <cell r="AD1152">
            <v>74873</v>
          </cell>
          <cell r="AE1152">
            <v>75563</v>
          </cell>
          <cell r="AF1152">
            <v>75338</v>
          </cell>
          <cell r="AG1152">
            <v>78738</v>
          </cell>
          <cell r="AH1152">
            <v>76177</v>
          </cell>
          <cell r="AI1152">
            <v>78953</v>
          </cell>
          <cell r="AJ1152">
            <v>55532</v>
          </cell>
        </row>
        <row r="1153">
          <cell r="E1153" t="str">
            <v>CA Transportation Jet Fuel, Total</v>
          </cell>
          <cell r="F1153">
            <v>534666</v>
          </cell>
          <cell r="G1153">
            <v>508108</v>
          </cell>
          <cell r="H1153">
            <v>489548</v>
          </cell>
          <cell r="I1153">
            <v>504728</v>
          </cell>
          <cell r="J1153">
            <v>560139</v>
          </cell>
          <cell r="K1153">
            <v>540351</v>
          </cell>
          <cell r="L1153">
            <v>588383</v>
          </cell>
          <cell r="M1153">
            <v>585074</v>
          </cell>
          <cell r="N1153">
            <v>598083</v>
          </cell>
          <cell r="O1153">
            <v>559477</v>
          </cell>
          <cell r="P1153">
            <v>584018</v>
          </cell>
          <cell r="Q1153">
            <v>551216</v>
          </cell>
          <cell r="R1153">
            <v>582624</v>
          </cell>
          <cell r="S1153">
            <v>565418</v>
          </cell>
          <cell r="T1153">
            <v>597665</v>
          </cell>
          <cell r="U1153">
            <v>593148</v>
          </cell>
          <cell r="V1153">
            <v>603307</v>
          </cell>
          <cell r="W1153">
            <v>628200</v>
          </cell>
          <cell r="X1153">
            <v>571739</v>
          </cell>
          <cell r="Y1153">
            <v>555575</v>
          </cell>
          <cell r="Z1153">
            <v>435203</v>
          </cell>
          <cell r="AA1153">
            <v>433213</v>
          </cell>
          <cell r="AB1153">
            <v>435288</v>
          </cell>
          <cell r="AC1153">
            <v>446209</v>
          </cell>
          <cell r="AD1153">
            <v>456006</v>
          </cell>
          <cell r="AE1153">
            <v>491642</v>
          </cell>
          <cell r="AF1153">
            <v>532259</v>
          </cell>
          <cell r="AG1153">
            <v>565738</v>
          </cell>
          <cell r="AH1153">
            <v>576433</v>
          </cell>
          <cell r="AI1153">
            <v>587076</v>
          </cell>
          <cell r="AJ1153">
            <v>337038</v>
          </cell>
        </row>
        <row r="1154">
          <cell r="E1154" t="str">
            <v>CO Transportation Jet Fuel, Total</v>
          </cell>
          <cell r="F1154">
            <v>34551</v>
          </cell>
          <cell r="G1154">
            <v>36834</v>
          </cell>
          <cell r="H1154">
            <v>41642</v>
          </cell>
          <cell r="I1154">
            <v>50698</v>
          </cell>
          <cell r="J1154">
            <v>44870</v>
          </cell>
          <cell r="K1154">
            <v>42002</v>
          </cell>
          <cell r="L1154">
            <v>44009</v>
          </cell>
          <cell r="M1154">
            <v>40692</v>
          </cell>
          <cell r="N1154">
            <v>38547</v>
          </cell>
          <cell r="O1154">
            <v>44227</v>
          </cell>
          <cell r="P1154">
            <v>42993</v>
          </cell>
          <cell r="Q1154">
            <v>43763</v>
          </cell>
          <cell r="R1154">
            <v>40433</v>
          </cell>
          <cell r="S1154">
            <v>32045</v>
          </cell>
          <cell r="T1154">
            <v>70045</v>
          </cell>
          <cell r="U1154">
            <v>69852</v>
          </cell>
          <cell r="V1154">
            <v>73637</v>
          </cell>
          <cell r="W1154">
            <v>76713</v>
          </cell>
          <cell r="X1154">
            <v>74632</v>
          </cell>
          <cell r="Y1154">
            <v>61474</v>
          </cell>
          <cell r="Z1154">
            <v>64799</v>
          </cell>
          <cell r="AA1154">
            <v>63169</v>
          </cell>
          <cell r="AB1154">
            <v>63336</v>
          </cell>
          <cell r="AC1154">
            <v>62419</v>
          </cell>
          <cell r="AD1154">
            <v>63191</v>
          </cell>
          <cell r="AE1154">
            <v>61639</v>
          </cell>
          <cell r="AF1154">
            <v>67289</v>
          </cell>
          <cell r="AG1154">
            <v>71958</v>
          </cell>
          <cell r="AH1154">
            <v>75093</v>
          </cell>
          <cell r="AI1154">
            <v>77834</v>
          </cell>
          <cell r="AJ1154">
            <v>43060</v>
          </cell>
        </row>
        <row r="1155">
          <cell r="E1155" t="str">
            <v>CT Transportation Jet Fuel, Total</v>
          </cell>
          <cell r="F1155">
            <v>13262</v>
          </cell>
          <cell r="G1155">
            <v>12683</v>
          </cell>
          <cell r="H1155">
            <v>12966</v>
          </cell>
          <cell r="I1155">
            <v>13087</v>
          </cell>
          <cell r="J1155">
            <v>13895</v>
          </cell>
          <cell r="K1155">
            <v>14108</v>
          </cell>
          <cell r="L1155">
            <v>15412</v>
          </cell>
          <cell r="M1155">
            <v>13447</v>
          </cell>
          <cell r="N1155">
            <v>12556</v>
          </cell>
          <cell r="O1155">
            <v>13926</v>
          </cell>
          <cell r="P1155">
            <v>14739</v>
          </cell>
          <cell r="Q1155">
            <v>13356</v>
          </cell>
          <cell r="R1155">
            <v>12482</v>
          </cell>
          <cell r="S1155">
            <v>11954</v>
          </cell>
          <cell r="T1155">
            <v>13505</v>
          </cell>
          <cell r="U1155">
            <v>13955</v>
          </cell>
          <cell r="V1155">
            <v>12752</v>
          </cell>
          <cell r="W1155">
            <v>11656</v>
          </cell>
          <cell r="X1155">
            <v>10818</v>
          </cell>
          <cell r="Y1155">
            <v>7981</v>
          </cell>
          <cell r="Z1155">
            <v>10988</v>
          </cell>
          <cell r="AA1155">
            <v>11311</v>
          </cell>
          <cell r="AB1155">
            <v>12035</v>
          </cell>
          <cell r="AC1155">
            <v>8778</v>
          </cell>
          <cell r="AD1155">
            <v>10127</v>
          </cell>
          <cell r="AE1155">
            <v>8910</v>
          </cell>
          <cell r="AF1155">
            <v>9393</v>
          </cell>
          <cell r="AG1155">
            <v>12201</v>
          </cell>
          <cell r="AH1155">
            <v>14194</v>
          </cell>
          <cell r="AI1155">
            <v>11225</v>
          </cell>
          <cell r="AJ1155">
            <v>5969</v>
          </cell>
        </row>
        <row r="1156">
          <cell r="E1156" t="str">
            <v>DC Transportation Jet Fuel, Total</v>
          </cell>
          <cell r="F1156">
            <v>30</v>
          </cell>
          <cell r="G1156">
            <v>0</v>
          </cell>
          <cell r="H1156">
            <v>0</v>
          </cell>
          <cell r="I1156">
            <v>575</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row>
        <row r="1157">
          <cell r="E1157" t="str">
            <v>DE Transportation Jet Fuel, Total</v>
          </cell>
          <cell r="F1157">
            <v>7019</v>
          </cell>
          <cell r="G1157">
            <v>12864</v>
          </cell>
          <cell r="H1157">
            <v>7798</v>
          </cell>
          <cell r="I1157">
            <v>7740</v>
          </cell>
          <cell r="J1157">
            <v>3048</v>
          </cell>
          <cell r="K1157">
            <v>429</v>
          </cell>
          <cell r="L1157">
            <v>352</v>
          </cell>
          <cell r="M1157">
            <v>415</v>
          </cell>
          <cell r="N1157">
            <v>491</v>
          </cell>
          <cell r="O1157">
            <v>598</v>
          </cell>
          <cell r="P1157">
            <v>592</v>
          </cell>
          <cell r="Q1157">
            <v>734</v>
          </cell>
          <cell r="R1157">
            <v>704</v>
          </cell>
          <cell r="S1157">
            <v>808</v>
          </cell>
          <cell r="T1157">
            <v>944</v>
          </cell>
          <cell r="U1157">
            <v>949</v>
          </cell>
          <cell r="V1157">
            <v>819</v>
          </cell>
          <cell r="W1157">
            <v>640</v>
          </cell>
          <cell r="X1157">
            <v>665</v>
          </cell>
          <cell r="Y1157">
            <v>452</v>
          </cell>
          <cell r="Z1157">
            <v>16584</v>
          </cell>
          <cell r="AA1157">
            <v>13477</v>
          </cell>
          <cell r="AB1157">
            <v>10630</v>
          </cell>
          <cell r="AC1157">
            <v>7365</v>
          </cell>
          <cell r="AD1157">
            <v>7294</v>
          </cell>
          <cell r="AE1157">
            <v>7515</v>
          </cell>
          <cell r="AF1157">
            <v>7590</v>
          </cell>
          <cell r="AG1157">
            <v>10304</v>
          </cell>
          <cell r="AH1157">
            <v>11068</v>
          </cell>
          <cell r="AI1157">
            <v>10203</v>
          </cell>
          <cell r="AJ1157">
            <v>8323</v>
          </cell>
        </row>
        <row r="1158">
          <cell r="E1158" t="str">
            <v>FL Transportation Jet Fuel, Total</v>
          </cell>
          <cell r="F1158">
            <v>179552</v>
          </cell>
          <cell r="G1158">
            <v>140792</v>
          </cell>
          <cell r="H1158">
            <v>137513</v>
          </cell>
          <cell r="I1158">
            <v>150324</v>
          </cell>
          <cell r="J1158">
            <v>162149</v>
          </cell>
          <cell r="K1158">
            <v>158987</v>
          </cell>
          <cell r="L1158">
            <v>166379</v>
          </cell>
          <cell r="M1158">
            <v>173048</v>
          </cell>
          <cell r="N1158">
            <v>161643</v>
          </cell>
          <cell r="O1158">
            <v>164300</v>
          </cell>
          <cell r="P1158">
            <v>199207</v>
          </cell>
          <cell r="Q1158">
            <v>173830</v>
          </cell>
          <cell r="R1158">
            <v>153289</v>
          </cell>
          <cell r="S1158">
            <v>145454</v>
          </cell>
          <cell r="T1158">
            <v>165825</v>
          </cell>
          <cell r="U1158">
            <v>158140</v>
          </cell>
          <cell r="V1158">
            <v>156669</v>
          </cell>
          <cell r="W1158">
            <v>176686</v>
          </cell>
          <cell r="X1158">
            <v>218979</v>
          </cell>
          <cell r="Y1158">
            <v>178473</v>
          </cell>
          <cell r="Z1158">
            <v>241160</v>
          </cell>
          <cell r="AA1158">
            <v>244809</v>
          </cell>
          <cell r="AB1158">
            <v>243588</v>
          </cell>
          <cell r="AC1158">
            <v>251546</v>
          </cell>
          <cell r="AD1158">
            <v>263098</v>
          </cell>
          <cell r="AE1158">
            <v>277476</v>
          </cell>
          <cell r="AF1158">
            <v>286003</v>
          </cell>
          <cell r="AG1158">
            <v>298228</v>
          </cell>
          <cell r="AH1158">
            <v>309238</v>
          </cell>
          <cell r="AI1158">
            <v>318845</v>
          </cell>
          <cell r="AJ1158">
            <v>190018</v>
          </cell>
        </row>
        <row r="1159">
          <cell r="E1159" t="str">
            <v>GA Transportation Jet Fuel, Total</v>
          </cell>
          <cell r="F1159">
            <v>104173</v>
          </cell>
          <cell r="G1159">
            <v>81492</v>
          </cell>
          <cell r="H1159">
            <v>69963</v>
          </cell>
          <cell r="I1159">
            <v>85809</v>
          </cell>
          <cell r="J1159">
            <v>95890</v>
          </cell>
          <cell r="K1159">
            <v>104604</v>
          </cell>
          <cell r="L1159">
            <v>98047</v>
          </cell>
          <cell r="M1159">
            <v>86407</v>
          </cell>
          <cell r="N1159">
            <v>85888</v>
          </cell>
          <cell r="O1159">
            <v>86840</v>
          </cell>
          <cell r="P1159">
            <v>73968</v>
          </cell>
          <cell r="Q1159">
            <v>56150</v>
          </cell>
          <cell r="R1159">
            <v>42128</v>
          </cell>
          <cell r="S1159">
            <v>49837</v>
          </cell>
          <cell r="T1159">
            <v>52033</v>
          </cell>
          <cell r="U1159">
            <v>54295</v>
          </cell>
          <cell r="V1159">
            <v>37148</v>
          </cell>
          <cell r="W1159">
            <v>38138</v>
          </cell>
          <cell r="X1159">
            <v>35912</v>
          </cell>
          <cell r="Y1159">
            <v>102190</v>
          </cell>
          <cell r="Z1159">
            <v>142094</v>
          </cell>
          <cell r="AA1159">
            <v>140810</v>
          </cell>
          <cell r="AB1159">
            <v>135013</v>
          </cell>
          <cell r="AC1159">
            <v>138626</v>
          </cell>
          <cell r="AD1159">
            <v>140072</v>
          </cell>
          <cell r="AE1159">
            <v>146893</v>
          </cell>
          <cell r="AF1159">
            <v>148114</v>
          </cell>
          <cell r="AG1159">
            <v>148127</v>
          </cell>
          <cell r="AH1159">
            <v>146160</v>
          </cell>
          <cell r="AI1159">
            <v>152687</v>
          </cell>
          <cell r="AJ1159">
            <v>83101</v>
          </cell>
        </row>
        <row r="1160">
          <cell r="E1160" t="str">
            <v>HI Transportation Jet Fuel, Total</v>
          </cell>
          <cell r="F1160">
            <v>71051</v>
          </cell>
          <cell r="G1160">
            <v>62557</v>
          </cell>
          <cell r="H1160">
            <v>56501</v>
          </cell>
          <cell r="I1160">
            <v>50409</v>
          </cell>
          <cell r="J1160">
            <v>53705</v>
          </cell>
          <cell r="K1160">
            <v>56358</v>
          </cell>
          <cell r="L1160">
            <v>57194</v>
          </cell>
          <cell r="M1160">
            <v>57955</v>
          </cell>
          <cell r="N1160">
            <v>56695</v>
          </cell>
          <cell r="O1160">
            <v>53720</v>
          </cell>
          <cell r="P1160">
            <v>53511</v>
          </cell>
          <cell r="Q1160">
            <v>50437</v>
          </cell>
          <cell r="R1160">
            <v>57774</v>
          </cell>
          <cell r="S1160">
            <v>72056</v>
          </cell>
          <cell r="T1160">
            <v>75861</v>
          </cell>
          <cell r="U1160">
            <v>92831</v>
          </cell>
          <cell r="V1160">
            <v>86945</v>
          </cell>
          <cell r="W1160">
            <v>72329</v>
          </cell>
          <cell r="X1160">
            <v>60679</v>
          </cell>
          <cell r="Y1160">
            <v>52748</v>
          </cell>
          <cell r="Z1160">
            <v>76176</v>
          </cell>
          <cell r="AA1160">
            <v>78994</v>
          </cell>
          <cell r="AB1160">
            <v>83443</v>
          </cell>
          <cell r="AC1160">
            <v>87629</v>
          </cell>
          <cell r="AD1160">
            <v>89198</v>
          </cell>
          <cell r="AE1160">
            <v>92249</v>
          </cell>
          <cell r="AF1160">
            <v>91487</v>
          </cell>
          <cell r="AG1160">
            <v>97496</v>
          </cell>
          <cell r="AH1160">
            <v>98918</v>
          </cell>
          <cell r="AI1160">
            <v>100812</v>
          </cell>
          <cell r="AJ1160">
            <v>51358</v>
          </cell>
        </row>
        <row r="1161">
          <cell r="E1161" t="str">
            <v>IA Transportation Jet Fuel, Total</v>
          </cell>
          <cell r="F1161">
            <v>5018</v>
          </cell>
          <cell r="G1161">
            <v>5014</v>
          </cell>
          <cell r="H1161">
            <v>4517</v>
          </cell>
          <cell r="I1161">
            <v>4051</v>
          </cell>
          <cell r="J1161">
            <v>5051</v>
          </cell>
          <cell r="K1161">
            <v>5932</v>
          </cell>
          <cell r="L1161">
            <v>4641</v>
          </cell>
          <cell r="M1161">
            <v>4497</v>
          </cell>
          <cell r="N1161">
            <v>6722</v>
          </cell>
          <cell r="O1161">
            <v>5016</v>
          </cell>
          <cell r="P1161">
            <v>4373</v>
          </cell>
          <cell r="Q1161">
            <v>4404</v>
          </cell>
          <cell r="R1161">
            <v>4433</v>
          </cell>
          <cell r="S1161">
            <v>4494</v>
          </cell>
          <cell r="T1161">
            <v>5158</v>
          </cell>
          <cell r="U1161">
            <v>5614</v>
          </cell>
          <cell r="V1161">
            <v>5856</v>
          </cell>
          <cell r="W1161">
            <v>5100</v>
          </cell>
          <cell r="X1161">
            <v>4459</v>
          </cell>
          <cell r="Y1161">
            <v>2978</v>
          </cell>
          <cell r="Z1161">
            <v>5614</v>
          </cell>
          <cell r="AA1161">
            <v>5770</v>
          </cell>
          <cell r="AB1161">
            <v>6033</v>
          </cell>
          <cell r="AC1161">
            <v>5524</v>
          </cell>
          <cell r="AD1161">
            <v>5405</v>
          </cell>
          <cell r="AE1161">
            <v>5957</v>
          </cell>
          <cell r="AF1161">
            <v>5927</v>
          </cell>
          <cell r="AG1161">
            <v>6458</v>
          </cell>
          <cell r="AH1161">
            <v>6479</v>
          </cell>
          <cell r="AI1161">
            <v>6440</v>
          </cell>
          <cell r="AJ1161">
            <v>4505</v>
          </cell>
        </row>
        <row r="1162">
          <cell r="E1162" t="str">
            <v>ID Transportation Jet Fuel, Total</v>
          </cell>
          <cell r="F1162">
            <v>6276</v>
          </cell>
          <cell r="G1162">
            <v>5256</v>
          </cell>
          <cell r="H1162">
            <v>5346</v>
          </cell>
          <cell r="I1162">
            <v>5915</v>
          </cell>
          <cell r="J1162">
            <v>6614</v>
          </cell>
          <cell r="K1162">
            <v>8610</v>
          </cell>
          <cell r="L1162">
            <v>4916</v>
          </cell>
          <cell r="M1162">
            <v>4308</v>
          </cell>
          <cell r="N1162">
            <v>4072</v>
          </cell>
          <cell r="O1162">
            <v>4854</v>
          </cell>
          <cell r="P1162">
            <v>4989</v>
          </cell>
          <cell r="Q1162">
            <v>4103</v>
          </cell>
          <cell r="R1162">
            <v>4494</v>
          </cell>
          <cell r="S1162">
            <v>3890</v>
          </cell>
          <cell r="T1162">
            <v>4661</v>
          </cell>
          <cell r="U1162">
            <v>4641</v>
          </cell>
          <cell r="V1162">
            <v>5563</v>
          </cell>
          <cell r="W1162">
            <v>5120</v>
          </cell>
          <cell r="X1162">
            <v>4774</v>
          </cell>
          <cell r="Y1162">
            <v>3267</v>
          </cell>
          <cell r="Z1162">
            <v>7076</v>
          </cell>
          <cell r="AA1162">
            <v>6004</v>
          </cell>
          <cell r="AB1162">
            <v>6010</v>
          </cell>
          <cell r="AC1162">
            <v>6309</v>
          </cell>
          <cell r="AD1162">
            <v>7466</v>
          </cell>
          <cell r="AE1162">
            <v>7333</v>
          </cell>
          <cell r="AF1162">
            <v>6635</v>
          </cell>
          <cell r="AG1162">
            <v>7653</v>
          </cell>
          <cell r="AH1162">
            <v>8350</v>
          </cell>
          <cell r="AI1162">
            <v>7763</v>
          </cell>
          <cell r="AJ1162">
            <v>5193</v>
          </cell>
        </row>
        <row r="1163">
          <cell r="E1163" t="str">
            <v>IL Transportation Jet Fuel, Total</v>
          </cell>
          <cell r="F1163">
            <v>22258</v>
          </cell>
          <cell r="G1163">
            <v>36343</v>
          </cell>
          <cell r="H1163">
            <v>41812</v>
          </cell>
          <cell r="I1163">
            <v>51856</v>
          </cell>
          <cell r="J1163">
            <v>54438</v>
          </cell>
          <cell r="K1163">
            <v>58738</v>
          </cell>
          <cell r="L1163">
            <v>68471</v>
          </cell>
          <cell r="M1163">
            <v>70887</v>
          </cell>
          <cell r="N1163">
            <v>74641</v>
          </cell>
          <cell r="O1163">
            <v>103450</v>
          </cell>
          <cell r="P1163">
            <v>128702</v>
          </cell>
          <cell r="Q1163">
            <v>105827</v>
          </cell>
          <cell r="R1163">
            <v>77014</v>
          </cell>
          <cell r="S1163">
            <v>75780</v>
          </cell>
          <cell r="T1163">
            <v>122172</v>
          </cell>
          <cell r="U1163">
            <v>224108</v>
          </cell>
          <cell r="V1163">
            <v>162039</v>
          </cell>
          <cell r="W1163">
            <v>167682</v>
          </cell>
          <cell r="X1163">
            <v>158721</v>
          </cell>
          <cell r="Y1163">
            <v>141578</v>
          </cell>
          <cell r="Z1163">
            <v>159533</v>
          </cell>
          <cell r="AA1163">
            <v>158790</v>
          </cell>
          <cell r="AB1163">
            <v>150749</v>
          </cell>
          <cell r="AC1163">
            <v>154335</v>
          </cell>
          <cell r="AD1163">
            <v>160197</v>
          </cell>
          <cell r="AE1163">
            <v>171966</v>
          </cell>
          <cell r="AF1163">
            <v>175768</v>
          </cell>
          <cell r="AG1163">
            <v>176835</v>
          </cell>
          <cell r="AH1163">
            <v>173991</v>
          </cell>
          <cell r="AI1163">
            <v>177129</v>
          </cell>
          <cell r="AJ1163">
            <v>104083</v>
          </cell>
        </row>
        <row r="1164">
          <cell r="E1164" t="str">
            <v>IN Transportation Jet Fuel, Total</v>
          </cell>
          <cell r="F1164">
            <v>101264</v>
          </cell>
          <cell r="G1164">
            <v>97474</v>
          </cell>
          <cell r="H1164">
            <v>90535</v>
          </cell>
          <cell r="I1164">
            <v>92661</v>
          </cell>
          <cell r="J1164">
            <v>97990</v>
          </cell>
          <cell r="K1164">
            <v>98335</v>
          </cell>
          <cell r="L1164">
            <v>71303</v>
          </cell>
          <cell r="M1164">
            <v>62347</v>
          </cell>
          <cell r="N1164">
            <v>54749</v>
          </cell>
          <cell r="O1164">
            <v>63492</v>
          </cell>
          <cell r="P1164">
            <v>79413</v>
          </cell>
          <cell r="Q1164">
            <v>66694</v>
          </cell>
          <cell r="R1164">
            <v>61109</v>
          </cell>
          <cell r="S1164">
            <v>53057</v>
          </cell>
          <cell r="T1164">
            <v>48526</v>
          </cell>
          <cell r="U1164">
            <v>39408</v>
          </cell>
          <cell r="V1164">
            <v>44595</v>
          </cell>
          <cell r="W1164">
            <v>42240</v>
          </cell>
          <cell r="X1164">
            <v>35514</v>
          </cell>
          <cell r="Y1164">
            <v>42255</v>
          </cell>
          <cell r="Z1164">
            <v>21516</v>
          </cell>
          <cell r="AA1164">
            <v>22055</v>
          </cell>
          <cell r="AB1164">
            <v>21882</v>
          </cell>
          <cell r="AC1164">
            <v>22033</v>
          </cell>
          <cell r="AD1164">
            <v>24076</v>
          </cell>
          <cell r="AE1164">
            <v>25659</v>
          </cell>
          <cell r="AF1164">
            <v>27183</v>
          </cell>
          <cell r="AG1164">
            <v>24712</v>
          </cell>
          <cell r="AH1164">
            <v>25607</v>
          </cell>
          <cell r="AI1164">
            <v>25414</v>
          </cell>
          <cell r="AJ1164">
            <v>18648</v>
          </cell>
        </row>
        <row r="1165">
          <cell r="E1165" t="str">
            <v>KS Transportation Jet Fuel, Total</v>
          </cell>
          <cell r="F1165">
            <v>20719</v>
          </cell>
          <cell r="G1165">
            <v>18314</v>
          </cell>
          <cell r="H1165">
            <v>23197</v>
          </cell>
          <cell r="I1165">
            <v>20228</v>
          </cell>
          <cell r="J1165">
            <v>11013</v>
          </cell>
          <cell r="K1165">
            <v>13674</v>
          </cell>
          <cell r="L1165">
            <v>11390</v>
          </cell>
          <cell r="M1165">
            <v>12080</v>
          </cell>
          <cell r="N1165">
            <v>12242</v>
          </cell>
          <cell r="O1165">
            <v>19706</v>
          </cell>
          <cell r="P1165">
            <v>18339</v>
          </cell>
          <cell r="Q1165">
            <v>12807</v>
          </cell>
          <cell r="R1165">
            <v>12107</v>
          </cell>
          <cell r="S1165">
            <v>18305</v>
          </cell>
          <cell r="T1165">
            <v>17602</v>
          </cell>
          <cell r="U1165">
            <v>9965</v>
          </cell>
          <cell r="V1165">
            <v>9937</v>
          </cell>
          <cell r="W1165">
            <v>8747</v>
          </cell>
          <cell r="X1165">
            <v>9839</v>
          </cell>
          <cell r="Y1165">
            <v>13872</v>
          </cell>
          <cell r="Z1165">
            <v>10807</v>
          </cell>
          <cell r="AA1165">
            <v>9811</v>
          </cell>
          <cell r="AB1165">
            <v>10772</v>
          </cell>
          <cell r="AC1165">
            <v>6371</v>
          </cell>
          <cell r="AD1165">
            <v>9583</v>
          </cell>
          <cell r="AE1165">
            <v>7058</v>
          </cell>
          <cell r="AF1165">
            <v>8625</v>
          </cell>
          <cell r="AG1165">
            <v>6787</v>
          </cell>
          <cell r="AH1165">
            <v>7750</v>
          </cell>
          <cell r="AI1165">
            <v>6945</v>
          </cell>
          <cell r="AJ1165">
            <v>6269</v>
          </cell>
        </row>
        <row r="1166">
          <cell r="E1166" t="str">
            <v>KY Transportation Jet Fuel, Total</v>
          </cell>
          <cell r="F1166">
            <v>32321</v>
          </cell>
          <cell r="G1166">
            <v>36044</v>
          </cell>
          <cell r="H1166">
            <v>38943</v>
          </cell>
          <cell r="I1166">
            <v>32273</v>
          </cell>
          <cell r="J1166">
            <v>35900</v>
          </cell>
          <cell r="K1166">
            <v>35726</v>
          </cell>
          <cell r="L1166">
            <v>31691</v>
          </cell>
          <cell r="M1166">
            <v>25840</v>
          </cell>
          <cell r="N1166">
            <v>30343</v>
          </cell>
          <cell r="O1166">
            <v>39477</v>
          </cell>
          <cell r="P1166">
            <v>37711</v>
          </cell>
          <cell r="Q1166">
            <v>34027</v>
          </cell>
          <cell r="R1166">
            <v>36021</v>
          </cell>
          <cell r="S1166">
            <v>45619</v>
          </cell>
          <cell r="T1166">
            <v>51268</v>
          </cell>
          <cell r="U1166">
            <v>46969</v>
          </cell>
          <cell r="V1166">
            <v>40283</v>
          </cell>
          <cell r="W1166">
            <v>45239</v>
          </cell>
          <cell r="X1166">
            <v>42101</v>
          </cell>
          <cell r="Y1166">
            <v>55814</v>
          </cell>
          <cell r="Z1166">
            <v>56021</v>
          </cell>
          <cell r="AA1166">
            <v>58694</v>
          </cell>
          <cell r="AB1166">
            <v>58233</v>
          </cell>
          <cell r="AC1166">
            <v>60442</v>
          </cell>
          <cell r="AD1166">
            <v>60418</v>
          </cell>
          <cell r="AE1166">
            <v>63022</v>
          </cell>
          <cell r="AF1166">
            <v>66390</v>
          </cell>
          <cell r="AG1166">
            <v>73703</v>
          </cell>
          <cell r="AH1166">
            <v>80827</v>
          </cell>
          <cell r="AI1166">
            <v>87108</v>
          </cell>
          <cell r="AJ1166">
            <v>84671</v>
          </cell>
        </row>
        <row r="1167">
          <cell r="E1167" t="str">
            <v>LA Transportation Jet Fuel, Total</v>
          </cell>
          <cell r="F1167">
            <v>146081</v>
          </cell>
          <cell r="G1167">
            <v>181872</v>
          </cell>
          <cell r="H1167">
            <v>152268</v>
          </cell>
          <cell r="I1167">
            <v>142013</v>
          </cell>
          <cell r="J1167">
            <v>182560</v>
          </cell>
          <cell r="K1167">
            <v>163553</v>
          </cell>
          <cell r="L1167">
            <v>164587</v>
          </cell>
          <cell r="M1167">
            <v>172771</v>
          </cell>
          <cell r="N1167">
            <v>162556</v>
          </cell>
          <cell r="O1167">
            <v>192873</v>
          </cell>
          <cell r="P1167">
            <v>200710</v>
          </cell>
          <cell r="Q1167">
            <v>195386</v>
          </cell>
          <cell r="R1167">
            <v>213636</v>
          </cell>
          <cell r="S1167">
            <v>216160</v>
          </cell>
          <cell r="T1167">
            <v>203211</v>
          </cell>
          <cell r="U1167">
            <v>160208</v>
          </cell>
          <cell r="V1167">
            <v>131906</v>
          </cell>
          <cell r="W1167">
            <v>127099</v>
          </cell>
          <cell r="X1167">
            <v>110420</v>
          </cell>
          <cell r="Y1167">
            <v>91136</v>
          </cell>
          <cell r="Z1167">
            <v>22822</v>
          </cell>
          <cell r="AA1167">
            <v>22938</v>
          </cell>
          <cell r="AB1167">
            <v>23449</v>
          </cell>
          <cell r="AC1167">
            <v>20763</v>
          </cell>
          <cell r="AD1167">
            <v>22449</v>
          </cell>
          <cell r="AE1167">
            <v>22634</v>
          </cell>
          <cell r="AF1167">
            <v>21529</v>
          </cell>
          <cell r="AG1167">
            <v>22019</v>
          </cell>
          <cell r="AH1167">
            <v>22219</v>
          </cell>
          <cell r="AI1167">
            <v>23782</v>
          </cell>
          <cell r="AJ1167">
            <v>13926</v>
          </cell>
        </row>
        <row r="1168">
          <cell r="E1168" t="str">
            <v>MA Transportation Jet Fuel, Total</v>
          </cell>
          <cell r="F1168">
            <v>55460</v>
          </cell>
          <cell r="G1168">
            <v>52848</v>
          </cell>
          <cell r="H1168">
            <v>44525</v>
          </cell>
          <cell r="I1168">
            <v>43693</v>
          </cell>
          <cell r="J1168">
            <v>42105</v>
          </cell>
          <cell r="K1168">
            <v>37621</v>
          </cell>
          <cell r="L1168">
            <v>38969</v>
          </cell>
          <cell r="M1168">
            <v>41398</v>
          </cell>
          <cell r="N1168">
            <v>43861</v>
          </cell>
          <cell r="O1168">
            <v>45819</v>
          </cell>
          <cell r="P1168">
            <v>46516</v>
          </cell>
          <cell r="Q1168">
            <v>39710</v>
          </cell>
          <cell r="R1168">
            <v>31801</v>
          </cell>
          <cell r="S1168">
            <v>36264</v>
          </cell>
          <cell r="T1168">
            <v>46691</v>
          </cell>
          <cell r="U1168">
            <v>51171</v>
          </cell>
          <cell r="V1168">
            <v>47552</v>
          </cell>
          <cell r="W1168">
            <v>46694</v>
          </cell>
          <cell r="X1168">
            <v>62711</v>
          </cell>
          <cell r="Y1168">
            <v>35182</v>
          </cell>
          <cell r="Z1168">
            <v>48498</v>
          </cell>
          <cell r="AA1168">
            <v>48859</v>
          </cell>
          <cell r="AB1168">
            <v>48575</v>
          </cell>
          <cell r="AC1168">
            <v>49864</v>
          </cell>
          <cell r="AD1168">
            <v>52560</v>
          </cell>
          <cell r="AE1168">
            <v>55609</v>
          </cell>
          <cell r="AF1168">
            <v>64636</v>
          </cell>
          <cell r="AG1168">
            <v>69575</v>
          </cell>
          <cell r="AH1168">
            <v>71688</v>
          </cell>
          <cell r="AI1168">
            <v>77118</v>
          </cell>
          <cell r="AJ1168">
            <v>31766</v>
          </cell>
        </row>
        <row r="1169">
          <cell r="E1169" t="str">
            <v>MD Transportation Jet Fuel, Total</v>
          </cell>
          <cell r="F1169">
            <v>20293</v>
          </cell>
          <cell r="G1169">
            <v>18383</v>
          </cell>
          <cell r="H1169">
            <v>17104</v>
          </cell>
          <cell r="I1169">
            <v>16802</v>
          </cell>
          <cell r="J1169">
            <v>18248</v>
          </cell>
          <cell r="K1169">
            <v>19447</v>
          </cell>
          <cell r="L1169">
            <v>22096</v>
          </cell>
          <cell r="M1169">
            <v>23233</v>
          </cell>
          <cell r="N1169">
            <v>22247</v>
          </cell>
          <cell r="O1169">
            <v>22326</v>
          </cell>
          <cell r="P1169">
            <v>23292</v>
          </cell>
          <cell r="Q1169">
            <v>16606</v>
          </cell>
          <cell r="R1169">
            <v>9739</v>
          </cell>
          <cell r="S1169">
            <v>13285</v>
          </cell>
          <cell r="T1169">
            <v>17801</v>
          </cell>
          <cell r="U1169">
            <v>24734</v>
          </cell>
          <cell r="V1169">
            <v>23497</v>
          </cell>
          <cell r="W1169">
            <v>19970</v>
          </cell>
          <cell r="X1169">
            <v>21749</v>
          </cell>
          <cell r="Y1169">
            <v>18957</v>
          </cell>
          <cell r="Z1169">
            <v>36137</v>
          </cell>
          <cell r="AA1169">
            <v>37131</v>
          </cell>
          <cell r="AB1169">
            <v>35581</v>
          </cell>
          <cell r="AC1169">
            <v>35272</v>
          </cell>
          <cell r="AD1169">
            <v>34055</v>
          </cell>
          <cell r="AE1169">
            <v>36182</v>
          </cell>
          <cell r="AF1169">
            <v>38219</v>
          </cell>
          <cell r="AG1169">
            <v>40867</v>
          </cell>
          <cell r="AH1169">
            <v>41868</v>
          </cell>
          <cell r="AI1169">
            <v>41726</v>
          </cell>
          <cell r="AJ1169">
            <v>33319</v>
          </cell>
        </row>
        <row r="1170">
          <cell r="E1170" t="str">
            <v>ME Transportation Jet Fuel, Total</v>
          </cell>
          <cell r="F1170">
            <v>14015</v>
          </cell>
          <cell r="G1170">
            <v>13160</v>
          </cell>
          <cell r="H1170">
            <v>10543</v>
          </cell>
          <cell r="I1170">
            <v>8268</v>
          </cell>
          <cell r="J1170">
            <v>5603</v>
          </cell>
          <cell r="K1170">
            <v>4762</v>
          </cell>
          <cell r="L1170">
            <v>5051</v>
          </cell>
          <cell r="M1170">
            <v>5409</v>
          </cell>
          <cell r="N1170">
            <v>5274</v>
          </cell>
          <cell r="O1170">
            <v>4899</v>
          </cell>
          <cell r="P1170">
            <v>5148</v>
          </cell>
          <cell r="Q1170">
            <v>4038</v>
          </cell>
          <cell r="R1170">
            <v>3806</v>
          </cell>
          <cell r="S1170">
            <v>5228</v>
          </cell>
          <cell r="T1170">
            <v>6169</v>
          </cell>
          <cell r="U1170">
            <v>8081</v>
          </cell>
          <cell r="V1170">
            <v>10149</v>
          </cell>
          <cell r="W1170">
            <v>10008</v>
          </cell>
          <cell r="X1170">
            <v>7946</v>
          </cell>
          <cell r="Y1170">
            <v>6976</v>
          </cell>
          <cell r="Z1170">
            <v>4832</v>
          </cell>
          <cell r="AA1170">
            <v>4656</v>
          </cell>
          <cell r="AB1170">
            <v>4378</v>
          </cell>
          <cell r="AC1170">
            <v>4250</v>
          </cell>
          <cell r="AD1170">
            <v>3905</v>
          </cell>
          <cell r="AE1170">
            <v>3960</v>
          </cell>
          <cell r="AF1170">
            <v>3060</v>
          </cell>
          <cell r="AG1170">
            <v>3023</v>
          </cell>
          <cell r="AH1170">
            <v>3025</v>
          </cell>
          <cell r="AI1170">
            <v>2797</v>
          </cell>
          <cell r="AJ1170">
            <v>1883</v>
          </cell>
        </row>
        <row r="1171">
          <cell r="E1171" t="str">
            <v>MI Transportation Jet Fuel, Total</v>
          </cell>
          <cell r="F1171">
            <v>56571</v>
          </cell>
          <cell r="G1171">
            <v>57452</v>
          </cell>
          <cell r="H1171">
            <v>56998</v>
          </cell>
          <cell r="I1171">
            <v>58148</v>
          </cell>
          <cell r="J1171">
            <v>58158</v>
          </cell>
          <cell r="K1171">
            <v>49994</v>
          </cell>
          <cell r="L1171">
            <v>51281</v>
          </cell>
          <cell r="M1171">
            <v>53793</v>
          </cell>
          <cell r="N1171">
            <v>51218</v>
          </cell>
          <cell r="O1171">
            <v>51688</v>
          </cell>
          <cell r="P1171">
            <v>40904</v>
          </cell>
          <cell r="Q1171">
            <v>35263</v>
          </cell>
          <cell r="R1171">
            <v>34112</v>
          </cell>
          <cell r="S1171">
            <v>15281</v>
          </cell>
          <cell r="T1171">
            <v>21167</v>
          </cell>
          <cell r="U1171">
            <v>19454</v>
          </cell>
          <cell r="V1171">
            <v>23386</v>
          </cell>
          <cell r="W1171">
            <v>29881</v>
          </cell>
          <cell r="X1171">
            <v>26315</v>
          </cell>
          <cell r="Y1171">
            <v>24210</v>
          </cell>
          <cell r="Z1171">
            <v>48663</v>
          </cell>
          <cell r="AA1171">
            <v>49876</v>
          </cell>
          <cell r="AB1171">
            <v>49077</v>
          </cell>
          <cell r="AC1171">
            <v>49617</v>
          </cell>
          <cell r="AD1171">
            <v>49668</v>
          </cell>
          <cell r="AE1171">
            <v>55541</v>
          </cell>
          <cell r="AF1171">
            <v>56774</v>
          </cell>
          <cell r="AG1171">
            <v>58339</v>
          </cell>
          <cell r="AH1171">
            <v>56977</v>
          </cell>
          <cell r="AI1171">
            <v>56654</v>
          </cell>
          <cell r="AJ1171">
            <v>29504</v>
          </cell>
        </row>
        <row r="1172">
          <cell r="E1172" t="str">
            <v>MN Transportation Jet Fuel, Total</v>
          </cell>
          <cell r="F1172">
            <v>28869</v>
          </cell>
          <cell r="G1172">
            <v>28165</v>
          </cell>
          <cell r="H1172">
            <v>37491</v>
          </cell>
          <cell r="I1172">
            <v>53468</v>
          </cell>
          <cell r="J1172">
            <v>55413</v>
          </cell>
          <cell r="K1172">
            <v>56524</v>
          </cell>
          <cell r="L1172">
            <v>60244</v>
          </cell>
          <cell r="M1172">
            <v>61755</v>
          </cell>
          <cell r="N1172">
            <v>60722</v>
          </cell>
          <cell r="O1172">
            <v>71392</v>
          </cell>
          <cell r="P1172">
            <v>75418</v>
          </cell>
          <cell r="Q1172">
            <v>65702</v>
          </cell>
          <cell r="R1172">
            <v>62734</v>
          </cell>
          <cell r="S1172">
            <v>67912</v>
          </cell>
          <cell r="T1172">
            <v>70905</v>
          </cell>
          <cell r="U1172">
            <v>71761</v>
          </cell>
          <cell r="V1172">
            <v>66751</v>
          </cell>
          <cell r="W1172">
            <v>63930</v>
          </cell>
          <cell r="X1172">
            <v>58052</v>
          </cell>
          <cell r="Y1172">
            <v>52162</v>
          </cell>
          <cell r="Z1172">
            <v>47467</v>
          </cell>
          <cell r="AA1172">
            <v>46090</v>
          </cell>
          <cell r="AB1172">
            <v>45098</v>
          </cell>
          <cell r="AC1172">
            <v>51546</v>
          </cell>
          <cell r="AD1172">
            <v>48168</v>
          </cell>
          <cell r="AE1172">
            <v>50570</v>
          </cell>
          <cell r="AF1172">
            <v>52181</v>
          </cell>
          <cell r="AG1172">
            <v>53834</v>
          </cell>
          <cell r="AH1172">
            <v>52216</v>
          </cell>
          <cell r="AI1172">
            <v>54292</v>
          </cell>
          <cell r="AJ1172">
            <v>26195</v>
          </cell>
        </row>
        <row r="1173">
          <cell r="E1173" t="str">
            <v>MO Transportation Jet Fuel, Total</v>
          </cell>
          <cell r="F1173">
            <v>37627</v>
          </cell>
          <cell r="G1173">
            <v>42474</v>
          </cell>
          <cell r="H1173">
            <v>42583</v>
          </cell>
          <cell r="I1173">
            <v>51166</v>
          </cell>
          <cell r="J1173">
            <v>60190</v>
          </cell>
          <cell r="K1173">
            <v>64773</v>
          </cell>
          <cell r="L1173">
            <v>68790</v>
          </cell>
          <cell r="M1173">
            <v>69882</v>
          </cell>
          <cell r="N1173">
            <v>72339</v>
          </cell>
          <cell r="O1173">
            <v>72349</v>
          </cell>
          <cell r="P1173">
            <v>27815</v>
          </cell>
          <cell r="Q1173">
            <v>42483</v>
          </cell>
          <cell r="R1173">
            <v>54062</v>
          </cell>
          <cell r="S1173">
            <v>45635</v>
          </cell>
          <cell r="T1173">
            <v>22675</v>
          </cell>
          <cell r="U1173">
            <v>37419</v>
          </cell>
          <cell r="V1173">
            <v>37274</v>
          </cell>
          <cell r="W1173">
            <v>35940</v>
          </cell>
          <cell r="X1173">
            <v>31671</v>
          </cell>
          <cell r="Y1173">
            <v>20608</v>
          </cell>
          <cell r="Z1173">
            <v>29604</v>
          </cell>
          <cell r="AA1173">
            <v>29663</v>
          </cell>
          <cell r="AB1173">
            <v>27965</v>
          </cell>
          <cell r="AC1173">
            <v>26699</v>
          </cell>
          <cell r="AD1173">
            <v>25123</v>
          </cell>
          <cell r="AE1173">
            <v>26052</v>
          </cell>
          <cell r="AF1173">
            <v>29015</v>
          </cell>
          <cell r="AG1173">
            <v>31128</v>
          </cell>
          <cell r="AH1173">
            <v>29872</v>
          </cell>
          <cell r="AI1173">
            <v>31750</v>
          </cell>
          <cell r="AJ1173">
            <v>17535</v>
          </cell>
        </row>
        <row r="1174">
          <cell r="E1174" t="str">
            <v>MS Transportation Jet Fuel, Total</v>
          </cell>
          <cell r="F1174">
            <v>38957</v>
          </cell>
          <cell r="G1174">
            <v>45491</v>
          </cell>
          <cell r="H1174">
            <v>62187</v>
          </cell>
          <cell r="I1174">
            <v>47012</v>
          </cell>
          <cell r="J1174">
            <v>38191</v>
          </cell>
          <cell r="K1174">
            <v>42922</v>
          </cell>
          <cell r="L1174">
            <v>40575</v>
          </cell>
          <cell r="M1174">
            <v>44881</v>
          </cell>
          <cell r="N1174">
            <v>43603</v>
          </cell>
          <cell r="O1174">
            <v>54760</v>
          </cell>
          <cell r="P1174">
            <v>51053</v>
          </cell>
          <cell r="Q1174">
            <v>47689</v>
          </cell>
          <cell r="R1174">
            <v>40957</v>
          </cell>
          <cell r="S1174">
            <v>52123</v>
          </cell>
          <cell r="T1174">
            <v>34697</v>
          </cell>
          <cell r="U1174">
            <v>33464</v>
          </cell>
          <cell r="V1174">
            <v>40242</v>
          </cell>
          <cell r="W1174">
            <v>24756</v>
          </cell>
          <cell r="X1174">
            <v>23270</v>
          </cell>
          <cell r="Y1174">
            <v>27518</v>
          </cell>
          <cell r="Z1174">
            <v>7339</v>
          </cell>
          <cell r="AA1174">
            <v>6460</v>
          </cell>
          <cell r="AB1174">
            <v>6645</v>
          </cell>
          <cell r="AC1174">
            <v>7542</v>
          </cell>
          <cell r="AD1174">
            <v>6922</v>
          </cell>
          <cell r="AE1174">
            <v>6502</v>
          </cell>
          <cell r="AF1174">
            <v>6267</v>
          </cell>
          <cell r="AG1174">
            <v>6389</v>
          </cell>
          <cell r="AH1174">
            <v>5977</v>
          </cell>
          <cell r="AI1174">
            <v>6399</v>
          </cell>
          <cell r="AJ1174">
            <v>6002</v>
          </cell>
        </row>
        <row r="1175">
          <cell r="E1175" t="str">
            <v>MT Transportation Jet Fuel, Total</v>
          </cell>
          <cell r="F1175">
            <v>3968</v>
          </cell>
          <cell r="G1175">
            <v>3476</v>
          </cell>
          <cell r="H1175">
            <v>4810</v>
          </cell>
          <cell r="I1175">
            <v>5030</v>
          </cell>
          <cell r="J1175">
            <v>4777</v>
          </cell>
          <cell r="K1175">
            <v>5881</v>
          </cell>
          <cell r="L1175">
            <v>5650</v>
          </cell>
          <cell r="M1175">
            <v>4493</v>
          </cell>
          <cell r="N1175">
            <v>4523</v>
          </cell>
          <cell r="O1175">
            <v>4739</v>
          </cell>
          <cell r="P1175">
            <v>4234</v>
          </cell>
          <cell r="Q1175">
            <v>4289</v>
          </cell>
          <cell r="R1175">
            <v>4354</v>
          </cell>
          <cell r="S1175">
            <v>4717</v>
          </cell>
          <cell r="T1175">
            <v>5716</v>
          </cell>
          <cell r="U1175">
            <v>6307</v>
          </cell>
          <cell r="V1175">
            <v>5925</v>
          </cell>
          <cell r="W1175">
            <v>5817</v>
          </cell>
          <cell r="X1175">
            <v>4719</v>
          </cell>
          <cell r="Y1175">
            <v>4492</v>
          </cell>
          <cell r="Z1175">
            <v>6384</v>
          </cell>
          <cell r="AA1175">
            <v>6259</v>
          </cell>
          <cell r="AB1175">
            <v>6368</v>
          </cell>
          <cell r="AC1175">
            <v>4860</v>
          </cell>
          <cell r="AD1175">
            <v>5377</v>
          </cell>
          <cell r="AE1175">
            <v>4842</v>
          </cell>
          <cell r="AF1175">
            <v>6180</v>
          </cell>
          <cell r="AG1175">
            <v>7382</v>
          </cell>
          <cell r="AH1175">
            <v>7569</v>
          </cell>
          <cell r="AI1175">
            <v>6670</v>
          </cell>
          <cell r="AJ1175">
            <v>6760</v>
          </cell>
        </row>
        <row r="1176">
          <cell r="E1176" t="str">
            <v>NC Transportation Jet Fuel, Total</v>
          </cell>
          <cell r="F1176">
            <v>30817</v>
          </cell>
          <cell r="G1176">
            <v>24297</v>
          </cell>
          <cell r="H1176">
            <v>25964</v>
          </cell>
          <cell r="I1176">
            <v>27231</v>
          </cell>
          <cell r="J1176">
            <v>24526</v>
          </cell>
          <cell r="K1176">
            <v>28044</v>
          </cell>
          <cell r="L1176">
            <v>51749</v>
          </cell>
          <cell r="M1176">
            <v>40571</v>
          </cell>
          <cell r="N1176">
            <v>38337</v>
          </cell>
          <cell r="O1176">
            <v>38566</v>
          </cell>
          <cell r="P1176">
            <v>41263</v>
          </cell>
          <cell r="Q1176">
            <v>34311</v>
          </cell>
          <cell r="R1176">
            <v>27357</v>
          </cell>
          <cell r="S1176">
            <v>29744</v>
          </cell>
          <cell r="T1176">
            <v>30602</v>
          </cell>
          <cell r="U1176">
            <v>41765</v>
          </cell>
          <cell r="V1176">
            <v>30182</v>
          </cell>
          <cell r="W1176">
            <v>40601</v>
          </cell>
          <cell r="X1176">
            <v>29626</v>
          </cell>
          <cell r="Y1176">
            <v>10509</v>
          </cell>
          <cell r="Z1176">
            <v>70551</v>
          </cell>
          <cell r="AA1176">
            <v>70884</v>
          </cell>
          <cell r="AB1176">
            <v>72997</v>
          </cell>
          <cell r="AC1176">
            <v>78231</v>
          </cell>
          <cell r="AD1176">
            <v>81450</v>
          </cell>
          <cell r="AE1176">
            <v>81298</v>
          </cell>
          <cell r="AF1176">
            <v>84245</v>
          </cell>
          <cell r="AG1176">
            <v>89253</v>
          </cell>
          <cell r="AH1176">
            <v>89679</v>
          </cell>
          <cell r="AI1176">
            <v>92860</v>
          </cell>
          <cell r="AJ1176">
            <v>65090</v>
          </cell>
        </row>
        <row r="1177">
          <cell r="E1177" t="str">
            <v>ND Transportation Jet Fuel, Total</v>
          </cell>
          <cell r="F1177">
            <v>6380</v>
          </cell>
          <cell r="G1177">
            <v>5228</v>
          </cell>
          <cell r="H1177">
            <v>7598</v>
          </cell>
          <cell r="I1177">
            <v>6787</v>
          </cell>
          <cell r="J1177">
            <v>4610</v>
          </cell>
          <cell r="K1177">
            <v>1865</v>
          </cell>
          <cell r="L1177">
            <v>1393</v>
          </cell>
          <cell r="M1177">
            <v>1072</v>
          </cell>
          <cell r="N1177">
            <v>1198</v>
          </cell>
          <cell r="O1177">
            <v>2294</v>
          </cell>
          <cell r="P1177">
            <v>2344</v>
          </cell>
          <cell r="Q1177">
            <v>4260</v>
          </cell>
          <cell r="R1177">
            <v>2996</v>
          </cell>
          <cell r="S1177">
            <v>3163</v>
          </cell>
          <cell r="T1177">
            <v>6199</v>
          </cell>
          <cell r="U1177">
            <v>3662</v>
          </cell>
          <cell r="V1177">
            <v>4169</v>
          </cell>
          <cell r="W1177">
            <v>4026</v>
          </cell>
          <cell r="X1177">
            <v>3478</v>
          </cell>
          <cell r="Y1177">
            <v>3896</v>
          </cell>
          <cell r="Z1177">
            <v>4358</v>
          </cell>
          <cell r="AA1177">
            <v>4735</v>
          </cell>
          <cell r="AB1177">
            <v>4084</v>
          </cell>
          <cell r="AC1177">
            <v>4969</v>
          </cell>
          <cell r="AD1177">
            <v>4476</v>
          </cell>
          <cell r="AE1177">
            <v>5697</v>
          </cell>
          <cell r="AF1177">
            <v>4731</v>
          </cell>
          <cell r="AG1177">
            <v>4328</v>
          </cell>
          <cell r="AH1177">
            <v>4640</v>
          </cell>
          <cell r="AI1177">
            <v>4387</v>
          </cell>
          <cell r="AJ1177">
            <v>4322</v>
          </cell>
        </row>
        <row r="1178">
          <cell r="E1178" t="str">
            <v>NE Transportation Jet Fuel, Total</v>
          </cell>
          <cell r="F1178">
            <v>8291</v>
          </cell>
          <cell r="G1178">
            <v>6598</v>
          </cell>
          <cell r="H1178">
            <v>6623</v>
          </cell>
          <cell r="I1178">
            <v>6419</v>
          </cell>
          <cell r="J1178">
            <v>7028</v>
          </cell>
          <cell r="K1178">
            <v>5671</v>
          </cell>
          <cell r="L1178">
            <v>5712</v>
          </cell>
          <cell r="M1178">
            <v>6097</v>
          </cell>
          <cell r="N1178">
            <v>6132</v>
          </cell>
          <cell r="O1178">
            <v>8870</v>
          </cell>
          <cell r="P1178">
            <v>6981</v>
          </cell>
          <cell r="Q1178">
            <v>6312</v>
          </cell>
          <cell r="R1178">
            <v>8656</v>
          </cell>
          <cell r="S1178">
            <v>6834</v>
          </cell>
          <cell r="T1178">
            <v>5206</v>
          </cell>
          <cell r="U1178">
            <v>5297</v>
          </cell>
          <cell r="V1178">
            <v>6013</v>
          </cell>
          <cell r="W1178">
            <v>5489</v>
          </cell>
          <cell r="X1178">
            <v>5036</v>
          </cell>
          <cell r="Y1178">
            <v>3950</v>
          </cell>
          <cell r="Z1178">
            <v>6148</v>
          </cell>
          <cell r="AA1178">
            <v>5778</v>
          </cell>
          <cell r="AB1178">
            <v>5813</v>
          </cell>
          <cell r="AC1178">
            <v>6259</v>
          </cell>
          <cell r="AD1178">
            <v>5972</v>
          </cell>
          <cell r="AE1178">
            <v>7076</v>
          </cell>
          <cell r="AF1178">
            <v>5858</v>
          </cell>
          <cell r="AG1178">
            <v>6348</v>
          </cell>
          <cell r="AH1178">
            <v>6766</v>
          </cell>
          <cell r="AI1178">
            <v>6565</v>
          </cell>
          <cell r="AJ1178">
            <v>4832</v>
          </cell>
        </row>
        <row r="1179">
          <cell r="E1179" t="str">
            <v>NH Transportation Jet Fuel, Total</v>
          </cell>
          <cell r="F1179">
            <v>3553</v>
          </cell>
          <cell r="G1179">
            <v>2596</v>
          </cell>
          <cell r="H1179">
            <v>2105</v>
          </cell>
          <cell r="I1179">
            <v>2158</v>
          </cell>
          <cell r="J1179">
            <v>1920</v>
          </cell>
          <cell r="K1179">
            <v>1885</v>
          </cell>
          <cell r="L1179">
            <v>2043</v>
          </cell>
          <cell r="M1179">
            <v>2314</v>
          </cell>
          <cell r="N1179">
            <v>3456</v>
          </cell>
          <cell r="O1179">
            <v>4647</v>
          </cell>
          <cell r="P1179">
            <v>5539</v>
          </cell>
          <cell r="Q1179">
            <v>4990</v>
          </cell>
          <cell r="R1179">
            <v>4760</v>
          </cell>
          <cell r="S1179">
            <v>5342</v>
          </cell>
          <cell r="T1179">
            <v>5128</v>
          </cell>
          <cell r="U1179">
            <v>2564</v>
          </cell>
          <cell r="V1179">
            <v>919</v>
          </cell>
          <cell r="W1179">
            <v>860</v>
          </cell>
          <cell r="X1179">
            <v>862</v>
          </cell>
          <cell r="Y1179">
            <v>1919</v>
          </cell>
          <cell r="Z1179">
            <v>5210</v>
          </cell>
          <cell r="AA1179">
            <v>5162</v>
          </cell>
          <cell r="AB1179">
            <v>4467</v>
          </cell>
          <cell r="AC1179">
            <v>4191</v>
          </cell>
          <cell r="AD1179">
            <v>4397</v>
          </cell>
          <cell r="AE1179">
            <v>3730</v>
          </cell>
          <cell r="AF1179">
            <v>3800</v>
          </cell>
          <cell r="AG1179">
            <v>3710</v>
          </cell>
          <cell r="AH1179">
            <v>3552</v>
          </cell>
          <cell r="AI1179">
            <v>3778</v>
          </cell>
          <cell r="AJ1179">
            <v>2943</v>
          </cell>
        </row>
        <row r="1180">
          <cell r="E1180" t="str">
            <v>NJ Transportation Jet Fuel, Total</v>
          </cell>
          <cell r="F1180">
            <v>262604</v>
          </cell>
          <cell r="G1180">
            <v>246995</v>
          </cell>
          <cell r="H1180">
            <v>261182</v>
          </cell>
          <cell r="I1180">
            <v>272762</v>
          </cell>
          <cell r="J1180">
            <v>274198</v>
          </cell>
          <cell r="K1180">
            <v>283835</v>
          </cell>
          <cell r="L1180">
            <v>243820</v>
          </cell>
          <cell r="M1180">
            <v>219736</v>
          </cell>
          <cell r="N1180">
            <v>210376</v>
          </cell>
          <cell r="O1180">
            <v>206063</v>
          </cell>
          <cell r="P1180">
            <v>208548</v>
          </cell>
          <cell r="Q1180">
            <v>192506</v>
          </cell>
          <cell r="R1180">
            <v>164052</v>
          </cell>
          <cell r="S1180">
            <v>146857</v>
          </cell>
          <cell r="T1180">
            <v>141963</v>
          </cell>
          <cell r="U1180">
            <v>180501</v>
          </cell>
          <cell r="V1180">
            <v>191224</v>
          </cell>
          <cell r="W1180">
            <v>207150</v>
          </cell>
          <cell r="X1180">
            <v>200045</v>
          </cell>
          <cell r="Y1180">
            <v>195164</v>
          </cell>
          <cell r="Z1180">
            <v>105005</v>
          </cell>
          <cell r="AA1180">
            <v>106666</v>
          </cell>
          <cell r="AB1180">
            <v>104360</v>
          </cell>
          <cell r="AC1180">
            <v>110266</v>
          </cell>
          <cell r="AD1180">
            <v>104640</v>
          </cell>
          <cell r="AE1180">
            <v>109007</v>
          </cell>
          <cell r="AF1180">
            <v>113345</v>
          </cell>
          <cell r="AG1180">
            <v>119753</v>
          </cell>
          <cell r="AH1180">
            <v>121609</v>
          </cell>
          <cell r="AI1180">
            <v>122858</v>
          </cell>
          <cell r="AJ1180">
            <v>55843</v>
          </cell>
        </row>
        <row r="1181">
          <cell r="E1181" t="str">
            <v>NM Transportation Jet Fuel, Total</v>
          </cell>
          <cell r="F1181">
            <v>15998</v>
          </cell>
          <cell r="G1181">
            <v>13484</v>
          </cell>
          <cell r="H1181">
            <v>15590</v>
          </cell>
          <cell r="I1181">
            <v>18310</v>
          </cell>
          <cell r="J1181">
            <v>14599</v>
          </cell>
          <cell r="K1181">
            <v>12580</v>
          </cell>
          <cell r="L1181">
            <v>9152</v>
          </cell>
          <cell r="M1181">
            <v>9930</v>
          </cell>
          <cell r="N1181">
            <v>12462</v>
          </cell>
          <cell r="O1181">
            <v>15441</v>
          </cell>
          <cell r="P1181">
            <v>17109</v>
          </cell>
          <cell r="Q1181">
            <v>17381</v>
          </cell>
          <cell r="R1181">
            <v>14231</v>
          </cell>
          <cell r="S1181">
            <v>13825</v>
          </cell>
          <cell r="T1181">
            <v>12892</v>
          </cell>
          <cell r="U1181">
            <v>12942</v>
          </cell>
          <cell r="V1181">
            <v>13344</v>
          </cell>
          <cell r="W1181">
            <v>11019</v>
          </cell>
          <cell r="X1181">
            <v>10197</v>
          </cell>
          <cell r="Y1181">
            <v>7587</v>
          </cell>
          <cell r="Z1181">
            <v>9264</v>
          </cell>
          <cell r="AA1181">
            <v>8633</v>
          </cell>
          <cell r="AB1181">
            <v>8508</v>
          </cell>
          <cell r="AC1181">
            <v>8328</v>
          </cell>
          <cell r="AD1181">
            <v>8099</v>
          </cell>
          <cell r="AE1181">
            <v>8359</v>
          </cell>
          <cell r="AF1181">
            <v>8042</v>
          </cell>
          <cell r="AG1181">
            <v>8558</v>
          </cell>
          <cell r="AH1181">
            <v>7921</v>
          </cell>
          <cell r="AI1181">
            <v>8106</v>
          </cell>
          <cell r="AJ1181">
            <v>5557</v>
          </cell>
        </row>
        <row r="1182">
          <cell r="E1182" t="str">
            <v>NV Transportation Jet Fuel, Total</v>
          </cell>
          <cell r="F1182">
            <v>34020</v>
          </cell>
          <cell r="G1182">
            <v>36505</v>
          </cell>
          <cell r="H1182">
            <v>34402</v>
          </cell>
          <cell r="I1182">
            <v>36501</v>
          </cell>
          <cell r="J1182">
            <v>38620</v>
          </cell>
          <cell r="K1182">
            <v>41798</v>
          </cell>
          <cell r="L1182">
            <v>44466</v>
          </cell>
          <cell r="M1182">
            <v>42858</v>
          </cell>
          <cell r="N1182">
            <v>38109</v>
          </cell>
          <cell r="O1182">
            <v>47369</v>
          </cell>
          <cell r="P1182">
            <v>51953</v>
          </cell>
          <cell r="Q1182">
            <v>47706</v>
          </cell>
          <cell r="R1182">
            <v>46234</v>
          </cell>
          <cell r="S1182">
            <v>43382</v>
          </cell>
          <cell r="T1182">
            <v>44881</v>
          </cell>
          <cell r="U1182">
            <v>46248</v>
          </cell>
          <cell r="V1182">
            <v>48487</v>
          </cell>
          <cell r="W1182">
            <v>52206</v>
          </cell>
          <cell r="X1182">
            <v>43756</v>
          </cell>
          <cell r="Y1182">
            <v>27701</v>
          </cell>
          <cell r="Z1182">
            <v>73208</v>
          </cell>
          <cell r="AA1182">
            <v>72653</v>
          </cell>
          <cell r="AB1182">
            <v>72134</v>
          </cell>
          <cell r="AC1182">
            <v>72892</v>
          </cell>
          <cell r="AD1182">
            <v>74599</v>
          </cell>
          <cell r="AE1182">
            <v>76550</v>
          </cell>
          <cell r="AF1182">
            <v>81541</v>
          </cell>
          <cell r="AG1182">
            <v>84560</v>
          </cell>
          <cell r="AH1182">
            <v>81906</v>
          </cell>
          <cell r="AI1182">
            <v>79220</v>
          </cell>
          <cell r="AJ1182">
            <v>48947</v>
          </cell>
        </row>
        <row r="1183">
          <cell r="E1183" t="str">
            <v>NY Transportation Jet Fuel, Total</v>
          </cell>
          <cell r="F1183">
            <v>30433</v>
          </cell>
          <cell r="G1183">
            <v>29551</v>
          </cell>
          <cell r="H1183">
            <v>29894</v>
          </cell>
          <cell r="I1183">
            <v>28703</v>
          </cell>
          <cell r="J1183">
            <v>32320</v>
          </cell>
          <cell r="K1183">
            <v>43627</v>
          </cell>
          <cell r="L1183">
            <v>65384</v>
          </cell>
          <cell r="M1183">
            <v>68822</v>
          </cell>
          <cell r="N1183">
            <v>83916</v>
          </cell>
          <cell r="O1183">
            <v>51719</v>
          </cell>
          <cell r="P1183">
            <v>53957</v>
          </cell>
          <cell r="Q1183">
            <v>83091</v>
          </cell>
          <cell r="R1183">
            <v>87479</v>
          </cell>
          <cell r="S1183">
            <v>97909</v>
          </cell>
          <cell r="T1183">
            <v>109431</v>
          </cell>
          <cell r="U1183">
            <v>113488</v>
          </cell>
          <cell r="V1183">
            <v>115336</v>
          </cell>
          <cell r="W1183">
            <v>113268</v>
          </cell>
          <cell r="X1183">
            <v>122799</v>
          </cell>
          <cell r="Y1183">
            <v>95030</v>
          </cell>
          <cell r="Z1183">
            <v>230271</v>
          </cell>
          <cell r="AA1183">
            <v>231538</v>
          </cell>
          <cell r="AB1183">
            <v>233134</v>
          </cell>
          <cell r="AC1183">
            <v>247605</v>
          </cell>
          <cell r="AD1183">
            <v>253853</v>
          </cell>
          <cell r="AE1183">
            <v>266824</v>
          </cell>
          <cell r="AF1183">
            <v>282494</v>
          </cell>
          <cell r="AG1183">
            <v>292965</v>
          </cell>
          <cell r="AH1183">
            <v>284289</v>
          </cell>
          <cell r="AI1183">
            <v>286957</v>
          </cell>
          <cell r="AJ1183">
            <v>133603</v>
          </cell>
        </row>
        <row r="1184">
          <cell r="E1184" t="str">
            <v>OH Transportation Jet Fuel, Total</v>
          </cell>
          <cell r="F1184">
            <v>59911</v>
          </cell>
          <cell r="G1184">
            <v>58819</v>
          </cell>
          <cell r="H1184">
            <v>60069</v>
          </cell>
          <cell r="I1184">
            <v>60201</v>
          </cell>
          <cell r="J1184">
            <v>66059</v>
          </cell>
          <cell r="K1184">
            <v>63695</v>
          </cell>
          <cell r="L1184">
            <v>67810</v>
          </cell>
          <cell r="M1184">
            <v>71496</v>
          </cell>
          <cell r="N1184">
            <v>78460</v>
          </cell>
          <cell r="O1184">
            <v>93311</v>
          </cell>
          <cell r="P1184">
            <v>105776</v>
          </cell>
          <cell r="Q1184">
            <v>105343</v>
          </cell>
          <cell r="R1184">
            <v>99161</v>
          </cell>
          <cell r="S1184">
            <v>100272</v>
          </cell>
          <cell r="T1184">
            <v>105662</v>
          </cell>
          <cell r="U1184">
            <v>105546</v>
          </cell>
          <cell r="V1184">
            <v>104813</v>
          </cell>
          <cell r="W1184">
            <v>102880</v>
          </cell>
          <cell r="X1184">
            <v>102049</v>
          </cell>
          <cell r="Y1184">
            <v>72258</v>
          </cell>
          <cell r="Z1184">
            <v>32647</v>
          </cell>
          <cell r="AA1184">
            <v>31439</v>
          </cell>
          <cell r="AB1184">
            <v>26710</v>
          </cell>
          <cell r="AC1184">
            <v>26638</v>
          </cell>
          <cell r="AD1184">
            <v>29160</v>
          </cell>
          <cell r="AE1184">
            <v>31660</v>
          </cell>
          <cell r="AF1184">
            <v>34616</v>
          </cell>
          <cell r="AG1184">
            <v>30955</v>
          </cell>
          <cell r="AH1184">
            <v>36136</v>
          </cell>
          <cell r="AI1184">
            <v>32233</v>
          </cell>
          <cell r="AJ1184">
            <v>30986</v>
          </cell>
        </row>
        <row r="1185">
          <cell r="E1185" t="str">
            <v>OK Transportation Jet Fuel, Total</v>
          </cell>
          <cell r="F1185">
            <v>43793</v>
          </cell>
          <cell r="G1185">
            <v>59061</v>
          </cell>
          <cell r="H1185">
            <v>72751</v>
          </cell>
          <cell r="I1185">
            <v>50489</v>
          </cell>
          <cell r="J1185">
            <v>58109</v>
          </cell>
          <cell r="K1185">
            <v>30316</v>
          </cell>
          <cell r="L1185">
            <v>26670</v>
          </cell>
          <cell r="M1185">
            <v>29813</v>
          </cell>
          <cell r="N1185">
            <v>30322</v>
          </cell>
          <cell r="O1185">
            <v>37287</v>
          </cell>
          <cell r="P1185">
            <v>38627</v>
          </cell>
          <cell r="Q1185">
            <v>39925</v>
          </cell>
          <cell r="R1185">
            <v>36478</v>
          </cell>
          <cell r="S1185">
            <v>35380</v>
          </cell>
          <cell r="T1185">
            <v>39114</v>
          </cell>
          <cell r="U1185">
            <v>33814</v>
          </cell>
          <cell r="V1185">
            <v>32097</v>
          </cell>
          <cell r="W1185">
            <v>30023</v>
          </cell>
          <cell r="X1185">
            <v>31701</v>
          </cell>
          <cell r="Y1185">
            <v>36556</v>
          </cell>
          <cell r="Z1185">
            <v>36148</v>
          </cell>
          <cell r="AA1185">
            <v>36088</v>
          </cell>
          <cell r="AB1185">
            <v>37440</v>
          </cell>
          <cell r="AC1185">
            <v>36980</v>
          </cell>
          <cell r="AD1185">
            <v>42513</v>
          </cell>
          <cell r="AE1185">
            <v>40741</v>
          </cell>
          <cell r="AF1185">
            <v>40612</v>
          </cell>
          <cell r="AG1185">
            <v>43374</v>
          </cell>
          <cell r="AH1185">
            <v>44319</v>
          </cell>
          <cell r="AI1185">
            <v>40167</v>
          </cell>
          <cell r="AJ1185">
            <v>34305</v>
          </cell>
        </row>
        <row r="1186">
          <cell r="E1186" t="str">
            <v>OR Transportation Jet Fuel, Total</v>
          </cell>
          <cell r="F1186">
            <v>18750</v>
          </cell>
          <cell r="G1186">
            <v>21135</v>
          </cell>
          <cell r="H1186">
            <v>22663</v>
          </cell>
          <cell r="I1186">
            <v>24382</v>
          </cell>
          <cell r="J1186">
            <v>26356</v>
          </cell>
          <cell r="K1186">
            <v>28994</v>
          </cell>
          <cell r="L1186">
            <v>29681</v>
          </cell>
          <cell r="M1186">
            <v>32447</v>
          </cell>
          <cell r="N1186">
            <v>33262</v>
          </cell>
          <cell r="O1186">
            <v>36498</v>
          </cell>
          <cell r="P1186">
            <v>35592</v>
          </cell>
          <cell r="Q1186">
            <v>29580</v>
          </cell>
          <cell r="R1186">
            <v>29344</v>
          </cell>
          <cell r="S1186">
            <v>31692</v>
          </cell>
          <cell r="T1186">
            <v>28902</v>
          </cell>
          <cell r="U1186">
            <v>30628</v>
          </cell>
          <cell r="V1186">
            <v>32685</v>
          </cell>
          <cell r="W1186">
            <v>31923</v>
          </cell>
          <cell r="X1186">
            <v>30979</v>
          </cell>
          <cell r="Y1186">
            <v>36995</v>
          </cell>
          <cell r="Z1186">
            <v>25325</v>
          </cell>
          <cell r="AA1186">
            <v>25144</v>
          </cell>
          <cell r="AB1186">
            <v>25488</v>
          </cell>
          <cell r="AC1186">
            <v>27182</v>
          </cell>
          <cell r="AD1186">
            <v>26800</v>
          </cell>
          <cell r="AE1186">
            <v>27757</v>
          </cell>
          <cell r="AF1186">
            <v>28800</v>
          </cell>
          <cell r="AG1186">
            <v>30816</v>
          </cell>
          <cell r="AH1186">
            <v>34236</v>
          </cell>
          <cell r="AI1186">
            <v>34521</v>
          </cell>
          <cell r="AJ1186">
            <v>21660</v>
          </cell>
        </row>
        <row r="1187">
          <cell r="E1187" t="str">
            <v>PA Transportation Jet Fuel, Total</v>
          </cell>
          <cell r="F1187">
            <v>68164</v>
          </cell>
          <cell r="G1187">
            <v>64284</v>
          </cell>
          <cell r="H1187">
            <v>61884</v>
          </cell>
          <cell r="I1187">
            <v>66687</v>
          </cell>
          <cell r="J1187">
            <v>66526</v>
          </cell>
          <cell r="K1187">
            <v>69808</v>
          </cell>
          <cell r="L1187">
            <v>67078</v>
          </cell>
          <cell r="M1187">
            <v>84024</v>
          </cell>
          <cell r="N1187">
            <v>94865</v>
          </cell>
          <cell r="O1187">
            <v>90395</v>
          </cell>
          <cell r="P1187">
            <v>107780</v>
          </cell>
          <cell r="Q1187">
            <v>107030</v>
          </cell>
          <cell r="R1187">
            <v>96423</v>
          </cell>
          <cell r="S1187">
            <v>99071</v>
          </cell>
          <cell r="T1187">
            <v>92878</v>
          </cell>
          <cell r="U1187">
            <v>95404</v>
          </cell>
          <cell r="V1187">
            <v>93356</v>
          </cell>
          <cell r="W1187">
            <v>87904</v>
          </cell>
          <cell r="X1187">
            <v>81845</v>
          </cell>
          <cell r="Y1187">
            <v>70738</v>
          </cell>
          <cell r="Z1187">
            <v>69561</v>
          </cell>
          <cell r="AA1187">
            <v>68524</v>
          </cell>
          <cell r="AB1187">
            <v>67909</v>
          </cell>
          <cell r="AC1187">
            <v>70020</v>
          </cell>
          <cell r="AD1187">
            <v>69371</v>
          </cell>
          <cell r="AE1187">
            <v>69271</v>
          </cell>
          <cell r="AF1187">
            <v>70357</v>
          </cell>
          <cell r="AG1187">
            <v>72639</v>
          </cell>
          <cell r="AH1187">
            <v>74608</v>
          </cell>
          <cell r="AI1187">
            <v>77595</v>
          </cell>
          <cell r="AJ1187">
            <v>44795</v>
          </cell>
        </row>
        <row r="1188">
          <cell r="E1188" t="str">
            <v>RI Transportation Jet Fuel, Total</v>
          </cell>
          <cell r="F1188">
            <v>4385</v>
          </cell>
          <cell r="G1188">
            <v>3700</v>
          </cell>
          <cell r="H1188">
            <v>3140</v>
          </cell>
          <cell r="I1188">
            <v>2976</v>
          </cell>
          <cell r="J1188">
            <v>2995</v>
          </cell>
          <cell r="K1188">
            <v>2830</v>
          </cell>
          <cell r="L1188">
            <v>3060</v>
          </cell>
          <cell r="M1188">
            <v>4694</v>
          </cell>
          <cell r="N1188">
            <v>5216</v>
          </cell>
          <cell r="O1188">
            <v>5992</v>
          </cell>
          <cell r="P1188">
            <v>7273</v>
          </cell>
          <cell r="Q1188">
            <v>7396</v>
          </cell>
          <cell r="R1188">
            <v>7294</v>
          </cell>
          <cell r="S1188">
            <v>5986</v>
          </cell>
          <cell r="T1188">
            <v>5870</v>
          </cell>
          <cell r="U1188">
            <v>4675</v>
          </cell>
          <cell r="V1188">
            <v>3362</v>
          </cell>
          <cell r="W1188">
            <v>1900</v>
          </cell>
          <cell r="X1188">
            <v>1698</v>
          </cell>
          <cell r="Y1188">
            <v>3935</v>
          </cell>
          <cell r="Z1188">
            <v>3522</v>
          </cell>
          <cell r="AA1188">
            <v>3828</v>
          </cell>
          <cell r="AB1188">
            <v>3440</v>
          </cell>
          <cell r="AC1188">
            <v>3312</v>
          </cell>
          <cell r="AD1188">
            <v>2971</v>
          </cell>
          <cell r="AE1188">
            <v>3182</v>
          </cell>
          <cell r="AF1188">
            <v>2977</v>
          </cell>
          <cell r="AG1188">
            <v>2791</v>
          </cell>
          <cell r="AH1188">
            <v>2488</v>
          </cell>
          <cell r="AI1188">
            <v>2271</v>
          </cell>
          <cell r="AJ1188">
            <v>1719</v>
          </cell>
        </row>
        <row r="1189">
          <cell r="E1189" t="str">
            <v>SC Transportation Jet Fuel, Total</v>
          </cell>
          <cell r="F1189">
            <v>16048</v>
          </cell>
          <cell r="G1189">
            <v>18709</v>
          </cell>
          <cell r="H1189">
            <v>14102</v>
          </cell>
          <cell r="I1189">
            <v>11077</v>
          </cell>
          <cell r="J1189">
            <v>8093</v>
          </cell>
          <cell r="K1189">
            <v>5812</v>
          </cell>
          <cell r="L1189">
            <v>7324</v>
          </cell>
          <cell r="M1189">
            <v>7530</v>
          </cell>
          <cell r="N1189">
            <v>8151</v>
          </cell>
          <cell r="O1189">
            <v>8707</v>
          </cell>
          <cell r="P1189">
            <v>10552</v>
          </cell>
          <cell r="Q1189">
            <v>10496</v>
          </cell>
          <cell r="R1189">
            <v>8778</v>
          </cell>
          <cell r="S1189">
            <v>8273</v>
          </cell>
          <cell r="T1189">
            <v>9390</v>
          </cell>
          <cell r="U1189">
            <v>9123</v>
          </cell>
          <cell r="V1189">
            <v>10235</v>
          </cell>
          <cell r="W1189">
            <v>10666</v>
          </cell>
          <cell r="X1189">
            <v>9926</v>
          </cell>
          <cell r="Y1189">
            <v>6101</v>
          </cell>
          <cell r="Z1189">
            <v>17452</v>
          </cell>
          <cell r="AA1189">
            <v>15294</v>
          </cell>
          <cell r="AB1189">
            <v>13730</v>
          </cell>
          <cell r="AC1189">
            <v>12687</v>
          </cell>
          <cell r="AD1189">
            <v>14819</v>
          </cell>
          <cell r="AE1189">
            <v>15308</v>
          </cell>
          <cell r="AF1189">
            <v>16552</v>
          </cell>
          <cell r="AG1189">
            <v>17974</v>
          </cell>
          <cell r="AH1189">
            <v>19294</v>
          </cell>
          <cell r="AI1189">
            <v>20653</v>
          </cell>
          <cell r="AJ1189">
            <v>15709</v>
          </cell>
        </row>
        <row r="1190">
          <cell r="E1190" t="str">
            <v>SD Transportation Jet Fuel, Total</v>
          </cell>
          <cell r="F1190">
            <v>5931</v>
          </cell>
          <cell r="G1190">
            <v>2010</v>
          </cell>
          <cell r="H1190">
            <v>6871</v>
          </cell>
          <cell r="I1190">
            <v>6444</v>
          </cell>
          <cell r="J1190">
            <v>7065</v>
          </cell>
          <cell r="K1190">
            <v>7941</v>
          </cell>
          <cell r="L1190">
            <v>5702</v>
          </cell>
          <cell r="M1190">
            <v>3954</v>
          </cell>
          <cell r="N1190">
            <v>4644</v>
          </cell>
          <cell r="O1190">
            <v>4365</v>
          </cell>
          <cell r="P1190">
            <v>5803</v>
          </cell>
          <cell r="Q1190">
            <v>5486</v>
          </cell>
          <cell r="R1190">
            <v>5210</v>
          </cell>
          <cell r="S1190">
            <v>4359</v>
          </cell>
          <cell r="T1190">
            <v>4402</v>
          </cell>
          <cell r="U1190">
            <v>5647</v>
          </cell>
          <cell r="V1190">
            <v>5359</v>
          </cell>
          <cell r="W1190">
            <v>4991</v>
          </cell>
          <cell r="X1190">
            <v>3736</v>
          </cell>
          <cell r="Y1190">
            <v>4008</v>
          </cell>
          <cell r="Z1190">
            <v>4369</v>
          </cell>
          <cell r="AA1190">
            <v>3690</v>
          </cell>
          <cell r="AB1190">
            <v>4486</v>
          </cell>
          <cell r="AC1190">
            <v>4081</v>
          </cell>
          <cell r="AD1190">
            <v>5579</v>
          </cell>
          <cell r="AE1190">
            <v>5260</v>
          </cell>
          <cell r="AF1190">
            <v>4743</v>
          </cell>
          <cell r="AG1190">
            <v>4680</v>
          </cell>
          <cell r="AH1190">
            <v>3777</v>
          </cell>
          <cell r="AI1190">
            <v>4068</v>
          </cell>
          <cell r="AJ1190">
            <v>3666</v>
          </cell>
        </row>
        <row r="1191">
          <cell r="E1191" t="str">
            <v>TN Transportation Jet Fuel, Total</v>
          </cell>
          <cell r="F1191">
            <v>23613</v>
          </cell>
          <cell r="G1191">
            <v>19266</v>
          </cell>
          <cell r="H1191">
            <v>25313</v>
          </cell>
          <cell r="I1191">
            <v>37166</v>
          </cell>
          <cell r="J1191">
            <v>43961</v>
          </cell>
          <cell r="K1191">
            <v>45882</v>
          </cell>
          <cell r="L1191">
            <v>52820</v>
          </cell>
          <cell r="M1191">
            <v>53506</v>
          </cell>
          <cell r="N1191">
            <v>55928</v>
          </cell>
          <cell r="O1191">
            <v>66998</v>
          </cell>
          <cell r="P1191">
            <v>72898</v>
          </cell>
          <cell r="Q1191">
            <v>71223</v>
          </cell>
          <cell r="R1191">
            <v>76218</v>
          </cell>
          <cell r="S1191">
            <v>75840</v>
          </cell>
          <cell r="T1191">
            <v>77241</v>
          </cell>
          <cell r="U1191">
            <v>78901</v>
          </cell>
          <cell r="V1191">
            <v>80553</v>
          </cell>
          <cell r="W1191">
            <v>78310</v>
          </cell>
          <cell r="X1191">
            <v>71836</v>
          </cell>
          <cell r="Y1191">
            <v>63384</v>
          </cell>
          <cell r="Z1191">
            <v>70675</v>
          </cell>
          <cell r="AA1191">
            <v>68029</v>
          </cell>
          <cell r="AB1191">
            <v>63926</v>
          </cell>
          <cell r="AC1191">
            <v>66133</v>
          </cell>
          <cell r="AD1191">
            <v>66762</v>
          </cell>
          <cell r="AE1191">
            <v>70113</v>
          </cell>
          <cell r="AF1191">
            <v>74208</v>
          </cell>
          <cell r="AG1191">
            <v>77510</v>
          </cell>
          <cell r="AH1191">
            <v>77609</v>
          </cell>
          <cell r="AI1191">
            <v>82659</v>
          </cell>
          <cell r="AJ1191">
            <v>77723</v>
          </cell>
        </row>
        <row r="1192">
          <cell r="E1192" t="str">
            <v>TX Transportation Jet Fuel, Total</v>
          </cell>
          <cell r="F1192">
            <v>542139</v>
          </cell>
          <cell r="G1192">
            <v>512815</v>
          </cell>
          <cell r="H1192">
            <v>509100</v>
          </cell>
          <cell r="I1192">
            <v>492026</v>
          </cell>
          <cell r="J1192">
            <v>472453</v>
          </cell>
          <cell r="K1192">
            <v>470479</v>
          </cell>
          <cell r="L1192">
            <v>566221</v>
          </cell>
          <cell r="M1192">
            <v>599046</v>
          </cell>
          <cell r="N1192">
            <v>615962</v>
          </cell>
          <cell r="O1192">
            <v>594762</v>
          </cell>
          <cell r="P1192">
            <v>582403</v>
          </cell>
          <cell r="Q1192">
            <v>639834</v>
          </cell>
          <cell r="R1192">
            <v>655440</v>
          </cell>
          <cell r="S1192">
            <v>574567</v>
          </cell>
          <cell r="T1192">
            <v>503613</v>
          </cell>
          <cell r="U1192">
            <v>455765</v>
          </cell>
          <cell r="V1192">
            <v>461834</v>
          </cell>
          <cell r="W1192">
            <v>427566</v>
          </cell>
          <cell r="X1192">
            <v>411165</v>
          </cell>
          <cell r="Y1192">
            <v>350451</v>
          </cell>
          <cell r="Z1192">
            <v>258523</v>
          </cell>
          <cell r="AA1192">
            <v>261709</v>
          </cell>
          <cell r="AB1192">
            <v>257874</v>
          </cell>
          <cell r="AC1192">
            <v>267978</v>
          </cell>
          <cell r="AD1192">
            <v>270288</v>
          </cell>
          <cell r="AE1192">
            <v>296400</v>
          </cell>
          <cell r="AF1192">
            <v>300657</v>
          </cell>
          <cell r="AG1192">
            <v>298370</v>
          </cell>
          <cell r="AH1192">
            <v>301875</v>
          </cell>
          <cell r="AI1192">
            <v>320520</v>
          </cell>
          <cell r="AJ1192">
            <v>198228</v>
          </cell>
        </row>
        <row r="1193">
          <cell r="E1193" t="str">
            <v>US Transportation Jet Fuel, Total</v>
          </cell>
          <cell r="F1193">
            <v>3129491</v>
          </cell>
          <cell r="G1193">
            <v>3025005</v>
          </cell>
          <cell r="H1193">
            <v>3001330</v>
          </cell>
          <cell r="I1193">
            <v>3028007</v>
          </cell>
          <cell r="J1193">
            <v>3154499</v>
          </cell>
          <cell r="K1193">
            <v>3132195</v>
          </cell>
          <cell r="L1193">
            <v>3274239</v>
          </cell>
          <cell r="M1193">
            <v>3308167</v>
          </cell>
          <cell r="N1193">
            <v>3356783</v>
          </cell>
          <cell r="O1193">
            <v>3461781</v>
          </cell>
          <cell r="P1193">
            <v>3580350</v>
          </cell>
          <cell r="Q1193">
            <v>3425975</v>
          </cell>
          <cell r="R1193">
            <v>3340318</v>
          </cell>
          <cell r="S1193">
            <v>3265457</v>
          </cell>
          <cell r="T1193">
            <v>3382535</v>
          </cell>
          <cell r="U1193">
            <v>3474752</v>
          </cell>
          <cell r="V1193">
            <v>3379382</v>
          </cell>
          <cell r="W1193">
            <v>3357610</v>
          </cell>
          <cell r="X1193">
            <v>3192839</v>
          </cell>
          <cell r="Y1193">
            <v>2883274</v>
          </cell>
          <cell r="Z1193">
            <v>2962870</v>
          </cell>
          <cell r="AA1193">
            <v>2949818</v>
          </cell>
          <cell r="AB1193">
            <v>2901435</v>
          </cell>
          <cell r="AC1193">
            <v>2968557</v>
          </cell>
          <cell r="AD1193">
            <v>3042091</v>
          </cell>
          <cell r="AE1193">
            <v>3204168</v>
          </cell>
          <cell r="AF1193">
            <v>3349876</v>
          </cell>
          <cell r="AG1193">
            <v>3481346</v>
          </cell>
          <cell r="AH1193">
            <v>3532756</v>
          </cell>
          <cell r="AI1193">
            <v>3608019</v>
          </cell>
          <cell r="AJ1193">
            <v>2233844</v>
          </cell>
        </row>
        <row r="1194">
          <cell r="E1194" t="str">
            <v>UT Transportation Jet Fuel, Total</v>
          </cell>
          <cell r="F1194">
            <v>29740</v>
          </cell>
          <cell r="G1194">
            <v>33220</v>
          </cell>
          <cell r="H1194">
            <v>31491</v>
          </cell>
          <cell r="I1194">
            <v>31066</v>
          </cell>
          <cell r="J1194">
            <v>29684</v>
          </cell>
          <cell r="K1194">
            <v>31848</v>
          </cell>
          <cell r="L1194">
            <v>35705</v>
          </cell>
          <cell r="M1194">
            <v>35603</v>
          </cell>
          <cell r="N1194">
            <v>36167</v>
          </cell>
          <cell r="O1194">
            <v>42200</v>
          </cell>
          <cell r="P1194">
            <v>43663</v>
          </cell>
          <cell r="Q1194">
            <v>39010</v>
          </cell>
          <cell r="R1194">
            <v>36381</v>
          </cell>
          <cell r="S1194">
            <v>38319</v>
          </cell>
          <cell r="T1194">
            <v>40468</v>
          </cell>
          <cell r="U1194">
            <v>41923</v>
          </cell>
          <cell r="V1194">
            <v>42863</v>
          </cell>
          <cell r="W1194">
            <v>40173</v>
          </cell>
          <cell r="X1194">
            <v>36907</v>
          </cell>
          <cell r="Y1194">
            <v>32611</v>
          </cell>
          <cell r="Z1194">
            <v>28525</v>
          </cell>
          <cell r="AA1194">
            <v>27357</v>
          </cell>
          <cell r="AB1194">
            <v>26129</v>
          </cell>
          <cell r="AC1194">
            <v>25336</v>
          </cell>
          <cell r="AD1194">
            <v>27308</v>
          </cell>
          <cell r="AE1194">
            <v>29980</v>
          </cell>
          <cell r="AF1194">
            <v>33809</v>
          </cell>
          <cell r="AG1194">
            <v>36046</v>
          </cell>
          <cell r="AH1194">
            <v>48868</v>
          </cell>
          <cell r="AI1194">
            <v>42431</v>
          </cell>
          <cell r="AJ1194">
            <v>29778</v>
          </cell>
        </row>
        <row r="1195">
          <cell r="E1195" t="str">
            <v>VA Transportation Jet Fuel, Total</v>
          </cell>
          <cell r="F1195">
            <v>88527</v>
          </cell>
          <cell r="G1195">
            <v>66713</v>
          </cell>
          <cell r="H1195">
            <v>65904</v>
          </cell>
          <cell r="I1195">
            <v>67289</v>
          </cell>
          <cell r="J1195">
            <v>67957</v>
          </cell>
          <cell r="K1195">
            <v>60029</v>
          </cell>
          <cell r="L1195">
            <v>52183</v>
          </cell>
          <cell r="M1195">
            <v>53333</v>
          </cell>
          <cell r="N1195">
            <v>57788</v>
          </cell>
          <cell r="O1195">
            <v>52811</v>
          </cell>
          <cell r="P1195">
            <v>56377</v>
          </cell>
          <cell r="Q1195">
            <v>56591</v>
          </cell>
          <cell r="R1195">
            <v>56444</v>
          </cell>
          <cell r="S1195">
            <v>64983</v>
          </cell>
          <cell r="T1195">
            <v>94997</v>
          </cell>
          <cell r="U1195">
            <v>106850</v>
          </cell>
          <cell r="V1195">
            <v>106649</v>
          </cell>
          <cell r="W1195">
            <v>107868</v>
          </cell>
          <cell r="X1195">
            <v>93669</v>
          </cell>
          <cell r="Y1195">
            <v>88978</v>
          </cell>
          <cell r="Z1195">
            <v>112652</v>
          </cell>
          <cell r="AA1195">
            <v>109430</v>
          </cell>
          <cell r="AB1195">
            <v>107257</v>
          </cell>
          <cell r="AC1195">
            <v>111640</v>
          </cell>
          <cell r="AD1195">
            <v>124238</v>
          </cell>
          <cell r="AE1195">
            <v>130118</v>
          </cell>
          <cell r="AF1195">
            <v>147470</v>
          </cell>
          <cell r="AG1195">
            <v>151012</v>
          </cell>
          <cell r="AH1195">
            <v>151368</v>
          </cell>
          <cell r="AI1195">
            <v>154006</v>
          </cell>
          <cell r="AJ1195">
            <v>88349</v>
          </cell>
        </row>
        <row r="1196">
          <cell r="E1196" t="str">
            <v>VT Transportation Jet Fuel, Total</v>
          </cell>
          <cell r="F1196">
            <v>1002</v>
          </cell>
          <cell r="G1196">
            <v>898</v>
          </cell>
          <cell r="H1196">
            <v>639</v>
          </cell>
          <cell r="I1196">
            <v>688</v>
          </cell>
          <cell r="J1196">
            <v>779</v>
          </cell>
          <cell r="K1196">
            <v>718</v>
          </cell>
          <cell r="L1196">
            <v>563</v>
          </cell>
          <cell r="M1196">
            <v>601</v>
          </cell>
          <cell r="N1196">
            <v>687</v>
          </cell>
          <cell r="O1196">
            <v>812</v>
          </cell>
          <cell r="P1196">
            <v>817</v>
          </cell>
          <cell r="Q1196">
            <v>682</v>
          </cell>
          <cell r="R1196">
            <v>366</v>
          </cell>
          <cell r="S1196">
            <v>385</v>
          </cell>
          <cell r="T1196">
            <v>1752</v>
          </cell>
          <cell r="U1196">
            <v>2397</v>
          </cell>
          <cell r="V1196">
            <v>2132</v>
          </cell>
          <cell r="W1196">
            <v>1799</v>
          </cell>
          <cell r="X1196">
            <v>1509</v>
          </cell>
          <cell r="Y1196">
            <v>2901</v>
          </cell>
          <cell r="Z1196">
            <v>911</v>
          </cell>
          <cell r="AA1196">
            <v>1039</v>
          </cell>
          <cell r="AB1196">
            <v>1046</v>
          </cell>
          <cell r="AC1196">
            <v>972</v>
          </cell>
          <cell r="AD1196">
            <v>1107</v>
          </cell>
          <cell r="AE1196">
            <v>1084</v>
          </cell>
          <cell r="AF1196">
            <v>1188</v>
          </cell>
          <cell r="AG1196">
            <v>855</v>
          </cell>
          <cell r="AH1196">
            <v>910</v>
          </cell>
          <cell r="AI1196">
            <v>958</v>
          </cell>
          <cell r="AJ1196">
            <v>829</v>
          </cell>
        </row>
        <row r="1197">
          <cell r="E1197" t="str">
            <v>WA Transportation Jet Fuel, Total</v>
          </cell>
          <cell r="F1197">
            <v>126021</v>
          </cell>
          <cell r="G1197">
            <v>120246</v>
          </cell>
          <cell r="H1197">
            <v>135960</v>
          </cell>
          <cell r="I1197">
            <v>125597</v>
          </cell>
          <cell r="J1197">
            <v>121686</v>
          </cell>
          <cell r="K1197">
            <v>130373</v>
          </cell>
          <cell r="L1197">
            <v>126535</v>
          </cell>
          <cell r="M1197">
            <v>127369</v>
          </cell>
          <cell r="N1197">
            <v>124055</v>
          </cell>
          <cell r="O1197">
            <v>125620</v>
          </cell>
          <cell r="P1197">
            <v>140195</v>
          </cell>
          <cell r="Q1197">
            <v>123692</v>
          </cell>
          <cell r="R1197">
            <v>102489</v>
          </cell>
          <cell r="S1197">
            <v>99184</v>
          </cell>
          <cell r="T1197">
            <v>108974</v>
          </cell>
          <cell r="U1197">
            <v>104784</v>
          </cell>
          <cell r="V1197">
            <v>105393</v>
          </cell>
          <cell r="W1197">
            <v>115957</v>
          </cell>
          <cell r="X1197">
            <v>114024</v>
          </cell>
          <cell r="Y1197">
            <v>103719</v>
          </cell>
          <cell r="Z1197">
            <v>74753</v>
          </cell>
          <cell r="AA1197">
            <v>75185</v>
          </cell>
          <cell r="AB1197">
            <v>73389</v>
          </cell>
          <cell r="AC1197">
            <v>79588</v>
          </cell>
          <cell r="AD1197">
            <v>82418</v>
          </cell>
          <cell r="AE1197">
            <v>92206</v>
          </cell>
          <cell r="AF1197">
            <v>99241</v>
          </cell>
          <cell r="AG1197">
            <v>104727</v>
          </cell>
          <cell r="AH1197">
            <v>105051</v>
          </cell>
          <cell r="AI1197">
            <v>110360</v>
          </cell>
          <cell r="AJ1197">
            <v>69890</v>
          </cell>
        </row>
        <row r="1198">
          <cell r="E1198" t="str">
            <v>WI Transportation Jet Fuel, Total</v>
          </cell>
          <cell r="F1198">
            <v>8000</v>
          </cell>
          <cell r="G1198">
            <v>7571</v>
          </cell>
          <cell r="H1198">
            <v>9689</v>
          </cell>
          <cell r="I1198">
            <v>10774</v>
          </cell>
          <cell r="J1198">
            <v>11133</v>
          </cell>
          <cell r="K1198">
            <v>11589</v>
          </cell>
          <cell r="L1198">
            <v>8674</v>
          </cell>
          <cell r="M1198">
            <v>11056</v>
          </cell>
          <cell r="N1198">
            <v>10580</v>
          </cell>
          <cell r="O1198">
            <v>19316</v>
          </cell>
          <cell r="P1198">
            <v>17798</v>
          </cell>
          <cell r="Q1198">
            <v>14687</v>
          </cell>
          <cell r="R1198">
            <v>13001</v>
          </cell>
          <cell r="S1198">
            <v>7573</v>
          </cell>
          <cell r="T1198">
            <v>14976</v>
          </cell>
          <cell r="U1198">
            <v>16207</v>
          </cell>
          <cell r="V1198">
            <v>15583</v>
          </cell>
          <cell r="W1198">
            <v>12630</v>
          </cell>
          <cell r="X1198">
            <v>14956</v>
          </cell>
          <cell r="Y1198">
            <v>14134</v>
          </cell>
          <cell r="Z1198">
            <v>16237</v>
          </cell>
          <cell r="AA1198">
            <v>15578</v>
          </cell>
          <cell r="AB1198">
            <v>12493</v>
          </cell>
          <cell r="AC1198">
            <v>12566</v>
          </cell>
          <cell r="AD1198">
            <v>12522</v>
          </cell>
          <cell r="AE1198">
            <v>12893</v>
          </cell>
          <cell r="AF1198">
            <v>13399</v>
          </cell>
          <cell r="AG1198">
            <v>14050</v>
          </cell>
          <cell r="AH1198">
            <v>14866</v>
          </cell>
          <cell r="AI1198">
            <v>15984</v>
          </cell>
          <cell r="AJ1198">
            <v>9878</v>
          </cell>
        </row>
        <row r="1199">
          <cell r="E1199" t="str">
            <v>WV Transportation Jet Fuel, Total</v>
          </cell>
          <cell r="F1199">
            <v>1527</v>
          </cell>
          <cell r="G1199">
            <v>1317</v>
          </cell>
          <cell r="H1199">
            <v>1509</v>
          </cell>
          <cell r="I1199">
            <v>1431</v>
          </cell>
          <cell r="J1199">
            <v>1260</v>
          </cell>
          <cell r="K1199">
            <v>984</v>
          </cell>
          <cell r="L1199">
            <v>964</v>
          </cell>
          <cell r="M1199">
            <v>977</v>
          </cell>
          <cell r="N1199">
            <v>992</v>
          </cell>
          <cell r="O1199">
            <v>1045</v>
          </cell>
          <cell r="P1199">
            <v>1070</v>
          </cell>
          <cell r="Q1199">
            <v>1085</v>
          </cell>
          <cell r="R1199">
            <v>1412</v>
          </cell>
          <cell r="S1199">
            <v>1485</v>
          </cell>
          <cell r="T1199">
            <v>1431</v>
          </cell>
          <cell r="U1199">
            <v>1351</v>
          </cell>
          <cell r="V1199">
            <v>1312</v>
          </cell>
          <cell r="W1199">
            <v>1336</v>
          </cell>
          <cell r="X1199">
            <v>1286</v>
          </cell>
          <cell r="Y1199">
            <v>1125</v>
          </cell>
          <cell r="Z1199">
            <v>1327</v>
          </cell>
          <cell r="AA1199">
            <v>1426</v>
          </cell>
          <cell r="AB1199">
            <v>1389</v>
          </cell>
          <cell r="AC1199">
            <v>1183</v>
          </cell>
          <cell r="AD1199">
            <v>1117</v>
          </cell>
          <cell r="AE1199">
            <v>1240</v>
          </cell>
          <cell r="AF1199">
            <v>1279</v>
          </cell>
          <cell r="AG1199">
            <v>1296</v>
          </cell>
          <cell r="AH1199">
            <v>1114</v>
          </cell>
          <cell r="AI1199">
            <v>1173</v>
          </cell>
          <cell r="AJ1199">
            <v>877</v>
          </cell>
        </row>
        <row r="1200">
          <cell r="E1200" t="str">
            <v>WY Transportation Jet Fuel, Total</v>
          </cell>
          <cell r="F1200">
            <v>798</v>
          </cell>
          <cell r="G1200">
            <v>671</v>
          </cell>
          <cell r="H1200">
            <v>851</v>
          </cell>
          <cell r="I1200">
            <v>783</v>
          </cell>
          <cell r="J1200">
            <v>848</v>
          </cell>
          <cell r="K1200">
            <v>889</v>
          </cell>
          <cell r="L1200">
            <v>852</v>
          </cell>
          <cell r="M1200">
            <v>688</v>
          </cell>
          <cell r="N1200">
            <v>657</v>
          </cell>
          <cell r="O1200">
            <v>989</v>
          </cell>
          <cell r="P1200">
            <v>1623</v>
          </cell>
          <cell r="Q1200">
            <v>1874</v>
          </cell>
          <cell r="R1200">
            <v>1189</v>
          </cell>
          <cell r="S1200">
            <v>941</v>
          </cell>
          <cell r="T1200">
            <v>1370</v>
          </cell>
          <cell r="U1200">
            <v>1154</v>
          </cell>
          <cell r="V1200">
            <v>1656</v>
          </cell>
          <cell r="W1200">
            <v>2143</v>
          </cell>
          <cell r="X1200">
            <v>2226</v>
          </cell>
          <cell r="Y1200">
            <v>2442</v>
          </cell>
          <cell r="Z1200">
            <v>2059</v>
          </cell>
          <cell r="AA1200">
            <v>2063</v>
          </cell>
          <cell r="AB1200">
            <v>1960</v>
          </cell>
          <cell r="AC1200">
            <v>1971</v>
          </cell>
          <cell r="AD1200">
            <v>1665</v>
          </cell>
          <cell r="AE1200">
            <v>1822</v>
          </cell>
          <cell r="AF1200">
            <v>1607</v>
          </cell>
          <cell r="AG1200">
            <v>1829</v>
          </cell>
          <cell r="AH1200">
            <v>1749</v>
          </cell>
          <cell r="AI1200">
            <v>1986</v>
          </cell>
          <cell r="AJ1200">
            <v>1695</v>
          </cell>
        </row>
        <row r="1201">
          <cell r="E1201" t="str">
            <v>AK Transportation Jet Fuel, Kerosene</v>
          </cell>
          <cell r="F1201">
            <v>88866</v>
          </cell>
          <cell r="G1201">
            <v>80209</v>
          </cell>
          <cell r="H1201">
            <v>73695</v>
          </cell>
          <cell r="I1201">
            <v>82161</v>
          </cell>
          <cell r="J1201">
            <v>90940</v>
          </cell>
          <cell r="K1201">
            <v>95632</v>
          </cell>
          <cell r="L1201">
            <v>105652</v>
          </cell>
          <cell r="M1201">
            <v>119634</v>
          </cell>
          <cell r="N1201">
            <v>126011</v>
          </cell>
          <cell r="O1201">
            <v>138198</v>
          </cell>
          <cell r="P1201">
            <v>146800</v>
          </cell>
          <cell r="Q1201">
            <v>138216</v>
          </cell>
          <cell r="R1201">
            <v>156591</v>
          </cell>
          <cell r="S1201">
            <v>156052</v>
          </cell>
          <cell r="T1201">
            <v>175415</v>
          </cell>
          <cell r="U1201">
            <v>181100</v>
          </cell>
          <cell r="V1201">
            <v>180003</v>
          </cell>
          <cell r="W1201">
            <v>164732</v>
          </cell>
          <cell r="X1201">
            <v>135044</v>
          </cell>
          <cell r="Y1201">
            <v>106292</v>
          </cell>
          <cell r="Z1201">
            <v>112547</v>
          </cell>
          <cell r="AA1201">
            <v>103430</v>
          </cell>
          <cell r="AB1201">
            <v>93339</v>
          </cell>
          <cell r="AC1201">
            <v>86993</v>
          </cell>
          <cell r="AD1201">
            <v>87257</v>
          </cell>
          <cell r="AE1201">
            <v>93338</v>
          </cell>
          <cell r="AF1201">
            <v>90867</v>
          </cell>
          <cell r="AG1201">
            <v>92322</v>
          </cell>
          <cell r="AH1201">
            <v>94428</v>
          </cell>
          <cell r="AI1201">
            <v>93039</v>
          </cell>
          <cell r="AJ1201">
            <v>104310</v>
          </cell>
        </row>
        <row r="1202">
          <cell r="E1202" t="str">
            <v>AL Transportation Jet Fuel, Kerosene</v>
          </cell>
          <cell r="F1202">
            <v>6875</v>
          </cell>
          <cell r="G1202">
            <v>6559</v>
          </cell>
          <cell r="H1202">
            <v>7315</v>
          </cell>
          <cell r="I1202">
            <v>7368</v>
          </cell>
          <cell r="J1202">
            <v>18264</v>
          </cell>
          <cell r="K1202">
            <v>21321</v>
          </cell>
          <cell r="L1202">
            <v>19766</v>
          </cell>
          <cell r="M1202">
            <v>12334</v>
          </cell>
          <cell r="N1202">
            <v>19985</v>
          </cell>
          <cell r="O1202">
            <v>11129</v>
          </cell>
          <cell r="P1202">
            <v>13312</v>
          </cell>
          <cell r="Q1202">
            <v>13283</v>
          </cell>
          <cell r="R1202">
            <v>12797</v>
          </cell>
          <cell r="S1202">
            <v>14564</v>
          </cell>
          <cell r="T1202">
            <v>14481</v>
          </cell>
          <cell r="U1202">
            <v>13982</v>
          </cell>
          <cell r="V1202">
            <v>13113</v>
          </cell>
          <cell r="W1202">
            <v>13162</v>
          </cell>
          <cell r="X1202">
            <v>12299</v>
          </cell>
          <cell r="Y1202">
            <v>9887</v>
          </cell>
          <cell r="Z1202">
            <v>12083</v>
          </cell>
          <cell r="AA1202">
            <v>13582</v>
          </cell>
          <cell r="AB1202">
            <v>12978</v>
          </cell>
          <cell r="AC1202">
            <v>11431</v>
          </cell>
          <cell r="AD1202">
            <v>11629</v>
          </cell>
          <cell r="AE1202">
            <v>11103</v>
          </cell>
          <cell r="AF1202">
            <v>10440</v>
          </cell>
          <cell r="AG1202">
            <v>11532</v>
          </cell>
          <cell r="AH1202">
            <v>11445</v>
          </cell>
          <cell r="AI1202">
            <v>12057</v>
          </cell>
          <cell r="AJ1202">
            <v>8471</v>
          </cell>
        </row>
        <row r="1203">
          <cell r="E1203" t="str">
            <v>AR Transportation Jet Fuel, Kerosene</v>
          </cell>
          <cell r="F1203">
            <v>3239</v>
          </cell>
          <cell r="G1203">
            <v>2534</v>
          </cell>
          <cell r="H1203">
            <v>2360</v>
          </cell>
          <cell r="I1203">
            <v>2304</v>
          </cell>
          <cell r="J1203">
            <v>5757</v>
          </cell>
          <cell r="K1203">
            <v>6387</v>
          </cell>
          <cell r="L1203">
            <v>8631</v>
          </cell>
          <cell r="M1203">
            <v>8707</v>
          </cell>
          <cell r="N1203">
            <v>8665</v>
          </cell>
          <cell r="O1203">
            <v>25941</v>
          </cell>
          <cell r="P1203">
            <v>27600</v>
          </cell>
          <cell r="Q1203">
            <v>5876</v>
          </cell>
          <cell r="R1203">
            <v>4500</v>
          </cell>
          <cell r="S1203">
            <v>4660</v>
          </cell>
          <cell r="T1203">
            <v>4096</v>
          </cell>
          <cell r="U1203">
            <v>7094</v>
          </cell>
          <cell r="V1203">
            <v>6706</v>
          </cell>
          <cell r="W1203">
            <v>6951</v>
          </cell>
          <cell r="X1203">
            <v>6152</v>
          </cell>
          <cell r="Y1203">
            <v>4537</v>
          </cell>
          <cell r="Z1203">
            <v>7858</v>
          </cell>
          <cell r="AA1203">
            <v>7788</v>
          </cell>
          <cell r="AB1203">
            <v>8056</v>
          </cell>
          <cell r="AC1203">
            <v>7615</v>
          </cell>
          <cell r="AD1203">
            <v>7851</v>
          </cell>
          <cell r="AE1203">
            <v>7378</v>
          </cell>
          <cell r="AF1203">
            <v>7140</v>
          </cell>
          <cell r="AG1203">
            <v>7599</v>
          </cell>
          <cell r="AH1203">
            <v>6556</v>
          </cell>
          <cell r="AI1203">
            <v>6984</v>
          </cell>
          <cell r="AJ1203">
            <v>5181</v>
          </cell>
        </row>
        <row r="1204">
          <cell r="E1204" t="str">
            <v>AZ Transportation Jet Fuel, Kerosene</v>
          </cell>
          <cell r="F1204">
            <v>32054</v>
          </cell>
          <cell r="G1204">
            <v>37690</v>
          </cell>
          <cell r="H1204">
            <v>34658</v>
          </cell>
          <cell r="I1204">
            <v>35602</v>
          </cell>
          <cell r="J1204">
            <v>41422</v>
          </cell>
          <cell r="K1204">
            <v>42839</v>
          </cell>
          <cell r="L1204">
            <v>44860</v>
          </cell>
          <cell r="M1204">
            <v>45211</v>
          </cell>
          <cell r="N1204">
            <v>49197</v>
          </cell>
          <cell r="O1204">
            <v>54588</v>
          </cell>
          <cell r="P1204">
            <v>59156</v>
          </cell>
          <cell r="Q1204">
            <v>56211</v>
          </cell>
          <cell r="R1204">
            <v>58649</v>
          </cell>
          <cell r="S1204">
            <v>60388</v>
          </cell>
          <cell r="T1204">
            <v>46810</v>
          </cell>
          <cell r="U1204">
            <v>45463</v>
          </cell>
          <cell r="V1204">
            <v>43776</v>
          </cell>
          <cell r="W1204">
            <v>37490</v>
          </cell>
          <cell r="X1204">
            <v>38348</v>
          </cell>
          <cell r="Y1204">
            <v>26569</v>
          </cell>
          <cell r="Z1204">
            <v>72361</v>
          </cell>
          <cell r="AA1204">
            <v>74309</v>
          </cell>
          <cell r="AB1204">
            <v>72748</v>
          </cell>
          <cell r="AC1204">
            <v>73509</v>
          </cell>
          <cell r="AD1204">
            <v>74873</v>
          </cell>
          <cell r="AE1204">
            <v>75563</v>
          </cell>
          <cell r="AF1204">
            <v>75338</v>
          </cell>
          <cell r="AG1204">
            <v>78738</v>
          </cell>
          <cell r="AH1204">
            <v>76177</v>
          </cell>
          <cell r="AI1204">
            <v>78953</v>
          </cell>
          <cell r="AJ1204">
            <v>55532</v>
          </cell>
        </row>
        <row r="1205">
          <cell r="E1205" t="str">
            <v>CA Transportation Jet Fuel, Kerosene</v>
          </cell>
          <cell r="F1205">
            <v>475899</v>
          </cell>
          <cell r="G1205">
            <v>464661</v>
          </cell>
          <cell r="H1205">
            <v>456033</v>
          </cell>
          <cell r="I1205">
            <v>482909</v>
          </cell>
          <cell r="J1205">
            <v>559814</v>
          </cell>
          <cell r="K1205">
            <v>539923</v>
          </cell>
          <cell r="L1205">
            <v>588261</v>
          </cell>
          <cell r="M1205">
            <v>585026</v>
          </cell>
          <cell r="N1205">
            <v>598083</v>
          </cell>
          <cell r="O1205">
            <v>559477</v>
          </cell>
          <cell r="P1205">
            <v>584018</v>
          </cell>
          <cell r="Q1205">
            <v>551216</v>
          </cell>
          <cell r="R1205">
            <v>582624</v>
          </cell>
          <cell r="S1205">
            <v>565418</v>
          </cell>
          <cell r="T1205">
            <v>597665</v>
          </cell>
          <cell r="U1205">
            <v>593148</v>
          </cell>
          <cell r="V1205">
            <v>603307</v>
          </cell>
          <cell r="W1205">
            <v>628200</v>
          </cell>
          <cell r="X1205">
            <v>571739</v>
          </cell>
          <cell r="Y1205">
            <v>555575</v>
          </cell>
          <cell r="Z1205">
            <v>435203</v>
          </cell>
          <cell r="AA1205">
            <v>433213</v>
          </cell>
          <cell r="AB1205">
            <v>435288</v>
          </cell>
          <cell r="AC1205">
            <v>446209</v>
          </cell>
          <cell r="AD1205">
            <v>456006</v>
          </cell>
          <cell r="AE1205">
            <v>491642</v>
          </cell>
          <cell r="AF1205">
            <v>532259</v>
          </cell>
          <cell r="AG1205">
            <v>565738</v>
          </cell>
          <cell r="AH1205">
            <v>576433</v>
          </cell>
          <cell r="AI1205">
            <v>587076</v>
          </cell>
          <cell r="AJ1205">
            <v>337038</v>
          </cell>
        </row>
        <row r="1206">
          <cell r="E1206" t="str">
            <v>CO Transportation Jet Fuel, Kerosene</v>
          </cell>
          <cell r="F1206">
            <v>33053</v>
          </cell>
          <cell r="G1206">
            <v>36155</v>
          </cell>
          <cell r="H1206">
            <v>39792</v>
          </cell>
          <cell r="I1206">
            <v>48985</v>
          </cell>
          <cell r="J1206">
            <v>43289</v>
          </cell>
          <cell r="K1206">
            <v>40083</v>
          </cell>
          <cell r="L1206">
            <v>43703</v>
          </cell>
          <cell r="M1206">
            <v>40661</v>
          </cell>
          <cell r="N1206">
            <v>38547</v>
          </cell>
          <cell r="O1206">
            <v>44227</v>
          </cell>
          <cell r="P1206">
            <v>42993</v>
          </cell>
          <cell r="Q1206">
            <v>43763</v>
          </cell>
          <cell r="R1206">
            <v>40433</v>
          </cell>
          <cell r="S1206">
            <v>32045</v>
          </cell>
          <cell r="T1206">
            <v>70045</v>
          </cell>
          <cell r="U1206">
            <v>69852</v>
          </cell>
          <cell r="V1206">
            <v>73637</v>
          </cell>
          <cell r="W1206">
            <v>76713</v>
          </cell>
          <cell r="X1206">
            <v>74632</v>
          </cell>
          <cell r="Y1206">
            <v>61474</v>
          </cell>
          <cell r="Z1206">
            <v>64799</v>
          </cell>
          <cell r="AA1206">
            <v>63169</v>
          </cell>
          <cell r="AB1206">
            <v>63336</v>
          </cell>
          <cell r="AC1206">
            <v>62419</v>
          </cell>
          <cell r="AD1206">
            <v>63191</v>
          </cell>
          <cell r="AE1206">
            <v>61639</v>
          </cell>
          <cell r="AF1206">
            <v>67289</v>
          </cell>
          <cell r="AG1206">
            <v>71958</v>
          </cell>
          <cell r="AH1206">
            <v>75093</v>
          </cell>
          <cell r="AI1206">
            <v>77834</v>
          </cell>
          <cell r="AJ1206">
            <v>43060</v>
          </cell>
        </row>
        <row r="1207">
          <cell r="E1207" t="str">
            <v>CT Transportation Jet Fuel, Kerosene</v>
          </cell>
          <cell r="F1207">
            <v>12753</v>
          </cell>
          <cell r="G1207">
            <v>11827</v>
          </cell>
          <cell r="H1207">
            <v>12373</v>
          </cell>
          <cell r="I1207">
            <v>12677</v>
          </cell>
          <cell r="J1207">
            <v>13740</v>
          </cell>
          <cell r="K1207">
            <v>14065</v>
          </cell>
          <cell r="L1207">
            <v>15403</v>
          </cell>
          <cell r="M1207">
            <v>13445</v>
          </cell>
          <cell r="N1207">
            <v>12556</v>
          </cell>
          <cell r="O1207">
            <v>13926</v>
          </cell>
          <cell r="P1207">
            <v>14739</v>
          </cell>
          <cell r="Q1207">
            <v>13356</v>
          </cell>
          <cell r="R1207">
            <v>12482</v>
          </cell>
          <cell r="S1207">
            <v>11954</v>
          </cell>
          <cell r="T1207">
            <v>13505</v>
          </cell>
          <cell r="U1207">
            <v>13955</v>
          </cell>
          <cell r="V1207">
            <v>12752</v>
          </cell>
          <cell r="W1207">
            <v>11656</v>
          </cell>
          <cell r="X1207">
            <v>10818</v>
          </cell>
          <cell r="Y1207">
            <v>7981</v>
          </cell>
          <cell r="Z1207">
            <v>10988</v>
          </cell>
          <cell r="AA1207">
            <v>11311</v>
          </cell>
          <cell r="AB1207">
            <v>12035</v>
          </cell>
          <cell r="AC1207">
            <v>8778</v>
          </cell>
          <cell r="AD1207">
            <v>10127</v>
          </cell>
          <cell r="AE1207">
            <v>8910</v>
          </cell>
          <cell r="AF1207">
            <v>9393</v>
          </cell>
          <cell r="AG1207">
            <v>12201</v>
          </cell>
          <cell r="AH1207">
            <v>14194</v>
          </cell>
          <cell r="AI1207">
            <v>11225</v>
          </cell>
          <cell r="AJ1207">
            <v>5969</v>
          </cell>
        </row>
        <row r="1208">
          <cell r="E1208" t="str">
            <v>DC Transportation Jet Fuel, Kerosene</v>
          </cell>
          <cell r="F1208">
            <v>30</v>
          </cell>
          <cell r="G1208">
            <v>0</v>
          </cell>
          <cell r="H1208">
            <v>0</v>
          </cell>
          <cell r="I1208">
            <v>575</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row>
        <row r="1209">
          <cell r="E1209" t="str">
            <v>DE Transportation Jet Fuel, Kerosene</v>
          </cell>
          <cell r="F1209">
            <v>491</v>
          </cell>
          <cell r="G1209">
            <v>516</v>
          </cell>
          <cell r="H1209">
            <v>473</v>
          </cell>
          <cell r="I1209">
            <v>471</v>
          </cell>
          <cell r="J1209">
            <v>349</v>
          </cell>
          <cell r="K1209">
            <v>429</v>
          </cell>
          <cell r="L1209">
            <v>352</v>
          </cell>
          <cell r="M1209">
            <v>415</v>
          </cell>
          <cell r="N1209">
            <v>491</v>
          </cell>
          <cell r="O1209">
            <v>598</v>
          </cell>
          <cell r="P1209">
            <v>592</v>
          </cell>
          <cell r="Q1209">
            <v>734</v>
          </cell>
          <cell r="R1209">
            <v>704</v>
          </cell>
          <cell r="S1209">
            <v>808</v>
          </cell>
          <cell r="T1209">
            <v>944</v>
          </cell>
          <cell r="U1209">
            <v>949</v>
          </cell>
          <cell r="V1209">
            <v>819</v>
          </cell>
          <cell r="W1209">
            <v>640</v>
          </cell>
          <cell r="X1209">
            <v>665</v>
          </cell>
          <cell r="Y1209">
            <v>452</v>
          </cell>
          <cell r="Z1209">
            <v>16584</v>
          </cell>
          <cell r="AA1209">
            <v>13477</v>
          </cell>
          <cell r="AB1209">
            <v>10630</v>
          </cell>
          <cell r="AC1209">
            <v>7365</v>
          </cell>
          <cell r="AD1209">
            <v>7294</v>
          </cell>
          <cell r="AE1209">
            <v>7515</v>
          </cell>
          <cell r="AF1209">
            <v>7590</v>
          </cell>
          <cell r="AG1209">
            <v>10304</v>
          </cell>
          <cell r="AH1209">
            <v>11068</v>
          </cell>
          <cell r="AI1209">
            <v>10203</v>
          </cell>
          <cell r="AJ1209">
            <v>8323</v>
          </cell>
        </row>
        <row r="1210">
          <cell r="E1210" t="str">
            <v>FL Transportation Jet Fuel, Kerosene</v>
          </cell>
          <cell r="F1210">
            <v>151467</v>
          </cell>
          <cell r="G1210">
            <v>119898</v>
          </cell>
          <cell r="H1210">
            <v>119870</v>
          </cell>
          <cell r="I1210">
            <v>137576</v>
          </cell>
          <cell r="J1210">
            <v>158081</v>
          </cell>
          <cell r="K1210">
            <v>158534</v>
          </cell>
          <cell r="L1210">
            <v>166248</v>
          </cell>
          <cell r="M1210">
            <v>172996</v>
          </cell>
          <cell r="N1210">
            <v>161670</v>
          </cell>
          <cell r="O1210">
            <v>164300</v>
          </cell>
          <cell r="P1210">
            <v>199207</v>
          </cell>
          <cell r="Q1210">
            <v>173830</v>
          </cell>
          <cell r="R1210">
            <v>153289</v>
          </cell>
          <cell r="S1210">
            <v>145454</v>
          </cell>
          <cell r="T1210">
            <v>165825</v>
          </cell>
          <cell r="U1210">
            <v>158140</v>
          </cell>
          <cell r="V1210">
            <v>156669</v>
          </cell>
          <cell r="W1210">
            <v>176686</v>
          </cell>
          <cell r="X1210">
            <v>218979</v>
          </cell>
          <cell r="Y1210">
            <v>178473</v>
          </cell>
          <cell r="Z1210">
            <v>241160</v>
          </cell>
          <cell r="AA1210">
            <v>244809</v>
          </cell>
          <cell r="AB1210">
            <v>243588</v>
          </cell>
          <cell r="AC1210">
            <v>251546</v>
          </cell>
          <cell r="AD1210">
            <v>263098</v>
          </cell>
          <cell r="AE1210">
            <v>277476</v>
          </cell>
          <cell r="AF1210">
            <v>286003</v>
          </cell>
          <cell r="AG1210">
            <v>298228</v>
          </cell>
          <cell r="AH1210">
            <v>309238</v>
          </cell>
          <cell r="AI1210">
            <v>318845</v>
          </cell>
          <cell r="AJ1210">
            <v>190018</v>
          </cell>
        </row>
        <row r="1211">
          <cell r="E1211" t="str">
            <v>GA Transportation Jet Fuel, Kerosene</v>
          </cell>
          <cell r="F1211">
            <v>97777</v>
          </cell>
          <cell r="G1211">
            <v>74895</v>
          </cell>
          <cell r="H1211">
            <v>61931</v>
          </cell>
          <cell r="I1211">
            <v>79034</v>
          </cell>
          <cell r="J1211">
            <v>93558</v>
          </cell>
          <cell r="K1211">
            <v>104404</v>
          </cell>
          <cell r="L1211">
            <v>97992</v>
          </cell>
          <cell r="M1211">
            <v>86386</v>
          </cell>
          <cell r="N1211">
            <v>85888</v>
          </cell>
          <cell r="O1211">
            <v>86840</v>
          </cell>
          <cell r="P1211">
            <v>73968</v>
          </cell>
          <cell r="Q1211">
            <v>56150</v>
          </cell>
          <cell r="R1211">
            <v>42128</v>
          </cell>
          <cell r="S1211">
            <v>49837</v>
          </cell>
          <cell r="T1211">
            <v>52033</v>
          </cell>
          <cell r="U1211">
            <v>54295</v>
          </cell>
          <cell r="V1211">
            <v>37148</v>
          </cell>
          <cell r="W1211">
            <v>38138</v>
          </cell>
          <cell r="X1211">
            <v>35912</v>
          </cell>
          <cell r="Y1211">
            <v>102190</v>
          </cell>
          <cell r="Z1211">
            <v>142094</v>
          </cell>
          <cell r="AA1211">
            <v>140810</v>
          </cell>
          <cell r="AB1211">
            <v>135013</v>
          </cell>
          <cell r="AC1211">
            <v>138626</v>
          </cell>
          <cell r="AD1211">
            <v>140072</v>
          </cell>
          <cell r="AE1211">
            <v>146893</v>
          </cell>
          <cell r="AF1211">
            <v>148114</v>
          </cell>
          <cell r="AG1211">
            <v>148127</v>
          </cell>
          <cell r="AH1211">
            <v>146160</v>
          </cell>
          <cell r="AI1211">
            <v>152687</v>
          </cell>
          <cell r="AJ1211">
            <v>83101</v>
          </cell>
        </row>
        <row r="1212">
          <cell r="E1212" t="str">
            <v>HI Transportation Jet Fuel, Kerosene</v>
          </cell>
          <cell r="F1212">
            <v>59966</v>
          </cell>
          <cell r="G1212">
            <v>53836</v>
          </cell>
          <cell r="H1212">
            <v>53806</v>
          </cell>
          <cell r="I1212">
            <v>50368</v>
          </cell>
          <cell r="J1212">
            <v>53654</v>
          </cell>
          <cell r="K1212">
            <v>56284</v>
          </cell>
          <cell r="L1212">
            <v>57172</v>
          </cell>
          <cell r="M1212">
            <v>57946</v>
          </cell>
          <cell r="N1212">
            <v>56695</v>
          </cell>
          <cell r="O1212">
            <v>53720</v>
          </cell>
          <cell r="P1212">
            <v>53511</v>
          </cell>
          <cell r="Q1212">
            <v>50437</v>
          </cell>
          <cell r="R1212">
            <v>57774</v>
          </cell>
          <cell r="S1212">
            <v>72056</v>
          </cell>
          <cell r="T1212">
            <v>75861</v>
          </cell>
          <cell r="U1212">
            <v>92831</v>
          </cell>
          <cell r="V1212">
            <v>86945</v>
          </cell>
          <cell r="W1212">
            <v>72329</v>
          </cell>
          <cell r="X1212">
            <v>60679</v>
          </cell>
          <cell r="Y1212">
            <v>52748</v>
          </cell>
          <cell r="Z1212">
            <v>76176</v>
          </cell>
          <cell r="AA1212">
            <v>78994</v>
          </cell>
          <cell r="AB1212">
            <v>83443</v>
          </cell>
          <cell r="AC1212">
            <v>87629</v>
          </cell>
          <cell r="AD1212">
            <v>89198</v>
          </cell>
          <cell r="AE1212">
            <v>92249</v>
          </cell>
          <cell r="AF1212">
            <v>91487</v>
          </cell>
          <cell r="AG1212">
            <v>97496</v>
          </cell>
          <cell r="AH1212">
            <v>98918</v>
          </cell>
          <cell r="AI1212">
            <v>100812</v>
          </cell>
          <cell r="AJ1212">
            <v>51358</v>
          </cell>
        </row>
        <row r="1213">
          <cell r="E1213" t="str">
            <v>IA Transportation Jet Fuel, Kerosene</v>
          </cell>
          <cell r="F1213">
            <v>4486</v>
          </cell>
          <cell r="G1213">
            <v>4233</v>
          </cell>
          <cell r="H1213">
            <v>3925</v>
          </cell>
          <cell r="I1213">
            <v>3484</v>
          </cell>
          <cell r="J1213">
            <v>4493</v>
          </cell>
          <cell r="K1213">
            <v>5922</v>
          </cell>
          <cell r="L1213">
            <v>4639</v>
          </cell>
          <cell r="M1213">
            <v>4497</v>
          </cell>
          <cell r="N1213">
            <v>6722</v>
          </cell>
          <cell r="O1213">
            <v>5016</v>
          </cell>
          <cell r="P1213">
            <v>4373</v>
          </cell>
          <cell r="Q1213">
            <v>4404</v>
          </cell>
          <cell r="R1213">
            <v>4433</v>
          </cell>
          <cell r="S1213">
            <v>4494</v>
          </cell>
          <cell r="T1213">
            <v>5158</v>
          </cell>
          <cell r="U1213">
            <v>5614</v>
          </cell>
          <cell r="V1213">
            <v>5856</v>
          </cell>
          <cell r="W1213">
            <v>5100</v>
          </cell>
          <cell r="X1213">
            <v>4459</v>
          </cell>
          <cell r="Y1213">
            <v>2978</v>
          </cell>
          <cell r="Z1213">
            <v>5614</v>
          </cell>
          <cell r="AA1213">
            <v>5770</v>
          </cell>
          <cell r="AB1213">
            <v>6033</v>
          </cell>
          <cell r="AC1213">
            <v>5524</v>
          </cell>
          <cell r="AD1213">
            <v>5405</v>
          </cell>
          <cell r="AE1213">
            <v>5957</v>
          </cell>
          <cell r="AF1213">
            <v>5927</v>
          </cell>
          <cell r="AG1213">
            <v>6458</v>
          </cell>
          <cell r="AH1213">
            <v>6479</v>
          </cell>
          <cell r="AI1213">
            <v>6440</v>
          </cell>
          <cell r="AJ1213">
            <v>4505</v>
          </cell>
        </row>
        <row r="1214">
          <cell r="E1214" t="str">
            <v>ID Transportation Jet Fuel, Kerosene</v>
          </cell>
          <cell r="F1214">
            <v>2820</v>
          </cell>
          <cell r="G1214">
            <v>2387</v>
          </cell>
          <cell r="H1214">
            <v>2409</v>
          </cell>
          <cell r="I1214">
            <v>2758</v>
          </cell>
          <cell r="J1214">
            <v>3265</v>
          </cell>
          <cell r="K1214">
            <v>3855</v>
          </cell>
          <cell r="L1214">
            <v>4250</v>
          </cell>
          <cell r="M1214">
            <v>4301</v>
          </cell>
          <cell r="N1214">
            <v>4072</v>
          </cell>
          <cell r="O1214">
            <v>4854</v>
          </cell>
          <cell r="P1214">
            <v>4989</v>
          </cell>
          <cell r="Q1214">
            <v>4103</v>
          </cell>
          <cell r="R1214">
            <v>4494</v>
          </cell>
          <cell r="S1214">
            <v>3890</v>
          </cell>
          <cell r="T1214">
            <v>4661</v>
          </cell>
          <cell r="U1214">
            <v>4641</v>
          </cell>
          <cell r="V1214">
            <v>5563</v>
          </cell>
          <cell r="W1214">
            <v>5120</v>
          </cell>
          <cell r="X1214">
            <v>4774</v>
          </cell>
          <cell r="Y1214">
            <v>3267</v>
          </cell>
          <cell r="Z1214">
            <v>7076</v>
          </cell>
          <cell r="AA1214">
            <v>6004</v>
          </cell>
          <cell r="AB1214">
            <v>6010</v>
          </cell>
          <cell r="AC1214">
            <v>6309</v>
          </cell>
          <cell r="AD1214">
            <v>7466</v>
          </cell>
          <cell r="AE1214">
            <v>7333</v>
          </cell>
          <cell r="AF1214">
            <v>6635</v>
          </cell>
          <cell r="AG1214">
            <v>7653</v>
          </cell>
          <cell r="AH1214">
            <v>8350</v>
          </cell>
          <cell r="AI1214">
            <v>7763</v>
          </cell>
          <cell r="AJ1214">
            <v>5193</v>
          </cell>
        </row>
        <row r="1215">
          <cell r="E1215" t="str">
            <v>IL Transportation Jet Fuel, Kerosene</v>
          </cell>
          <cell r="F1215">
            <v>19745</v>
          </cell>
          <cell r="G1215">
            <v>33668</v>
          </cell>
          <cell r="H1215">
            <v>39423</v>
          </cell>
          <cell r="I1215">
            <v>49535</v>
          </cell>
          <cell r="J1215">
            <v>52704</v>
          </cell>
          <cell r="K1215">
            <v>58642</v>
          </cell>
          <cell r="L1215">
            <v>68447</v>
          </cell>
          <cell r="M1215">
            <v>70879</v>
          </cell>
          <cell r="N1215">
            <v>74641</v>
          </cell>
          <cell r="O1215">
            <v>103450</v>
          </cell>
          <cell r="P1215">
            <v>128702</v>
          </cell>
          <cell r="Q1215">
            <v>105827</v>
          </cell>
          <cell r="R1215">
            <v>77014</v>
          </cell>
          <cell r="S1215">
            <v>75780</v>
          </cell>
          <cell r="T1215">
            <v>122172</v>
          </cell>
          <cell r="U1215">
            <v>224108</v>
          </cell>
          <cell r="V1215">
            <v>162039</v>
          </cell>
          <cell r="W1215">
            <v>167682</v>
          </cell>
          <cell r="X1215">
            <v>158721</v>
          </cell>
          <cell r="Y1215">
            <v>141578</v>
          </cell>
          <cell r="Z1215">
            <v>159533</v>
          </cell>
          <cell r="AA1215">
            <v>158790</v>
          </cell>
          <cell r="AB1215">
            <v>150749</v>
          </cell>
          <cell r="AC1215">
            <v>154335</v>
          </cell>
          <cell r="AD1215">
            <v>160197</v>
          </cell>
          <cell r="AE1215">
            <v>171966</v>
          </cell>
          <cell r="AF1215">
            <v>175768</v>
          </cell>
          <cell r="AG1215">
            <v>176835</v>
          </cell>
          <cell r="AH1215">
            <v>173991</v>
          </cell>
          <cell r="AI1215">
            <v>177129</v>
          </cell>
          <cell r="AJ1215">
            <v>104083</v>
          </cell>
        </row>
        <row r="1216">
          <cell r="E1216" t="str">
            <v>IN Transportation Jet Fuel, Kerosene</v>
          </cell>
          <cell r="F1216">
            <v>98390</v>
          </cell>
          <cell r="G1216">
            <v>93903</v>
          </cell>
          <cell r="H1216">
            <v>87314</v>
          </cell>
          <cell r="I1216">
            <v>90429</v>
          </cell>
          <cell r="J1216">
            <v>96349</v>
          </cell>
          <cell r="K1216">
            <v>98242</v>
          </cell>
          <cell r="L1216">
            <v>71280</v>
          </cell>
          <cell r="M1216">
            <v>62339</v>
          </cell>
          <cell r="N1216">
            <v>54755</v>
          </cell>
          <cell r="O1216">
            <v>63492</v>
          </cell>
          <cell r="P1216">
            <v>79413</v>
          </cell>
          <cell r="Q1216">
            <v>66694</v>
          </cell>
          <cell r="R1216">
            <v>61109</v>
          </cell>
          <cell r="S1216">
            <v>53057</v>
          </cell>
          <cell r="T1216">
            <v>48526</v>
          </cell>
          <cell r="U1216">
            <v>39408</v>
          </cell>
          <cell r="V1216">
            <v>44595</v>
          </cell>
          <cell r="W1216">
            <v>42240</v>
          </cell>
          <cell r="X1216">
            <v>35514</v>
          </cell>
          <cell r="Y1216">
            <v>42255</v>
          </cell>
          <cell r="Z1216">
            <v>21516</v>
          </cell>
          <cell r="AA1216">
            <v>22055</v>
          </cell>
          <cell r="AB1216">
            <v>21882</v>
          </cell>
          <cell r="AC1216">
            <v>22033</v>
          </cell>
          <cell r="AD1216">
            <v>24076</v>
          </cell>
          <cell r="AE1216">
            <v>25659</v>
          </cell>
          <cell r="AF1216">
            <v>27183</v>
          </cell>
          <cell r="AG1216">
            <v>24712</v>
          </cell>
          <cell r="AH1216">
            <v>25607</v>
          </cell>
          <cell r="AI1216">
            <v>25414</v>
          </cell>
          <cell r="AJ1216">
            <v>18648</v>
          </cell>
        </row>
        <row r="1217">
          <cell r="E1217" t="str">
            <v>KS Transportation Jet Fuel, Kerosene</v>
          </cell>
          <cell r="F1217">
            <v>16209</v>
          </cell>
          <cell r="G1217">
            <v>11973</v>
          </cell>
          <cell r="H1217">
            <v>16161</v>
          </cell>
          <cell r="I1217">
            <v>15444</v>
          </cell>
          <cell r="J1217">
            <v>7334</v>
          </cell>
          <cell r="K1217">
            <v>13496</v>
          </cell>
          <cell r="L1217">
            <v>11342</v>
          </cell>
          <cell r="M1217">
            <v>12062</v>
          </cell>
          <cell r="N1217">
            <v>12242</v>
          </cell>
          <cell r="O1217">
            <v>19706</v>
          </cell>
          <cell r="P1217">
            <v>18339</v>
          </cell>
          <cell r="Q1217">
            <v>12807</v>
          </cell>
          <cell r="R1217">
            <v>12107</v>
          </cell>
          <cell r="S1217">
            <v>18305</v>
          </cell>
          <cell r="T1217">
            <v>17602</v>
          </cell>
          <cell r="U1217">
            <v>9965</v>
          </cell>
          <cell r="V1217">
            <v>9937</v>
          </cell>
          <cell r="W1217">
            <v>8747</v>
          </cell>
          <cell r="X1217">
            <v>9839</v>
          </cell>
          <cell r="Y1217">
            <v>13872</v>
          </cell>
          <cell r="Z1217">
            <v>10807</v>
          </cell>
          <cell r="AA1217">
            <v>9811</v>
          </cell>
          <cell r="AB1217">
            <v>10772</v>
          </cell>
          <cell r="AC1217">
            <v>6371</v>
          </cell>
          <cell r="AD1217">
            <v>9583</v>
          </cell>
          <cell r="AE1217">
            <v>7058</v>
          </cell>
          <cell r="AF1217">
            <v>8625</v>
          </cell>
          <cell r="AG1217">
            <v>6787</v>
          </cell>
          <cell r="AH1217">
            <v>7750</v>
          </cell>
          <cell r="AI1217">
            <v>6945</v>
          </cell>
          <cell r="AJ1217">
            <v>6269</v>
          </cell>
        </row>
        <row r="1218">
          <cell r="E1218" t="str">
            <v>KY Transportation Jet Fuel, Kerosene</v>
          </cell>
          <cell r="F1218">
            <v>31110</v>
          </cell>
          <cell r="G1218">
            <v>35005</v>
          </cell>
          <cell r="H1218">
            <v>37623</v>
          </cell>
          <cell r="I1218">
            <v>30980</v>
          </cell>
          <cell r="J1218">
            <v>34812</v>
          </cell>
          <cell r="K1218">
            <v>35358</v>
          </cell>
          <cell r="L1218">
            <v>31585</v>
          </cell>
          <cell r="M1218">
            <v>25798</v>
          </cell>
          <cell r="N1218">
            <v>30343</v>
          </cell>
          <cell r="O1218">
            <v>39477</v>
          </cell>
          <cell r="P1218">
            <v>37711</v>
          </cell>
          <cell r="Q1218">
            <v>34027</v>
          </cell>
          <cell r="R1218">
            <v>36021</v>
          </cell>
          <cell r="S1218">
            <v>45619</v>
          </cell>
          <cell r="T1218">
            <v>51268</v>
          </cell>
          <cell r="U1218">
            <v>46969</v>
          </cell>
          <cell r="V1218">
            <v>40283</v>
          </cell>
          <cell r="W1218">
            <v>45239</v>
          </cell>
          <cell r="X1218">
            <v>42101</v>
          </cell>
          <cell r="Y1218">
            <v>55814</v>
          </cell>
          <cell r="Z1218">
            <v>56021</v>
          </cell>
          <cell r="AA1218">
            <v>58694</v>
          </cell>
          <cell r="AB1218">
            <v>58233</v>
          </cell>
          <cell r="AC1218">
            <v>60442</v>
          </cell>
          <cell r="AD1218">
            <v>60418</v>
          </cell>
          <cell r="AE1218">
            <v>63022</v>
          </cell>
          <cell r="AF1218">
            <v>66390</v>
          </cell>
          <cell r="AG1218">
            <v>73703</v>
          </cell>
          <cell r="AH1218">
            <v>80827</v>
          </cell>
          <cell r="AI1218">
            <v>87108</v>
          </cell>
          <cell r="AJ1218">
            <v>84671</v>
          </cell>
        </row>
        <row r="1219">
          <cell r="E1219" t="str">
            <v>LA Transportation Jet Fuel, Kerosene</v>
          </cell>
          <cell r="F1219">
            <v>135030</v>
          </cell>
          <cell r="G1219">
            <v>171942</v>
          </cell>
          <cell r="H1219">
            <v>143145</v>
          </cell>
          <cell r="I1219">
            <v>134488</v>
          </cell>
          <cell r="J1219">
            <v>179935</v>
          </cell>
          <cell r="K1219">
            <v>162796</v>
          </cell>
          <cell r="L1219">
            <v>164382</v>
          </cell>
          <cell r="M1219">
            <v>172694</v>
          </cell>
          <cell r="N1219">
            <v>162556</v>
          </cell>
          <cell r="O1219">
            <v>192873</v>
          </cell>
          <cell r="P1219">
            <v>200710</v>
          </cell>
          <cell r="Q1219">
            <v>195386</v>
          </cell>
          <cell r="R1219">
            <v>213636</v>
          </cell>
          <cell r="S1219">
            <v>216160</v>
          </cell>
          <cell r="T1219">
            <v>203211</v>
          </cell>
          <cell r="U1219">
            <v>160208</v>
          </cell>
          <cell r="V1219">
            <v>131906</v>
          </cell>
          <cell r="W1219">
            <v>127099</v>
          </cell>
          <cell r="X1219">
            <v>110420</v>
          </cell>
          <cell r="Y1219">
            <v>91136</v>
          </cell>
          <cell r="Z1219">
            <v>22822</v>
          </cell>
          <cell r="AA1219">
            <v>22938</v>
          </cell>
          <cell r="AB1219">
            <v>23449</v>
          </cell>
          <cell r="AC1219">
            <v>20763</v>
          </cell>
          <cell r="AD1219">
            <v>22449</v>
          </cell>
          <cell r="AE1219">
            <v>22634</v>
          </cell>
          <cell r="AF1219">
            <v>21529</v>
          </cell>
          <cell r="AG1219">
            <v>22019</v>
          </cell>
          <cell r="AH1219">
            <v>22219</v>
          </cell>
          <cell r="AI1219">
            <v>23782</v>
          </cell>
          <cell r="AJ1219">
            <v>13926</v>
          </cell>
        </row>
        <row r="1220">
          <cell r="E1220" t="str">
            <v>MA Transportation Jet Fuel, Kerosene</v>
          </cell>
          <cell r="F1220">
            <v>53084</v>
          </cell>
          <cell r="G1220">
            <v>45376</v>
          </cell>
          <cell r="H1220">
            <v>41925</v>
          </cell>
          <cell r="I1220">
            <v>41547</v>
          </cell>
          <cell r="J1220">
            <v>41458</v>
          </cell>
          <cell r="K1220">
            <v>37556</v>
          </cell>
          <cell r="L1220">
            <v>38944</v>
          </cell>
          <cell r="M1220">
            <v>41386</v>
          </cell>
          <cell r="N1220">
            <v>43863</v>
          </cell>
          <cell r="O1220">
            <v>45819</v>
          </cell>
          <cell r="P1220">
            <v>46516</v>
          </cell>
          <cell r="Q1220">
            <v>39710</v>
          </cell>
          <cell r="R1220">
            <v>31801</v>
          </cell>
          <cell r="S1220">
            <v>36264</v>
          </cell>
          <cell r="T1220">
            <v>46691</v>
          </cell>
          <cell r="U1220">
            <v>51171</v>
          </cell>
          <cell r="V1220">
            <v>47552</v>
          </cell>
          <cell r="W1220">
            <v>46694</v>
          </cell>
          <cell r="X1220">
            <v>62711</v>
          </cell>
          <cell r="Y1220">
            <v>35182</v>
          </cell>
          <cell r="Z1220">
            <v>48498</v>
          </cell>
          <cell r="AA1220">
            <v>48859</v>
          </cell>
          <cell r="AB1220">
            <v>48575</v>
          </cell>
          <cell r="AC1220">
            <v>49864</v>
          </cell>
          <cell r="AD1220">
            <v>52560</v>
          </cell>
          <cell r="AE1220">
            <v>55609</v>
          </cell>
          <cell r="AF1220">
            <v>64636</v>
          </cell>
          <cell r="AG1220">
            <v>69575</v>
          </cell>
          <cell r="AH1220">
            <v>71688</v>
          </cell>
          <cell r="AI1220">
            <v>77118</v>
          </cell>
          <cell r="AJ1220">
            <v>31766</v>
          </cell>
        </row>
        <row r="1221">
          <cell r="E1221" t="str">
            <v>MD Transportation Jet Fuel, Kerosene</v>
          </cell>
          <cell r="F1221">
            <v>14706</v>
          </cell>
          <cell r="G1221">
            <v>13428</v>
          </cell>
          <cell r="H1221">
            <v>12857</v>
          </cell>
          <cell r="I1221">
            <v>13259</v>
          </cell>
          <cell r="J1221">
            <v>17254</v>
          </cell>
          <cell r="K1221">
            <v>19423</v>
          </cell>
          <cell r="L1221">
            <v>22090</v>
          </cell>
          <cell r="M1221">
            <v>23231</v>
          </cell>
          <cell r="N1221">
            <v>22247</v>
          </cell>
          <cell r="O1221">
            <v>22326</v>
          </cell>
          <cell r="P1221">
            <v>23292</v>
          </cell>
          <cell r="Q1221">
            <v>16606</v>
          </cell>
          <cell r="R1221">
            <v>9739</v>
          </cell>
          <cell r="S1221">
            <v>13285</v>
          </cell>
          <cell r="T1221">
            <v>17801</v>
          </cell>
          <cell r="U1221">
            <v>24734</v>
          </cell>
          <cell r="V1221">
            <v>23497</v>
          </cell>
          <cell r="W1221">
            <v>19970</v>
          </cell>
          <cell r="X1221">
            <v>21749</v>
          </cell>
          <cell r="Y1221">
            <v>18957</v>
          </cell>
          <cell r="Z1221">
            <v>36137</v>
          </cell>
          <cell r="AA1221">
            <v>37131</v>
          </cell>
          <cell r="AB1221">
            <v>35581</v>
          </cell>
          <cell r="AC1221">
            <v>35272</v>
          </cell>
          <cell r="AD1221">
            <v>34055</v>
          </cell>
          <cell r="AE1221">
            <v>36182</v>
          </cell>
          <cell r="AF1221">
            <v>38219</v>
          </cell>
          <cell r="AG1221">
            <v>40867</v>
          </cell>
          <cell r="AH1221">
            <v>41868</v>
          </cell>
          <cell r="AI1221">
            <v>41726</v>
          </cell>
          <cell r="AJ1221">
            <v>33319</v>
          </cell>
        </row>
        <row r="1222">
          <cell r="E1222" t="str">
            <v>ME Transportation Jet Fuel, Kerosene</v>
          </cell>
          <cell r="F1222">
            <v>8611</v>
          </cell>
          <cell r="G1222">
            <v>8018</v>
          </cell>
          <cell r="H1222">
            <v>6265</v>
          </cell>
          <cell r="I1222">
            <v>5415</v>
          </cell>
          <cell r="J1222">
            <v>5195</v>
          </cell>
          <cell r="K1222">
            <v>4627</v>
          </cell>
          <cell r="L1222">
            <v>5013</v>
          </cell>
          <cell r="M1222">
            <v>5394</v>
          </cell>
          <cell r="N1222">
            <v>5274</v>
          </cell>
          <cell r="O1222">
            <v>4899</v>
          </cell>
          <cell r="P1222">
            <v>5148</v>
          </cell>
          <cell r="Q1222">
            <v>4038</v>
          </cell>
          <cell r="R1222">
            <v>3806</v>
          </cell>
          <cell r="S1222">
            <v>5228</v>
          </cell>
          <cell r="T1222">
            <v>6169</v>
          </cell>
          <cell r="U1222">
            <v>8081</v>
          </cell>
          <cell r="V1222">
            <v>10149</v>
          </cell>
          <cell r="W1222">
            <v>10008</v>
          </cell>
          <cell r="X1222">
            <v>7946</v>
          </cell>
          <cell r="Y1222">
            <v>6976</v>
          </cell>
          <cell r="Z1222">
            <v>4832</v>
          </cell>
          <cell r="AA1222">
            <v>4656</v>
          </cell>
          <cell r="AB1222">
            <v>4378</v>
          </cell>
          <cell r="AC1222">
            <v>4250</v>
          </cell>
          <cell r="AD1222">
            <v>3905</v>
          </cell>
          <cell r="AE1222">
            <v>3960</v>
          </cell>
          <cell r="AF1222">
            <v>3060</v>
          </cell>
          <cell r="AG1222">
            <v>3023</v>
          </cell>
          <cell r="AH1222">
            <v>3025</v>
          </cell>
          <cell r="AI1222">
            <v>2797</v>
          </cell>
          <cell r="AJ1222">
            <v>1883</v>
          </cell>
        </row>
        <row r="1223">
          <cell r="E1223" t="str">
            <v>MI Transportation Jet Fuel, Kerosene</v>
          </cell>
          <cell r="F1223">
            <v>48931</v>
          </cell>
          <cell r="G1223">
            <v>47667</v>
          </cell>
          <cell r="H1223">
            <v>50047</v>
          </cell>
          <cell r="I1223">
            <v>53356</v>
          </cell>
          <cell r="J1223">
            <v>55815</v>
          </cell>
          <cell r="K1223">
            <v>49909</v>
          </cell>
          <cell r="L1223">
            <v>51260</v>
          </cell>
          <cell r="M1223">
            <v>53786</v>
          </cell>
          <cell r="N1223">
            <v>51218</v>
          </cell>
          <cell r="O1223">
            <v>51688</v>
          </cell>
          <cell r="P1223">
            <v>40904</v>
          </cell>
          <cell r="Q1223">
            <v>35263</v>
          </cell>
          <cell r="R1223">
            <v>34112</v>
          </cell>
          <cell r="S1223">
            <v>15281</v>
          </cell>
          <cell r="T1223">
            <v>21167</v>
          </cell>
          <cell r="U1223">
            <v>19454</v>
          </cell>
          <cell r="V1223">
            <v>23386</v>
          </cell>
          <cell r="W1223">
            <v>29881</v>
          </cell>
          <cell r="X1223">
            <v>26315</v>
          </cell>
          <cell r="Y1223">
            <v>24210</v>
          </cell>
          <cell r="Z1223">
            <v>48663</v>
          </cell>
          <cell r="AA1223">
            <v>49876</v>
          </cell>
          <cell r="AB1223">
            <v>49077</v>
          </cell>
          <cell r="AC1223">
            <v>49617</v>
          </cell>
          <cell r="AD1223">
            <v>49668</v>
          </cell>
          <cell r="AE1223">
            <v>55541</v>
          </cell>
          <cell r="AF1223">
            <v>56774</v>
          </cell>
          <cell r="AG1223">
            <v>58339</v>
          </cell>
          <cell r="AH1223">
            <v>56977</v>
          </cell>
          <cell r="AI1223">
            <v>56654</v>
          </cell>
          <cell r="AJ1223">
            <v>29504</v>
          </cell>
        </row>
        <row r="1224">
          <cell r="E1224" t="str">
            <v>MN Transportation Jet Fuel, Kerosene</v>
          </cell>
          <cell r="F1224">
            <v>28140</v>
          </cell>
          <cell r="G1224">
            <v>27131</v>
          </cell>
          <cell r="H1224">
            <v>36675</v>
          </cell>
          <cell r="I1224">
            <v>52669</v>
          </cell>
          <cell r="J1224">
            <v>54773</v>
          </cell>
          <cell r="K1224">
            <v>56489</v>
          </cell>
          <cell r="L1224">
            <v>60233</v>
          </cell>
          <cell r="M1224">
            <v>61750</v>
          </cell>
          <cell r="N1224">
            <v>60722</v>
          </cell>
          <cell r="O1224">
            <v>71392</v>
          </cell>
          <cell r="P1224">
            <v>75418</v>
          </cell>
          <cell r="Q1224">
            <v>65702</v>
          </cell>
          <cell r="R1224">
            <v>62734</v>
          </cell>
          <cell r="S1224">
            <v>67912</v>
          </cell>
          <cell r="T1224">
            <v>70905</v>
          </cell>
          <cell r="U1224">
            <v>71761</v>
          </cell>
          <cell r="V1224">
            <v>66751</v>
          </cell>
          <cell r="W1224">
            <v>63930</v>
          </cell>
          <cell r="X1224">
            <v>58052</v>
          </cell>
          <cell r="Y1224">
            <v>52162</v>
          </cell>
          <cell r="Z1224">
            <v>47467</v>
          </cell>
          <cell r="AA1224">
            <v>46090</v>
          </cell>
          <cell r="AB1224">
            <v>45098</v>
          </cell>
          <cell r="AC1224">
            <v>51546</v>
          </cell>
          <cell r="AD1224">
            <v>48168</v>
          </cell>
          <cell r="AE1224">
            <v>50570</v>
          </cell>
          <cell r="AF1224">
            <v>52181</v>
          </cell>
          <cell r="AG1224">
            <v>53834</v>
          </cell>
          <cell r="AH1224">
            <v>52216</v>
          </cell>
          <cell r="AI1224">
            <v>54292</v>
          </cell>
          <cell r="AJ1224">
            <v>26195</v>
          </cell>
        </row>
        <row r="1225">
          <cell r="E1225" t="str">
            <v>MO Transportation Jet Fuel, Kerosene</v>
          </cell>
          <cell r="F1225">
            <v>36551</v>
          </cell>
          <cell r="G1225">
            <v>41044</v>
          </cell>
          <cell r="H1225">
            <v>41412</v>
          </cell>
          <cell r="I1225">
            <v>50156</v>
          </cell>
          <cell r="J1225">
            <v>59439</v>
          </cell>
          <cell r="K1225">
            <v>64618</v>
          </cell>
          <cell r="L1225">
            <v>68751</v>
          </cell>
          <cell r="M1225">
            <v>69868</v>
          </cell>
          <cell r="N1225">
            <v>72339</v>
          </cell>
          <cell r="O1225">
            <v>72349</v>
          </cell>
          <cell r="P1225">
            <v>27815</v>
          </cell>
          <cell r="Q1225">
            <v>42483</v>
          </cell>
          <cell r="R1225">
            <v>54062</v>
          </cell>
          <cell r="S1225">
            <v>45635</v>
          </cell>
          <cell r="T1225">
            <v>22675</v>
          </cell>
          <cell r="U1225">
            <v>37419</v>
          </cell>
          <cell r="V1225">
            <v>37274</v>
          </cell>
          <cell r="W1225">
            <v>35940</v>
          </cell>
          <cell r="X1225">
            <v>31671</v>
          </cell>
          <cell r="Y1225">
            <v>20608</v>
          </cell>
          <cell r="Z1225">
            <v>29604</v>
          </cell>
          <cell r="AA1225">
            <v>29663</v>
          </cell>
          <cell r="AB1225">
            <v>27965</v>
          </cell>
          <cell r="AC1225">
            <v>26699</v>
          </cell>
          <cell r="AD1225">
            <v>25123</v>
          </cell>
          <cell r="AE1225">
            <v>26052</v>
          </cell>
          <cell r="AF1225">
            <v>29015</v>
          </cell>
          <cell r="AG1225">
            <v>31128</v>
          </cell>
          <cell r="AH1225">
            <v>29872</v>
          </cell>
          <cell r="AI1225">
            <v>31750</v>
          </cell>
          <cell r="AJ1225">
            <v>17535</v>
          </cell>
        </row>
        <row r="1226">
          <cell r="E1226" t="str">
            <v>MS Transportation Jet Fuel, Kerosene</v>
          </cell>
          <cell r="F1226">
            <v>34042</v>
          </cell>
          <cell r="G1226">
            <v>40054</v>
          </cell>
          <cell r="H1226">
            <v>58488</v>
          </cell>
          <cell r="I1226">
            <v>43439</v>
          </cell>
          <cell r="J1226">
            <v>36843</v>
          </cell>
          <cell r="K1226">
            <v>42680</v>
          </cell>
          <cell r="L1226">
            <v>40510</v>
          </cell>
          <cell r="M1226">
            <v>44857</v>
          </cell>
          <cell r="N1226">
            <v>43603</v>
          </cell>
          <cell r="O1226">
            <v>54760</v>
          </cell>
          <cell r="P1226">
            <v>51053</v>
          </cell>
          <cell r="Q1226">
            <v>47689</v>
          </cell>
          <cell r="R1226">
            <v>40957</v>
          </cell>
          <cell r="S1226">
            <v>52123</v>
          </cell>
          <cell r="T1226">
            <v>34697</v>
          </cell>
          <cell r="U1226">
            <v>33464</v>
          </cell>
          <cell r="V1226">
            <v>40242</v>
          </cell>
          <cell r="W1226">
            <v>24756</v>
          </cell>
          <cell r="X1226">
            <v>23270</v>
          </cell>
          <cell r="Y1226">
            <v>27518</v>
          </cell>
          <cell r="Z1226">
            <v>7339</v>
          </cell>
          <cell r="AA1226">
            <v>6460</v>
          </cell>
          <cell r="AB1226">
            <v>6645</v>
          </cell>
          <cell r="AC1226">
            <v>7542</v>
          </cell>
          <cell r="AD1226">
            <v>6922</v>
          </cell>
          <cell r="AE1226">
            <v>6502</v>
          </cell>
          <cell r="AF1226">
            <v>6267</v>
          </cell>
          <cell r="AG1226">
            <v>6389</v>
          </cell>
          <cell r="AH1226">
            <v>5977</v>
          </cell>
          <cell r="AI1226">
            <v>6399</v>
          </cell>
          <cell r="AJ1226">
            <v>6002</v>
          </cell>
        </row>
        <row r="1227">
          <cell r="E1227" t="str">
            <v>MT Transportation Jet Fuel, Kerosene</v>
          </cell>
          <cell r="F1227">
            <v>3212</v>
          </cell>
          <cell r="G1227">
            <v>3295</v>
          </cell>
          <cell r="H1227">
            <v>3279</v>
          </cell>
          <cell r="I1227">
            <v>3674</v>
          </cell>
          <cell r="J1227">
            <v>3519</v>
          </cell>
          <cell r="K1227">
            <v>4476</v>
          </cell>
          <cell r="L1227">
            <v>5438</v>
          </cell>
          <cell r="M1227">
            <v>4479</v>
          </cell>
          <cell r="N1227">
            <v>4523</v>
          </cell>
          <cell r="O1227">
            <v>4739</v>
          </cell>
          <cell r="P1227">
            <v>4234</v>
          </cell>
          <cell r="Q1227">
            <v>4289</v>
          </cell>
          <cell r="R1227">
            <v>4354</v>
          </cell>
          <cell r="S1227">
            <v>4717</v>
          </cell>
          <cell r="T1227">
            <v>5716</v>
          </cell>
          <cell r="U1227">
            <v>6307</v>
          </cell>
          <cell r="V1227">
            <v>5925</v>
          </cell>
          <cell r="W1227">
            <v>5817</v>
          </cell>
          <cell r="X1227">
            <v>4719</v>
          </cell>
          <cell r="Y1227">
            <v>4492</v>
          </cell>
          <cell r="Z1227">
            <v>6384</v>
          </cell>
          <cell r="AA1227">
            <v>6259</v>
          </cell>
          <cell r="AB1227">
            <v>6368</v>
          </cell>
          <cell r="AC1227">
            <v>4860</v>
          </cell>
          <cell r="AD1227">
            <v>5377</v>
          </cell>
          <cell r="AE1227">
            <v>4842</v>
          </cell>
          <cell r="AF1227">
            <v>6180</v>
          </cell>
          <cell r="AG1227">
            <v>7382</v>
          </cell>
          <cell r="AH1227">
            <v>7569</v>
          </cell>
          <cell r="AI1227">
            <v>6670</v>
          </cell>
          <cell r="AJ1227">
            <v>6760</v>
          </cell>
        </row>
        <row r="1228">
          <cell r="E1228" t="str">
            <v>NC Transportation Jet Fuel, Kerosene</v>
          </cell>
          <cell r="F1228">
            <v>18108</v>
          </cell>
          <cell r="G1228">
            <v>14775</v>
          </cell>
          <cell r="H1228">
            <v>15885</v>
          </cell>
          <cell r="I1228">
            <v>18146</v>
          </cell>
          <cell r="J1228">
            <v>21311</v>
          </cell>
          <cell r="K1228">
            <v>27939</v>
          </cell>
          <cell r="L1228">
            <v>51716</v>
          </cell>
          <cell r="M1228">
            <v>40557</v>
          </cell>
          <cell r="N1228">
            <v>38337</v>
          </cell>
          <cell r="O1228">
            <v>38566</v>
          </cell>
          <cell r="P1228">
            <v>41263</v>
          </cell>
          <cell r="Q1228">
            <v>34311</v>
          </cell>
          <cell r="R1228">
            <v>27357</v>
          </cell>
          <cell r="S1228">
            <v>29744</v>
          </cell>
          <cell r="T1228">
            <v>30602</v>
          </cell>
          <cell r="U1228">
            <v>41765</v>
          </cell>
          <cell r="V1228">
            <v>30182</v>
          </cell>
          <cell r="W1228">
            <v>40601</v>
          </cell>
          <cell r="X1228">
            <v>29626</v>
          </cell>
          <cell r="Y1228">
            <v>10509</v>
          </cell>
          <cell r="Z1228">
            <v>70551</v>
          </cell>
          <cell r="AA1228">
            <v>70884</v>
          </cell>
          <cell r="AB1228">
            <v>72997</v>
          </cell>
          <cell r="AC1228">
            <v>78231</v>
          </cell>
          <cell r="AD1228">
            <v>81450</v>
          </cell>
          <cell r="AE1228">
            <v>81298</v>
          </cell>
          <cell r="AF1228">
            <v>84245</v>
          </cell>
          <cell r="AG1228">
            <v>89253</v>
          </cell>
          <cell r="AH1228">
            <v>89679</v>
          </cell>
          <cell r="AI1228">
            <v>92860</v>
          </cell>
          <cell r="AJ1228">
            <v>65090</v>
          </cell>
        </row>
        <row r="1229">
          <cell r="E1229" t="str">
            <v>ND Transportation Jet Fuel, Kerosene</v>
          </cell>
          <cell r="F1229">
            <v>1301</v>
          </cell>
          <cell r="G1229">
            <v>1185</v>
          </cell>
          <cell r="H1229">
            <v>1337</v>
          </cell>
          <cell r="I1229">
            <v>1327</v>
          </cell>
          <cell r="J1229">
            <v>1389</v>
          </cell>
          <cell r="K1229">
            <v>1507</v>
          </cell>
          <cell r="L1229">
            <v>1338</v>
          </cell>
          <cell r="M1229">
            <v>1068</v>
          </cell>
          <cell r="N1229">
            <v>1198</v>
          </cell>
          <cell r="O1229">
            <v>2294</v>
          </cell>
          <cell r="P1229">
            <v>2344</v>
          </cell>
          <cell r="Q1229">
            <v>4260</v>
          </cell>
          <cell r="R1229">
            <v>2996</v>
          </cell>
          <cell r="S1229">
            <v>3163</v>
          </cell>
          <cell r="T1229">
            <v>6199</v>
          </cell>
          <cell r="U1229">
            <v>3662</v>
          </cell>
          <cell r="V1229">
            <v>4169</v>
          </cell>
          <cell r="W1229">
            <v>4026</v>
          </cell>
          <cell r="X1229">
            <v>3478</v>
          </cell>
          <cell r="Y1229">
            <v>3896</v>
          </cell>
          <cell r="Z1229">
            <v>4358</v>
          </cell>
          <cell r="AA1229">
            <v>4735</v>
          </cell>
          <cell r="AB1229">
            <v>4084</v>
          </cell>
          <cell r="AC1229">
            <v>4969</v>
          </cell>
          <cell r="AD1229">
            <v>4476</v>
          </cell>
          <cell r="AE1229">
            <v>5697</v>
          </cell>
          <cell r="AF1229">
            <v>4731</v>
          </cell>
          <cell r="AG1229">
            <v>4328</v>
          </cell>
          <cell r="AH1229">
            <v>4640</v>
          </cell>
          <cell r="AI1229">
            <v>4387</v>
          </cell>
          <cell r="AJ1229">
            <v>4322</v>
          </cell>
        </row>
        <row r="1230">
          <cell r="E1230" t="str">
            <v>NE Transportation Jet Fuel, Kerosene</v>
          </cell>
          <cell r="F1230">
            <v>4514</v>
          </cell>
          <cell r="G1230">
            <v>3875</v>
          </cell>
          <cell r="H1230">
            <v>3752</v>
          </cell>
          <cell r="I1230">
            <v>4010</v>
          </cell>
          <cell r="J1230">
            <v>5151</v>
          </cell>
          <cell r="K1230">
            <v>5641</v>
          </cell>
          <cell r="L1230">
            <v>5702</v>
          </cell>
          <cell r="M1230">
            <v>6093</v>
          </cell>
          <cell r="N1230">
            <v>6132</v>
          </cell>
          <cell r="O1230">
            <v>8870</v>
          </cell>
          <cell r="P1230">
            <v>6981</v>
          </cell>
          <cell r="Q1230">
            <v>6312</v>
          </cell>
          <cell r="R1230">
            <v>8656</v>
          </cell>
          <cell r="S1230">
            <v>6834</v>
          </cell>
          <cell r="T1230">
            <v>5206</v>
          </cell>
          <cell r="U1230">
            <v>5297</v>
          </cell>
          <cell r="V1230">
            <v>6013</v>
          </cell>
          <cell r="W1230">
            <v>5489</v>
          </cell>
          <cell r="X1230">
            <v>5036</v>
          </cell>
          <cell r="Y1230">
            <v>3950</v>
          </cell>
          <cell r="Z1230">
            <v>6148</v>
          </cell>
          <cell r="AA1230">
            <v>5778</v>
          </cell>
          <cell r="AB1230">
            <v>5813</v>
          </cell>
          <cell r="AC1230">
            <v>6259</v>
          </cell>
          <cell r="AD1230">
            <v>5972</v>
          </cell>
          <cell r="AE1230">
            <v>7076</v>
          </cell>
          <cell r="AF1230">
            <v>5858</v>
          </cell>
          <cell r="AG1230">
            <v>6348</v>
          </cell>
          <cell r="AH1230">
            <v>6766</v>
          </cell>
          <cell r="AI1230">
            <v>6565</v>
          </cell>
          <cell r="AJ1230">
            <v>4832</v>
          </cell>
        </row>
        <row r="1231">
          <cell r="E1231" t="str">
            <v>NH Transportation Jet Fuel, Kerosene</v>
          </cell>
          <cell r="F1231">
            <v>1584</v>
          </cell>
          <cell r="G1231">
            <v>1626</v>
          </cell>
          <cell r="H1231">
            <v>1455</v>
          </cell>
          <cell r="I1231">
            <v>1475</v>
          </cell>
          <cell r="J1231">
            <v>1598</v>
          </cell>
          <cell r="K1231">
            <v>1853</v>
          </cell>
          <cell r="L1231">
            <v>2031</v>
          </cell>
          <cell r="M1231">
            <v>2308</v>
          </cell>
          <cell r="N1231">
            <v>3456</v>
          </cell>
          <cell r="O1231">
            <v>4647</v>
          </cell>
          <cell r="P1231">
            <v>5539</v>
          </cell>
          <cell r="Q1231">
            <v>4990</v>
          </cell>
          <cell r="R1231">
            <v>4760</v>
          </cell>
          <cell r="S1231">
            <v>5342</v>
          </cell>
          <cell r="T1231">
            <v>5128</v>
          </cell>
          <cell r="U1231">
            <v>2564</v>
          </cell>
          <cell r="V1231">
            <v>919</v>
          </cell>
          <cell r="W1231">
            <v>860</v>
          </cell>
          <cell r="X1231">
            <v>862</v>
          </cell>
          <cell r="Y1231">
            <v>1919</v>
          </cell>
          <cell r="Z1231">
            <v>5210</v>
          </cell>
          <cell r="AA1231">
            <v>5162</v>
          </cell>
          <cell r="AB1231">
            <v>4467</v>
          </cell>
          <cell r="AC1231">
            <v>4191</v>
          </cell>
          <cell r="AD1231">
            <v>4397</v>
          </cell>
          <cell r="AE1231">
            <v>3730</v>
          </cell>
          <cell r="AF1231">
            <v>3800</v>
          </cell>
          <cell r="AG1231">
            <v>3710</v>
          </cell>
          <cell r="AH1231">
            <v>3552</v>
          </cell>
          <cell r="AI1231">
            <v>3778</v>
          </cell>
          <cell r="AJ1231">
            <v>2943</v>
          </cell>
        </row>
        <row r="1232">
          <cell r="E1232" t="str">
            <v>NJ Transportation Jet Fuel, Kerosene</v>
          </cell>
          <cell r="F1232">
            <v>256617</v>
          </cell>
          <cell r="G1232">
            <v>230492</v>
          </cell>
          <cell r="H1232">
            <v>254530</v>
          </cell>
          <cell r="I1232">
            <v>267502</v>
          </cell>
          <cell r="J1232">
            <v>272627</v>
          </cell>
          <cell r="K1232">
            <v>283835</v>
          </cell>
          <cell r="L1232">
            <v>243820</v>
          </cell>
          <cell r="M1232">
            <v>219736</v>
          </cell>
          <cell r="N1232">
            <v>210376</v>
          </cell>
          <cell r="O1232">
            <v>206063</v>
          </cell>
          <cell r="P1232">
            <v>208548</v>
          </cell>
          <cell r="Q1232">
            <v>192506</v>
          </cell>
          <cell r="R1232">
            <v>164052</v>
          </cell>
          <cell r="S1232">
            <v>146857</v>
          </cell>
          <cell r="T1232">
            <v>141963</v>
          </cell>
          <cell r="U1232">
            <v>180501</v>
          </cell>
          <cell r="V1232">
            <v>191224</v>
          </cell>
          <cell r="W1232">
            <v>207150</v>
          </cell>
          <cell r="X1232">
            <v>200045</v>
          </cell>
          <cell r="Y1232">
            <v>195164</v>
          </cell>
          <cell r="Z1232">
            <v>105005</v>
          </cell>
          <cell r="AA1232">
            <v>106666</v>
          </cell>
          <cell r="AB1232">
            <v>104360</v>
          </cell>
          <cell r="AC1232">
            <v>110266</v>
          </cell>
          <cell r="AD1232">
            <v>104640</v>
          </cell>
          <cell r="AE1232">
            <v>109007</v>
          </cell>
          <cell r="AF1232">
            <v>113345</v>
          </cell>
          <cell r="AG1232">
            <v>119753</v>
          </cell>
          <cell r="AH1232">
            <v>121609</v>
          </cell>
          <cell r="AI1232">
            <v>122858</v>
          </cell>
          <cell r="AJ1232">
            <v>55843</v>
          </cell>
        </row>
        <row r="1233">
          <cell r="E1233" t="str">
            <v>NM Transportation Jet Fuel, Kerosene</v>
          </cell>
          <cell r="F1233">
            <v>7273</v>
          </cell>
          <cell r="G1233">
            <v>7447</v>
          </cell>
          <cell r="H1233">
            <v>7478</v>
          </cell>
          <cell r="I1233">
            <v>11228</v>
          </cell>
          <cell r="J1233">
            <v>14481</v>
          </cell>
          <cell r="K1233">
            <v>12282</v>
          </cell>
          <cell r="L1233">
            <v>9091</v>
          </cell>
          <cell r="M1233">
            <v>9914</v>
          </cell>
          <cell r="N1233">
            <v>12462</v>
          </cell>
          <cell r="O1233">
            <v>15441</v>
          </cell>
          <cell r="P1233">
            <v>17109</v>
          </cell>
          <cell r="Q1233">
            <v>17381</v>
          </cell>
          <cell r="R1233">
            <v>14231</v>
          </cell>
          <cell r="S1233">
            <v>13825</v>
          </cell>
          <cell r="T1233">
            <v>12892</v>
          </cell>
          <cell r="U1233">
            <v>12942</v>
          </cell>
          <cell r="V1233">
            <v>13344</v>
          </cell>
          <cell r="W1233">
            <v>11019</v>
          </cell>
          <cell r="X1233">
            <v>10197</v>
          </cell>
          <cell r="Y1233">
            <v>7587</v>
          </cell>
          <cell r="Z1233">
            <v>9264</v>
          </cell>
          <cell r="AA1233">
            <v>8633</v>
          </cell>
          <cell r="AB1233">
            <v>8508</v>
          </cell>
          <cell r="AC1233">
            <v>8328</v>
          </cell>
          <cell r="AD1233">
            <v>8099</v>
          </cell>
          <cell r="AE1233">
            <v>8359</v>
          </cell>
          <cell r="AF1233">
            <v>8042</v>
          </cell>
          <cell r="AG1233">
            <v>8558</v>
          </cell>
          <cell r="AH1233">
            <v>7921</v>
          </cell>
          <cell r="AI1233">
            <v>8106</v>
          </cell>
          <cell r="AJ1233">
            <v>5557</v>
          </cell>
        </row>
        <row r="1234">
          <cell r="E1234" t="str">
            <v>NV Transportation Jet Fuel, Kerosene</v>
          </cell>
          <cell r="F1234">
            <v>23028</v>
          </cell>
          <cell r="G1234">
            <v>25165</v>
          </cell>
          <cell r="H1234">
            <v>25252</v>
          </cell>
          <cell r="I1234">
            <v>29562</v>
          </cell>
          <cell r="J1234">
            <v>38467</v>
          </cell>
          <cell r="K1234">
            <v>41545</v>
          </cell>
          <cell r="L1234">
            <v>44399</v>
          </cell>
          <cell r="M1234">
            <v>42833</v>
          </cell>
          <cell r="N1234">
            <v>38109</v>
          </cell>
          <cell r="O1234">
            <v>47369</v>
          </cell>
          <cell r="P1234">
            <v>51953</v>
          </cell>
          <cell r="Q1234">
            <v>47706</v>
          </cell>
          <cell r="R1234">
            <v>46234</v>
          </cell>
          <cell r="S1234">
            <v>43382</v>
          </cell>
          <cell r="T1234">
            <v>44881</v>
          </cell>
          <cell r="U1234">
            <v>46248</v>
          </cell>
          <cell r="V1234">
            <v>48487</v>
          </cell>
          <cell r="W1234">
            <v>52206</v>
          </cell>
          <cell r="X1234">
            <v>43756</v>
          </cell>
          <cell r="Y1234">
            <v>27701</v>
          </cell>
          <cell r="Z1234">
            <v>73208</v>
          </cell>
          <cell r="AA1234">
            <v>72653</v>
          </cell>
          <cell r="AB1234">
            <v>72134</v>
          </cell>
          <cell r="AC1234">
            <v>72892</v>
          </cell>
          <cell r="AD1234">
            <v>74599</v>
          </cell>
          <cell r="AE1234">
            <v>76550</v>
          </cell>
          <cell r="AF1234">
            <v>81541</v>
          </cell>
          <cell r="AG1234">
            <v>84560</v>
          </cell>
          <cell r="AH1234">
            <v>81906</v>
          </cell>
          <cell r="AI1234">
            <v>79220</v>
          </cell>
          <cell r="AJ1234">
            <v>48947</v>
          </cell>
        </row>
        <row r="1235">
          <cell r="E1235" t="str">
            <v>NY Transportation Jet Fuel, Kerosene</v>
          </cell>
          <cell r="F1235">
            <v>22757</v>
          </cell>
          <cell r="G1235">
            <v>21096</v>
          </cell>
          <cell r="H1235">
            <v>21697</v>
          </cell>
          <cell r="I1235">
            <v>22114</v>
          </cell>
          <cell r="J1235">
            <v>29518</v>
          </cell>
          <cell r="K1235">
            <v>43408</v>
          </cell>
          <cell r="L1235">
            <v>65337</v>
          </cell>
          <cell r="M1235">
            <v>68810</v>
          </cell>
          <cell r="N1235">
            <v>83916</v>
          </cell>
          <cell r="O1235">
            <v>51719</v>
          </cell>
          <cell r="P1235">
            <v>53957</v>
          </cell>
          <cell r="Q1235">
            <v>83091</v>
          </cell>
          <cell r="R1235">
            <v>87479</v>
          </cell>
          <cell r="S1235">
            <v>97909</v>
          </cell>
          <cell r="T1235">
            <v>109431</v>
          </cell>
          <cell r="U1235">
            <v>113488</v>
          </cell>
          <cell r="V1235">
            <v>115336</v>
          </cell>
          <cell r="W1235">
            <v>113268</v>
          </cell>
          <cell r="X1235">
            <v>122799</v>
          </cell>
          <cell r="Y1235">
            <v>95030</v>
          </cell>
          <cell r="Z1235">
            <v>230271</v>
          </cell>
          <cell r="AA1235">
            <v>231538</v>
          </cell>
          <cell r="AB1235">
            <v>233134</v>
          </cell>
          <cell r="AC1235">
            <v>247605</v>
          </cell>
          <cell r="AD1235">
            <v>253853</v>
          </cell>
          <cell r="AE1235">
            <v>266824</v>
          </cell>
          <cell r="AF1235">
            <v>282494</v>
          </cell>
          <cell r="AG1235">
            <v>292965</v>
          </cell>
          <cell r="AH1235">
            <v>284289</v>
          </cell>
          <cell r="AI1235">
            <v>286957</v>
          </cell>
          <cell r="AJ1235">
            <v>133603</v>
          </cell>
        </row>
        <row r="1236">
          <cell r="E1236" t="str">
            <v>OH Transportation Jet Fuel, Kerosene</v>
          </cell>
          <cell r="F1236">
            <v>56474</v>
          </cell>
          <cell r="G1236">
            <v>56326</v>
          </cell>
          <cell r="H1236">
            <v>56492</v>
          </cell>
          <cell r="I1236">
            <v>57101</v>
          </cell>
          <cell r="J1236">
            <v>63374</v>
          </cell>
          <cell r="K1236">
            <v>63422</v>
          </cell>
          <cell r="L1236">
            <v>67764</v>
          </cell>
          <cell r="M1236">
            <v>71490</v>
          </cell>
          <cell r="N1236">
            <v>78460</v>
          </cell>
          <cell r="O1236">
            <v>93311</v>
          </cell>
          <cell r="P1236">
            <v>105776</v>
          </cell>
          <cell r="Q1236">
            <v>105343</v>
          </cell>
          <cell r="R1236">
            <v>99161</v>
          </cell>
          <cell r="S1236">
            <v>100272</v>
          </cell>
          <cell r="T1236">
            <v>105662</v>
          </cell>
          <cell r="U1236">
            <v>105546</v>
          </cell>
          <cell r="V1236">
            <v>104813</v>
          </cell>
          <cell r="W1236">
            <v>102880</v>
          </cell>
          <cell r="X1236">
            <v>102049</v>
          </cell>
          <cell r="Y1236">
            <v>72258</v>
          </cell>
          <cell r="Z1236">
            <v>32647</v>
          </cell>
          <cell r="AA1236">
            <v>31439</v>
          </cell>
          <cell r="AB1236">
            <v>26710</v>
          </cell>
          <cell r="AC1236">
            <v>26638</v>
          </cell>
          <cell r="AD1236">
            <v>29160</v>
          </cell>
          <cell r="AE1236">
            <v>31660</v>
          </cell>
          <cell r="AF1236">
            <v>34616</v>
          </cell>
          <cell r="AG1236">
            <v>30955</v>
          </cell>
          <cell r="AH1236">
            <v>36136</v>
          </cell>
          <cell r="AI1236">
            <v>32233</v>
          </cell>
          <cell r="AJ1236">
            <v>30986</v>
          </cell>
        </row>
        <row r="1237">
          <cell r="E1237" t="str">
            <v>OK Transportation Jet Fuel, Kerosene</v>
          </cell>
          <cell r="F1237">
            <v>33358</v>
          </cell>
          <cell r="G1237">
            <v>44317</v>
          </cell>
          <cell r="H1237">
            <v>61459</v>
          </cell>
          <cell r="I1237">
            <v>40174</v>
          </cell>
          <cell r="J1237">
            <v>48781</v>
          </cell>
          <cell r="K1237">
            <v>29163</v>
          </cell>
          <cell r="L1237">
            <v>26380</v>
          </cell>
          <cell r="M1237">
            <v>29713</v>
          </cell>
          <cell r="N1237">
            <v>30322</v>
          </cell>
          <cell r="O1237">
            <v>37287</v>
          </cell>
          <cell r="P1237">
            <v>38627</v>
          </cell>
          <cell r="Q1237">
            <v>39925</v>
          </cell>
          <cell r="R1237">
            <v>36478</v>
          </cell>
          <cell r="S1237">
            <v>35380</v>
          </cell>
          <cell r="T1237">
            <v>39114</v>
          </cell>
          <cell r="U1237">
            <v>33814</v>
          </cell>
          <cell r="V1237">
            <v>32097</v>
          </cell>
          <cell r="W1237">
            <v>30023</v>
          </cell>
          <cell r="X1237">
            <v>31701</v>
          </cell>
          <cell r="Y1237">
            <v>36556</v>
          </cell>
          <cell r="Z1237">
            <v>36148</v>
          </cell>
          <cell r="AA1237">
            <v>36088</v>
          </cell>
          <cell r="AB1237">
            <v>37440</v>
          </cell>
          <cell r="AC1237">
            <v>36980</v>
          </cell>
          <cell r="AD1237">
            <v>42513</v>
          </cell>
          <cell r="AE1237">
            <v>40741</v>
          </cell>
          <cell r="AF1237">
            <v>40612</v>
          </cell>
          <cell r="AG1237">
            <v>43374</v>
          </cell>
          <cell r="AH1237">
            <v>44319</v>
          </cell>
          <cell r="AI1237">
            <v>40167</v>
          </cell>
          <cell r="AJ1237">
            <v>34305</v>
          </cell>
        </row>
        <row r="1238">
          <cell r="E1238" t="str">
            <v>OR Transportation Jet Fuel, Kerosene</v>
          </cell>
          <cell r="F1238">
            <v>17621</v>
          </cell>
          <cell r="G1238">
            <v>19580</v>
          </cell>
          <cell r="H1238">
            <v>21309</v>
          </cell>
          <cell r="I1238">
            <v>23381</v>
          </cell>
          <cell r="J1238">
            <v>26294</v>
          </cell>
          <cell r="K1238">
            <v>28946</v>
          </cell>
          <cell r="L1238">
            <v>29662</v>
          </cell>
          <cell r="M1238">
            <v>32437</v>
          </cell>
          <cell r="N1238">
            <v>33262</v>
          </cell>
          <cell r="O1238">
            <v>36498</v>
          </cell>
          <cell r="P1238">
            <v>35592</v>
          </cell>
          <cell r="Q1238">
            <v>29580</v>
          </cell>
          <cell r="R1238">
            <v>29344</v>
          </cell>
          <cell r="S1238">
            <v>31692</v>
          </cell>
          <cell r="T1238">
            <v>28902</v>
          </cell>
          <cell r="U1238">
            <v>30628</v>
          </cell>
          <cell r="V1238">
            <v>32685</v>
          </cell>
          <cell r="W1238">
            <v>31923</v>
          </cell>
          <cell r="X1238">
            <v>30979</v>
          </cell>
          <cell r="Y1238">
            <v>36995</v>
          </cell>
          <cell r="Z1238">
            <v>25325</v>
          </cell>
          <cell r="AA1238">
            <v>25144</v>
          </cell>
          <cell r="AB1238">
            <v>25488</v>
          </cell>
          <cell r="AC1238">
            <v>27182</v>
          </cell>
          <cell r="AD1238">
            <v>26800</v>
          </cell>
          <cell r="AE1238">
            <v>27757</v>
          </cell>
          <cell r="AF1238">
            <v>28800</v>
          </cell>
          <cell r="AG1238">
            <v>30816</v>
          </cell>
          <cell r="AH1238">
            <v>34236</v>
          </cell>
          <cell r="AI1238">
            <v>34521</v>
          </cell>
          <cell r="AJ1238">
            <v>21660</v>
          </cell>
        </row>
        <row r="1239">
          <cell r="E1239" t="str">
            <v>PA Transportation Jet Fuel, Kerosene</v>
          </cell>
          <cell r="F1239">
            <v>66208</v>
          </cell>
          <cell r="G1239">
            <v>62606</v>
          </cell>
          <cell r="H1239">
            <v>60154</v>
          </cell>
          <cell r="I1239">
            <v>64189</v>
          </cell>
          <cell r="J1239">
            <v>65042</v>
          </cell>
          <cell r="K1239">
            <v>69729</v>
          </cell>
          <cell r="L1239">
            <v>67057</v>
          </cell>
          <cell r="M1239">
            <v>84016</v>
          </cell>
          <cell r="N1239">
            <v>94865</v>
          </cell>
          <cell r="O1239">
            <v>90395</v>
          </cell>
          <cell r="P1239">
            <v>107780</v>
          </cell>
          <cell r="Q1239">
            <v>107030</v>
          </cell>
          <cell r="R1239">
            <v>96423</v>
          </cell>
          <cell r="S1239">
            <v>99071</v>
          </cell>
          <cell r="T1239">
            <v>92878</v>
          </cell>
          <cell r="U1239">
            <v>95404</v>
          </cell>
          <cell r="V1239">
            <v>93356</v>
          </cell>
          <cell r="W1239">
            <v>87904</v>
          </cell>
          <cell r="X1239">
            <v>81845</v>
          </cell>
          <cell r="Y1239">
            <v>70738</v>
          </cell>
          <cell r="Z1239">
            <v>69561</v>
          </cell>
          <cell r="AA1239">
            <v>68524</v>
          </cell>
          <cell r="AB1239">
            <v>67909</v>
          </cell>
          <cell r="AC1239">
            <v>70020</v>
          </cell>
          <cell r="AD1239">
            <v>69371</v>
          </cell>
          <cell r="AE1239">
            <v>69271</v>
          </cell>
          <cell r="AF1239">
            <v>70357</v>
          </cell>
          <cell r="AG1239">
            <v>72639</v>
          </cell>
          <cell r="AH1239">
            <v>74608</v>
          </cell>
          <cell r="AI1239">
            <v>77595</v>
          </cell>
          <cell r="AJ1239">
            <v>44795</v>
          </cell>
        </row>
        <row r="1240">
          <cell r="E1240" t="str">
            <v>RI Transportation Jet Fuel, Kerosene</v>
          </cell>
          <cell r="F1240">
            <v>4142</v>
          </cell>
          <cell r="G1240">
            <v>3415</v>
          </cell>
          <cell r="H1240">
            <v>2896</v>
          </cell>
          <cell r="I1240">
            <v>2749</v>
          </cell>
          <cell r="J1240">
            <v>2922</v>
          </cell>
          <cell r="K1240">
            <v>2795</v>
          </cell>
          <cell r="L1240">
            <v>3051</v>
          </cell>
          <cell r="M1240">
            <v>4691</v>
          </cell>
          <cell r="N1240">
            <v>5216</v>
          </cell>
          <cell r="O1240">
            <v>5992</v>
          </cell>
          <cell r="P1240">
            <v>7273</v>
          </cell>
          <cell r="Q1240">
            <v>7396</v>
          </cell>
          <cell r="R1240">
            <v>7294</v>
          </cell>
          <cell r="S1240">
            <v>5986</v>
          </cell>
          <cell r="T1240">
            <v>5870</v>
          </cell>
          <cell r="U1240">
            <v>4675</v>
          </cell>
          <cell r="V1240">
            <v>3362</v>
          </cell>
          <cell r="W1240">
            <v>1900</v>
          </cell>
          <cell r="X1240">
            <v>1698</v>
          </cell>
          <cell r="Y1240">
            <v>3935</v>
          </cell>
          <cell r="Z1240">
            <v>3522</v>
          </cell>
          <cell r="AA1240">
            <v>3828</v>
          </cell>
          <cell r="AB1240">
            <v>3440</v>
          </cell>
          <cell r="AC1240">
            <v>3312</v>
          </cell>
          <cell r="AD1240">
            <v>2971</v>
          </cell>
          <cell r="AE1240">
            <v>3182</v>
          </cell>
          <cell r="AF1240">
            <v>2977</v>
          </cell>
          <cell r="AG1240">
            <v>2791</v>
          </cell>
          <cell r="AH1240">
            <v>2488</v>
          </cell>
          <cell r="AI1240">
            <v>2271</v>
          </cell>
          <cell r="AJ1240">
            <v>1719</v>
          </cell>
        </row>
        <row r="1241">
          <cell r="E1241" t="str">
            <v>SC Transportation Jet Fuel, Kerosene</v>
          </cell>
          <cell r="F1241">
            <v>5588</v>
          </cell>
          <cell r="G1241">
            <v>4956</v>
          </cell>
          <cell r="H1241">
            <v>4607</v>
          </cell>
          <cell r="I1241">
            <v>4346</v>
          </cell>
          <cell r="J1241">
            <v>5772</v>
          </cell>
          <cell r="K1241">
            <v>5631</v>
          </cell>
          <cell r="L1241">
            <v>7278</v>
          </cell>
          <cell r="M1241">
            <v>7514</v>
          </cell>
          <cell r="N1241">
            <v>8151</v>
          </cell>
          <cell r="O1241">
            <v>8707</v>
          </cell>
          <cell r="P1241">
            <v>10552</v>
          </cell>
          <cell r="Q1241">
            <v>10496</v>
          </cell>
          <cell r="R1241">
            <v>8778</v>
          </cell>
          <cell r="S1241">
            <v>8273</v>
          </cell>
          <cell r="T1241">
            <v>9390</v>
          </cell>
          <cell r="U1241">
            <v>9123</v>
          </cell>
          <cell r="V1241">
            <v>10235</v>
          </cell>
          <cell r="W1241">
            <v>10666</v>
          </cell>
          <cell r="X1241">
            <v>9926</v>
          </cell>
          <cell r="Y1241">
            <v>6101</v>
          </cell>
          <cell r="Z1241">
            <v>17452</v>
          </cell>
          <cell r="AA1241">
            <v>15294</v>
          </cell>
          <cell r="AB1241">
            <v>13730</v>
          </cell>
          <cell r="AC1241">
            <v>12687</v>
          </cell>
          <cell r="AD1241">
            <v>14819</v>
          </cell>
          <cell r="AE1241">
            <v>15308</v>
          </cell>
          <cell r="AF1241">
            <v>16552</v>
          </cell>
          <cell r="AG1241">
            <v>17974</v>
          </cell>
          <cell r="AH1241">
            <v>19294</v>
          </cell>
          <cell r="AI1241">
            <v>20653</v>
          </cell>
          <cell r="AJ1241">
            <v>15709</v>
          </cell>
        </row>
        <row r="1242">
          <cell r="E1242" t="str">
            <v>SD Transportation Jet Fuel, Kerosene</v>
          </cell>
          <cell r="F1242">
            <v>1031</v>
          </cell>
          <cell r="G1242">
            <v>828</v>
          </cell>
          <cell r="H1242">
            <v>1105</v>
          </cell>
          <cell r="I1242">
            <v>1262</v>
          </cell>
          <cell r="J1242">
            <v>1417</v>
          </cell>
          <cell r="K1242">
            <v>1933</v>
          </cell>
          <cell r="L1242">
            <v>4867</v>
          </cell>
          <cell r="M1242">
            <v>3951</v>
          </cell>
          <cell r="N1242">
            <v>4644</v>
          </cell>
          <cell r="O1242">
            <v>4365</v>
          </cell>
          <cell r="P1242">
            <v>5803</v>
          </cell>
          <cell r="Q1242">
            <v>5486</v>
          </cell>
          <cell r="R1242">
            <v>5210</v>
          </cell>
          <cell r="S1242">
            <v>4359</v>
          </cell>
          <cell r="T1242">
            <v>4402</v>
          </cell>
          <cell r="U1242">
            <v>5647</v>
          </cell>
          <cell r="V1242">
            <v>5359</v>
          </cell>
          <cell r="W1242">
            <v>4991</v>
          </cell>
          <cell r="X1242">
            <v>3736</v>
          </cell>
          <cell r="Y1242">
            <v>4008</v>
          </cell>
          <cell r="Z1242">
            <v>4369</v>
          </cell>
          <cell r="AA1242">
            <v>3690</v>
          </cell>
          <cell r="AB1242">
            <v>4486</v>
          </cell>
          <cell r="AC1242">
            <v>4081</v>
          </cell>
          <cell r="AD1242">
            <v>5579</v>
          </cell>
          <cell r="AE1242">
            <v>5260</v>
          </cell>
          <cell r="AF1242">
            <v>4743</v>
          </cell>
          <cell r="AG1242">
            <v>4680</v>
          </cell>
          <cell r="AH1242">
            <v>3777</v>
          </cell>
          <cell r="AI1242">
            <v>4068</v>
          </cell>
          <cell r="AJ1242">
            <v>3666</v>
          </cell>
        </row>
        <row r="1243">
          <cell r="E1243" t="str">
            <v>TN Transportation Jet Fuel, Kerosene</v>
          </cell>
          <cell r="F1243">
            <v>22045</v>
          </cell>
          <cell r="G1243">
            <v>17819</v>
          </cell>
          <cell r="H1243">
            <v>23946</v>
          </cell>
          <cell r="I1243">
            <v>35774</v>
          </cell>
          <cell r="J1243">
            <v>43104</v>
          </cell>
          <cell r="K1243">
            <v>45486</v>
          </cell>
          <cell r="L1243">
            <v>52704</v>
          </cell>
          <cell r="M1243">
            <v>53459</v>
          </cell>
          <cell r="N1243">
            <v>55934</v>
          </cell>
          <cell r="O1243">
            <v>66998</v>
          </cell>
          <cell r="P1243">
            <v>72898</v>
          </cell>
          <cell r="Q1243">
            <v>71223</v>
          </cell>
          <cell r="R1243">
            <v>76218</v>
          </cell>
          <cell r="S1243">
            <v>75840</v>
          </cell>
          <cell r="T1243">
            <v>77241</v>
          </cell>
          <cell r="U1243">
            <v>78901</v>
          </cell>
          <cell r="V1243">
            <v>80553</v>
          </cell>
          <cell r="W1243">
            <v>78310</v>
          </cell>
          <cell r="X1243">
            <v>71836</v>
          </cell>
          <cell r="Y1243">
            <v>63384</v>
          </cell>
          <cell r="Z1243">
            <v>70675</v>
          </cell>
          <cell r="AA1243">
            <v>68029</v>
          </cell>
          <cell r="AB1243">
            <v>63926</v>
          </cell>
          <cell r="AC1243">
            <v>66133</v>
          </cell>
          <cell r="AD1243">
            <v>66762</v>
          </cell>
          <cell r="AE1243">
            <v>70113</v>
          </cell>
          <cell r="AF1243">
            <v>74208</v>
          </cell>
          <cell r="AG1243">
            <v>77510</v>
          </cell>
          <cell r="AH1243">
            <v>77609</v>
          </cell>
          <cell r="AI1243">
            <v>82659</v>
          </cell>
          <cell r="AJ1243">
            <v>77723</v>
          </cell>
        </row>
        <row r="1244">
          <cell r="E1244" t="str">
            <v>TX Transportation Jet Fuel, Kerosene</v>
          </cell>
          <cell r="F1244">
            <v>514381</v>
          </cell>
          <cell r="G1244">
            <v>490585</v>
          </cell>
          <cell r="H1244">
            <v>485900</v>
          </cell>
          <cell r="I1244">
            <v>474311</v>
          </cell>
          <cell r="J1244">
            <v>465533</v>
          </cell>
          <cell r="K1244">
            <v>468024</v>
          </cell>
          <cell r="L1244">
            <v>565515</v>
          </cell>
          <cell r="M1244">
            <v>598766</v>
          </cell>
          <cell r="N1244">
            <v>615962</v>
          </cell>
          <cell r="O1244">
            <v>594762</v>
          </cell>
          <cell r="P1244">
            <v>582403</v>
          </cell>
          <cell r="Q1244">
            <v>639834</v>
          </cell>
          <cell r="R1244">
            <v>655440</v>
          </cell>
          <cell r="S1244">
            <v>574567</v>
          </cell>
          <cell r="T1244">
            <v>503613</v>
          </cell>
          <cell r="U1244">
            <v>455765</v>
          </cell>
          <cell r="V1244">
            <v>461834</v>
          </cell>
          <cell r="W1244">
            <v>427566</v>
          </cell>
          <cell r="X1244">
            <v>411165</v>
          </cell>
          <cell r="Y1244">
            <v>350451</v>
          </cell>
          <cell r="Z1244">
            <v>258523</v>
          </cell>
          <cell r="AA1244">
            <v>261709</v>
          </cell>
          <cell r="AB1244">
            <v>257874</v>
          </cell>
          <cell r="AC1244">
            <v>267978</v>
          </cell>
          <cell r="AD1244">
            <v>270288</v>
          </cell>
          <cell r="AE1244">
            <v>296400</v>
          </cell>
          <cell r="AF1244">
            <v>300657</v>
          </cell>
          <cell r="AG1244">
            <v>298370</v>
          </cell>
          <cell r="AH1244">
            <v>301875</v>
          </cell>
          <cell r="AI1244">
            <v>320520</v>
          </cell>
          <cell r="AJ1244">
            <v>198228</v>
          </cell>
        </row>
        <row r="1245">
          <cell r="E1245" t="str">
            <v>US Transportation Jet Fuel, Kerosene</v>
          </cell>
          <cell r="F1245">
            <v>2773849</v>
          </cell>
          <cell r="G1245">
            <v>2681332</v>
          </cell>
          <cell r="H1245">
            <v>2718334</v>
          </cell>
          <cell r="I1245">
            <v>2809303</v>
          </cell>
          <cell r="J1245">
            <v>3062554</v>
          </cell>
          <cell r="K1245">
            <v>3098678</v>
          </cell>
          <cell r="L1245">
            <v>3268086</v>
          </cell>
          <cell r="M1245">
            <v>3307005</v>
          </cell>
          <cell r="N1245">
            <v>3358636</v>
          </cell>
          <cell r="O1245">
            <v>3465862</v>
          </cell>
          <cell r="P1245">
            <v>3580452</v>
          </cell>
          <cell r="Q1245">
            <v>3426591</v>
          </cell>
          <cell r="R1245">
            <v>3353743</v>
          </cell>
          <cell r="S1245">
            <v>3266351</v>
          </cell>
          <cell r="T1245">
            <v>3382444</v>
          </cell>
          <cell r="U1245">
            <v>3474752</v>
          </cell>
          <cell r="V1245">
            <v>3379382</v>
          </cell>
          <cell r="W1245">
            <v>3357610</v>
          </cell>
          <cell r="X1245">
            <v>3192839</v>
          </cell>
          <cell r="Y1245">
            <v>2883274</v>
          </cell>
          <cell r="Z1245">
            <v>2962870</v>
          </cell>
          <cell r="AA1245">
            <v>2949818</v>
          </cell>
          <cell r="AB1245">
            <v>2901435</v>
          </cell>
          <cell r="AC1245">
            <v>2968557</v>
          </cell>
          <cell r="AD1245">
            <v>3042091</v>
          </cell>
          <cell r="AE1245">
            <v>3204168</v>
          </cell>
          <cell r="AF1245">
            <v>3349876</v>
          </cell>
          <cell r="AG1245">
            <v>3481346</v>
          </cell>
          <cell r="AH1245">
            <v>3532756</v>
          </cell>
          <cell r="AI1245">
            <v>3608019</v>
          </cell>
          <cell r="AJ1245">
            <v>2233844</v>
          </cell>
        </row>
        <row r="1246">
          <cell r="E1246" t="str">
            <v>UT Transportation Jet Fuel, Kerosene</v>
          </cell>
          <cell r="F1246">
            <v>26324</v>
          </cell>
          <cell r="G1246">
            <v>27578</v>
          </cell>
          <cell r="H1246">
            <v>26372</v>
          </cell>
          <cell r="I1246">
            <v>27303</v>
          </cell>
          <cell r="J1246">
            <v>26356</v>
          </cell>
          <cell r="K1246">
            <v>27932</v>
          </cell>
          <cell r="L1246">
            <v>35156</v>
          </cell>
          <cell r="M1246">
            <v>35597</v>
          </cell>
          <cell r="N1246">
            <v>36167</v>
          </cell>
          <cell r="O1246">
            <v>42200</v>
          </cell>
          <cell r="P1246">
            <v>43663</v>
          </cell>
          <cell r="Q1246">
            <v>39010</v>
          </cell>
          <cell r="R1246">
            <v>36381</v>
          </cell>
          <cell r="S1246">
            <v>38319</v>
          </cell>
          <cell r="T1246">
            <v>40468</v>
          </cell>
          <cell r="U1246">
            <v>41923</v>
          </cell>
          <cell r="V1246">
            <v>42863</v>
          </cell>
          <cell r="W1246">
            <v>40173</v>
          </cell>
          <cell r="X1246">
            <v>36907</v>
          </cell>
          <cell r="Y1246">
            <v>32611</v>
          </cell>
          <cell r="Z1246">
            <v>28525</v>
          </cell>
          <cell r="AA1246">
            <v>27357</v>
          </cell>
          <cell r="AB1246">
            <v>26129</v>
          </cell>
          <cell r="AC1246">
            <v>25336</v>
          </cell>
          <cell r="AD1246">
            <v>27308</v>
          </cell>
          <cell r="AE1246">
            <v>29980</v>
          </cell>
          <cell r="AF1246">
            <v>33809</v>
          </cell>
          <cell r="AG1246">
            <v>36046</v>
          </cell>
          <cell r="AH1246">
            <v>48868</v>
          </cell>
          <cell r="AI1246">
            <v>42431</v>
          </cell>
          <cell r="AJ1246">
            <v>29778</v>
          </cell>
        </row>
        <row r="1247">
          <cell r="E1247" t="str">
            <v>VA Transportation Jet Fuel, Kerosene</v>
          </cell>
          <cell r="F1247">
            <v>69962</v>
          </cell>
          <cell r="G1247">
            <v>61095</v>
          </cell>
          <cell r="H1247">
            <v>61390</v>
          </cell>
          <cell r="I1247">
            <v>62713</v>
          </cell>
          <cell r="J1247">
            <v>66274</v>
          </cell>
          <cell r="K1247">
            <v>59892</v>
          </cell>
          <cell r="L1247">
            <v>52148</v>
          </cell>
          <cell r="M1247">
            <v>53321</v>
          </cell>
          <cell r="N1247">
            <v>57788</v>
          </cell>
          <cell r="O1247">
            <v>52811</v>
          </cell>
          <cell r="P1247">
            <v>56377</v>
          </cell>
          <cell r="Q1247">
            <v>56591</v>
          </cell>
          <cell r="R1247">
            <v>56444</v>
          </cell>
          <cell r="S1247">
            <v>64983</v>
          </cell>
          <cell r="T1247">
            <v>94997</v>
          </cell>
          <cell r="U1247">
            <v>106850</v>
          </cell>
          <cell r="V1247">
            <v>106649</v>
          </cell>
          <cell r="W1247">
            <v>107868</v>
          </cell>
          <cell r="X1247">
            <v>93669</v>
          </cell>
          <cell r="Y1247">
            <v>88978</v>
          </cell>
          <cell r="Z1247">
            <v>112652</v>
          </cell>
          <cell r="AA1247">
            <v>109430</v>
          </cell>
          <cell r="AB1247">
            <v>107257</v>
          </cell>
          <cell r="AC1247">
            <v>111640</v>
          </cell>
          <cell r="AD1247">
            <v>124238</v>
          </cell>
          <cell r="AE1247">
            <v>130118</v>
          </cell>
          <cell r="AF1247">
            <v>147470</v>
          </cell>
          <cell r="AG1247">
            <v>151012</v>
          </cell>
          <cell r="AH1247">
            <v>151368</v>
          </cell>
          <cell r="AI1247">
            <v>154006</v>
          </cell>
          <cell r="AJ1247">
            <v>88349</v>
          </cell>
        </row>
        <row r="1248">
          <cell r="E1248" t="str">
            <v>VT Transportation Jet Fuel, Kerosene</v>
          </cell>
          <cell r="F1248">
            <v>732</v>
          </cell>
          <cell r="G1248">
            <v>516</v>
          </cell>
          <cell r="H1248">
            <v>355</v>
          </cell>
          <cell r="I1248">
            <v>404</v>
          </cell>
          <cell r="J1248">
            <v>714</v>
          </cell>
          <cell r="K1248">
            <v>718</v>
          </cell>
          <cell r="L1248">
            <v>563</v>
          </cell>
          <cell r="M1248">
            <v>601</v>
          </cell>
          <cell r="N1248">
            <v>687</v>
          </cell>
          <cell r="O1248">
            <v>812</v>
          </cell>
          <cell r="P1248">
            <v>817</v>
          </cell>
          <cell r="Q1248">
            <v>682</v>
          </cell>
          <cell r="R1248">
            <v>366</v>
          </cell>
          <cell r="S1248">
            <v>385</v>
          </cell>
          <cell r="T1248">
            <v>1752</v>
          </cell>
          <cell r="U1248">
            <v>2397</v>
          </cell>
          <cell r="V1248">
            <v>2132</v>
          </cell>
          <cell r="W1248">
            <v>1799</v>
          </cell>
          <cell r="X1248">
            <v>1509</v>
          </cell>
          <cell r="Y1248">
            <v>2901</v>
          </cell>
          <cell r="Z1248">
            <v>911</v>
          </cell>
          <cell r="AA1248">
            <v>1039</v>
          </cell>
          <cell r="AB1248">
            <v>1046</v>
          </cell>
          <cell r="AC1248">
            <v>972</v>
          </cell>
          <cell r="AD1248">
            <v>1107</v>
          </cell>
          <cell r="AE1248">
            <v>1084</v>
          </cell>
          <cell r="AF1248">
            <v>1188</v>
          </cell>
          <cell r="AG1248">
            <v>855</v>
          </cell>
          <cell r="AH1248">
            <v>910</v>
          </cell>
          <cell r="AI1248">
            <v>958</v>
          </cell>
          <cell r="AJ1248">
            <v>829</v>
          </cell>
        </row>
        <row r="1249">
          <cell r="E1249" t="str">
            <v>WA Transportation Jet Fuel, Kerosene</v>
          </cell>
          <cell r="F1249">
            <v>114716</v>
          </cell>
          <cell r="G1249">
            <v>110775</v>
          </cell>
          <cell r="H1249">
            <v>127585</v>
          </cell>
          <cell r="I1249">
            <v>118363</v>
          </cell>
          <cell r="J1249">
            <v>118708</v>
          </cell>
          <cell r="K1249">
            <v>125957</v>
          </cell>
          <cell r="L1249">
            <v>125890</v>
          </cell>
          <cell r="M1249">
            <v>127343</v>
          </cell>
          <cell r="N1249">
            <v>124055</v>
          </cell>
          <cell r="O1249">
            <v>125620</v>
          </cell>
          <cell r="P1249">
            <v>140195</v>
          </cell>
          <cell r="Q1249">
            <v>123692</v>
          </cell>
          <cell r="R1249">
            <v>102489</v>
          </cell>
          <cell r="S1249">
            <v>99184</v>
          </cell>
          <cell r="T1249">
            <v>108974</v>
          </cell>
          <cell r="U1249">
            <v>104784</v>
          </cell>
          <cell r="V1249">
            <v>105393</v>
          </cell>
          <cell r="W1249">
            <v>115957</v>
          </cell>
          <cell r="X1249">
            <v>114024</v>
          </cell>
          <cell r="Y1249">
            <v>103719</v>
          </cell>
          <cell r="Z1249">
            <v>74753</v>
          </cell>
          <cell r="AA1249">
            <v>75185</v>
          </cell>
          <cell r="AB1249">
            <v>73389</v>
          </cell>
          <cell r="AC1249">
            <v>79588</v>
          </cell>
          <cell r="AD1249">
            <v>82418</v>
          </cell>
          <cell r="AE1249">
            <v>92206</v>
          </cell>
          <cell r="AF1249">
            <v>99241</v>
          </cell>
          <cell r="AG1249">
            <v>104727</v>
          </cell>
          <cell r="AH1249">
            <v>105051</v>
          </cell>
          <cell r="AI1249">
            <v>110360</v>
          </cell>
          <cell r="AJ1249">
            <v>69890</v>
          </cell>
        </row>
        <row r="1250">
          <cell r="E1250" t="str">
            <v>WI Transportation Jet Fuel, Kerosene</v>
          </cell>
          <cell r="F1250">
            <v>6736</v>
          </cell>
          <cell r="G1250">
            <v>5920</v>
          </cell>
          <cell r="H1250">
            <v>8522</v>
          </cell>
          <cell r="I1250">
            <v>9596</v>
          </cell>
          <cell r="J1250">
            <v>10058</v>
          </cell>
          <cell r="K1250">
            <v>11544</v>
          </cell>
          <cell r="L1250">
            <v>8661</v>
          </cell>
          <cell r="M1250">
            <v>11051</v>
          </cell>
          <cell r="N1250">
            <v>10580</v>
          </cell>
          <cell r="O1250">
            <v>19316</v>
          </cell>
          <cell r="P1250">
            <v>17798</v>
          </cell>
          <cell r="Q1250">
            <v>14687</v>
          </cell>
          <cell r="R1250">
            <v>13001</v>
          </cell>
          <cell r="S1250">
            <v>7573</v>
          </cell>
          <cell r="T1250">
            <v>14976</v>
          </cell>
          <cell r="U1250">
            <v>16207</v>
          </cell>
          <cell r="V1250">
            <v>15583</v>
          </cell>
          <cell r="W1250">
            <v>12630</v>
          </cell>
          <cell r="X1250">
            <v>14956</v>
          </cell>
          <cell r="Y1250">
            <v>14134</v>
          </cell>
          <cell r="Z1250">
            <v>16237</v>
          </cell>
          <cell r="AA1250">
            <v>15578</v>
          </cell>
          <cell r="AB1250">
            <v>12493</v>
          </cell>
          <cell r="AC1250">
            <v>12566</v>
          </cell>
          <cell r="AD1250">
            <v>12522</v>
          </cell>
          <cell r="AE1250">
            <v>12893</v>
          </cell>
          <cell r="AF1250">
            <v>13399</v>
          </cell>
          <cell r="AG1250">
            <v>14050</v>
          </cell>
          <cell r="AH1250">
            <v>14866</v>
          </cell>
          <cell r="AI1250">
            <v>15984</v>
          </cell>
          <cell r="AJ1250">
            <v>9878</v>
          </cell>
        </row>
        <row r="1251">
          <cell r="E1251" t="str">
            <v>WV Transportation Jet Fuel, Kerosene</v>
          </cell>
          <cell r="F1251">
            <v>1189</v>
          </cell>
          <cell r="G1251">
            <v>875</v>
          </cell>
          <cell r="H1251">
            <v>1016</v>
          </cell>
          <cell r="I1251">
            <v>996</v>
          </cell>
          <cell r="J1251">
            <v>988</v>
          </cell>
          <cell r="K1251">
            <v>906</v>
          </cell>
          <cell r="L1251">
            <v>945</v>
          </cell>
          <cell r="M1251">
            <v>970</v>
          </cell>
          <cell r="N1251">
            <v>992</v>
          </cell>
          <cell r="O1251">
            <v>1045</v>
          </cell>
          <cell r="P1251">
            <v>1070</v>
          </cell>
          <cell r="Q1251">
            <v>1085</v>
          </cell>
          <cell r="R1251">
            <v>1412</v>
          </cell>
          <cell r="S1251">
            <v>1485</v>
          </cell>
          <cell r="T1251">
            <v>1431</v>
          </cell>
          <cell r="U1251">
            <v>1351</v>
          </cell>
          <cell r="V1251">
            <v>1312</v>
          </cell>
          <cell r="W1251">
            <v>1336</v>
          </cell>
          <cell r="X1251">
            <v>1286</v>
          </cell>
          <cell r="Y1251">
            <v>1125</v>
          </cell>
          <cell r="Z1251">
            <v>1327</v>
          </cell>
          <cell r="AA1251">
            <v>1426</v>
          </cell>
          <cell r="AB1251">
            <v>1389</v>
          </cell>
          <cell r="AC1251">
            <v>1183</v>
          </cell>
          <cell r="AD1251">
            <v>1117</v>
          </cell>
          <cell r="AE1251">
            <v>1240</v>
          </cell>
          <cell r="AF1251">
            <v>1279</v>
          </cell>
          <cell r="AG1251">
            <v>1296</v>
          </cell>
          <cell r="AH1251">
            <v>1114</v>
          </cell>
          <cell r="AI1251">
            <v>1173</v>
          </cell>
          <cell r="AJ1251">
            <v>877</v>
          </cell>
        </row>
        <row r="1252">
          <cell r="E1252" t="str">
            <v>WY Transportation Jet Fuel, Kerosene</v>
          </cell>
          <cell r="F1252">
            <v>619</v>
          </cell>
          <cell r="G1252">
            <v>580</v>
          </cell>
          <cell r="H1252">
            <v>583</v>
          </cell>
          <cell r="I1252">
            <v>614</v>
          </cell>
          <cell r="J1252">
            <v>620</v>
          </cell>
          <cell r="K1252">
            <v>600</v>
          </cell>
          <cell r="L1252">
            <v>807</v>
          </cell>
          <cell r="M1252">
            <v>684</v>
          </cell>
          <cell r="N1252">
            <v>657</v>
          </cell>
          <cell r="O1252">
            <v>989</v>
          </cell>
          <cell r="P1252">
            <v>1623</v>
          </cell>
          <cell r="Q1252">
            <v>1874</v>
          </cell>
          <cell r="R1252">
            <v>1189</v>
          </cell>
          <cell r="S1252">
            <v>941</v>
          </cell>
          <cell r="T1252">
            <v>1370</v>
          </cell>
          <cell r="U1252">
            <v>1154</v>
          </cell>
          <cell r="V1252">
            <v>1656</v>
          </cell>
          <cell r="W1252">
            <v>2143</v>
          </cell>
          <cell r="X1252">
            <v>2226</v>
          </cell>
          <cell r="Y1252">
            <v>2442</v>
          </cell>
          <cell r="Z1252">
            <v>2059</v>
          </cell>
          <cell r="AA1252">
            <v>2063</v>
          </cell>
          <cell r="AB1252">
            <v>1960</v>
          </cell>
          <cell r="AC1252">
            <v>1971</v>
          </cell>
          <cell r="AD1252">
            <v>1665</v>
          </cell>
          <cell r="AE1252">
            <v>1822</v>
          </cell>
          <cell r="AF1252">
            <v>1607</v>
          </cell>
          <cell r="AG1252">
            <v>1829</v>
          </cell>
          <cell r="AH1252">
            <v>1749</v>
          </cell>
          <cell r="AI1252">
            <v>1986</v>
          </cell>
          <cell r="AJ1252">
            <v>1695</v>
          </cell>
        </row>
        <row r="1253">
          <cell r="E1253" t="str">
            <v>AK Transportation Jet Fuel, Naphtha</v>
          </cell>
          <cell r="F1253">
            <v>9072</v>
          </cell>
          <cell r="G1253">
            <v>15906</v>
          </cell>
          <cell r="H1253">
            <v>9225</v>
          </cell>
          <cell r="I1253">
            <v>1082</v>
          </cell>
          <cell r="J1253">
            <v>218</v>
          </cell>
          <cell r="K1253">
            <v>293</v>
          </cell>
          <cell r="L1253">
            <v>101</v>
          </cell>
          <cell r="M1253">
            <v>46</v>
          </cell>
          <cell r="N1253">
            <v>-1812</v>
          </cell>
          <cell r="O1253">
            <v>-4081</v>
          </cell>
          <cell r="P1253">
            <v>-102</v>
          </cell>
          <cell r="Q1253">
            <v>-616</v>
          </cell>
          <cell r="R1253">
            <v>-13425</v>
          </cell>
          <cell r="S1253">
            <v>-894</v>
          </cell>
          <cell r="T1253">
            <v>91</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row>
        <row r="1254">
          <cell r="E1254" t="str">
            <v>AL Transportation Jet Fuel, Naphtha</v>
          </cell>
          <cell r="F1254">
            <v>3676</v>
          </cell>
          <cell r="G1254">
            <v>6082</v>
          </cell>
          <cell r="H1254">
            <v>4380</v>
          </cell>
          <cell r="I1254">
            <v>3607</v>
          </cell>
          <cell r="J1254">
            <v>1344</v>
          </cell>
          <cell r="K1254">
            <v>442</v>
          </cell>
          <cell r="L1254">
            <v>120</v>
          </cell>
          <cell r="M1254">
            <v>45</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row>
        <row r="1255">
          <cell r="E1255" t="str">
            <v>AR Transportation Jet Fuel, Naphtha</v>
          </cell>
          <cell r="F1255">
            <v>6007</v>
          </cell>
          <cell r="G1255">
            <v>7203</v>
          </cell>
          <cell r="H1255">
            <v>3844</v>
          </cell>
          <cell r="I1255">
            <v>3347</v>
          </cell>
          <cell r="J1255">
            <v>3312</v>
          </cell>
          <cell r="K1255">
            <v>281</v>
          </cell>
          <cell r="L1255">
            <v>64</v>
          </cell>
          <cell r="M1255">
            <v>20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row>
        <row r="1256">
          <cell r="E1256" t="str">
            <v>AZ Transportation Jet Fuel, Naphtha</v>
          </cell>
          <cell r="F1256">
            <v>15252</v>
          </cell>
          <cell r="G1256">
            <v>16039</v>
          </cell>
          <cell r="H1256">
            <v>11768</v>
          </cell>
          <cell r="I1256">
            <v>8635</v>
          </cell>
          <cell r="J1256">
            <v>511</v>
          </cell>
          <cell r="K1256">
            <v>176</v>
          </cell>
          <cell r="L1256">
            <v>52</v>
          </cell>
          <cell r="M1256">
            <v>21</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row>
        <row r="1257">
          <cell r="E1257" t="str">
            <v>CA Transportation Jet Fuel, Naphtha</v>
          </cell>
          <cell r="F1257">
            <v>58767</v>
          </cell>
          <cell r="G1257">
            <v>43447</v>
          </cell>
          <cell r="H1257">
            <v>33515</v>
          </cell>
          <cell r="I1257">
            <v>21819</v>
          </cell>
          <cell r="J1257">
            <v>325</v>
          </cell>
          <cell r="K1257">
            <v>428</v>
          </cell>
          <cell r="L1257">
            <v>122</v>
          </cell>
          <cell r="M1257">
            <v>48</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row>
        <row r="1258">
          <cell r="E1258" t="str">
            <v>CO Transportation Jet Fuel, Naphtha</v>
          </cell>
          <cell r="F1258">
            <v>1498</v>
          </cell>
          <cell r="G1258">
            <v>679</v>
          </cell>
          <cell r="H1258">
            <v>1850</v>
          </cell>
          <cell r="I1258">
            <v>1713</v>
          </cell>
          <cell r="J1258">
            <v>1581</v>
          </cell>
          <cell r="K1258">
            <v>1919</v>
          </cell>
          <cell r="L1258">
            <v>306</v>
          </cell>
          <cell r="M1258">
            <v>31</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row>
        <row r="1259">
          <cell r="E1259" t="str">
            <v>CT Transportation Jet Fuel, Naphtha</v>
          </cell>
          <cell r="F1259">
            <v>509</v>
          </cell>
          <cell r="G1259">
            <v>856</v>
          </cell>
          <cell r="H1259">
            <v>593</v>
          </cell>
          <cell r="I1259">
            <v>410</v>
          </cell>
          <cell r="J1259">
            <v>155</v>
          </cell>
          <cell r="K1259">
            <v>43</v>
          </cell>
          <cell r="L1259">
            <v>9</v>
          </cell>
          <cell r="M1259">
            <v>2</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row>
        <row r="1260">
          <cell r="E1260" t="str">
            <v>DC Transportation Jet Fuel, Naphtha</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row>
        <row r="1261">
          <cell r="E1261" t="str">
            <v>DE Transportation Jet Fuel, Naphtha</v>
          </cell>
          <cell r="F1261">
            <v>6528</v>
          </cell>
          <cell r="G1261">
            <v>12348</v>
          </cell>
          <cell r="H1261">
            <v>7325</v>
          </cell>
          <cell r="I1261">
            <v>7269</v>
          </cell>
          <cell r="J1261">
            <v>2699</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row>
        <row r="1262">
          <cell r="E1262" t="str">
            <v>FL Transportation Jet Fuel, Naphtha</v>
          </cell>
          <cell r="F1262">
            <v>28085</v>
          </cell>
          <cell r="G1262">
            <v>20894</v>
          </cell>
          <cell r="H1262">
            <v>17643</v>
          </cell>
          <cell r="I1262">
            <v>12748</v>
          </cell>
          <cell r="J1262">
            <v>4068</v>
          </cell>
          <cell r="K1262">
            <v>453</v>
          </cell>
          <cell r="L1262">
            <v>131</v>
          </cell>
          <cell r="M1262">
            <v>52</v>
          </cell>
          <cell r="N1262">
            <v>-27</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row>
        <row r="1263">
          <cell r="E1263" t="str">
            <v>GA Transportation Jet Fuel, Naphtha</v>
          </cell>
          <cell r="F1263">
            <v>6396</v>
          </cell>
          <cell r="G1263">
            <v>6597</v>
          </cell>
          <cell r="H1263">
            <v>8032</v>
          </cell>
          <cell r="I1263">
            <v>6775</v>
          </cell>
          <cell r="J1263">
            <v>2332</v>
          </cell>
          <cell r="K1263">
            <v>200</v>
          </cell>
          <cell r="L1263">
            <v>55</v>
          </cell>
          <cell r="M1263">
            <v>21</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row>
        <row r="1264">
          <cell r="E1264" t="str">
            <v>HI Transportation Jet Fuel, Naphtha</v>
          </cell>
          <cell r="F1264">
            <v>11085</v>
          </cell>
          <cell r="G1264">
            <v>8721</v>
          </cell>
          <cell r="H1264">
            <v>2695</v>
          </cell>
          <cell r="I1264">
            <v>41</v>
          </cell>
          <cell r="J1264">
            <v>51</v>
          </cell>
          <cell r="K1264">
            <v>74</v>
          </cell>
          <cell r="L1264">
            <v>22</v>
          </cell>
          <cell r="M1264">
            <v>9</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row>
        <row r="1265">
          <cell r="E1265" t="str">
            <v>IA Transportation Jet Fuel, Naphtha</v>
          </cell>
          <cell r="F1265">
            <v>532</v>
          </cell>
          <cell r="G1265">
            <v>781</v>
          </cell>
          <cell r="H1265">
            <v>592</v>
          </cell>
          <cell r="I1265">
            <v>567</v>
          </cell>
          <cell r="J1265">
            <v>558</v>
          </cell>
          <cell r="K1265">
            <v>10</v>
          </cell>
          <cell r="L1265">
            <v>2</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row>
        <row r="1266">
          <cell r="E1266" t="str">
            <v>ID Transportation Jet Fuel, Naphtha</v>
          </cell>
          <cell r="F1266">
            <v>3456</v>
          </cell>
          <cell r="G1266">
            <v>2869</v>
          </cell>
          <cell r="H1266">
            <v>2937</v>
          </cell>
          <cell r="I1266">
            <v>3157</v>
          </cell>
          <cell r="J1266">
            <v>3349</v>
          </cell>
          <cell r="K1266">
            <v>4755</v>
          </cell>
          <cell r="L1266">
            <v>666</v>
          </cell>
          <cell r="M1266">
            <v>7</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row>
        <row r="1267">
          <cell r="E1267" t="str">
            <v>IL Transportation Jet Fuel, Naphtha</v>
          </cell>
          <cell r="F1267">
            <v>2513</v>
          </cell>
          <cell r="G1267">
            <v>2675</v>
          </cell>
          <cell r="H1267">
            <v>2389</v>
          </cell>
          <cell r="I1267">
            <v>2321</v>
          </cell>
          <cell r="J1267">
            <v>1734</v>
          </cell>
          <cell r="K1267">
            <v>96</v>
          </cell>
          <cell r="L1267">
            <v>24</v>
          </cell>
          <cell r="M1267">
            <v>8</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row>
        <row r="1268">
          <cell r="E1268" t="str">
            <v>IN Transportation Jet Fuel, Naphtha</v>
          </cell>
          <cell r="F1268">
            <v>2874</v>
          </cell>
          <cell r="G1268">
            <v>3571</v>
          </cell>
          <cell r="H1268">
            <v>3221</v>
          </cell>
          <cell r="I1268">
            <v>2232</v>
          </cell>
          <cell r="J1268">
            <v>1641</v>
          </cell>
          <cell r="K1268">
            <v>93</v>
          </cell>
          <cell r="L1268">
            <v>23</v>
          </cell>
          <cell r="M1268">
            <v>8</v>
          </cell>
          <cell r="N1268">
            <v>-6</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row>
        <row r="1269">
          <cell r="E1269" t="str">
            <v>KS Transportation Jet Fuel, Naphtha</v>
          </cell>
          <cell r="F1269">
            <v>4510</v>
          </cell>
          <cell r="G1269">
            <v>6341</v>
          </cell>
          <cell r="H1269">
            <v>7036</v>
          </cell>
          <cell r="I1269">
            <v>4784</v>
          </cell>
          <cell r="J1269">
            <v>3679</v>
          </cell>
          <cell r="K1269">
            <v>178</v>
          </cell>
          <cell r="L1269">
            <v>48</v>
          </cell>
          <cell r="M1269">
            <v>18</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row>
        <row r="1270">
          <cell r="E1270" t="str">
            <v>KY Transportation Jet Fuel, Naphtha</v>
          </cell>
          <cell r="F1270">
            <v>1211</v>
          </cell>
          <cell r="G1270">
            <v>1039</v>
          </cell>
          <cell r="H1270">
            <v>1320</v>
          </cell>
          <cell r="I1270">
            <v>1293</v>
          </cell>
          <cell r="J1270">
            <v>1088</v>
          </cell>
          <cell r="K1270">
            <v>368</v>
          </cell>
          <cell r="L1270">
            <v>106</v>
          </cell>
          <cell r="M1270">
            <v>42</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row>
        <row r="1271">
          <cell r="E1271" t="str">
            <v>LA Transportation Jet Fuel, Naphtha</v>
          </cell>
          <cell r="F1271">
            <v>11051</v>
          </cell>
          <cell r="G1271">
            <v>9930</v>
          </cell>
          <cell r="H1271">
            <v>9123</v>
          </cell>
          <cell r="I1271">
            <v>7525</v>
          </cell>
          <cell r="J1271">
            <v>2625</v>
          </cell>
          <cell r="K1271">
            <v>757</v>
          </cell>
          <cell r="L1271">
            <v>205</v>
          </cell>
          <cell r="M1271">
            <v>77</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row>
        <row r="1272">
          <cell r="E1272" t="str">
            <v>MA Transportation Jet Fuel, Naphtha</v>
          </cell>
          <cell r="F1272">
            <v>2376</v>
          </cell>
          <cell r="G1272">
            <v>7472</v>
          </cell>
          <cell r="H1272">
            <v>2600</v>
          </cell>
          <cell r="I1272">
            <v>2146</v>
          </cell>
          <cell r="J1272">
            <v>647</v>
          </cell>
          <cell r="K1272">
            <v>65</v>
          </cell>
          <cell r="L1272">
            <v>25</v>
          </cell>
          <cell r="M1272">
            <v>12</v>
          </cell>
          <cell r="N1272">
            <v>-2</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row>
        <row r="1273">
          <cell r="E1273" t="str">
            <v>MD Transportation Jet Fuel, Naphtha</v>
          </cell>
          <cell r="F1273">
            <v>5587</v>
          </cell>
          <cell r="G1273">
            <v>4955</v>
          </cell>
          <cell r="H1273">
            <v>4247</v>
          </cell>
          <cell r="I1273">
            <v>3543</v>
          </cell>
          <cell r="J1273">
            <v>994</v>
          </cell>
          <cell r="K1273">
            <v>24</v>
          </cell>
          <cell r="L1273">
            <v>6</v>
          </cell>
          <cell r="M1273">
            <v>2</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row>
        <row r="1274">
          <cell r="E1274" t="str">
            <v>ME Transportation Jet Fuel, Naphtha</v>
          </cell>
          <cell r="F1274">
            <v>5404</v>
          </cell>
          <cell r="G1274">
            <v>5142</v>
          </cell>
          <cell r="H1274">
            <v>4278</v>
          </cell>
          <cell r="I1274">
            <v>2853</v>
          </cell>
          <cell r="J1274">
            <v>408</v>
          </cell>
          <cell r="K1274">
            <v>135</v>
          </cell>
          <cell r="L1274">
            <v>38</v>
          </cell>
          <cell r="M1274">
            <v>15</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row>
        <row r="1275">
          <cell r="E1275" t="str">
            <v>MI Transportation Jet Fuel, Naphtha</v>
          </cell>
          <cell r="F1275">
            <v>7640</v>
          </cell>
          <cell r="G1275">
            <v>9785</v>
          </cell>
          <cell r="H1275">
            <v>6951</v>
          </cell>
          <cell r="I1275">
            <v>4792</v>
          </cell>
          <cell r="J1275">
            <v>2343</v>
          </cell>
          <cell r="K1275">
            <v>85</v>
          </cell>
          <cell r="L1275">
            <v>21</v>
          </cell>
          <cell r="M1275">
            <v>7</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row>
        <row r="1276">
          <cell r="E1276" t="str">
            <v>MN Transportation Jet Fuel, Naphtha</v>
          </cell>
          <cell r="F1276">
            <v>729</v>
          </cell>
          <cell r="G1276">
            <v>1034</v>
          </cell>
          <cell r="H1276">
            <v>816</v>
          </cell>
          <cell r="I1276">
            <v>799</v>
          </cell>
          <cell r="J1276">
            <v>640</v>
          </cell>
          <cell r="K1276">
            <v>35</v>
          </cell>
          <cell r="L1276">
            <v>11</v>
          </cell>
          <cell r="M1276">
            <v>5</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row>
        <row r="1277">
          <cell r="E1277" t="str">
            <v>MO Transportation Jet Fuel, Naphtha</v>
          </cell>
          <cell r="F1277">
            <v>1076</v>
          </cell>
          <cell r="G1277">
            <v>1430</v>
          </cell>
          <cell r="H1277">
            <v>1171</v>
          </cell>
          <cell r="I1277">
            <v>1010</v>
          </cell>
          <cell r="J1277">
            <v>751</v>
          </cell>
          <cell r="K1277">
            <v>155</v>
          </cell>
          <cell r="L1277">
            <v>39</v>
          </cell>
          <cell r="M1277">
            <v>14</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row>
        <row r="1278">
          <cell r="E1278" t="str">
            <v>MS Transportation Jet Fuel, Naphtha</v>
          </cell>
          <cell r="F1278">
            <v>4915</v>
          </cell>
          <cell r="G1278">
            <v>5437</v>
          </cell>
          <cell r="H1278">
            <v>3699</v>
          </cell>
          <cell r="I1278">
            <v>3573</v>
          </cell>
          <cell r="J1278">
            <v>1348</v>
          </cell>
          <cell r="K1278">
            <v>242</v>
          </cell>
          <cell r="L1278">
            <v>65</v>
          </cell>
          <cell r="M1278">
            <v>24</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row>
        <row r="1279">
          <cell r="E1279" t="str">
            <v>MT Transportation Jet Fuel, Naphtha</v>
          </cell>
          <cell r="F1279">
            <v>756</v>
          </cell>
          <cell r="G1279">
            <v>181</v>
          </cell>
          <cell r="H1279">
            <v>1531</v>
          </cell>
          <cell r="I1279">
            <v>1356</v>
          </cell>
          <cell r="J1279">
            <v>1258</v>
          </cell>
          <cell r="K1279">
            <v>1405</v>
          </cell>
          <cell r="L1279">
            <v>212</v>
          </cell>
          <cell r="M1279">
            <v>14</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row>
        <row r="1280">
          <cell r="E1280" t="str">
            <v>NC Transportation Jet Fuel, Naphtha</v>
          </cell>
          <cell r="F1280">
            <v>12709</v>
          </cell>
          <cell r="G1280">
            <v>9522</v>
          </cell>
          <cell r="H1280">
            <v>10079</v>
          </cell>
          <cell r="I1280">
            <v>9085</v>
          </cell>
          <cell r="J1280">
            <v>3215</v>
          </cell>
          <cell r="K1280">
            <v>105</v>
          </cell>
          <cell r="L1280">
            <v>33</v>
          </cell>
          <cell r="M1280">
            <v>14</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row>
        <row r="1281">
          <cell r="E1281" t="str">
            <v>ND Transportation Jet Fuel, Naphtha</v>
          </cell>
          <cell r="F1281">
            <v>5079</v>
          </cell>
          <cell r="G1281">
            <v>4043</v>
          </cell>
          <cell r="H1281">
            <v>6261</v>
          </cell>
          <cell r="I1281">
            <v>5460</v>
          </cell>
          <cell r="J1281">
            <v>3221</v>
          </cell>
          <cell r="K1281">
            <v>358</v>
          </cell>
          <cell r="L1281">
            <v>55</v>
          </cell>
          <cell r="M1281">
            <v>4</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row>
        <row r="1282">
          <cell r="E1282" t="str">
            <v>NE Transportation Jet Fuel, Naphtha</v>
          </cell>
          <cell r="F1282">
            <v>3777</v>
          </cell>
          <cell r="G1282">
            <v>2723</v>
          </cell>
          <cell r="H1282">
            <v>2871</v>
          </cell>
          <cell r="I1282">
            <v>2409</v>
          </cell>
          <cell r="J1282">
            <v>1877</v>
          </cell>
          <cell r="K1282">
            <v>30</v>
          </cell>
          <cell r="L1282">
            <v>10</v>
          </cell>
          <cell r="M1282">
            <v>4</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row>
        <row r="1283">
          <cell r="E1283" t="str">
            <v>NH Transportation Jet Fuel, Naphtha</v>
          </cell>
          <cell r="F1283">
            <v>1969</v>
          </cell>
          <cell r="G1283">
            <v>970</v>
          </cell>
          <cell r="H1283">
            <v>650</v>
          </cell>
          <cell r="I1283">
            <v>683</v>
          </cell>
          <cell r="J1283">
            <v>322</v>
          </cell>
          <cell r="K1283">
            <v>32</v>
          </cell>
          <cell r="L1283">
            <v>12</v>
          </cell>
          <cell r="M1283">
            <v>6</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row>
        <row r="1284">
          <cell r="E1284" t="str">
            <v>NJ Transportation Jet Fuel, Naphtha</v>
          </cell>
          <cell r="F1284">
            <v>5987</v>
          </cell>
          <cell r="G1284">
            <v>16503</v>
          </cell>
          <cell r="H1284">
            <v>6652</v>
          </cell>
          <cell r="I1284">
            <v>5260</v>
          </cell>
          <cell r="J1284">
            <v>1571</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row>
        <row r="1285">
          <cell r="E1285" t="str">
            <v>NM Transportation Jet Fuel, Naphtha</v>
          </cell>
          <cell r="F1285">
            <v>8725</v>
          </cell>
          <cell r="G1285">
            <v>6037</v>
          </cell>
          <cell r="H1285">
            <v>8112</v>
          </cell>
          <cell r="I1285">
            <v>7082</v>
          </cell>
          <cell r="J1285">
            <v>118</v>
          </cell>
          <cell r="K1285">
            <v>298</v>
          </cell>
          <cell r="L1285">
            <v>61</v>
          </cell>
          <cell r="M1285">
            <v>16</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row>
        <row r="1286">
          <cell r="E1286" t="str">
            <v>NV Transportation Jet Fuel, Naphtha</v>
          </cell>
          <cell r="F1286">
            <v>10992</v>
          </cell>
          <cell r="G1286">
            <v>11340</v>
          </cell>
          <cell r="H1286">
            <v>9150</v>
          </cell>
          <cell r="I1286">
            <v>6939</v>
          </cell>
          <cell r="J1286">
            <v>153</v>
          </cell>
          <cell r="K1286">
            <v>253</v>
          </cell>
          <cell r="L1286">
            <v>67</v>
          </cell>
          <cell r="M1286">
            <v>25</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row>
        <row r="1287">
          <cell r="E1287" t="str">
            <v>NY Transportation Jet Fuel, Naphtha</v>
          </cell>
          <cell r="F1287">
            <v>7676</v>
          </cell>
          <cell r="G1287">
            <v>8455</v>
          </cell>
          <cell r="H1287">
            <v>8197</v>
          </cell>
          <cell r="I1287">
            <v>6589</v>
          </cell>
          <cell r="J1287">
            <v>2802</v>
          </cell>
          <cell r="K1287">
            <v>219</v>
          </cell>
          <cell r="L1287">
            <v>47</v>
          </cell>
          <cell r="M1287">
            <v>12</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row>
        <row r="1288">
          <cell r="E1288" t="str">
            <v>OH Transportation Jet Fuel, Naphtha</v>
          </cell>
          <cell r="F1288">
            <v>3437</v>
          </cell>
          <cell r="G1288">
            <v>2493</v>
          </cell>
          <cell r="H1288">
            <v>3577</v>
          </cell>
          <cell r="I1288">
            <v>3100</v>
          </cell>
          <cell r="J1288">
            <v>2685</v>
          </cell>
          <cell r="K1288">
            <v>273</v>
          </cell>
          <cell r="L1288">
            <v>46</v>
          </cell>
          <cell r="M1288">
            <v>6</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row>
        <row r="1289">
          <cell r="E1289" t="str">
            <v>OK Transportation Jet Fuel, Naphtha</v>
          </cell>
          <cell r="F1289">
            <v>10435</v>
          </cell>
          <cell r="G1289">
            <v>14744</v>
          </cell>
          <cell r="H1289">
            <v>11292</v>
          </cell>
          <cell r="I1289">
            <v>10315</v>
          </cell>
          <cell r="J1289">
            <v>9328</v>
          </cell>
          <cell r="K1289">
            <v>1153</v>
          </cell>
          <cell r="L1289">
            <v>290</v>
          </cell>
          <cell r="M1289">
            <v>100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row>
        <row r="1290">
          <cell r="E1290" t="str">
            <v>OR Transportation Jet Fuel, Naphtha</v>
          </cell>
          <cell r="F1290">
            <v>1129</v>
          </cell>
          <cell r="G1290">
            <v>1555</v>
          </cell>
          <cell r="H1290">
            <v>1354</v>
          </cell>
          <cell r="I1290">
            <v>1001</v>
          </cell>
          <cell r="J1290">
            <v>62</v>
          </cell>
          <cell r="K1290">
            <v>48</v>
          </cell>
          <cell r="L1290">
            <v>19</v>
          </cell>
          <cell r="M1290">
            <v>10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row>
        <row r="1291">
          <cell r="E1291" t="str">
            <v>PA Transportation Jet Fuel, Naphtha</v>
          </cell>
          <cell r="F1291">
            <v>1956</v>
          </cell>
          <cell r="G1291">
            <v>1678</v>
          </cell>
          <cell r="H1291">
            <v>1730</v>
          </cell>
          <cell r="I1291">
            <v>2498</v>
          </cell>
          <cell r="J1291">
            <v>1484</v>
          </cell>
          <cell r="K1291">
            <v>79</v>
          </cell>
          <cell r="L1291">
            <v>21</v>
          </cell>
          <cell r="M1291">
            <v>8</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row>
        <row r="1292">
          <cell r="E1292" t="str">
            <v>RI Transportation Jet Fuel, Naphtha</v>
          </cell>
          <cell r="F1292">
            <v>243</v>
          </cell>
          <cell r="G1292">
            <v>285</v>
          </cell>
          <cell r="H1292">
            <v>244</v>
          </cell>
          <cell r="I1292">
            <v>227</v>
          </cell>
          <cell r="J1292">
            <v>73</v>
          </cell>
          <cell r="K1292">
            <v>35</v>
          </cell>
          <cell r="L1292">
            <v>9</v>
          </cell>
          <cell r="M1292">
            <v>3</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row>
        <row r="1293">
          <cell r="E1293" t="str">
            <v>SC Transportation Jet Fuel, Naphtha</v>
          </cell>
          <cell r="F1293">
            <v>10460</v>
          </cell>
          <cell r="G1293">
            <v>13753</v>
          </cell>
          <cell r="H1293">
            <v>9495</v>
          </cell>
          <cell r="I1293">
            <v>6731</v>
          </cell>
          <cell r="J1293">
            <v>2321</v>
          </cell>
          <cell r="K1293">
            <v>181</v>
          </cell>
          <cell r="L1293">
            <v>46</v>
          </cell>
          <cell r="M1293">
            <v>16</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row>
        <row r="1294">
          <cell r="E1294" t="str">
            <v>SD Transportation Jet Fuel, Naphtha</v>
          </cell>
          <cell r="F1294">
            <v>4900</v>
          </cell>
          <cell r="G1294">
            <v>1182</v>
          </cell>
          <cell r="H1294">
            <v>5766</v>
          </cell>
          <cell r="I1294">
            <v>5182</v>
          </cell>
          <cell r="J1294">
            <v>5648</v>
          </cell>
          <cell r="K1294">
            <v>6008</v>
          </cell>
          <cell r="L1294">
            <v>835</v>
          </cell>
          <cell r="M1294">
            <v>3</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row>
        <row r="1295">
          <cell r="E1295" t="str">
            <v>TN Transportation Jet Fuel, Naphtha</v>
          </cell>
          <cell r="F1295">
            <v>1568</v>
          </cell>
          <cell r="G1295">
            <v>1447</v>
          </cell>
          <cell r="H1295">
            <v>1367</v>
          </cell>
          <cell r="I1295">
            <v>1392</v>
          </cell>
          <cell r="J1295">
            <v>857</v>
          </cell>
          <cell r="K1295">
            <v>396</v>
          </cell>
          <cell r="L1295">
            <v>116</v>
          </cell>
          <cell r="M1295">
            <v>47</v>
          </cell>
          <cell r="N1295">
            <v>-6</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row>
        <row r="1296">
          <cell r="E1296" t="str">
            <v>TX Transportation Jet Fuel, Naphtha</v>
          </cell>
          <cell r="F1296">
            <v>27758</v>
          </cell>
          <cell r="G1296">
            <v>22230</v>
          </cell>
          <cell r="H1296">
            <v>23200</v>
          </cell>
          <cell r="I1296">
            <v>17715</v>
          </cell>
          <cell r="J1296">
            <v>6920</v>
          </cell>
          <cell r="K1296">
            <v>2455</v>
          </cell>
          <cell r="L1296">
            <v>706</v>
          </cell>
          <cell r="M1296">
            <v>280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row>
        <row r="1297">
          <cell r="E1297" t="str">
            <v>US Transportation Jet Fuel, Naphtha</v>
          </cell>
          <cell r="F1297">
            <v>355642</v>
          </cell>
          <cell r="G1297">
            <v>343673</v>
          </cell>
          <cell r="H1297">
            <v>282996</v>
          </cell>
          <cell r="I1297">
            <v>218704</v>
          </cell>
          <cell r="J1297">
            <v>91945</v>
          </cell>
          <cell r="K1297">
            <v>33517</v>
          </cell>
          <cell r="L1297">
            <v>6153</v>
          </cell>
          <cell r="M1297">
            <v>1162</v>
          </cell>
          <cell r="N1297">
            <v>-1853</v>
          </cell>
          <cell r="O1297">
            <v>-4081</v>
          </cell>
          <cell r="P1297">
            <v>-102</v>
          </cell>
          <cell r="Q1297">
            <v>-616</v>
          </cell>
          <cell r="R1297">
            <v>-13425</v>
          </cell>
          <cell r="S1297">
            <v>-894</v>
          </cell>
          <cell r="T1297">
            <v>91</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row>
        <row r="1298">
          <cell r="E1298" t="str">
            <v>UT Transportation Jet Fuel, Naphtha</v>
          </cell>
          <cell r="F1298">
            <v>3416</v>
          </cell>
          <cell r="G1298">
            <v>5642</v>
          </cell>
          <cell r="H1298">
            <v>5119</v>
          </cell>
          <cell r="I1298">
            <v>3763</v>
          </cell>
          <cell r="J1298">
            <v>3328</v>
          </cell>
          <cell r="K1298">
            <v>3916</v>
          </cell>
          <cell r="L1298">
            <v>549</v>
          </cell>
          <cell r="M1298">
            <v>6</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row>
        <row r="1299">
          <cell r="E1299" t="str">
            <v>VA Transportation Jet Fuel, Naphtha</v>
          </cell>
          <cell r="F1299">
            <v>18565</v>
          </cell>
          <cell r="G1299">
            <v>5618</v>
          </cell>
          <cell r="H1299">
            <v>4514</v>
          </cell>
          <cell r="I1299">
            <v>4576</v>
          </cell>
          <cell r="J1299">
            <v>1683</v>
          </cell>
          <cell r="K1299">
            <v>137</v>
          </cell>
          <cell r="L1299">
            <v>35</v>
          </cell>
          <cell r="M1299">
            <v>12</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row>
        <row r="1300">
          <cell r="E1300" t="str">
            <v>VT Transportation Jet Fuel, Naphtha</v>
          </cell>
          <cell r="F1300">
            <v>270</v>
          </cell>
          <cell r="G1300">
            <v>382</v>
          </cell>
          <cell r="H1300">
            <v>284</v>
          </cell>
          <cell r="I1300">
            <v>284</v>
          </cell>
          <cell r="J1300">
            <v>65</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row>
        <row r="1301">
          <cell r="E1301" t="str">
            <v>WA Transportation Jet Fuel, Naphtha</v>
          </cell>
          <cell r="F1301">
            <v>11305</v>
          </cell>
          <cell r="G1301">
            <v>9471</v>
          </cell>
          <cell r="H1301">
            <v>8375</v>
          </cell>
          <cell r="I1301">
            <v>7234</v>
          </cell>
          <cell r="J1301">
            <v>2978</v>
          </cell>
          <cell r="K1301">
            <v>4416</v>
          </cell>
          <cell r="L1301">
            <v>645</v>
          </cell>
          <cell r="M1301">
            <v>26</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row>
        <row r="1302">
          <cell r="E1302" t="str">
            <v>WI Transportation Jet Fuel, Naphtha</v>
          </cell>
          <cell r="F1302">
            <v>1264</v>
          </cell>
          <cell r="G1302">
            <v>1651</v>
          </cell>
          <cell r="H1302">
            <v>1167</v>
          </cell>
          <cell r="I1302">
            <v>1178</v>
          </cell>
          <cell r="J1302">
            <v>1075</v>
          </cell>
          <cell r="K1302">
            <v>45</v>
          </cell>
          <cell r="L1302">
            <v>13</v>
          </cell>
          <cell r="M1302">
            <v>5</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row>
        <row r="1303">
          <cell r="E1303" t="str">
            <v>WV Transportation Jet Fuel, Naphtha</v>
          </cell>
          <cell r="F1303">
            <v>338</v>
          </cell>
          <cell r="G1303">
            <v>442</v>
          </cell>
          <cell r="H1303">
            <v>493</v>
          </cell>
          <cell r="I1303">
            <v>435</v>
          </cell>
          <cell r="J1303">
            <v>272</v>
          </cell>
          <cell r="K1303">
            <v>78</v>
          </cell>
          <cell r="L1303">
            <v>19</v>
          </cell>
          <cell r="M1303">
            <v>7</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row>
        <row r="1304">
          <cell r="E1304" t="str">
            <v>WY Transportation Jet Fuel, Naphtha</v>
          </cell>
          <cell r="F1304">
            <v>179</v>
          </cell>
          <cell r="G1304">
            <v>91</v>
          </cell>
          <cell r="H1304">
            <v>268</v>
          </cell>
          <cell r="I1304">
            <v>169</v>
          </cell>
          <cell r="J1304">
            <v>228</v>
          </cell>
          <cell r="K1304">
            <v>289</v>
          </cell>
          <cell r="L1304">
            <v>45</v>
          </cell>
          <cell r="M1304">
            <v>4</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row>
        <row r="1305">
          <cell r="E1305" t="str">
            <v>AK Commercial Kerosene</v>
          </cell>
          <cell r="F1305">
            <v>1</v>
          </cell>
          <cell r="G1305">
            <v>1</v>
          </cell>
          <cell r="H1305">
            <v>1</v>
          </cell>
          <cell r="I1305">
            <v>1</v>
          </cell>
          <cell r="J1305">
            <v>1</v>
          </cell>
          <cell r="K1305">
            <v>3</v>
          </cell>
          <cell r="L1305">
            <v>1</v>
          </cell>
          <cell r="M1305">
            <v>2</v>
          </cell>
          <cell r="N1305">
            <v>2</v>
          </cell>
          <cell r="O1305">
            <v>3</v>
          </cell>
          <cell r="P1305">
            <v>2</v>
          </cell>
          <cell r="Q1305">
            <v>3</v>
          </cell>
          <cell r="R1305">
            <v>1</v>
          </cell>
          <cell r="S1305">
            <v>2</v>
          </cell>
          <cell r="T1305">
            <v>3</v>
          </cell>
          <cell r="U1305">
            <v>5</v>
          </cell>
          <cell r="V1305">
            <v>1047</v>
          </cell>
          <cell r="W1305">
            <v>603</v>
          </cell>
          <cell r="X1305">
            <v>536</v>
          </cell>
          <cell r="Y1305">
            <v>67</v>
          </cell>
          <cell r="Z1305">
            <v>92</v>
          </cell>
          <cell r="AA1305">
            <v>104</v>
          </cell>
          <cell r="AB1305">
            <v>79</v>
          </cell>
          <cell r="AC1305">
            <v>27</v>
          </cell>
          <cell r="AD1305">
            <v>16</v>
          </cell>
          <cell r="AE1305">
            <v>17</v>
          </cell>
          <cell r="AF1305">
            <v>21</v>
          </cell>
          <cell r="AG1305">
            <v>0</v>
          </cell>
          <cell r="AH1305">
            <v>0</v>
          </cell>
          <cell r="AI1305">
            <v>0</v>
          </cell>
          <cell r="AJ1305">
            <v>0</v>
          </cell>
        </row>
        <row r="1306">
          <cell r="E1306" t="str">
            <v>AL Commercial Kerosene</v>
          </cell>
          <cell r="F1306">
            <v>62</v>
          </cell>
          <cell r="G1306">
            <v>85</v>
          </cell>
          <cell r="H1306">
            <v>99</v>
          </cell>
          <cell r="I1306">
            <v>76</v>
          </cell>
          <cell r="J1306">
            <v>61</v>
          </cell>
          <cell r="K1306">
            <v>54</v>
          </cell>
          <cell r="L1306">
            <v>53</v>
          </cell>
          <cell r="M1306">
            <v>50</v>
          </cell>
          <cell r="N1306">
            <v>119</v>
          </cell>
          <cell r="O1306">
            <v>32</v>
          </cell>
          <cell r="P1306">
            <v>52</v>
          </cell>
          <cell r="Q1306">
            <v>145</v>
          </cell>
          <cell r="R1306">
            <v>93</v>
          </cell>
          <cell r="S1306">
            <v>138</v>
          </cell>
          <cell r="T1306">
            <v>145</v>
          </cell>
          <cell r="U1306">
            <v>102</v>
          </cell>
          <cell r="V1306">
            <v>57</v>
          </cell>
          <cell r="W1306">
            <v>27</v>
          </cell>
          <cell r="X1306">
            <v>13</v>
          </cell>
          <cell r="Y1306">
            <v>8</v>
          </cell>
          <cell r="Z1306">
            <v>12</v>
          </cell>
          <cell r="AA1306">
            <v>13</v>
          </cell>
          <cell r="AB1306">
            <v>5</v>
          </cell>
          <cell r="AC1306">
            <v>14</v>
          </cell>
          <cell r="AD1306">
            <v>17</v>
          </cell>
          <cell r="AE1306">
            <v>13</v>
          </cell>
          <cell r="AF1306">
            <v>14</v>
          </cell>
          <cell r="AG1306">
            <v>5</v>
          </cell>
          <cell r="AH1306">
            <v>12</v>
          </cell>
          <cell r="AI1306">
            <v>14</v>
          </cell>
          <cell r="AJ1306">
            <v>15</v>
          </cell>
        </row>
        <row r="1307">
          <cell r="E1307" t="str">
            <v>AR Commercial Kerosene</v>
          </cell>
          <cell r="F1307">
            <v>8</v>
          </cell>
          <cell r="G1307">
            <v>11</v>
          </cell>
          <cell r="H1307">
            <v>29</v>
          </cell>
          <cell r="I1307">
            <v>29</v>
          </cell>
          <cell r="J1307">
            <v>24</v>
          </cell>
          <cell r="K1307">
            <v>26</v>
          </cell>
          <cell r="L1307">
            <v>30</v>
          </cell>
          <cell r="M1307">
            <v>30</v>
          </cell>
          <cell r="N1307">
            <v>39</v>
          </cell>
          <cell r="O1307">
            <v>22</v>
          </cell>
          <cell r="P1307">
            <v>25</v>
          </cell>
          <cell r="Q1307">
            <v>53</v>
          </cell>
          <cell r="R1307">
            <v>23</v>
          </cell>
          <cell r="S1307">
            <v>18</v>
          </cell>
          <cell r="T1307">
            <v>94</v>
          </cell>
          <cell r="U1307">
            <v>115</v>
          </cell>
          <cell r="V1307">
            <v>67</v>
          </cell>
          <cell r="W1307">
            <v>50</v>
          </cell>
          <cell r="X1307">
            <v>49</v>
          </cell>
          <cell r="Y1307">
            <v>1</v>
          </cell>
          <cell r="Z1307">
            <v>6</v>
          </cell>
          <cell r="AA1307">
            <v>1</v>
          </cell>
          <cell r="AB1307">
            <v>0</v>
          </cell>
          <cell r="AC1307">
            <v>1</v>
          </cell>
          <cell r="AD1307">
            <v>2</v>
          </cell>
          <cell r="AE1307">
            <v>5</v>
          </cell>
          <cell r="AF1307">
            <v>5</v>
          </cell>
          <cell r="AG1307">
            <v>5</v>
          </cell>
          <cell r="AH1307">
            <v>14</v>
          </cell>
          <cell r="AI1307">
            <v>16</v>
          </cell>
          <cell r="AJ1307">
            <v>11</v>
          </cell>
        </row>
        <row r="1308">
          <cell r="E1308" t="str">
            <v>AZ Commercial Kerosene</v>
          </cell>
          <cell r="F1308">
            <v>14</v>
          </cell>
          <cell r="G1308">
            <v>11</v>
          </cell>
          <cell r="H1308">
            <v>4</v>
          </cell>
          <cell r="I1308">
            <v>7</v>
          </cell>
          <cell r="J1308">
            <v>5</v>
          </cell>
          <cell r="K1308">
            <v>7</v>
          </cell>
          <cell r="L1308">
            <v>14</v>
          </cell>
          <cell r="M1308">
            <v>22</v>
          </cell>
          <cell r="N1308">
            <v>8</v>
          </cell>
          <cell r="O1308">
            <v>27</v>
          </cell>
          <cell r="P1308">
            <v>15</v>
          </cell>
          <cell r="Q1308">
            <v>18</v>
          </cell>
          <cell r="R1308">
            <v>10</v>
          </cell>
          <cell r="S1308">
            <v>7</v>
          </cell>
          <cell r="T1308">
            <v>12</v>
          </cell>
          <cell r="U1308">
            <v>9</v>
          </cell>
          <cell r="V1308">
            <v>13</v>
          </cell>
          <cell r="W1308">
            <v>13</v>
          </cell>
          <cell r="X1308">
            <v>2</v>
          </cell>
          <cell r="Y1308">
            <v>3</v>
          </cell>
          <cell r="Z1308">
            <v>4</v>
          </cell>
          <cell r="AA1308">
            <v>3</v>
          </cell>
          <cell r="AB1308">
            <v>1</v>
          </cell>
          <cell r="AC1308">
            <v>1</v>
          </cell>
          <cell r="AD1308">
            <v>1</v>
          </cell>
          <cell r="AE1308">
            <v>1</v>
          </cell>
          <cell r="AF1308">
            <v>1</v>
          </cell>
          <cell r="AG1308">
            <v>1</v>
          </cell>
          <cell r="AH1308">
            <v>0</v>
          </cell>
          <cell r="AI1308">
            <v>0</v>
          </cell>
          <cell r="AJ1308">
            <v>0</v>
          </cell>
        </row>
        <row r="1309">
          <cell r="E1309" t="str">
            <v>CA Commercial Kerosene</v>
          </cell>
          <cell r="F1309">
            <v>106</v>
          </cell>
          <cell r="G1309">
            <v>131</v>
          </cell>
          <cell r="H1309">
            <v>113</v>
          </cell>
          <cell r="I1309">
            <v>107</v>
          </cell>
          <cell r="J1309">
            <v>71</v>
          </cell>
          <cell r="K1309">
            <v>152</v>
          </cell>
          <cell r="L1309">
            <v>390</v>
          </cell>
          <cell r="M1309">
            <v>235</v>
          </cell>
          <cell r="N1309">
            <v>359</v>
          </cell>
          <cell r="O1309">
            <v>163</v>
          </cell>
          <cell r="P1309">
            <v>296</v>
          </cell>
          <cell r="Q1309">
            <v>357</v>
          </cell>
          <cell r="R1309">
            <v>155</v>
          </cell>
          <cell r="S1309">
            <v>268</v>
          </cell>
          <cell r="T1309">
            <v>407</v>
          </cell>
          <cell r="U1309">
            <v>333</v>
          </cell>
          <cell r="V1309">
            <v>307</v>
          </cell>
          <cell r="W1309">
            <v>175</v>
          </cell>
          <cell r="X1309">
            <v>79</v>
          </cell>
          <cell r="Y1309">
            <v>116</v>
          </cell>
          <cell r="Z1309">
            <v>189</v>
          </cell>
          <cell r="AA1309">
            <v>144</v>
          </cell>
          <cell r="AB1309">
            <v>48</v>
          </cell>
          <cell r="AC1309">
            <v>43</v>
          </cell>
          <cell r="AD1309">
            <v>51</v>
          </cell>
          <cell r="AE1309">
            <v>47</v>
          </cell>
          <cell r="AF1309">
            <v>78</v>
          </cell>
          <cell r="AG1309">
            <v>57</v>
          </cell>
          <cell r="AH1309">
            <v>45</v>
          </cell>
          <cell r="AI1309">
            <v>46</v>
          </cell>
          <cell r="AJ1309">
            <v>48</v>
          </cell>
        </row>
        <row r="1310">
          <cell r="E1310" t="str">
            <v>CO Commercial Kerosene</v>
          </cell>
          <cell r="F1310">
            <v>55</v>
          </cell>
          <cell r="G1310">
            <v>60</v>
          </cell>
          <cell r="H1310">
            <v>38</v>
          </cell>
          <cell r="I1310">
            <v>40</v>
          </cell>
          <cell r="J1310">
            <v>26</v>
          </cell>
          <cell r="K1310">
            <v>26</v>
          </cell>
          <cell r="L1310">
            <v>33</v>
          </cell>
          <cell r="M1310">
            <v>28</v>
          </cell>
          <cell r="N1310">
            <v>49</v>
          </cell>
          <cell r="O1310">
            <v>53</v>
          </cell>
          <cell r="P1310">
            <v>43</v>
          </cell>
          <cell r="Q1310">
            <v>58</v>
          </cell>
          <cell r="R1310">
            <v>54</v>
          </cell>
          <cell r="S1310">
            <v>59</v>
          </cell>
          <cell r="T1310">
            <v>67</v>
          </cell>
          <cell r="U1310">
            <v>173</v>
          </cell>
          <cell r="V1310">
            <v>93</v>
          </cell>
          <cell r="W1310">
            <v>26</v>
          </cell>
          <cell r="X1310">
            <v>15</v>
          </cell>
          <cell r="Y1310">
            <v>22</v>
          </cell>
          <cell r="Z1310">
            <v>26</v>
          </cell>
          <cell r="AA1310">
            <v>19</v>
          </cell>
          <cell r="AB1310">
            <v>7</v>
          </cell>
          <cell r="AC1310">
            <v>10</v>
          </cell>
          <cell r="AD1310">
            <v>9</v>
          </cell>
          <cell r="AE1310">
            <v>6</v>
          </cell>
          <cell r="AF1310">
            <v>7</v>
          </cell>
          <cell r="AG1310">
            <v>2</v>
          </cell>
          <cell r="AH1310">
            <v>4</v>
          </cell>
          <cell r="AI1310">
            <v>6</v>
          </cell>
          <cell r="AJ1310">
            <v>5</v>
          </cell>
        </row>
        <row r="1311">
          <cell r="E1311" t="str">
            <v>CT Commercial Kerosene</v>
          </cell>
          <cell r="F1311">
            <v>291</v>
          </cell>
          <cell r="G1311">
            <v>948</v>
          </cell>
          <cell r="H1311">
            <v>256</v>
          </cell>
          <cell r="I1311">
            <v>252</v>
          </cell>
          <cell r="J1311">
            <v>291</v>
          </cell>
          <cell r="K1311">
            <v>154</v>
          </cell>
          <cell r="L1311">
            <v>407</v>
          </cell>
          <cell r="M1311">
            <v>588</v>
          </cell>
          <cell r="N1311">
            <v>996</v>
          </cell>
          <cell r="O1311">
            <v>462</v>
          </cell>
          <cell r="P1311">
            <v>672</v>
          </cell>
          <cell r="Q1311">
            <v>1307</v>
          </cell>
          <cell r="R1311">
            <v>749</v>
          </cell>
          <cell r="S1311">
            <v>707</v>
          </cell>
          <cell r="T1311">
            <v>976</v>
          </cell>
          <cell r="U1311">
            <v>1509</v>
          </cell>
          <cell r="V1311">
            <v>1026</v>
          </cell>
          <cell r="W1311">
            <v>192</v>
          </cell>
          <cell r="X1311">
            <v>176</v>
          </cell>
          <cell r="Y1311">
            <v>96</v>
          </cell>
          <cell r="Z1311">
            <v>46</v>
          </cell>
          <cell r="AA1311">
            <v>51</v>
          </cell>
          <cell r="AB1311">
            <v>8</v>
          </cell>
          <cell r="AC1311">
            <v>5</v>
          </cell>
          <cell r="AD1311">
            <v>38</v>
          </cell>
          <cell r="AE1311">
            <v>10</v>
          </cell>
          <cell r="AF1311">
            <v>21</v>
          </cell>
          <cell r="AG1311">
            <v>36</v>
          </cell>
          <cell r="AH1311">
            <v>17</v>
          </cell>
          <cell r="AI1311">
            <v>23</v>
          </cell>
          <cell r="AJ1311">
            <v>21</v>
          </cell>
        </row>
        <row r="1312">
          <cell r="E1312" t="str">
            <v>DC Commercial Kerosene</v>
          </cell>
          <cell r="F1312">
            <v>43</v>
          </cell>
          <cell r="G1312">
            <v>23</v>
          </cell>
          <cell r="H1312">
            <v>24</v>
          </cell>
          <cell r="I1312">
            <v>25</v>
          </cell>
          <cell r="J1312">
            <v>34</v>
          </cell>
          <cell r="K1312">
            <v>729</v>
          </cell>
          <cell r="L1312">
            <v>574</v>
          </cell>
          <cell r="M1312">
            <v>1147</v>
          </cell>
          <cell r="N1312">
            <v>1661</v>
          </cell>
          <cell r="O1312">
            <v>1288</v>
          </cell>
          <cell r="P1312">
            <v>1379</v>
          </cell>
          <cell r="Q1312">
            <v>1175</v>
          </cell>
          <cell r="R1312">
            <v>2</v>
          </cell>
          <cell r="S1312">
            <v>3</v>
          </cell>
          <cell r="T1312">
            <v>4</v>
          </cell>
          <cell r="U1312">
            <v>15</v>
          </cell>
          <cell r="V1312">
            <v>15</v>
          </cell>
          <cell r="W1312">
            <v>5</v>
          </cell>
          <cell r="X1312">
            <v>0</v>
          </cell>
          <cell r="Y1312">
            <v>1</v>
          </cell>
          <cell r="Z1312">
            <v>1</v>
          </cell>
          <cell r="AA1312">
            <v>2</v>
          </cell>
          <cell r="AB1312">
            <v>0</v>
          </cell>
          <cell r="AC1312">
            <v>0</v>
          </cell>
          <cell r="AD1312">
            <v>0</v>
          </cell>
          <cell r="AE1312">
            <v>0</v>
          </cell>
          <cell r="AF1312">
            <v>1</v>
          </cell>
          <cell r="AG1312">
            <v>0</v>
          </cell>
          <cell r="AH1312">
            <v>0</v>
          </cell>
          <cell r="AI1312">
            <v>0</v>
          </cell>
          <cell r="AJ1312">
            <v>1</v>
          </cell>
        </row>
        <row r="1313">
          <cell r="E1313" t="str">
            <v>DE Commercial Kerosene</v>
          </cell>
          <cell r="F1313">
            <v>57</v>
          </cell>
          <cell r="G1313">
            <v>73</v>
          </cell>
          <cell r="H1313">
            <v>7</v>
          </cell>
          <cell r="I1313">
            <v>42</v>
          </cell>
          <cell r="J1313">
            <v>43</v>
          </cell>
          <cell r="K1313">
            <v>13</v>
          </cell>
          <cell r="L1313">
            <v>35</v>
          </cell>
          <cell r="M1313">
            <v>89</v>
          </cell>
          <cell r="N1313">
            <v>69</v>
          </cell>
          <cell r="O1313">
            <v>295</v>
          </cell>
          <cell r="P1313">
            <v>771</v>
          </cell>
          <cell r="Q1313">
            <v>721</v>
          </cell>
          <cell r="R1313">
            <v>25</v>
          </cell>
          <cell r="S1313">
            <v>42</v>
          </cell>
          <cell r="T1313">
            <v>55</v>
          </cell>
          <cell r="U1313">
            <v>85</v>
          </cell>
          <cell r="V1313">
            <v>154</v>
          </cell>
          <cell r="W1313">
            <v>64</v>
          </cell>
          <cell r="X1313">
            <v>31</v>
          </cell>
          <cell r="Y1313">
            <v>8</v>
          </cell>
          <cell r="Z1313">
            <v>9</v>
          </cell>
          <cell r="AA1313">
            <v>11</v>
          </cell>
          <cell r="AB1313">
            <v>4</v>
          </cell>
          <cell r="AC1313">
            <v>9</v>
          </cell>
          <cell r="AD1313">
            <v>15</v>
          </cell>
          <cell r="AE1313">
            <v>10</v>
          </cell>
          <cell r="AF1313">
            <v>11</v>
          </cell>
          <cell r="AG1313">
            <v>7</v>
          </cell>
          <cell r="AH1313">
            <v>9</v>
          </cell>
          <cell r="AI1313">
            <v>11</v>
          </cell>
          <cell r="AJ1313">
            <v>10</v>
          </cell>
        </row>
        <row r="1314">
          <cell r="E1314" t="str">
            <v>FL Commercial Kerosene</v>
          </cell>
          <cell r="F1314">
            <v>708</v>
          </cell>
          <cell r="G1314">
            <v>164</v>
          </cell>
          <cell r="H1314">
            <v>168</v>
          </cell>
          <cell r="I1314">
            <v>304</v>
          </cell>
          <cell r="J1314">
            <v>434</v>
          </cell>
          <cell r="K1314">
            <v>540</v>
          </cell>
          <cell r="L1314">
            <v>600</v>
          </cell>
          <cell r="M1314">
            <v>305</v>
          </cell>
          <cell r="N1314">
            <v>370</v>
          </cell>
          <cell r="O1314">
            <v>347</v>
          </cell>
          <cell r="P1314">
            <v>160</v>
          </cell>
          <cell r="Q1314">
            <v>141</v>
          </cell>
          <cell r="R1314">
            <v>88</v>
          </cell>
          <cell r="S1314">
            <v>108</v>
          </cell>
          <cell r="T1314">
            <v>116</v>
          </cell>
          <cell r="U1314">
            <v>294</v>
          </cell>
          <cell r="V1314">
            <v>96</v>
          </cell>
          <cell r="W1314">
            <v>71</v>
          </cell>
          <cell r="X1314">
            <v>28</v>
          </cell>
          <cell r="Y1314">
            <v>41</v>
          </cell>
          <cell r="Z1314">
            <v>88</v>
          </cell>
          <cell r="AA1314">
            <v>68</v>
          </cell>
          <cell r="AB1314">
            <v>18</v>
          </cell>
          <cell r="AC1314">
            <v>11</v>
          </cell>
          <cell r="AD1314">
            <v>36</v>
          </cell>
          <cell r="AE1314">
            <v>21</v>
          </cell>
          <cell r="AF1314">
            <v>15</v>
          </cell>
          <cell r="AG1314">
            <v>15</v>
          </cell>
          <cell r="AH1314">
            <v>7</v>
          </cell>
          <cell r="AI1314">
            <v>8</v>
          </cell>
          <cell r="AJ1314">
            <v>6</v>
          </cell>
        </row>
        <row r="1315">
          <cell r="E1315" t="str">
            <v>GA Commercial Kerosene</v>
          </cell>
          <cell r="F1315">
            <v>362</v>
          </cell>
          <cell r="G1315">
            <v>300</v>
          </cell>
          <cell r="H1315">
            <v>207</v>
          </cell>
          <cell r="I1315">
            <v>368</v>
          </cell>
          <cell r="J1315">
            <v>844</v>
          </cell>
          <cell r="K1315">
            <v>199</v>
          </cell>
          <cell r="L1315">
            <v>177</v>
          </cell>
          <cell r="M1315">
            <v>158</v>
          </cell>
          <cell r="N1315">
            <v>155</v>
          </cell>
          <cell r="O1315">
            <v>210</v>
          </cell>
          <cell r="P1315">
            <v>232</v>
          </cell>
          <cell r="Q1315">
            <v>347</v>
          </cell>
          <cell r="R1315">
            <v>267</v>
          </cell>
          <cell r="S1315">
            <v>270</v>
          </cell>
          <cell r="T1315">
            <v>121</v>
          </cell>
          <cell r="U1315">
            <v>140</v>
          </cell>
          <cell r="V1315">
            <v>41</v>
          </cell>
          <cell r="W1315">
            <v>74</v>
          </cell>
          <cell r="X1315">
            <v>45</v>
          </cell>
          <cell r="Y1315">
            <v>32</v>
          </cell>
          <cell r="Z1315">
            <v>138</v>
          </cell>
          <cell r="AA1315">
            <v>121</v>
          </cell>
          <cell r="AB1315">
            <v>28</v>
          </cell>
          <cell r="AC1315">
            <v>54</v>
          </cell>
          <cell r="AD1315">
            <v>54</v>
          </cell>
          <cell r="AE1315">
            <v>36</v>
          </cell>
          <cell r="AF1315">
            <v>124</v>
          </cell>
          <cell r="AG1315">
            <v>20</v>
          </cell>
          <cell r="AH1315">
            <v>33</v>
          </cell>
          <cell r="AI1315">
            <v>35</v>
          </cell>
          <cell r="AJ1315">
            <v>37</v>
          </cell>
        </row>
        <row r="1316">
          <cell r="E1316" t="str">
            <v>HI Commercial Kerosene</v>
          </cell>
          <cell r="F1316">
            <v>1</v>
          </cell>
          <cell r="G1316">
            <v>1</v>
          </cell>
          <cell r="H1316">
            <v>0</v>
          </cell>
          <cell r="I1316">
            <v>4</v>
          </cell>
          <cell r="J1316">
            <v>1</v>
          </cell>
          <cell r="K1316">
            <v>1</v>
          </cell>
          <cell r="L1316">
            <v>0</v>
          </cell>
          <cell r="M1316">
            <v>1</v>
          </cell>
          <cell r="N1316">
            <v>1</v>
          </cell>
          <cell r="O1316">
            <v>0</v>
          </cell>
          <cell r="P1316">
            <v>1</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row>
        <row r="1317">
          <cell r="E1317" t="str">
            <v>IA Commercial Kerosene</v>
          </cell>
          <cell r="F1317">
            <v>214</v>
          </cell>
          <cell r="G1317">
            <v>15</v>
          </cell>
          <cell r="H1317">
            <v>22</v>
          </cell>
          <cell r="I1317">
            <v>39</v>
          </cell>
          <cell r="J1317">
            <v>72</v>
          </cell>
          <cell r="K1317">
            <v>14</v>
          </cell>
          <cell r="L1317">
            <v>25</v>
          </cell>
          <cell r="M1317">
            <v>46</v>
          </cell>
          <cell r="N1317">
            <v>18</v>
          </cell>
          <cell r="O1317">
            <v>25</v>
          </cell>
          <cell r="P1317">
            <v>34</v>
          </cell>
          <cell r="Q1317">
            <v>74</v>
          </cell>
          <cell r="R1317">
            <v>36</v>
          </cell>
          <cell r="S1317">
            <v>23</v>
          </cell>
          <cell r="T1317">
            <v>30</v>
          </cell>
          <cell r="U1317">
            <v>88</v>
          </cell>
          <cell r="V1317">
            <v>25</v>
          </cell>
          <cell r="W1317">
            <v>17</v>
          </cell>
          <cell r="X1317">
            <v>8</v>
          </cell>
          <cell r="Y1317">
            <v>4</v>
          </cell>
          <cell r="Z1317">
            <v>9</v>
          </cell>
          <cell r="AA1317">
            <v>9</v>
          </cell>
          <cell r="AB1317">
            <v>7</v>
          </cell>
          <cell r="AC1317">
            <v>6</v>
          </cell>
          <cell r="AD1317">
            <v>7</v>
          </cell>
          <cell r="AE1317">
            <v>4</v>
          </cell>
          <cell r="AF1317">
            <v>5</v>
          </cell>
          <cell r="AG1317">
            <v>4</v>
          </cell>
          <cell r="AH1317">
            <v>14</v>
          </cell>
          <cell r="AI1317">
            <v>7</v>
          </cell>
          <cell r="AJ1317">
            <v>19</v>
          </cell>
        </row>
        <row r="1318">
          <cell r="E1318" t="str">
            <v>ID Commercial Kerosene</v>
          </cell>
          <cell r="F1318">
            <v>6</v>
          </cell>
          <cell r="G1318">
            <v>1</v>
          </cell>
          <cell r="H1318">
            <v>1</v>
          </cell>
          <cell r="I1318">
            <v>1</v>
          </cell>
          <cell r="J1318">
            <v>11</v>
          </cell>
          <cell r="K1318">
            <v>17</v>
          </cell>
          <cell r="L1318">
            <v>21</v>
          </cell>
          <cell r="M1318">
            <v>6</v>
          </cell>
          <cell r="N1318">
            <v>19</v>
          </cell>
          <cell r="O1318">
            <v>8</v>
          </cell>
          <cell r="P1318">
            <v>10</v>
          </cell>
          <cell r="Q1318">
            <v>26</v>
          </cell>
          <cell r="R1318">
            <v>8</v>
          </cell>
          <cell r="S1318">
            <v>4</v>
          </cell>
          <cell r="T1318">
            <v>24</v>
          </cell>
          <cell r="U1318">
            <v>24</v>
          </cell>
          <cell r="V1318">
            <v>13</v>
          </cell>
          <cell r="W1318">
            <v>3</v>
          </cell>
          <cell r="X1318">
            <v>2</v>
          </cell>
          <cell r="Y1318">
            <v>3</v>
          </cell>
          <cell r="Z1318">
            <v>3</v>
          </cell>
          <cell r="AA1318">
            <v>2</v>
          </cell>
          <cell r="AB1318">
            <v>1</v>
          </cell>
          <cell r="AC1318">
            <v>1</v>
          </cell>
          <cell r="AD1318">
            <v>1</v>
          </cell>
          <cell r="AE1318">
            <v>0</v>
          </cell>
          <cell r="AF1318">
            <v>1</v>
          </cell>
          <cell r="AG1318">
            <v>1</v>
          </cell>
          <cell r="AH1318">
            <v>5</v>
          </cell>
          <cell r="AI1318">
            <v>2</v>
          </cell>
          <cell r="AJ1318">
            <v>7</v>
          </cell>
        </row>
        <row r="1319">
          <cell r="E1319" t="str">
            <v>IL Commercial Kerosene</v>
          </cell>
          <cell r="F1319">
            <v>145</v>
          </cell>
          <cell r="G1319">
            <v>225</v>
          </cell>
          <cell r="H1319">
            <v>195</v>
          </cell>
          <cell r="I1319">
            <v>182</v>
          </cell>
          <cell r="J1319">
            <v>284</v>
          </cell>
          <cell r="K1319">
            <v>456</v>
          </cell>
          <cell r="L1319">
            <v>381</v>
          </cell>
          <cell r="M1319">
            <v>612</v>
          </cell>
          <cell r="N1319">
            <v>221</v>
          </cell>
          <cell r="O1319">
            <v>477</v>
          </cell>
          <cell r="P1319">
            <v>386</v>
          </cell>
          <cell r="Q1319">
            <v>367</v>
          </cell>
          <cell r="R1319">
            <v>211</v>
          </cell>
          <cell r="S1319">
            <v>207</v>
          </cell>
          <cell r="T1319">
            <v>254</v>
          </cell>
          <cell r="U1319">
            <v>299</v>
          </cell>
          <cell r="V1319">
            <v>189</v>
          </cell>
          <cell r="W1319">
            <v>202</v>
          </cell>
          <cell r="X1319">
            <v>39</v>
          </cell>
          <cell r="Y1319">
            <v>59</v>
          </cell>
          <cell r="Z1319">
            <v>57</v>
          </cell>
          <cell r="AA1319">
            <v>28</v>
          </cell>
          <cell r="AB1319">
            <v>10</v>
          </cell>
          <cell r="AC1319">
            <v>16</v>
          </cell>
          <cell r="AD1319">
            <v>35</v>
          </cell>
          <cell r="AE1319">
            <v>22</v>
          </cell>
          <cell r="AF1319">
            <v>32</v>
          </cell>
          <cell r="AG1319">
            <v>16</v>
          </cell>
          <cell r="AH1319">
            <v>22</v>
          </cell>
          <cell r="AI1319">
            <v>27</v>
          </cell>
          <cell r="AJ1319">
            <v>21</v>
          </cell>
        </row>
        <row r="1320">
          <cell r="E1320" t="str">
            <v>IN Commercial Kerosene</v>
          </cell>
          <cell r="F1320">
            <v>198</v>
          </cell>
          <cell r="G1320">
            <v>244</v>
          </cell>
          <cell r="H1320">
            <v>332</v>
          </cell>
          <cell r="I1320">
            <v>275</v>
          </cell>
          <cell r="J1320">
            <v>380</v>
          </cell>
          <cell r="K1320">
            <v>398</v>
          </cell>
          <cell r="L1320">
            <v>390</v>
          </cell>
          <cell r="M1320">
            <v>491</v>
          </cell>
          <cell r="N1320">
            <v>292</v>
          </cell>
          <cell r="O1320">
            <v>232</v>
          </cell>
          <cell r="P1320">
            <v>271</v>
          </cell>
          <cell r="Q1320">
            <v>247</v>
          </cell>
          <cell r="R1320">
            <v>175</v>
          </cell>
          <cell r="S1320">
            <v>185</v>
          </cell>
          <cell r="T1320">
            <v>247</v>
          </cell>
          <cell r="U1320">
            <v>268</v>
          </cell>
          <cell r="V1320">
            <v>224</v>
          </cell>
          <cell r="W1320">
            <v>158</v>
          </cell>
          <cell r="X1320">
            <v>75</v>
          </cell>
          <cell r="Y1320">
            <v>98</v>
          </cell>
          <cell r="Z1320">
            <v>148</v>
          </cell>
          <cell r="AA1320">
            <v>51</v>
          </cell>
          <cell r="AB1320">
            <v>19</v>
          </cell>
          <cell r="AC1320">
            <v>19</v>
          </cell>
          <cell r="AD1320">
            <v>101</v>
          </cell>
          <cell r="AE1320">
            <v>70</v>
          </cell>
          <cell r="AF1320">
            <v>81</v>
          </cell>
          <cell r="AG1320">
            <v>47</v>
          </cell>
          <cell r="AH1320">
            <v>36</v>
          </cell>
          <cell r="AI1320">
            <v>58</v>
          </cell>
          <cell r="AJ1320">
            <v>34</v>
          </cell>
        </row>
        <row r="1321">
          <cell r="E1321" t="str">
            <v>KS Commercial Kerosene</v>
          </cell>
          <cell r="F1321">
            <v>35</v>
          </cell>
          <cell r="G1321">
            <v>21</v>
          </cell>
          <cell r="H1321">
            <v>25</v>
          </cell>
          <cell r="I1321">
            <v>39</v>
          </cell>
          <cell r="J1321">
            <v>22</v>
          </cell>
          <cell r="K1321">
            <v>32</v>
          </cell>
          <cell r="L1321">
            <v>28</v>
          </cell>
          <cell r="M1321">
            <v>158</v>
          </cell>
          <cell r="N1321">
            <v>48</v>
          </cell>
          <cell r="O1321">
            <v>21</v>
          </cell>
          <cell r="P1321">
            <v>29</v>
          </cell>
          <cell r="Q1321">
            <v>38</v>
          </cell>
          <cell r="R1321">
            <v>31</v>
          </cell>
          <cell r="S1321">
            <v>28</v>
          </cell>
          <cell r="T1321">
            <v>47</v>
          </cell>
          <cell r="U1321">
            <v>77</v>
          </cell>
          <cell r="V1321">
            <v>49</v>
          </cell>
          <cell r="W1321">
            <v>23</v>
          </cell>
          <cell r="X1321">
            <v>13</v>
          </cell>
          <cell r="Y1321">
            <v>9</v>
          </cell>
          <cell r="Z1321">
            <v>10</v>
          </cell>
          <cell r="AA1321">
            <v>6</v>
          </cell>
          <cell r="AB1321">
            <v>3</v>
          </cell>
          <cell r="AC1321">
            <v>4</v>
          </cell>
          <cell r="AD1321">
            <v>5</v>
          </cell>
          <cell r="AE1321">
            <v>2</v>
          </cell>
          <cell r="AF1321">
            <v>2</v>
          </cell>
          <cell r="AG1321">
            <v>2</v>
          </cell>
          <cell r="AH1321">
            <v>3</v>
          </cell>
          <cell r="AI1321">
            <v>3</v>
          </cell>
          <cell r="AJ1321">
            <v>3</v>
          </cell>
        </row>
        <row r="1322">
          <cell r="E1322" t="str">
            <v>KY Commercial Kerosene</v>
          </cell>
          <cell r="F1322">
            <v>533</v>
          </cell>
          <cell r="G1322">
            <v>578</v>
          </cell>
          <cell r="H1322">
            <v>328</v>
          </cell>
          <cell r="I1322">
            <v>443</v>
          </cell>
          <cell r="J1322">
            <v>412</v>
          </cell>
          <cell r="K1322">
            <v>665</v>
          </cell>
          <cell r="L1322">
            <v>628</v>
          </cell>
          <cell r="M1322">
            <v>641</v>
          </cell>
          <cell r="N1322">
            <v>740</v>
          </cell>
          <cell r="O1322">
            <v>378</v>
          </cell>
          <cell r="P1322">
            <v>395</v>
          </cell>
          <cell r="Q1322">
            <v>329</v>
          </cell>
          <cell r="R1322">
            <v>181</v>
          </cell>
          <cell r="S1322">
            <v>222</v>
          </cell>
          <cell r="T1322">
            <v>181</v>
          </cell>
          <cell r="U1322">
            <v>154</v>
          </cell>
          <cell r="V1322">
            <v>114</v>
          </cell>
          <cell r="W1322">
            <v>59</v>
          </cell>
          <cell r="X1322">
            <v>41</v>
          </cell>
          <cell r="Y1322">
            <v>35</v>
          </cell>
          <cell r="Z1322">
            <v>40</v>
          </cell>
          <cell r="AA1322">
            <v>32</v>
          </cell>
          <cell r="AB1322">
            <v>9</v>
          </cell>
          <cell r="AC1322">
            <v>11</v>
          </cell>
          <cell r="AD1322">
            <v>33</v>
          </cell>
          <cell r="AE1322">
            <v>32</v>
          </cell>
          <cell r="AF1322">
            <v>51</v>
          </cell>
          <cell r="AG1322">
            <v>29</v>
          </cell>
          <cell r="AH1322">
            <v>40</v>
          </cell>
          <cell r="AI1322">
            <v>44</v>
          </cell>
          <cell r="AJ1322">
            <v>53</v>
          </cell>
        </row>
        <row r="1323">
          <cell r="E1323" t="str">
            <v>LA Commercial Kerosene</v>
          </cell>
          <cell r="F1323">
            <v>120</v>
          </cell>
          <cell r="G1323">
            <v>124</v>
          </cell>
          <cell r="H1323">
            <v>58</v>
          </cell>
          <cell r="I1323">
            <v>145</v>
          </cell>
          <cell r="J1323">
            <v>72</v>
          </cell>
          <cell r="K1323">
            <v>34</v>
          </cell>
          <cell r="L1323">
            <v>42</v>
          </cell>
          <cell r="M1323">
            <v>15</v>
          </cell>
          <cell r="N1323">
            <v>31</v>
          </cell>
          <cell r="O1323">
            <v>52</v>
          </cell>
          <cell r="P1323">
            <v>46</v>
          </cell>
          <cell r="Q1323">
            <v>91</v>
          </cell>
          <cell r="R1323">
            <v>42</v>
          </cell>
          <cell r="S1323">
            <v>35</v>
          </cell>
          <cell r="T1323">
            <v>439</v>
          </cell>
          <cell r="U1323">
            <v>213</v>
          </cell>
          <cell r="V1323">
            <v>166</v>
          </cell>
          <cell r="W1323">
            <v>38</v>
          </cell>
          <cell r="X1323">
            <v>26</v>
          </cell>
          <cell r="Y1323">
            <v>11</v>
          </cell>
          <cell r="Z1323">
            <v>12</v>
          </cell>
          <cell r="AA1323">
            <v>4</v>
          </cell>
          <cell r="AB1323">
            <v>8</v>
          </cell>
          <cell r="AC1323">
            <v>8</v>
          </cell>
          <cell r="AD1323">
            <v>19</v>
          </cell>
          <cell r="AE1323">
            <v>6</v>
          </cell>
          <cell r="AF1323">
            <v>9</v>
          </cell>
          <cell r="AG1323">
            <v>5</v>
          </cell>
          <cell r="AH1323">
            <v>4</v>
          </cell>
          <cell r="AI1323">
            <v>3</v>
          </cell>
          <cell r="AJ1323">
            <v>1</v>
          </cell>
        </row>
        <row r="1324">
          <cell r="E1324" t="str">
            <v>MA Commercial Kerosene</v>
          </cell>
          <cell r="F1324">
            <v>722</v>
          </cell>
          <cell r="G1324">
            <v>1135</v>
          </cell>
          <cell r="H1324">
            <v>412</v>
          </cell>
          <cell r="I1324">
            <v>640</v>
          </cell>
          <cell r="J1324">
            <v>566</v>
          </cell>
          <cell r="K1324">
            <v>623</v>
          </cell>
          <cell r="L1324">
            <v>265</v>
          </cell>
          <cell r="M1324">
            <v>264</v>
          </cell>
          <cell r="N1324">
            <v>399</v>
          </cell>
          <cell r="O1324">
            <v>1275</v>
          </cell>
          <cell r="P1324">
            <v>606</v>
          </cell>
          <cell r="Q1324">
            <v>887</v>
          </cell>
          <cell r="R1324">
            <v>332</v>
          </cell>
          <cell r="S1324">
            <v>406</v>
          </cell>
          <cell r="T1324">
            <v>513</v>
          </cell>
          <cell r="U1324">
            <v>444</v>
          </cell>
          <cell r="V1324">
            <v>218</v>
          </cell>
          <cell r="W1324">
            <v>141</v>
          </cell>
          <cell r="X1324">
            <v>115</v>
          </cell>
          <cell r="Y1324">
            <v>98</v>
          </cell>
          <cell r="Z1324">
            <v>264</v>
          </cell>
          <cell r="AA1324">
            <v>35</v>
          </cell>
          <cell r="AB1324">
            <v>8</v>
          </cell>
          <cell r="AC1324">
            <v>13</v>
          </cell>
          <cell r="AD1324">
            <v>74</v>
          </cell>
          <cell r="AE1324">
            <v>73</v>
          </cell>
          <cell r="AF1324">
            <v>77</v>
          </cell>
          <cell r="AG1324">
            <v>54</v>
          </cell>
          <cell r="AH1324">
            <v>50</v>
          </cell>
          <cell r="AI1324">
            <v>78</v>
          </cell>
          <cell r="AJ1324">
            <v>96</v>
          </cell>
        </row>
        <row r="1325">
          <cell r="E1325" t="str">
            <v>MD Commercial Kerosene</v>
          </cell>
          <cell r="F1325">
            <v>270</v>
          </cell>
          <cell r="G1325">
            <v>296</v>
          </cell>
          <cell r="H1325">
            <v>238</v>
          </cell>
          <cell r="I1325">
            <v>484</v>
          </cell>
          <cell r="J1325">
            <v>1206</v>
          </cell>
          <cell r="K1325">
            <v>1189</v>
          </cell>
          <cell r="L1325">
            <v>854</v>
          </cell>
          <cell r="M1325">
            <v>1287</v>
          </cell>
          <cell r="N1325">
            <v>1777</v>
          </cell>
          <cell r="O1325">
            <v>1442</v>
          </cell>
          <cell r="P1325">
            <v>2056</v>
          </cell>
          <cell r="Q1325">
            <v>1966</v>
          </cell>
          <cell r="R1325">
            <v>971</v>
          </cell>
          <cell r="S1325">
            <v>1108</v>
          </cell>
          <cell r="T1325">
            <v>715</v>
          </cell>
          <cell r="U1325">
            <v>714</v>
          </cell>
          <cell r="V1325">
            <v>353</v>
          </cell>
          <cell r="W1325">
            <v>232</v>
          </cell>
          <cell r="X1325">
            <v>55</v>
          </cell>
          <cell r="Y1325">
            <v>178</v>
          </cell>
          <cell r="Z1325">
            <v>162</v>
          </cell>
          <cell r="AA1325">
            <v>132</v>
          </cell>
          <cell r="AB1325">
            <v>28</v>
          </cell>
          <cell r="AC1325">
            <v>26</v>
          </cell>
          <cell r="AD1325">
            <v>102</v>
          </cell>
          <cell r="AE1325">
            <v>50</v>
          </cell>
          <cell r="AF1325">
            <v>81</v>
          </cell>
          <cell r="AG1325">
            <v>47</v>
          </cell>
          <cell r="AH1325">
            <v>36</v>
          </cell>
          <cell r="AI1325">
            <v>67</v>
          </cell>
          <cell r="AJ1325">
            <v>68</v>
          </cell>
        </row>
        <row r="1326">
          <cell r="E1326" t="str">
            <v>ME Commercial Kerosene</v>
          </cell>
          <cell r="F1326">
            <v>384</v>
          </cell>
          <cell r="G1326">
            <v>707</v>
          </cell>
          <cell r="H1326">
            <v>372</v>
          </cell>
          <cell r="I1326">
            <v>985</v>
          </cell>
          <cell r="J1326">
            <v>860</v>
          </cell>
          <cell r="K1326">
            <v>916</v>
          </cell>
          <cell r="L1326">
            <v>840</v>
          </cell>
          <cell r="M1326">
            <v>888</v>
          </cell>
          <cell r="N1326">
            <v>1370</v>
          </cell>
          <cell r="O1326">
            <v>763</v>
          </cell>
          <cell r="P1326">
            <v>772</v>
          </cell>
          <cell r="Q1326">
            <v>864</v>
          </cell>
          <cell r="R1326">
            <v>637</v>
          </cell>
          <cell r="S1326">
            <v>911</v>
          </cell>
          <cell r="T1326">
            <v>1423</v>
          </cell>
          <cell r="U1326">
            <v>1228</v>
          </cell>
          <cell r="V1326">
            <v>849</v>
          </cell>
          <cell r="W1326">
            <v>662</v>
          </cell>
          <cell r="X1326">
            <v>270</v>
          </cell>
          <cell r="Y1326">
            <v>293</v>
          </cell>
          <cell r="Z1326">
            <v>281</v>
          </cell>
          <cell r="AA1326">
            <v>213</v>
          </cell>
          <cell r="AB1326">
            <v>127</v>
          </cell>
          <cell r="AC1326">
            <v>116</v>
          </cell>
          <cell r="AD1326">
            <v>205</v>
          </cell>
          <cell r="AE1326">
            <v>190</v>
          </cell>
          <cell r="AF1326">
            <v>183</v>
          </cell>
          <cell r="AG1326">
            <v>122</v>
          </cell>
          <cell r="AH1326">
            <v>134</v>
          </cell>
          <cell r="AI1326">
            <v>199</v>
          </cell>
          <cell r="AJ1326">
            <v>198</v>
          </cell>
        </row>
        <row r="1327">
          <cell r="E1327" t="str">
            <v>MI Commercial Kerosene</v>
          </cell>
          <cell r="F1327">
            <v>102</v>
          </cell>
          <cell r="G1327">
            <v>97</v>
          </cell>
          <cell r="H1327">
            <v>29</v>
          </cell>
          <cell r="I1327">
            <v>144</v>
          </cell>
          <cell r="J1327">
            <v>185</v>
          </cell>
          <cell r="K1327">
            <v>578</v>
          </cell>
          <cell r="L1327">
            <v>848</v>
          </cell>
          <cell r="M1327">
            <v>315</v>
          </cell>
          <cell r="N1327">
            <v>372</v>
          </cell>
          <cell r="O1327">
            <v>211</v>
          </cell>
          <cell r="P1327">
            <v>186</v>
          </cell>
          <cell r="Q1327">
            <v>197</v>
          </cell>
          <cell r="R1327">
            <v>161</v>
          </cell>
          <cell r="S1327">
            <v>107</v>
          </cell>
          <cell r="T1327">
            <v>123</v>
          </cell>
          <cell r="U1327">
            <v>161</v>
          </cell>
          <cell r="V1327">
            <v>149</v>
          </cell>
          <cell r="W1327">
            <v>44</v>
          </cell>
          <cell r="X1327">
            <v>41</v>
          </cell>
          <cell r="Y1327">
            <v>45</v>
          </cell>
          <cell r="Z1327">
            <v>76</v>
          </cell>
          <cell r="AA1327">
            <v>53</v>
          </cell>
          <cell r="AB1327">
            <v>19</v>
          </cell>
          <cell r="AC1327">
            <v>41</v>
          </cell>
          <cell r="AD1327">
            <v>53</v>
          </cell>
          <cell r="AE1327">
            <v>50</v>
          </cell>
          <cell r="AF1327">
            <v>62</v>
          </cell>
          <cell r="AG1327">
            <v>57</v>
          </cell>
          <cell r="AH1327">
            <v>30</v>
          </cell>
          <cell r="AI1327">
            <v>51</v>
          </cell>
          <cell r="AJ1327">
            <v>62</v>
          </cell>
        </row>
        <row r="1328">
          <cell r="E1328" t="str">
            <v>MN Commercial Kerosene</v>
          </cell>
          <cell r="F1328">
            <v>26</v>
          </cell>
          <cell r="G1328">
            <v>20</v>
          </cell>
          <cell r="H1328">
            <v>38</v>
          </cell>
          <cell r="I1328">
            <v>49</v>
          </cell>
          <cell r="J1328">
            <v>79</v>
          </cell>
          <cell r="K1328">
            <v>132</v>
          </cell>
          <cell r="L1328">
            <v>152</v>
          </cell>
          <cell r="M1328">
            <v>145</v>
          </cell>
          <cell r="N1328">
            <v>177</v>
          </cell>
          <cell r="O1328">
            <v>113</v>
          </cell>
          <cell r="P1328">
            <v>305</v>
          </cell>
          <cell r="Q1328">
            <v>200</v>
          </cell>
          <cell r="R1328">
            <v>124</v>
          </cell>
          <cell r="S1328">
            <v>81</v>
          </cell>
          <cell r="T1328">
            <v>59</v>
          </cell>
          <cell r="U1328">
            <v>81</v>
          </cell>
          <cell r="V1328">
            <v>66</v>
          </cell>
          <cell r="W1328">
            <v>59</v>
          </cell>
          <cell r="X1328">
            <v>37</v>
          </cell>
          <cell r="Y1328">
            <v>18</v>
          </cell>
          <cell r="Z1328">
            <v>34</v>
          </cell>
          <cell r="AA1328">
            <v>19</v>
          </cell>
          <cell r="AB1328">
            <v>5</v>
          </cell>
          <cell r="AC1328">
            <v>14</v>
          </cell>
          <cell r="AD1328">
            <v>9</v>
          </cell>
          <cell r="AE1328">
            <v>6</v>
          </cell>
          <cell r="AF1328">
            <v>21</v>
          </cell>
          <cell r="AG1328">
            <v>7</v>
          </cell>
          <cell r="AH1328">
            <v>9</v>
          </cell>
          <cell r="AI1328">
            <v>9</v>
          </cell>
          <cell r="AJ1328">
            <v>9</v>
          </cell>
        </row>
        <row r="1329">
          <cell r="E1329" t="str">
            <v>MO Commercial Kerosene</v>
          </cell>
          <cell r="F1329">
            <v>48</v>
          </cell>
          <cell r="G1329">
            <v>25</v>
          </cell>
          <cell r="H1329">
            <v>92</v>
          </cell>
          <cell r="I1329">
            <v>76</v>
          </cell>
          <cell r="J1329">
            <v>82</v>
          </cell>
          <cell r="K1329">
            <v>58</v>
          </cell>
          <cell r="L1329">
            <v>154</v>
          </cell>
          <cell r="M1329">
            <v>116</v>
          </cell>
          <cell r="N1329">
            <v>103</v>
          </cell>
          <cell r="O1329">
            <v>99</v>
          </cell>
          <cell r="P1329">
            <v>126</v>
          </cell>
          <cell r="Q1329">
            <v>133</v>
          </cell>
          <cell r="R1329">
            <v>105</v>
          </cell>
          <cell r="S1329">
            <v>120</v>
          </cell>
          <cell r="T1329">
            <v>173</v>
          </cell>
          <cell r="U1329">
            <v>171</v>
          </cell>
          <cell r="V1329">
            <v>96</v>
          </cell>
          <cell r="W1329">
            <v>51</v>
          </cell>
          <cell r="X1329">
            <v>19</v>
          </cell>
          <cell r="Y1329">
            <v>35</v>
          </cell>
          <cell r="Z1329">
            <v>41</v>
          </cell>
          <cell r="AA1329">
            <v>19</v>
          </cell>
          <cell r="AB1329">
            <v>14</v>
          </cell>
          <cell r="AC1329">
            <v>9</v>
          </cell>
          <cell r="AD1329">
            <v>19</v>
          </cell>
          <cell r="AE1329">
            <v>10</v>
          </cell>
          <cell r="AF1329">
            <v>14</v>
          </cell>
          <cell r="AG1329">
            <v>9</v>
          </cell>
          <cell r="AH1329">
            <v>15</v>
          </cell>
          <cell r="AI1329">
            <v>15</v>
          </cell>
          <cell r="AJ1329">
            <v>12</v>
          </cell>
        </row>
        <row r="1330">
          <cell r="E1330" t="str">
            <v>MS Commercial Kerosene</v>
          </cell>
          <cell r="F1330">
            <v>34</v>
          </cell>
          <cell r="G1330">
            <v>35</v>
          </cell>
          <cell r="H1330">
            <v>50</v>
          </cell>
          <cell r="I1330">
            <v>34</v>
          </cell>
          <cell r="J1330">
            <v>15</v>
          </cell>
          <cell r="K1330">
            <v>42</v>
          </cell>
          <cell r="L1330">
            <v>31</v>
          </cell>
          <cell r="M1330">
            <v>72</v>
          </cell>
          <cell r="N1330">
            <v>37</v>
          </cell>
          <cell r="O1330">
            <v>247</v>
          </cell>
          <cell r="P1330">
            <v>46</v>
          </cell>
          <cell r="Q1330">
            <v>58</v>
          </cell>
          <cell r="R1330">
            <v>46</v>
          </cell>
          <cell r="S1330">
            <v>249</v>
          </cell>
          <cell r="T1330">
            <v>52</v>
          </cell>
          <cell r="U1330">
            <v>43</v>
          </cell>
          <cell r="V1330">
            <v>32</v>
          </cell>
          <cell r="W1330">
            <v>25</v>
          </cell>
          <cell r="X1330">
            <v>10</v>
          </cell>
          <cell r="Y1330">
            <v>3</v>
          </cell>
          <cell r="Z1330">
            <v>8</v>
          </cell>
          <cell r="AA1330">
            <v>4</v>
          </cell>
          <cell r="AB1330">
            <v>2</v>
          </cell>
          <cell r="AC1330">
            <v>3</v>
          </cell>
          <cell r="AD1330">
            <v>5</v>
          </cell>
          <cell r="AE1330">
            <v>3</v>
          </cell>
          <cell r="AF1330">
            <v>4</v>
          </cell>
          <cell r="AG1330">
            <v>3</v>
          </cell>
          <cell r="AH1330">
            <v>3</v>
          </cell>
          <cell r="AI1330">
            <v>5</v>
          </cell>
          <cell r="AJ1330">
            <v>10</v>
          </cell>
        </row>
        <row r="1331">
          <cell r="E1331" t="str">
            <v>MT Commercial Kerosene</v>
          </cell>
          <cell r="F1331">
            <v>1</v>
          </cell>
          <cell r="G1331">
            <v>1</v>
          </cell>
          <cell r="H1331">
            <v>1</v>
          </cell>
          <cell r="I1331">
            <v>5</v>
          </cell>
          <cell r="J1331">
            <v>5</v>
          </cell>
          <cell r="K1331">
            <v>1</v>
          </cell>
          <cell r="L1331">
            <v>3</v>
          </cell>
          <cell r="M1331">
            <v>1</v>
          </cell>
          <cell r="N1331">
            <v>1</v>
          </cell>
          <cell r="O1331">
            <v>0</v>
          </cell>
          <cell r="P1331">
            <v>0</v>
          </cell>
          <cell r="Q1331">
            <v>0</v>
          </cell>
          <cell r="R1331">
            <v>4</v>
          </cell>
          <cell r="S1331">
            <v>14</v>
          </cell>
          <cell r="T1331">
            <v>16</v>
          </cell>
          <cell r="U1331">
            <v>42</v>
          </cell>
          <cell r="V1331">
            <v>0</v>
          </cell>
          <cell r="W1331">
            <v>1</v>
          </cell>
          <cell r="X1331">
            <v>8</v>
          </cell>
          <cell r="Y1331">
            <v>0</v>
          </cell>
          <cell r="Z1331">
            <v>2</v>
          </cell>
          <cell r="AA1331">
            <v>2</v>
          </cell>
          <cell r="AB1331">
            <v>0</v>
          </cell>
          <cell r="AC1331">
            <v>0</v>
          </cell>
          <cell r="AD1331">
            <v>0</v>
          </cell>
          <cell r="AE1331">
            <v>0</v>
          </cell>
          <cell r="AF1331">
            <v>0</v>
          </cell>
          <cell r="AG1331">
            <v>0</v>
          </cell>
          <cell r="AH1331">
            <v>0</v>
          </cell>
          <cell r="AI1331">
            <v>0</v>
          </cell>
          <cell r="AJ1331">
            <v>0</v>
          </cell>
        </row>
        <row r="1332">
          <cell r="E1332" t="str">
            <v>NC Commercial Kerosene</v>
          </cell>
          <cell r="F1332">
            <v>443</v>
          </cell>
          <cell r="G1332">
            <v>529</v>
          </cell>
          <cell r="H1332">
            <v>261</v>
          </cell>
          <cell r="I1332">
            <v>286</v>
          </cell>
          <cell r="J1332">
            <v>1929</v>
          </cell>
          <cell r="K1332">
            <v>834</v>
          </cell>
          <cell r="L1332">
            <v>1012</v>
          </cell>
          <cell r="M1332">
            <v>1163</v>
          </cell>
          <cell r="N1332">
            <v>1477</v>
          </cell>
          <cell r="O1332">
            <v>1047</v>
          </cell>
          <cell r="P1332">
            <v>1326</v>
          </cell>
          <cell r="Q1332">
            <v>1091</v>
          </cell>
          <cell r="R1332">
            <v>537</v>
          </cell>
          <cell r="S1332">
            <v>1527</v>
          </cell>
          <cell r="T1332">
            <v>954</v>
          </cell>
          <cell r="U1332">
            <v>919</v>
          </cell>
          <cell r="V1332">
            <v>566</v>
          </cell>
          <cell r="W1332">
            <v>404</v>
          </cell>
          <cell r="X1332">
            <v>211</v>
          </cell>
          <cell r="Y1332">
            <v>169</v>
          </cell>
          <cell r="Z1332">
            <v>371</v>
          </cell>
          <cell r="AA1332">
            <v>151</v>
          </cell>
          <cell r="AB1332">
            <v>50</v>
          </cell>
          <cell r="AC1332">
            <v>57</v>
          </cell>
          <cell r="AD1332">
            <v>126</v>
          </cell>
          <cell r="AE1332">
            <v>58</v>
          </cell>
          <cell r="AF1332">
            <v>85</v>
          </cell>
          <cell r="AG1332">
            <v>38</v>
          </cell>
          <cell r="AH1332">
            <v>38</v>
          </cell>
          <cell r="AI1332">
            <v>36</v>
          </cell>
          <cell r="AJ1332">
            <v>32</v>
          </cell>
        </row>
        <row r="1333">
          <cell r="E1333" t="str">
            <v>ND Commercial Kerosene</v>
          </cell>
          <cell r="F1333">
            <v>2</v>
          </cell>
          <cell r="G1333">
            <v>3</v>
          </cell>
          <cell r="H1333">
            <v>2</v>
          </cell>
          <cell r="I1333">
            <v>7</v>
          </cell>
          <cell r="J1333">
            <v>5</v>
          </cell>
          <cell r="K1333">
            <v>7</v>
          </cell>
          <cell r="L1333">
            <v>10</v>
          </cell>
          <cell r="M1333">
            <v>3</v>
          </cell>
          <cell r="N1333">
            <v>6</v>
          </cell>
          <cell r="O1333">
            <v>4</v>
          </cell>
          <cell r="P1333">
            <v>8</v>
          </cell>
          <cell r="Q1333">
            <v>14</v>
          </cell>
          <cell r="R1333">
            <v>7</v>
          </cell>
          <cell r="S1333">
            <v>6</v>
          </cell>
          <cell r="T1333">
            <v>11</v>
          </cell>
          <cell r="U1333">
            <v>16</v>
          </cell>
          <cell r="V1333">
            <v>18</v>
          </cell>
          <cell r="W1333">
            <v>7</v>
          </cell>
          <cell r="X1333">
            <v>5</v>
          </cell>
          <cell r="Y1333">
            <v>8</v>
          </cell>
          <cell r="Z1333">
            <v>10</v>
          </cell>
          <cell r="AA1333">
            <v>5</v>
          </cell>
          <cell r="AB1333">
            <v>2</v>
          </cell>
          <cell r="AC1333">
            <v>4</v>
          </cell>
          <cell r="AD1333">
            <v>5</v>
          </cell>
          <cell r="AE1333">
            <v>4</v>
          </cell>
          <cell r="AF1333">
            <v>5</v>
          </cell>
          <cell r="AG1333">
            <v>2</v>
          </cell>
          <cell r="AH1333">
            <v>2</v>
          </cell>
          <cell r="AI1333">
            <v>2</v>
          </cell>
          <cell r="AJ1333">
            <v>1</v>
          </cell>
        </row>
        <row r="1334">
          <cell r="E1334" t="str">
            <v>NE Commercial Kerosene</v>
          </cell>
          <cell r="F1334">
            <v>130</v>
          </cell>
          <cell r="G1334">
            <v>15</v>
          </cell>
          <cell r="H1334">
            <v>8</v>
          </cell>
          <cell r="I1334">
            <v>25</v>
          </cell>
          <cell r="J1334">
            <v>30</v>
          </cell>
          <cell r="K1334">
            <v>23</v>
          </cell>
          <cell r="L1334">
            <v>23</v>
          </cell>
          <cell r="M1334">
            <v>15</v>
          </cell>
          <cell r="N1334">
            <v>16</v>
          </cell>
          <cell r="O1334">
            <v>8</v>
          </cell>
          <cell r="P1334">
            <v>6</v>
          </cell>
          <cell r="Q1334">
            <v>15</v>
          </cell>
          <cell r="R1334">
            <v>12</v>
          </cell>
          <cell r="S1334">
            <v>20</v>
          </cell>
          <cell r="T1334">
            <v>37</v>
          </cell>
          <cell r="U1334">
            <v>24</v>
          </cell>
          <cell r="V1334">
            <v>15</v>
          </cell>
          <cell r="W1334">
            <v>7</v>
          </cell>
          <cell r="X1334">
            <v>5</v>
          </cell>
          <cell r="Y1334">
            <v>3</v>
          </cell>
          <cell r="Z1334">
            <v>4</v>
          </cell>
          <cell r="AA1334">
            <v>3</v>
          </cell>
          <cell r="AB1334">
            <v>1</v>
          </cell>
          <cell r="AC1334">
            <v>1</v>
          </cell>
          <cell r="AD1334">
            <v>2</v>
          </cell>
          <cell r="AE1334">
            <v>1</v>
          </cell>
          <cell r="AF1334">
            <v>2</v>
          </cell>
          <cell r="AG1334">
            <v>1</v>
          </cell>
          <cell r="AH1334">
            <v>1</v>
          </cell>
          <cell r="AI1334">
            <v>2</v>
          </cell>
          <cell r="AJ1334">
            <v>3</v>
          </cell>
        </row>
        <row r="1335">
          <cell r="E1335" t="str">
            <v>NH Commercial Kerosene</v>
          </cell>
          <cell r="F1335">
            <v>141</v>
          </cell>
          <cell r="G1335">
            <v>121</v>
          </cell>
          <cell r="H1335">
            <v>125</v>
          </cell>
          <cell r="I1335">
            <v>196</v>
          </cell>
          <cell r="J1335">
            <v>230</v>
          </cell>
          <cell r="K1335">
            <v>248</v>
          </cell>
          <cell r="L1335">
            <v>236</v>
          </cell>
          <cell r="M1335">
            <v>329</v>
          </cell>
          <cell r="N1335">
            <v>324</v>
          </cell>
          <cell r="O1335">
            <v>237</v>
          </cell>
          <cell r="P1335">
            <v>269</v>
          </cell>
          <cell r="Q1335">
            <v>302</v>
          </cell>
          <cell r="R1335">
            <v>197</v>
          </cell>
          <cell r="S1335">
            <v>244</v>
          </cell>
          <cell r="T1335">
            <v>260</v>
          </cell>
          <cell r="U1335">
            <v>351</v>
          </cell>
          <cell r="V1335">
            <v>260</v>
          </cell>
          <cell r="W1335">
            <v>222</v>
          </cell>
          <cell r="X1335">
            <v>66</v>
          </cell>
          <cell r="Y1335">
            <v>78</v>
          </cell>
          <cell r="Z1335">
            <v>73</v>
          </cell>
          <cell r="AA1335">
            <v>60</v>
          </cell>
          <cell r="AB1335">
            <v>19</v>
          </cell>
          <cell r="AC1335">
            <v>27</v>
          </cell>
          <cell r="AD1335">
            <v>47</v>
          </cell>
          <cell r="AE1335">
            <v>29</v>
          </cell>
          <cell r="AF1335">
            <v>58</v>
          </cell>
          <cell r="AG1335">
            <v>44</v>
          </cell>
          <cell r="AH1335">
            <v>44</v>
          </cell>
          <cell r="AI1335">
            <v>78</v>
          </cell>
          <cell r="AJ1335">
            <v>58</v>
          </cell>
        </row>
        <row r="1336">
          <cell r="E1336" t="str">
            <v>NJ Commercial Kerosene</v>
          </cell>
          <cell r="F1336">
            <v>1008</v>
          </cell>
          <cell r="G1336">
            <v>1087</v>
          </cell>
          <cell r="H1336">
            <v>2207</v>
          </cell>
          <cell r="I1336">
            <v>906</v>
          </cell>
          <cell r="J1336">
            <v>3490</v>
          </cell>
          <cell r="K1336">
            <v>3208</v>
          </cell>
          <cell r="L1336">
            <v>1379</v>
          </cell>
          <cell r="M1336">
            <v>4252</v>
          </cell>
          <cell r="N1336">
            <v>6149</v>
          </cell>
          <cell r="O1336">
            <v>7055</v>
          </cell>
          <cell r="P1336">
            <v>6743</v>
          </cell>
          <cell r="Q1336">
            <v>7075</v>
          </cell>
          <cell r="R1336">
            <v>2563</v>
          </cell>
          <cell r="S1336">
            <v>1399</v>
          </cell>
          <cell r="T1336">
            <v>1564</v>
          </cell>
          <cell r="U1336">
            <v>1990</v>
          </cell>
          <cell r="V1336">
            <v>794</v>
          </cell>
          <cell r="W1336">
            <v>610</v>
          </cell>
          <cell r="X1336">
            <v>325</v>
          </cell>
          <cell r="Y1336">
            <v>211</v>
          </cell>
          <cell r="Z1336">
            <v>59</v>
          </cell>
          <cell r="AA1336">
            <v>80</v>
          </cell>
          <cell r="AB1336">
            <v>14</v>
          </cell>
          <cell r="AC1336">
            <v>12</v>
          </cell>
          <cell r="AD1336">
            <v>16</v>
          </cell>
          <cell r="AE1336">
            <v>7</v>
          </cell>
          <cell r="AF1336">
            <v>35</v>
          </cell>
          <cell r="AG1336">
            <v>17</v>
          </cell>
          <cell r="AH1336">
            <v>35</v>
          </cell>
          <cell r="AI1336">
            <v>49</v>
          </cell>
          <cell r="AJ1336">
            <v>34</v>
          </cell>
        </row>
        <row r="1337">
          <cell r="E1337" t="str">
            <v>NM Commercial Kerosene</v>
          </cell>
          <cell r="F1337">
            <v>85</v>
          </cell>
          <cell r="G1337">
            <v>113</v>
          </cell>
          <cell r="H1337">
            <v>50</v>
          </cell>
          <cell r="I1337">
            <v>33</v>
          </cell>
          <cell r="J1337">
            <v>17</v>
          </cell>
          <cell r="K1337">
            <v>20</v>
          </cell>
          <cell r="L1337">
            <v>4</v>
          </cell>
          <cell r="M1337">
            <v>16</v>
          </cell>
          <cell r="N1337">
            <v>16</v>
          </cell>
          <cell r="O1337">
            <v>34</v>
          </cell>
          <cell r="P1337">
            <v>47</v>
          </cell>
          <cell r="Q1337">
            <v>92</v>
          </cell>
          <cell r="R1337">
            <v>48</v>
          </cell>
          <cell r="S1337">
            <v>32</v>
          </cell>
          <cell r="T1337">
            <v>19</v>
          </cell>
          <cell r="U1337">
            <v>17</v>
          </cell>
          <cell r="V1337">
            <v>14</v>
          </cell>
          <cell r="W1337">
            <v>9</v>
          </cell>
          <cell r="X1337">
            <v>1</v>
          </cell>
          <cell r="Y1337">
            <v>2</v>
          </cell>
          <cell r="Z1337">
            <v>2</v>
          </cell>
          <cell r="AA1337">
            <v>1</v>
          </cell>
          <cell r="AB1337">
            <v>0</v>
          </cell>
          <cell r="AC1337">
            <v>0</v>
          </cell>
          <cell r="AD1337">
            <v>1</v>
          </cell>
          <cell r="AE1337">
            <v>1</v>
          </cell>
          <cell r="AF1337">
            <v>1</v>
          </cell>
          <cell r="AG1337">
            <v>0</v>
          </cell>
          <cell r="AH1337">
            <v>0</v>
          </cell>
          <cell r="AI1337">
            <v>0</v>
          </cell>
          <cell r="AJ1337">
            <v>4</v>
          </cell>
        </row>
        <row r="1338">
          <cell r="E1338" t="str">
            <v>NV Commercial Kerosene</v>
          </cell>
          <cell r="F1338">
            <v>20</v>
          </cell>
          <cell r="G1338">
            <v>17</v>
          </cell>
          <cell r="H1338">
            <v>23</v>
          </cell>
          <cell r="I1338">
            <v>18</v>
          </cell>
          <cell r="J1338">
            <v>14</v>
          </cell>
          <cell r="K1338">
            <v>7</v>
          </cell>
          <cell r="L1338">
            <v>9</v>
          </cell>
          <cell r="M1338">
            <v>4</v>
          </cell>
          <cell r="N1338">
            <v>12</v>
          </cell>
          <cell r="O1338">
            <v>14</v>
          </cell>
          <cell r="P1338">
            <v>11</v>
          </cell>
          <cell r="Q1338">
            <v>12</v>
          </cell>
          <cell r="R1338">
            <v>4</v>
          </cell>
          <cell r="S1338">
            <v>9</v>
          </cell>
          <cell r="T1338">
            <v>9</v>
          </cell>
          <cell r="U1338">
            <v>15</v>
          </cell>
          <cell r="V1338">
            <v>31</v>
          </cell>
          <cell r="W1338">
            <v>34</v>
          </cell>
          <cell r="X1338">
            <v>18</v>
          </cell>
          <cell r="Y1338">
            <v>61</v>
          </cell>
          <cell r="Z1338">
            <v>44</v>
          </cell>
          <cell r="AA1338">
            <v>6</v>
          </cell>
          <cell r="AB1338">
            <v>2</v>
          </cell>
          <cell r="AC1338">
            <v>1</v>
          </cell>
          <cell r="AD1338">
            <v>1</v>
          </cell>
          <cell r="AE1338">
            <v>1</v>
          </cell>
          <cell r="AF1338">
            <v>4</v>
          </cell>
          <cell r="AG1338">
            <v>3</v>
          </cell>
          <cell r="AH1338">
            <v>3</v>
          </cell>
          <cell r="AI1338">
            <v>12</v>
          </cell>
          <cell r="AJ1338">
            <v>0</v>
          </cell>
        </row>
        <row r="1339">
          <cell r="E1339" t="str">
            <v>NY Commercial Kerosene</v>
          </cell>
          <cell r="F1339">
            <v>1525</v>
          </cell>
          <cell r="G1339">
            <v>1208</v>
          </cell>
          <cell r="H1339">
            <v>2315</v>
          </cell>
          <cell r="I1339">
            <v>3493</v>
          </cell>
          <cell r="J1339">
            <v>3052</v>
          </cell>
          <cell r="K1339">
            <v>4051</v>
          </cell>
          <cell r="L1339">
            <v>4260</v>
          </cell>
          <cell r="M1339">
            <v>4544</v>
          </cell>
          <cell r="N1339">
            <v>5565</v>
          </cell>
          <cell r="O1339">
            <v>3866</v>
          </cell>
          <cell r="P1339">
            <v>5374</v>
          </cell>
          <cell r="Q1339">
            <v>4955</v>
          </cell>
          <cell r="R1339">
            <v>2797</v>
          </cell>
          <cell r="S1339">
            <v>3770</v>
          </cell>
          <cell r="T1339">
            <v>4223</v>
          </cell>
          <cell r="U1339">
            <v>4305</v>
          </cell>
          <cell r="V1339">
            <v>2009</v>
          </cell>
          <cell r="W1339">
            <v>1386</v>
          </cell>
          <cell r="X1339">
            <v>726</v>
          </cell>
          <cell r="Y1339">
            <v>960</v>
          </cell>
          <cell r="Z1339">
            <v>874</v>
          </cell>
          <cell r="AA1339">
            <v>953</v>
          </cell>
          <cell r="AB1339">
            <v>338</v>
          </cell>
          <cell r="AC1339">
            <v>159</v>
          </cell>
          <cell r="AD1339">
            <v>304</v>
          </cell>
          <cell r="AE1339">
            <v>158</v>
          </cell>
          <cell r="AF1339">
            <v>326</v>
          </cell>
          <cell r="AG1339">
            <v>175</v>
          </cell>
          <cell r="AH1339">
            <v>234</v>
          </cell>
          <cell r="AI1339">
            <v>422</v>
          </cell>
          <cell r="AJ1339">
            <v>304</v>
          </cell>
        </row>
        <row r="1340">
          <cell r="E1340" t="str">
            <v>OH Commercial Kerosene</v>
          </cell>
          <cell r="F1340">
            <v>1072</v>
          </cell>
          <cell r="G1340">
            <v>1022</v>
          </cell>
          <cell r="H1340">
            <v>383</v>
          </cell>
          <cell r="I1340">
            <v>1139</v>
          </cell>
          <cell r="J1340">
            <v>819</v>
          </cell>
          <cell r="K1340">
            <v>503</v>
          </cell>
          <cell r="L1340">
            <v>878</v>
          </cell>
          <cell r="M1340">
            <v>718</v>
          </cell>
          <cell r="N1340">
            <v>1236</v>
          </cell>
          <cell r="O1340">
            <v>731</v>
          </cell>
          <cell r="P1340">
            <v>750</v>
          </cell>
          <cell r="Q1340">
            <v>831</v>
          </cell>
          <cell r="R1340">
            <v>525</v>
          </cell>
          <cell r="S1340">
            <v>1152</v>
          </cell>
          <cell r="T1340">
            <v>1461</v>
          </cell>
          <cell r="U1340">
            <v>1268</v>
          </cell>
          <cell r="V1340">
            <v>911</v>
          </cell>
          <cell r="W1340">
            <v>474</v>
          </cell>
          <cell r="X1340">
            <v>234</v>
          </cell>
          <cell r="Y1340">
            <v>160</v>
          </cell>
          <cell r="Z1340">
            <v>152</v>
          </cell>
          <cell r="AA1340">
            <v>72</v>
          </cell>
          <cell r="AB1340">
            <v>38</v>
          </cell>
          <cell r="AC1340">
            <v>27</v>
          </cell>
          <cell r="AD1340">
            <v>52</v>
          </cell>
          <cell r="AE1340">
            <v>35</v>
          </cell>
          <cell r="AF1340">
            <v>71</v>
          </cell>
          <cell r="AG1340">
            <v>37</v>
          </cell>
          <cell r="AH1340">
            <v>45</v>
          </cell>
          <cell r="AI1340">
            <v>54</v>
          </cell>
          <cell r="AJ1340">
            <v>48</v>
          </cell>
        </row>
        <row r="1341">
          <cell r="E1341" t="str">
            <v>OK Commercial Kerosene</v>
          </cell>
          <cell r="F1341">
            <v>71</v>
          </cell>
          <cell r="G1341">
            <v>55</v>
          </cell>
          <cell r="H1341">
            <v>21</v>
          </cell>
          <cell r="I1341">
            <v>29</v>
          </cell>
          <cell r="J1341">
            <v>22</v>
          </cell>
          <cell r="K1341">
            <v>29</v>
          </cell>
          <cell r="L1341">
            <v>28</v>
          </cell>
          <cell r="M1341">
            <v>92</v>
          </cell>
          <cell r="N1341">
            <v>119</v>
          </cell>
          <cell r="O1341">
            <v>66</v>
          </cell>
          <cell r="P1341">
            <v>182</v>
          </cell>
          <cell r="Q1341">
            <v>45</v>
          </cell>
          <cell r="R1341">
            <v>28</v>
          </cell>
          <cell r="S1341">
            <v>27</v>
          </cell>
          <cell r="T1341">
            <v>37</v>
          </cell>
          <cell r="U1341">
            <v>50</v>
          </cell>
          <cell r="V1341">
            <v>49</v>
          </cell>
          <cell r="W1341">
            <v>46</v>
          </cell>
          <cell r="X1341">
            <v>21</v>
          </cell>
          <cell r="Y1341">
            <v>17</v>
          </cell>
          <cell r="Z1341">
            <v>17</v>
          </cell>
          <cell r="AA1341">
            <v>22</v>
          </cell>
          <cell r="AB1341">
            <v>11</v>
          </cell>
          <cell r="AC1341">
            <v>6</v>
          </cell>
          <cell r="AD1341">
            <v>8</v>
          </cell>
          <cell r="AE1341">
            <v>4</v>
          </cell>
          <cell r="AF1341">
            <v>2</v>
          </cell>
          <cell r="AG1341">
            <v>2</v>
          </cell>
          <cell r="AH1341">
            <v>2</v>
          </cell>
          <cell r="AI1341">
            <v>1</v>
          </cell>
          <cell r="AJ1341">
            <v>1</v>
          </cell>
        </row>
        <row r="1342">
          <cell r="E1342" t="str">
            <v>OR Commercial Kerosene</v>
          </cell>
          <cell r="F1342">
            <v>46</v>
          </cell>
          <cell r="G1342">
            <v>22</v>
          </cell>
          <cell r="H1342">
            <v>27</v>
          </cell>
          <cell r="I1342">
            <v>61</v>
          </cell>
          <cell r="J1342">
            <v>79</v>
          </cell>
          <cell r="K1342">
            <v>80</v>
          </cell>
          <cell r="L1342">
            <v>213</v>
          </cell>
          <cell r="M1342">
            <v>125</v>
          </cell>
          <cell r="N1342">
            <v>355</v>
          </cell>
          <cell r="O1342">
            <v>173</v>
          </cell>
          <cell r="P1342">
            <v>161</v>
          </cell>
          <cell r="Q1342">
            <v>412</v>
          </cell>
          <cell r="R1342">
            <v>263</v>
          </cell>
          <cell r="S1342">
            <v>129</v>
          </cell>
          <cell r="T1342">
            <v>252</v>
          </cell>
          <cell r="U1342">
            <v>347</v>
          </cell>
          <cell r="V1342">
            <v>235</v>
          </cell>
          <cell r="W1342">
            <v>72</v>
          </cell>
          <cell r="X1342">
            <v>54</v>
          </cell>
          <cell r="Y1342">
            <v>105</v>
          </cell>
          <cell r="Z1342">
            <v>42</v>
          </cell>
          <cell r="AA1342">
            <v>63</v>
          </cell>
          <cell r="AB1342">
            <v>22</v>
          </cell>
          <cell r="AC1342">
            <v>16</v>
          </cell>
          <cell r="AD1342">
            <v>20</v>
          </cell>
          <cell r="AE1342">
            <v>31</v>
          </cell>
          <cell r="AF1342">
            <v>4</v>
          </cell>
          <cell r="AG1342">
            <v>9</v>
          </cell>
          <cell r="AH1342">
            <v>7</v>
          </cell>
          <cell r="AI1342">
            <v>6</v>
          </cell>
          <cell r="AJ1342">
            <v>5</v>
          </cell>
        </row>
        <row r="1343">
          <cell r="E1343" t="str">
            <v>PA Commercial Kerosene</v>
          </cell>
          <cell r="F1343">
            <v>851</v>
          </cell>
          <cell r="G1343">
            <v>740</v>
          </cell>
          <cell r="H1343">
            <v>578</v>
          </cell>
          <cell r="I1343">
            <v>982</v>
          </cell>
          <cell r="J1343">
            <v>1896</v>
          </cell>
          <cell r="K1343">
            <v>2992</v>
          </cell>
          <cell r="L1343">
            <v>3150</v>
          </cell>
          <cell r="M1343">
            <v>1833</v>
          </cell>
          <cell r="N1343">
            <v>1608</v>
          </cell>
          <cell r="O1343">
            <v>1953</v>
          </cell>
          <cell r="P1343">
            <v>2307</v>
          </cell>
          <cell r="Q1343">
            <v>2843</v>
          </cell>
          <cell r="R1343">
            <v>2199</v>
          </cell>
          <cell r="S1343">
            <v>2236</v>
          </cell>
          <cell r="T1343">
            <v>2320</v>
          </cell>
          <cell r="U1343">
            <v>2610</v>
          </cell>
          <cell r="V1343">
            <v>2379</v>
          </cell>
          <cell r="W1343">
            <v>1055</v>
          </cell>
          <cell r="X1343">
            <v>327</v>
          </cell>
          <cell r="Y1343">
            <v>508</v>
          </cell>
          <cell r="Z1343">
            <v>755</v>
          </cell>
          <cell r="AA1343">
            <v>198</v>
          </cell>
          <cell r="AB1343">
            <v>67</v>
          </cell>
          <cell r="AC1343">
            <v>58</v>
          </cell>
          <cell r="AD1343">
            <v>212</v>
          </cell>
          <cell r="AE1343">
            <v>144</v>
          </cell>
          <cell r="AF1343">
            <v>222</v>
          </cell>
          <cell r="AG1343">
            <v>143</v>
          </cell>
          <cell r="AH1343">
            <v>179</v>
          </cell>
          <cell r="AI1343">
            <v>217</v>
          </cell>
          <cell r="AJ1343">
            <v>176</v>
          </cell>
        </row>
        <row r="1344">
          <cell r="E1344" t="str">
            <v>RI Commercial Kerosene</v>
          </cell>
          <cell r="F1344">
            <v>9</v>
          </cell>
          <cell r="G1344">
            <v>6</v>
          </cell>
          <cell r="H1344">
            <v>18</v>
          </cell>
          <cell r="I1344">
            <v>14</v>
          </cell>
          <cell r="J1344">
            <v>27</v>
          </cell>
          <cell r="K1344">
            <v>173</v>
          </cell>
          <cell r="L1344">
            <v>11</v>
          </cell>
          <cell r="M1344">
            <v>313</v>
          </cell>
          <cell r="N1344">
            <v>382</v>
          </cell>
          <cell r="O1344">
            <v>226</v>
          </cell>
          <cell r="P1344">
            <v>108</v>
          </cell>
          <cell r="Q1344">
            <v>556</v>
          </cell>
          <cell r="R1344">
            <v>312</v>
          </cell>
          <cell r="S1344">
            <v>29</v>
          </cell>
          <cell r="T1344">
            <v>39</v>
          </cell>
          <cell r="U1344">
            <v>53</v>
          </cell>
          <cell r="V1344">
            <v>56</v>
          </cell>
          <cell r="W1344">
            <v>3</v>
          </cell>
          <cell r="X1344">
            <v>8</v>
          </cell>
          <cell r="Y1344">
            <v>2</v>
          </cell>
          <cell r="Z1344">
            <v>3</v>
          </cell>
          <cell r="AA1344">
            <v>4</v>
          </cell>
          <cell r="AB1344">
            <v>1</v>
          </cell>
          <cell r="AC1344">
            <v>1</v>
          </cell>
          <cell r="AD1344">
            <v>3</v>
          </cell>
          <cell r="AE1344">
            <v>2</v>
          </cell>
          <cell r="AF1344">
            <v>3</v>
          </cell>
          <cell r="AG1344">
            <v>2</v>
          </cell>
          <cell r="AH1344">
            <v>4</v>
          </cell>
          <cell r="AI1344">
            <v>5</v>
          </cell>
          <cell r="AJ1344">
            <v>6</v>
          </cell>
        </row>
        <row r="1345">
          <cell r="E1345" t="str">
            <v>SC Commercial Kerosene</v>
          </cell>
          <cell r="F1345">
            <v>70</v>
          </cell>
          <cell r="G1345">
            <v>66</v>
          </cell>
          <cell r="H1345">
            <v>77</v>
          </cell>
          <cell r="I1345">
            <v>114</v>
          </cell>
          <cell r="J1345">
            <v>148</v>
          </cell>
          <cell r="K1345">
            <v>148</v>
          </cell>
          <cell r="L1345">
            <v>132</v>
          </cell>
          <cell r="M1345">
            <v>91</v>
          </cell>
          <cell r="N1345">
            <v>268</v>
          </cell>
          <cell r="O1345">
            <v>172</v>
          </cell>
          <cell r="P1345">
            <v>308</v>
          </cell>
          <cell r="Q1345">
            <v>227</v>
          </cell>
          <cell r="R1345">
            <v>138</v>
          </cell>
          <cell r="S1345">
            <v>124</v>
          </cell>
          <cell r="T1345">
            <v>148</v>
          </cell>
          <cell r="U1345">
            <v>155</v>
          </cell>
          <cell r="V1345">
            <v>153</v>
          </cell>
          <cell r="W1345">
            <v>105</v>
          </cell>
          <cell r="X1345">
            <v>101</v>
          </cell>
          <cell r="Y1345">
            <v>37</v>
          </cell>
          <cell r="Z1345">
            <v>104</v>
          </cell>
          <cell r="AA1345">
            <v>27</v>
          </cell>
          <cell r="AB1345">
            <v>11</v>
          </cell>
          <cell r="AC1345">
            <v>6</v>
          </cell>
          <cell r="AD1345">
            <v>8</v>
          </cell>
          <cell r="AE1345">
            <v>7</v>
          </cell>
          <cell r="AF1345">
            <v>6</v>
          </cell>
          <cell r="AG1345">
            <v>4</v>
          </cell>
          <cell r="AH1345">
            <v>18</v>
          </cell>
          <cell r="AI1345">
            <v>14</v>
          </cell>
          <cell r="AJ1345">
            <v>11</v>
          </cell>
        </row>
        <row r="1346">
          <cell r="E1346" t="str">
            <v>SD Commercial Kerosene</v>
          </cell>
          <cell r="F1346">
            <v>1</v>
          </cell>
          <cell r="G1346">
            <v>1</v>
          </cell>
          <cell r="H1346">
            <v>2</v>
          </cell>
          <cell r="I1346">
            <v>3</v>
          </cell>
          <cell r="J1346">
            <v>2</v>
          </cell>
          <cell r="K1346">
            <v>4</v>
          </cell>
          <cell r="L1346">
            <v>3</v>
          </cell>
          <cell r="M1346">
            <v>3</v>
          </cell>
          <cell r="N1346">
            <v>3</v>
          </cell>
          <cell r="O1346">
            <v>4</v>
          </cell>
          <cell r="P1346">
            <v>5</v>
          </cell>
          <cell r="Q1346">
            <v>7</v>
          </cell>
          <cell r="R1346">
            <v>11</v>
          </cell>
          <cell r="S1346">
            <v>12</v>
          </cell>
          <cell r="T1346">
            <v>10</v>
          </cell>
          <cell r="U1346">
            <v>17</v>
          </cell>
          <cell r="V1346">
            <v>8</v>
          </cell>
          <cell r="W1346">
            <v>1</v>
          </cell>
          <cell r="X1346">
            <v>0</v>
          </cell>
          <cell r="Y1346">
            <v>1</v>
          </cell>
          <cell r="Z1346">
            <v>1</v>
          </cell>
          <cell r="AA1346">
            <v>0</v>
          </cell>
          <cell r="AB1346">
            <v>0</v>
          </cell>
          <cell r="AC1346">
            <v>0</v>
          </cell>
          <cell r="AD1346">
            <v>0</v>
          </cell>
          <cell r="AE1346">
            <v>0</v>
          </cell>
          <cell r="AF1346">
            <v>0</v>
          </cell>
          <cell r="AG1346">
            <v>0</v>
          </cell>
          <cell r="AH1346">
            <v>1</v>
          </cell>
          <cell r="AI1346">
            <v>1</v>
          </cell>
          <cell r="AJ1346">
            <v>0</v>
          </cell>
        </row>
        <row r="1347">
          <cell r="E1347" t="str">
            <v>TN Commercial Kerosene</v>
          </cell>
          <cell r="F1347">
            <v>392</v>
          </cell>
          <cell r="G1347">
            <v>179</v>
          </cell>
          <cell r="H1347">
            <v>389</v>
          </cell>
          <cell r="I1347">
            <v>343</v>
          </cell>
          <cell r="J1347">
            <v>412</v>
          </cell>
          <cell r="K1347">
            <v>454</v>
          </cell>
          <cell r="L1347">
            <v>502</v>
          </cell>
          <cell r="M1347">
            <v>561</v>
          </cell>
          <cell r="N1347">
            <v>697</v>
          </cell>
          <cell r="O1347">
            <v>296</v>
          </cell>
          <cell r="P1347">
            <v>597</v>
          </cell>
          <cell r="Q1347">
            <v>510</v>
          </cell>
          <cell r="R1347">
            <v>267</v>
          </cell>
          <cell r="S1347">
            <v>306</v>
          </cell>
          <cell r="T1347">
            <v>243</v>
          </cell>
          <cell r="U1347">
            <v>228</v>
          </cell>
          <cell r="V1347">
            <v>157</v>
          </cell>
          <cell r="W1347">
            <v>137</v>
          </cell>
          <cell r="X1347">
            <v>51</v>
          </cell>
          <cell r="Y1347">
            <v>56</v>
          </cell>
          <cell r="Z1347">
            <v>50</v>
          </cell>
          <cell r="AA1347">
            <v>42</v>
          </cell>
          <cell r="AB1347">
            <v>17</v>
          </cell>
          <cell r="AC1347">
            <v>22</v>
          </cell>
          <cell r="AD1347">
            <v>34</v>
          </cell>
          <cell r="AE1347">
            <v>14</v>
          </cell>
          <cell r="AF1347">
            <v>28</v>
          </cell>
          <cell r="AG1347">
            <v>20</v>
          </cell>
          <cell r="AH1347">
            <v>21</v>
          </cell>
          <cell r="AI1347">
            <v>17</v>
          </cell>
          <cell r="AJ1347">
            <v>28</v>
          </cell>
        </row>
        <row r="1348">
          <cell r="E1348" t="str">
            <v>TX Commercial Kerosene</v>
          </cell>
          <cell r="F1348">
            <v>140</v>
          </cell>
          <cell r="G1348">
            <v>71</v>
          </cell>
          <cell r="H1348">
            <v>387</v>
          </cell>
          <cell r="I1348">
            <v>139</v>
          </cell>
          <cell r="J1348">
            <v>167</v>
          </cell>
          <cell r="K1348">
            <v>262</v>
          </cell>
          <cell r="L1348">
            <v>213</v>
          </cell>
          <cell r="M1348">
            <v>215</v>
          </cell>
          <cell r="N1348">
            <v>297</v>
          </cell>
          <cell r="O1348">
            <v>320</v>
          </cell>
          <cell r="P1348">
            <v>273</v>
          </cell>
          <cell r="Q1348">
            <v>474</v>
          </cell>
          <cell r="R1348">
            <v>326</v>
          </cell>
          <cell r="S1348">
            <v>197</v>
          </cell>
          <cell r="T1348">
            <v>195</v>
          </cell>
          <cell r="U1348">
            <v>247</v>
          </cell>
          <cell r="V1348">
            <v>417</v>
          </cell>
          <cell r="W1348">
            <v>244</v>
          </cell>
          <cell r="X1348">
            <v>215</v>
          </cell>
          <cell r="Y1348">
            <v>195</v>
          </cell>
          <cell r="Z1348">
            <v>130</v>
          </cell>
          <cell r="AA1348">
            <v>107</v>
          </cell>
          <cell r="AB1348">
            <v>51</v>
          </cell>
          <cell r="AC1348">
            <v>28</v>
          </cell>
          <cell r="AD1348">
            <v>76</v>
          </cell>
          <cell r="AE1348">
            <v>42</v>
          </cell>
          <cell r="AF1348">
            <v>66</v>
          </cell>
          <cell r="AG1348">
            <v>28</v>
          </cell>
          <cell r="AH1348">
            <v>28</v>
          </cell>
          <cell r="AI1348">
            <v>35</v>
          </cell>
          <cell r="AJ1348">
            <v>52</v>
          </cell>
        </row>
        <row r="1349">
          <cell r="E1349" t="str">
            <v>US Commercial Kerosene</v>
          </cell>
          <cell r="F1349">
            <v>11835</v>
          </cell>
          <cell r="G1349">
            <v>12088</v>
          </cell>
          <cell r="H1349">
            <v>11124</v>
          </cell>
          <cell r="I1349">
            <v>14039</v>
          </cell>
          <cell r="J1349">
            <v>19459</v>
          </cell>
          <cell r="K1349">
            <v>22102</v>
          </cell>
          <cell r="L1349">
            <v>21032</v>
          </cell>
          <cell r="M1349">
            <v>24645</v>
          </cell>
          <cell r="N1349">
            <v>31150</v>
          </cell>
          <cell r="O1349">
            <v>26943</v>
          </cell>
          <cell r="P1349">
            <v>29650</v>
          </cell>
          <cell r="Q1349">
            <v>31402</v>
          </cell>
          <cell r="R1349">
            <v>15947</v>
          </cell>
          <cell r="S1349">
            <v>18637</v>
          </cell>
          <cell r="T1349">
            <v>20494</v>
          </cell>
          <cell r="U1349">
            <v>21592</v>
          </cell>
          <cell r="V1349">
            <v>15172</v>
          </cell>
          <cell r="W1349">
            <v>9175</v>
          </cell>
          <cell r="X1349">
            <v>4436</v>
          </cell>
          <cell r="Y1349">
            <v>4224</v>
          </cell>
          <cell r="Z1349">
            <v>4822</v>
          </cell>
          <cell r="AA1349">
            <v>3193</v>
          </cell>
          <cell r="AB1349">
            <v>1203</v>
          </cell>
          <cell r="AC1349">
            <v>1018</v>
          </cell>
          <cell r="AD1349">
            <v>2041</v>
          </cell>
          <cell r="AE1349">
            <v>1371</v>
          </cell>
          <cell r="AF1349">
            <v>2077</v>
          </cell>
          <cell r="AG1349">
            <v>1188</v>
          </cell>
          <cell r="AH1349">
            <v>1337</v>
          </cell>
          <cell r="AI1349">
            <v>1840</v>
          </cell>
          <cell r="AJ1349">
            <v>1693</v>
          </cell>
        </row>
        <row r="1350">
          <cell r="E1350" t="str">
            <v>UT Commercial Kerosene</v>
          </cell>
          <cell r="F1350">
            <v>27</v>
          </cell>
          <cell r="G1350">
            <v>48</v>
          </cell>
          <cell r="H1350">
            <v>5</v>
          </cell>
          <cell r="I1350">
            <v>20</v>
          </cell>
          <cell r="J1350">
            <v>9</v>
          </cell>
          <cell r="K1350">
            <v>6</v>
          </cell>
          <cell r="L1350">
            <v>16</v>
          </cell>
          <cell r="M1350">
            <v>20</v>
          </cell>
          <cell r="N1350">
            <v>30</v>
          </cell>
          <cell r="O1350">
            <v>20</v>
          </cell>
          <cell r="P1350">
            <v>24</v>
          </cell>
          <cell r="Q1350">
            <v>44</v>
          </cell>
          <cell r="R1350">
            <v>20</v>
          </cell>
          <cell r="S1350">
            <v>26</v>
          </cell>
          <cell r="T1350">
            <v>45</v>
          </cell>
          <cell r="U1350">
            <v>64</v>
          </cell>
          <cell r="V1350">
            <v>34</v>
          </cell>
          <cell r="W1350">
            <v>20</v>
          </cell>
          <cell r="X1350">
            <v>12</v>
          </cell>
          <cell r="Y1350">
            <v>11</v>
          </cell>
          <cell r="Z1350">
            <v>14</v>
          </cell>
          <cell r="AA1350">
            <v>3</v>
          </cell>
          <cell r="AB1350">
            <v>2</v>
          </cell>
          <cell r="AC1350">
            <v>4</v>
          </cell>
          <cell r="AD1350">
            <v>4</v>
          </cell>
          <cell r="AE1350">
            <v>2</v>
          </cell>
          <cell r="AF1350">
            <v>5</v>
          </cell>
          <cell r="AG1350">
            <v>2</v>
          </cell>
          <cell r="AH1350">
            <v>2</v>
          </cell>
          <cell r="AI1350">
            <v>2</v>
          </cell>
          <cell r="AJ1350">
            <v>2</v>
          </cell>
        </row>
        <row r="1351">
          <cell r="E1351" t="str">
            <v>VA Commercial Kerosene</v>
          </cell>
          <cell r="F1351">
            <v>790</v>
          </cell>
          <cell r="G1351">
            <v>839</v>
          </cell>
          <cell r="H1351">
            <v>719</v>
          </cell>
          <cell r="I1351">
            <v>902</v>
          </cell>
          <cell r="J1351">
            <v>571</v>
          </cell>
          <cell r="K1351">
            <v>1561</v>
          </cell>
          <cell r="L1351">
            <v>1573</v>
          </cell>
          <cell r="M1351">
            <v>2108</v>
          </cell>
          <cell r="N1351">
            <v>2456</v>
          </cell>
          <cell r="O1351">
            <v>1799</v>
          </cell>
          <cell r="P1351">
            <v>1567</v>
          </cell>
          <cell r="Q1351">
            <v>1291</v>
          </cell>
          <cell r="R1351">
            <v>498</v>
          </cell>
          <cell r="S1351">
            <v>1106</v>
          </cell>
          <cell r="T1351">
            <v>1373</v>
          </cell>
          <cell r="U1351">
            <v>1150</v>
          </cell>
          <cell r="V1351">
            <v>955</v>
          </cell>
          <cell r="W1351">
            <v>917</v>
          </cell>
          <cell r="X1351">
            <v>143</v>
          </cell>
          <cell r="Y1351">
            <v>157</v>
          </cell>
          <cell r="Z1351">
            <v>216</v>
          </cell>
          <cell r="AA1351">
            <v>145</v>
          </cell>
          <cell r="AB1351">
            <v>61</v>
          </cell>
          <cell r="AC1351">
            <v>71</v>
          </cell>
          <cell r="AD1351">
            <v>118</v>
          </cell>
          <cell r="AE1351">
            <v>74</v>
          </cell>
          <cell r="AF1351">
            <v>144</v>
          </cell>
          <cell r="AG1351">
            <v>54</v>
          </cell>
          <cell r="AH1351">
            <v>68</v>
          </cell>
          <cell r="AI1351">
            <v>74</v>
          </cell>
          <cell r="AJ1351">
            <v>86</v>
          </cell>
        </row>
        <row r="1352">
          <cell r="E1352" t="str">
            <v>VT Commercial Kerosene</v>
          </cell>
          <cell r="F1352">
            <v>71</v>
          </cell>
          <cell r="G1352">
            <v>88</v>
          </cell>
          <cell r="H1352">
            <v>80</v>
          </cell>
          <cell r="I1352">
            <v>192</v>
          </cell>
          <cell r="J1352">
            <v>108</v>
          </cell>
          <cell r="K1352">
            <v>81</v>
          </cell>
          <cell r="L1352">
            <v>76</v>
          </cell>
          <cell r="M1352">
            <v>117</v>
          </cell>
          <cell r="N1352">
            <v>179</v>
          </cell>
          <cell r="O1352">
            <v>200</v>
          </cell>
          <cell r="P1352">
            <v>132</v>
          </cell>
          <cell r="Q1352">
            <v>198</v>
          </cell>
          <cell r="R1352">
            <v>91</v>
          </cell>
          <cell r="S1352">
            <v>121</v>
          </cell>
          <cell r="T1352">
            <v>191</v>
          </cell>
          <cell r="U1352">
            <v>175</v>
          </cell>
          <cell r="V1352">
            <v>147</v>
          </cell>
          <cell r="W1352">
            <v>152</v>
          </cell>
          <cell r="X1352">
            <v>33</v>
          </cell>
          <cell r="Y1352">
            <v>79</v>
          </cell>
          <cell r="Z1352">
            <v>44</v>
          </cell>
          <cell r="AA1352">
            <v>49</v>
          </cell>
          <cell r="AB1352">
            <v>14</v>
          </cell>
          <cell r="AC1352">
            <v>15</v>
          </cell>
          <cell r="AD1352">
            <v>34</v>
          </cell>
          <cell r="AE1352">
            <v>29</v>
          </cell>
          <cell r="AF1352">
            <v>32</v>
          </cell>
          <cell r="AG1352">
            <v>21</v>
          </cell>
          <cell r="AH1352">
            <v>19</v>
          </cell>
          <cell r="AI1352">
            <v>33</v>
          </cell>
          <cell r="AJ1352">
            <v>42</v>
          </cell>
        </row>
        <row r="1353">
          <cell r="E1353" t="str">
            <v>WA Commercial Kerosene</v>
          </cell>
          <cell r="F1353">
            <v>81</v>
          </cell>
          <cell r="G1353">
            <v>98</v>
          </cell>
          <cell r="H1353">
            <v>68</v>
          </cell>
          <cell r="I1353">
            <v>75</v>
          </cell>
          <cell r="J1353">
            <v>89</v>
          </cell>
          <cell r="K1353">
            <v>79</v>
          </cell>
          <cell r="L1353">
            <v>46</v>
          </cell>
          <cell r="M1353">
            <v>73</v>
          </cell>
          <cell r="N1353">
            <v>138</v>
          </cell>
          <cell r="O1353">
            <v>67</v>
          </cell>
          <cell r="P1353">
            <v>67</v>
          </cell>
          <cell r="Q1353">
            <v>122</v>
          </cell>
          <cell r="R1353">
            <v>131</v>
          </cell>
          <cell r="S1353">
            <v>163</v>
          </cell>
          <cell r="T1353">
            <v>168</v>
          </cell>
          <cell r="U1353">
            <v>273</v>
          </cell>
          <cell r="V1353">
            <v>125</v>
          </cell>
          <cell r="W1353">
            <v>57</v>
          </cell>
          <cell r="X1353">
            <v>37</v>
          </cell>
          <cell r="Y1353">
            <v>33</v>
          </cell>
          <cell r="Z1353">
            <v>27</v>
          </cell>
          <cell r="AA1353">
            <v>20</v>
          </cell>
          <cell r="AB1353">
            <v>7</v>
          </cell>
          <cell r="AC1353">
            <v>8</v>
          </cell>
          <cell r="AD1353">
            <v>15</v>
          </cell>
          <cell r="AE1353">
            <v>8</v>
          </cell>
          <cell r="AF1353">
            <v>20</v>
          </cell>
          <cell r="AG1353">
            <v>10</v>
          </cell>
          <cell r="AH1353">
            <v>10</v>
          </cell>
          <cell r="AI1353">
            <v>17</v>
          </cell>
          <cell r="AJ1353">
            <v>20</v>
          </cell>
        </row>
        <row r="1354">
          <cell r="E1354" t="str">
            <v>WI Commercial Kerosene</v>
          </cell>
          <cell r="F1354">
            <v>49</v>
          </cell>
          <cell r="G1354">
            <v>50</v>
          </cell>
          <cell r="H1354">
            <v>58</v>
          </cell>
          <cell r="I1354">
            <v>61</v>
          </cell>
          <cell r="J1354">
            <v>46</v>
          </cell>
          <cell r="K1354">
            <v>56</v>
          </cell>
          <cell r="L1354">
            <v>69</v>
          </cell>
          <cell r="M1354">
            <v>42</v>
          </cell>
          <cell r="N1354">
            <v>57</v>
          </cell>
          <cell r="O1354">
            <v>39</v>
          </cell>
          <cell r="P1354">
            <v>54</v>
          </cell>
          <cell r="Q1354">
            <v>121</v>
          </cell>
          <cell r="R1354">
            <v>76</v>
          </cell>
          <cell r="S1354">
            <v>153</v>
          </cell>
          <cell r="T1354">
            <v>180</v>
          </cell>
          <cell r="U1354">
            <v>170</v>
          </cell>
          <cell r="V1354">
            <v>140</v>
          </cell>
          <cell r="W1354">
            <v>50</v>
          </cell>
          <cell r="X1354">
            <v>35</v>
          </cell>
          <cell r="Y1354">
            <v>28</v>
          </cell>
          <cell r="Z1354">
            <v>25</v>
          </cell>
          <cell r="AA1354">
            <v>17</v>
          </cell>
          <cell r="AB1354">
            <v>10</v>
          </cell>
          <cell r="AC1354">
            <v>14</v>
          </cell>
          <cell r="AD1354">
            <v>29</v>
          </cell>
          <cell r="AE1354">
            <v>13</v>
          </cell>
          <cell r="AF1354">
            <v>26</v>
          </cell>
          <cell r="AG1354">
            <v>17</v>
          </cell>
          <cell r="AH1354">
            <v>19</v>
          </cell>
          <cell r="AI1354">
            <v>10</v>
          </cell>
          <cell r="AJ1354">
            <v>11</v>
          </cell>
        </row>
        <row r="1355">
          <cell r="E1355" t="str">
            <v>WV Commercial Kerosene</v>
          </cell>
          <cell r="F1355">
            <v>260</v>
          </cell>
          <cell r="G1355">
            <v>365</v>
          </cell>
          <cell r="H1355">
            <v>179</v>
          </cell>
          <cell r="I1355">
            <v>207</v>
          </cell>
          <cell r="J1355">
            <v>216</v>
          </cell>
          <cell r="K1355">
            <v>208</v>
          </cell>
          <cell r="L1355">
            <v>208</v>
          </cell>
          <cell r="M1355">
            <v>289</v>
          </cell>
          <cell r="N1355">
            <v>323</v>
          </cell>
          <cell r="O1355">
            <v>364</v>
          </cell>
          <cell r="P1355">
            <v>412</v>
          </cell>
          <cell r="Q1355">
            <v>359</v>
          </cell>
          <cell r="R1355">
            <v>365</v>
          </cell>
          <cell r="S1355">
            <v>523</v>
          </cell>
          <cell r="T1355">
            <v>459</v>
          </cell>
          <cell r="U1355">
            <v>359</v>
          </cell>
          <cell r="V1355">
            <v>233</v>
          </cell>
          <cell r="W1355">
            <v>142</v>
          </cell>
          <cell r="X1355">
            <v>72</v>
          </cell>
          <cell r="Y1355">
            <v>53</v>
          </cell>
          <cell r="Z1355">
            <v>43</v>
          </cell>
          <cell r="AA1355">
            <v>18</v>
          </cell>
          <cell r="AB1355">
            <v>4</v>
          </cell>
          <cell r="AC1355">
            <v>17</v>
          </cell>
          <cell r="AD1355">
            <v>17</v>
          </cell>
          <cell r="AE1355">
            <v>23</v>
          </cell>
          <cell r="AF1355">
            <v>13</v>
          </cell>
          <cell r="AG1355">
            <v>10</v>
          </cell>
          <cell r="AH1355">
            <v>16</v>
          </cell>
          <cell r="AI1355">
            <v>20</v>
          </cell>
          <cell r="AJ1355">
            <v>21</v>
          </cell>
        </row>
        <row r="1356">
          <cell r="E1356" t="str">
            <v>WY Commercial Kerosene</v>
          </cell>
          <cell r="F1356">
            <v>5</v>
          </cell>
          <cell r="G1356">
            <v>17</v>
          </cell>
          <cell r="H1356">
            <v>1</v>
          </cell>
          <cell r="I1356">
            <v>1</v>
          </cell>
          <cell r="J1356">
            <v>0</v>
          </cell>
          <cell r="K1356">
            <v>9</v>
          </cell>
          <cell r="L1356">
            <v>7</v>
          </cell>
          <cell r="M1356">
            <v>7</v>
          </cell>
          <cell r="N1356">
            <v>9</v>
          </cell>
          <cell r="O1356">
            <v>2</v>
          </cell>
          <cell r="P1356">
            <v>2</v>
          </cell>
          <cell r="Q1356">
            <v>3</v>
          </cell>
          <cell r="R1356">
            <v>4</v>
          </cell>
          <cell r="S1356">
            <v>2</v>
          </cell>
          <cell r="T1356">
            <v>2</v>
          </cell>
          <cell r="U1356">
            <v>3</v>
          </cell>
          <cell r="V1356">
            <v>3</v>
          </cell>
          <cell r="W1356">
            <v>3</v>
          </cell>
          <cell r="X1356">
            <v>2</v>
          </cell>
          <cell r="Y1356">
            <v>4</v>
          </cell>
          <cell r="Z1356">
            <v>5</v>
          </cell>
          <cell r="AA1356">
            <v>1</v>
          </cell>
          <cell r="AB1356">
            <v>2</v>
          </cell>
          <cell r="AC1356">
            <v>1</v>
          </cell>
          <cell r="AD1356">
            <v>0</v>
          </cell>
          <cell r="AE1356">
            <v>3</v>
          </cell>
          <cell r="AF1356">
            <v>2</v>
          </cell>
          <cell r="AG1356">
            <v>1</v>
          </cell>
          <cell r="AH1356">
            <v>1</v>
          </cell>
          <cell r="AI1356">
            <v>0</v>
          </cell>
          <cell r="AJ1356">
            <v>1</v>
          </cell>
        </row>
        <row r="1357">
          <cell r="E1357" t="str">
            <v>AK Industrial Kerosene</v>
          </cell>
          <cell r="F1357">
            <v>1</v>
          </cell>
          <cell r="G1357">
            <v>1</v>
          </cell>
          <cell r="H1357">
            <v>2</v>
          </cell>
          <cell r="I1357">
            <v>24</v>
          </cell>
          <cell r="J1357">
            <v>2</v>
          </cell>
          <cell r="K1357">
            <v>1</v>
          </cell>
          <cell r="L1357">
            <v>1</v>
          </cell>
          <cell r="M1357">
            <v>0</v>
          </cell>
          <cell r="N1357">
            <v>0</v>
          </cell>
          <cell r="O1357">
            <v>0</v>
          </cell>
          <cell r="P1357">
            <v>0</v>
          </cell>
          <cell r="Q1357">
            <v>0</v>
          </cell>
          <cell r="R1357">
            <v>0</v>
          </cell>
          <cell r="S1357">
            <v>0</v>
          </cell>
          <cell r="T1357">
            <v>0</v>
          </cell>
          <cell r="U1357">
            <v>0</v>
          </cell>
          <cell r="V1357">
            <v>29</v>
          </cell>
          <cell r="W1357">
            <v>17</v>
          </cell>
          <cell r="X1357">
            <v>15</v>
          </cell>
          <cell r="Y1357">
            <v>2</v>
          </cell>
          <cell r="Z1357">
            <v>2</v>
          </cell>
          <cell r="AA1357">
            <v>2</v>
          </cell>
          <cell r="AB1357">
            <v>1</v>
          </cell>
          <cell r="AC1357">
            <v>1</v>
          </cell>
          <cell r="AD1357">
            <v>2</v>
          </cell>
          <cell r="AE1357">
            <v>1</v>
          </cell>
          <cell r="AF1357">
            <v>1</v>
          </cell>
          <cell r="AG1357">
            <v>1</v>
          </cell>
          <cell r="AH1357">
            <v>0</v>
          </cell>
          <cell r="AI1357">
            <v>0</v>
          </cell>
          <cell r="AJ1357">
            <v>0</v>
          </cell>
        </row>
        <row r="1358">
          <cell r="E1358" t="str">
            <v>AL Industrial Kerosene</v>
          </cell>
          <cell r="F1358">
            <v>87</v>
          </cell>
          <cell r="G1358">
            <v>118</v>
          </cell>
          <cell r="H1358">
            <v>201</v>
          </cell>
          <cell r="I1358">
            <v>133</v>
          </cell>
          <cell r="J1358">
            <v>181</v>
          </cell>
          <cell r="K1358">
            <v>254</v>
          </cell>
          <cell r="L1358">
            <v>272</v>
          </cell>
          <cell r="M1358">
            <v>344</v>
          </cell>
          <cell r="N1358">
            <v>224</v>
          </cell>
          <cell r="O1358">
            <v>192</v>
          </cell>
          <cell r="P1358">
            <v>126</v>
          </cell>
          <cell r="Q1358">
            <v>61</v>
          </cell>
          <cell r="R1358">
            <v>26</v>
          </cell>
          <cell r="S1358">
            <v>171</v>
          </cell>
          <cell r="T1358">
            <v>202</v>
          </cell>
          <cell r="U1358">
            <v>266</v>
          </cell>
          <cell r="V1358">
            <v>223</v>
          </cell>
          <cell r="W1358">
            <v>122</v>
          </cell>
          <cell r="X1358">
            <v>59</v>
          </cell>
          <cell r="Y1358">
            <v>94</v>
          </cell>
          <cell r="Z1358">
            <v>86</v>
          </cell>
          <cell r="AA1358">
            <v>44</v>
          </cell>
          <cell r="AB1358">
            <v>21</v>
          </cell>
          <cell r="AC1358">
            <v>22</v>
          </cell>
          <cell r="AD1358">
            <v>21</v>
          </cell>
          <cell r="AE1358">
            <v>26</v>
          </cell>
          <cell r="AF1358">
            <v>22</v>
          </cell>
          <cell r="AG1358">
            <v>11</v>
          </cell>
          <cell r="AH1358">
            <v>18</v>
          </cell>
          <cell r="AI1358">
            <v>13</v>
          </cell>
          <cell r="AJ1358">
            <v>10</v>
          </cell>
        </row>
        <row r="1359">
          <cell r="E1359" t="str">
            <v>AR Industrial Kerosene</v>
          </cell>
          <cell r="F1359">
            <v>94</v>
          </cell>
          <cell r="G1359">
            <v>114</v>
          </cell>
          <cell r="H1359">
            <v>52</v>
          </cell>
          <cell r="I1359">
            <v>76</v>
          </cell>
          <cell r="J1359">
            <v>97</v>
          </cell>
          <cell r="K1359">
            <v>115</v>
          </cell>
          <cell r="L1359">
            <v>52</v>
          </cell>
          <cell r="M1359">
            <v>56</v>
          </cell>
          <cell r="N1359">
            <v>98</v>
          </cell>
          <cell r="O1359">
            <v>76</v>
          </cell>
          <cell r="P1359">
            <v>23</v>
          </cell>
          <cell r="Q1359">
            <v>105</v>
          </cell>
          <cell r="R1359">
            <v>29</v>
          </cell>
          <cell r="S1359">
            <v>11</v>
          </cell>
          <cell r="T1359">
            <v>6</v>
          </cell>
          <cell r="U1359">
            <v>15</v>
          </cell>
          <cell r="V1359">
            <v>4</v>
          </cell>
          <cell r="W1359">
            <v>6</v>
          </cell>
          <cell r="X1359">
            <v>8</v>
          </cell>
          <cell r="Y1359">
            <v>6</v>
          </cell>
          <cell r="Z1359">
            <v>7</v>
          </cell>
          <cell r="AA1359">
            <v>5</v>
          </cell>
          <cell r="AB1359">
            <v>0</v>
          </cell>
          <cell r="AC1359">
            <v>1</v>
          </cell>
          <cell r="AD1359">
            <v>1</v>
          </cell>
          <cell r="AE1359">
            <v>5</v>
          </cell>
          <cell r="AF1359">
            <v>21</v>
          </cell>
          <cell r="AG1359">
            <v>12</v>
          </cell>
          <cell r="AH1359">
            <v>17</v>
          </cell>
          <cell r="AI1359">
            <v>7</v>
          </cell>
          <cell r="AJ1359">
            <v>1</v>
          </cell>
        </row>
        <row r="1360">
          <cell r="E1360" t="str">
            <v>AZ Industrial Kerosene</v>
          </cell>
          <cell r="F1360">
            <v>97</v>
          </cell>
          <cell r="G1360">
            <v>191</v>
          </cell>
          <cell r="H1360">
            <v>3</v>
          </cell>
          <cell r="I1360">
            <v>7</v>
          </cell>
          <cell r="J1360">
            <v>2</v>
          </cell>
          <cell r="K1360">
            <v>3</v>
          </cell>
          <cell r="L1360">
            <v>9</v>
          </cell>
          <cell r="M1360">
            <v>12</v>
          </cell>
          <cell r="N1360">
            <v>38</v>
          </cell>
          <cell r="O1360">
            <v>12</v>
          </cell>
          <cell r="P1360">
            <v>8</v>
          </cell>
          <cell r="Q1360">
            <v>8</v>
          </cell>
          <cell r="R1360">
            <v>3</v>
          </cell>
          <cell r="S1360">
            <v>5</v>
          </cell>
          <cell r="T1360">
            <v>16</v>
          </cell>
          <cell r="U1360">
            <v>19</v>
          </cell>
          <cell r="V1360">
            <v>28</v>
          </cell>
          <cell r="W1360">
            <v>7</v>
          </cell>
          <cell r="X1360">
            <v>2</v>
          </cell>
          <cell r="Y1360">
            <v>3</v>
          </cell>
          <cell r="Z1360">
            <v>1</v>
          </cell>
          <cell r="AA1360">
            <v>1</v>
          </cell>
          <cell r="AB1360">
            <v>0</v>
          </cell>
          <cell r="AC1360">
            <v>1</v>
          </cell>
          <cell r="AD1360">
            <v>1</v>
          </cell>
          <cell r="AE1360">
            <v>0</v>
          </cell>
          <cell r="AF1360">
            <v>1</v>
          </cell>
          <cell r="AG1360">
            <v>0</v>
          </cell>
          <cell r="AH1360">
            <v>0</v>
          </cell>
          <cell r="AI1360">
            <v>1</v>
          </cell>
          <cell r="AJ1360">
            <v>0</v>
          </cell>
        </row>
        <row r="1361">
          <cell r="E1361" t="str">
            <v>CA Industrial Kerosene</v>
          </cell>
          <cell r="F1361">
            <v>217</v>
          </cell>
          <cell r="G1361">
            <v>207</v>
          </cell>
          <cell r="H1361">
            <v>128</v>
          </cell>
          <cell r="I1361">
            <v>251</v>
          </cell>
          <cell r="J1361">
            <v>229</v>
          </cell>
          <cell r="K1361">
            <v>318</v>
          </cell>
          <cell r="L1361">
            <v>692</v>
          </cell>
          <cell r="M1361">
            <v>1031</v>
          </cell>
          <cell r="N1361">
            <v>986</v>
          </cell>
          <cell r="O1361">
            <v>412</v>
          </cell>
          <cell r="P1361">
            <v>217</v>
          </cell>
          <cell r="Q1361">
            <v>239</v>
          </cell>
          <cell r="R1361">
            <v>84</v>
          </cell>
          <cell r="S1361">
            <v>232</v>
          </cell>
          <cell r="T1361">
            <v>242</v>
          </cell>
          <cell r="U1361">
            <v>238</v>
          </cell>
          <cell r="V1361">
            <v>231</v>
          </cell>
          <cell r="W1361">
            <v>178</v>
          </cell>
          <cell r="X1361">
            <v>83</v>
          </cell>
          <cell r="Y1361">
            <v>61</v>
          </cell>
          <cell r="Z1361">
            <v>69</v>
          </cell>
          <cell r="AA1361">
            <v>65</v>
          </cell>
          <cell r="AB1361">
            <v>33</v>
          </cell>
          <cell r="AC1361">
            <v>12</v>
          </cell>
          <cell r="AD1361">
            <v>96</v>
          </cell>
          <cell r="AE1361">
            <v>21</v>
          </cell>
          <cell r="AF1361">
            <v>19</v>
          </cell>
          <cell r="AG1361">
            <v>6</v>
          </cell>
          <cell r="AH1361">
            <v>4</v>
          </cell>
          <cell r="AI1361">
            <v>4</v>
          </cell>
          <cell r="AJ1361">
            <v>12</v>
          </cell>
        </row>
        <row r="1362">
          <cell r="E1362" t="str">
            <v>CO Industrial Kerosene</v>
          </cell>
          <cell r="F1362">
            <v>103</v>
          </cell>
          <cell r="G1362">
            <v>94</v>
          </cell>
          <cell r="H1362">
            <v>42</v>
          </cell>
          <cell r="I1362">
            <v>66</v>
          </cell>
          <cell r="J1362">
            <v>20</v>
          </cell>
          <cell r="K1362">
            <v>27</v>
          </cell>
          <cell r="L1362">
            <v>34</v>
          </cell>
          <cell r="M1362">
            <v>30</v>
          </cell>
          <cell r="N1362">
            <v>63</v>
          </cell>
          <cell r="O1362">
            <v>35</v>
          </cell>
          <cell r="P1362">
            <v>27</v>
          </cell>
          <cell r="Q1362">
            <v>32</v>
          </cell>
          <cell r="R1362">
            <v>60</v>
          </cell>
          <cell r="S1362">
            <v>17</v>
          </cell>
          <cell r="T1362">
            <v>28</v>
          </cell>
          <cell r="U1362">
            <v>31</v>
          </cell>
          <cell r="V1362">
            <v>35</v>
          </cell>
          <cell r="W1362">
            <v>21</v>
          </cell>
          <cell r="X1362">
            <v>12</v>
          </cell>
          <cell r="Y1362">
            <v>5</v>
          </cell>
          <cell r="Z1362">
            <v>4</v>
          </cell>
          <cell r="AA1362">
            <v>4</v>
          </cell>
          <cell r="AB1362">
            <v>2</v>
          </cell>
          <cell r="AC1362">
            <v>1</v>
          </cell>
          <cell r="AD1362">
            <v>1</v>
          </cell>
          <cell r="AE1362">
            <v>1</v>
          </cell>
          <cell r="AF1362">
            <v>3</v>
          </cell>
          <cell r="AG1362">
            <v>1</v>
          </cell>
          <cell r="AH1362">
            <v>4</v>
          </cell>
          <cell r="AI1362">
            <v>5</v>
          </cell>
          <cell r="AJ1362">
            <v>3</v>
          </cell>
        </row>
        <row r="1363">
          <cell r="E1363" t="str">
            <v>CT Industrial Kerosene</v>
          </cell>
          <cell r="F1363">
            <v>383</v>
          </cell>
          <cell r="G1363">
            <v>211</v>
          </cell>
          <cell r="H1363">
            <v>46</v>
          </cell>
          <cell r="I1363">
            <v>134</v>
          </cell>
          <cell r="J1363">
            <v>263</v>
          </cell>
          <cell r="K1363">
            <v>538</v>
          </cell>
          <cell r="L1363">
            <v>145</v>
          </cell>
          <cell r="M1363">
            <v>219</v>
          </cell>
          <cell r="N1363">
            <v>300</v>
          </cell>
          <cell r="O1363">
            <v>552</v>
          </cell>
          <cell r="P1363">
            <v>1087</v>
          </cell>
          <cell r="Q1363">
            <v>395</v>
          </cell>
          <cell r="R1363">
            <v>64</v>
          </cell>
          <cell r="S1363">
            <v>1265</v>
          </cell>
          <cell r="T1363">
            <v>1398</v>
          </cell>
          <cell r="U1363">
            <v>1527</v>
          </cell>
          <cell r="V1363">
            <v>2129</v>
          </cell>
          <cell r="W1363">
            <v>831</v>
          </cell>
          <cell r="X1363">
            <v>451</v>
          </cell>
          <cell r="Y1363">
            <v>830</v>
          </cell>
          <cell r="Z1363">
            <v>715</v>
          </cell>
          <cell r="AA1363">
            <v>730</v>
          </cell>
          <cell r="AB1363">
            <v>203</v>
          </cell>
          <cell r="AC1363">
            <v>151</v>
          </cell>
          <cell r="AD1363">
            <v>429</v>
          </cell>
          <cell r="AE1363">
            <v>221</v>
          </cell>
          <cell r="AF1363">
            <v>223</v>
          </cell>
          <cell r="AG1363">
            <v>176</v>
          </cell>
          <cell r="AH1363">
            <v>127</v>
          </cell>
          <cell r="AI1363">
            <v>47</v>
          </cell>
          <cell r="AJ1363">
            <v>109</v>
          </cell>
        </row>
        <row r="1364">
          <cell r="E1364" t="str">
            <v>DC Industrial Kerosene</v>
          </cell>
          <cell r="F1364">
            <v>0</v>
          </cell>
          <cell r="G1364">
            <v>0</v>
          </cell>
          <cell r="H1364">
            <v>0</v>
          </cell>
          <cell r="I1364">
            <v>0</v>
          </cell>
          <cell r="J1364">
            <v>0</v>
          </cell>
          <cell r="K1364">
            <v>0</v>
          </cell>
          <cell r="L1364">
            <v>0</v>
          </cell>
          <cell r="M1364">
            <v>2</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1</v>
          </cell>
          <cell r="AG1364">
            <v>0</v>
          </cell>
          <cell r="AH1364">
            <v>0</v>
          </cell>
          <cell r="AI1364">
            <v>0</v>
          </cell>
          <cell r="AJ1364">
            <v>0</v>
          </cell>
        </row>
        <row r="1365">
          <cell r="E1365" t="str">
            <v>DE Industrial Kerosene</v>
          </cell>
          <cell r="F1365">
            <v>23</v>
          </cell>
          <cell r="G1365">
            <v>47</v>
          </cell>
          <cell r="H1365">
            <v>17</v>
          </cell>
          <cell r="I1365">
            <v>170</v>
          </cell>
          <cell r="J1365">
            <v>846</v>
          </cell>
          <cell r="K1365">
            <v>28</v>
          </cell>
          <cell r="L1365">
            <v>277</v>
          </cell>
          <cell r="M1365">
            <v>36</v>
          </cell>
          <cell r="N1365">
            <v>9</v>
          </cell>
          <cell r="O1365">
            <v>16</v>
          </cell>
          <cell r="P1365">
            <v>39</v>
          </cell>
          <cell r="Q1365">
            <v>29</v>
          </cell>
          <cell r="R1365">
            <v>4</v>
          </cell>
          <cell r="S1365">
            <v>19</v>
          </cell>
          <cell r="T1365">
            <v>35</v>
          </cell>
          <cell r="U1365">
            <v>1936</v>
          </cell>
          <cell r="V1365">
            <v>114</v>
          </cell>
          <cell r="W1365">
            <v>2</v>
          </cell>
          <cell r="X1365">
            <v>1</v>
          </cell>
          <cell r="Y1365">
            <v>25</v>
          </cell>
          <cell r="Z1365">
            <v>24</v>
          </cell>
          <cell r="AA1365">
            <v>0</v>
          </cell>
          <cell r="AB1365">
            <v>0</v>
          </cell>
          <cell r="AC1365">
            <v>6</v>
          </cell>
          <cell r="AD1365">
            <v>0</v>
          </cell>
          <cell r="AE1365">
            <v>0</v>
          </cell>
          <cell r="AF1365">
            <v>1</v>
          </cell>
          <cell r="AG1365">
            <v>1</v>
          </cell>
          <cell r="AH1365">
            <v>1</v>
          </cell>
          <cell r="AI1365">
            <v>1</v>
          </cell>
          <cell r="AJ1365">
            <v>2</v>
          </cell>
        </row>
        <row r="1366">
          <cell r="E1366" t="str">
            <v>FL Industrial Kerosene</v>
          </cell>
          <cell r="F1366">
            <v>285</v>
          </cell>
          <cell r="G1366">
            <v>73</v>
          </cell>
          <cell r="H1366">
            <v>52</v>
          </cell>
          <cell r="I1366">
            <v>72</v>
          </cell>
          <cell r="J1366">
            <v>44</v>
          </cell>
          <cell r="K1366">
            <v>42</v>
          </cell>
          <cell r="L1366">
            <v>186</v>
          </cell>
          <cell r="M1366">
            <v>296</v>
          </cell>
          <cell r="N1366">
            <v>927</v>
          </cell>
          <cell r="O1366">
            <v>621</v>
          </cell>
          <cell r="P1366">
            <v>547</v>
          </cell>
          <cell r="Q1366">
            <v>685</v>
          </cell>
          <cell r="R1366">
            <v>9</v>
          </cell>
          <cell r="S1366">
            <v>56</v>
          </cell>
          <cell r="T1366">
            <v>212</v>
          </cell>
          <cell r="U1366">
            <v>14</v>
          </cell>
          <cell r="V1366">
            <v>113</v>
          </cell>
          <cell r="W1366">
            <v>13</v>
          </cell>
          <cell r="X1366">
            <v>8</v>
          </cell>
          <cell r="Y1366">
            <v>19</v>
          </cell>
          <cell r="Z1366">
            <v>25</v>
          </cell>
          <cell r="AA1366">
            <v>12</v>
          </cell>
          <cell r="AB1366">
            <v>4</v>
          </cell>
          <cell r="AC1366">
            <v>1</v>
          </cell>
          <cell r="AD1366">
            <v>2</v>
          </cell>
          <cell r="AE1366">
            <v>1</v>
          </cell>
          <cell r="AF1366">
            <v>1</v>
          </cell>
          <cell r="AG1366">
            <v>1</v>
          </cell>
          <cell r="AH1366">
            <v>1</v>
          </cell>
          <cell r="AI1366">
            <v>1</v>
          </cell>
          <cell r="AJ1366">
            <v>2</v>
          </cell>
        </row>
        <row r="1367">
          <cell r="E1367" t="str">
            <v>GA Industrial Kerosene</v>
          </cell>
          <cell r="F1367">
            <v>132</v>
          </cell>
          <cell r="G1367">
            <v>160</v>
          </cell>
          <cell r="H1367">
            <v>55</v>
          </cell>
          <cell r="I1367">
            <v>125</v>
          </cell>
          <cell r="J1367">
            <v>80</v>
          </cell>
          <cell r="K1367">
            <v>196</v>
          </cell>
          <cell r="L1367">
            <v>208</v>
          </cell>
          <cell r="M1367">
            <v>136</v>
          </cell>
          <cell r="N1367">
            <v>261</v>
          </cell>
          <cell r="O1367">
            <v>207</v>
          </cell>
          <cell r="P1367">
            <v>232</v>
          </cell>
          <cell r="Q1367">
            <v>133</v>
          </cell>
          <cell r="R1367">
            <v>113</v>
          </cell>
          <cell r="S1367">
            <v>251</v>
          </cell>
          <cell r="T1367">
            <v>599</v>
          </cell>
          <cell r="U1367">
            <v>714</v>
          </cell>
          <cell r="V1367">
            <v>758</v>
          </cell>
          <cell r="W1367">
            <v>506</v>
          </cell>
          <cell r="X1367">
            <v>28</v>
          </cell>
          <cell r="Y1367">
            <v>32</v>
          </cell>
          <cell r="Z1367">
            <v>111</v>
          </cell>
          <cell r="AA1367">
            <v>31</v>
          </cell>
          <cell r="AB1367">
            <v>12</v>
          </cell>
          <cell r="AC1367">
            <v>9</v>
          </cell>
          <cell r="AD1367">
            <v>29</v>
          </cell>
          <cell r="AE1367">
            <v>19</v>
          </cell>
          <cell r="AF1367">
            <v>32</v>
          </cell>
          <cell r="AG1367">
            <v>14</v>
          </cell>
          <cell r="AH1367">
            <v>24</v>
          </cell>
          <cell r="AI1367">
            <v>9</v>
          </cell>
          <cell r="AJ1367">
            <v>15</v>
          </cell>
        </row>
        <row r="1368">
          <cell r="E1368" t="str">
            <v>HI Industrial Kerosene</v>
          </cell>
          <cell r="F1368">
            <v>1</v>
          </cell>
          <cell r="G1368">
            <v>1</v>
          </cell>
          <cell r="H1368">
            <v>1</v>
          </cell>
          <cell r="I1368">
            <v>2</v>
          </cell>
          <cell r="J1368">
            <v>3</v>
          </cell>
          <cell r="K1368">
            <v>2</v>
          </cell>
          <cell r="L1368">
            <v>3</v>
          </cell>
          <cell r="M1368">
            <v>2</v>
          </cell>
          <cell r="N1368">
            <v>1</v>
          </cell>
          <cell r="O1368">
            <v>1</v>
          </cell>
          <cell r="P1368">
            <v>0</v>
          </cell>
          <cell r="Q1368">
            <v>1</v>
          </cell>
          <cell r="R1368">
            <v>0</v>
          </cell>
          <cell r="S1368">
            <v>1</v>
          </cell>
          <cell r="T1368">
            <v>0</v>
          </cell>
          <cell r="U1368">
            <v>1</v>
          </cell>
          <cell r="V1368">
            <v>1</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row>
        <row r="1369">
          <cell r="E1369" t="str">
            <v>IA Industrial Kerosene</v>
          </cell>
          <cell r="F1369">
            <v>109</v>
          </cell>
          <cell r="G1369">
            <v>83</v>
          </cell>
          <cell r="H1369">
            <v>101</v>
          </cell>
          <cell r="I1369">
            <v>178</v>
          </cell>
          <cell r="J1369">
            <v>159</v>
          </cell>
          <cell r="K1369">
            <v>235</v>
          </cell>
          <cell r="L1369">
            <v>112</v>
          </cell>
          <cell r="M1369">
            <v>153</v>
          </cell>
          <cell r="N1369">
            <v>192</v>
          </cell>
          <cell r="O1369">
            <v>249</v>
          </cell>
          <cell r="P1369">
            <v>243</v>
          </cell>
          <cell r="Q1369">
            <v>246</v>
          </cell>
          <cell r="R1369">
            <v>136</v>
          </cell>
          <cell r="S1369">
            <v>73</v>
          </cell>
          <cell r="T1369">
            <v>87</v>
          </cell>
          <cell r="U1369">
            <v>84</v>
          </cell>
          <cell r="V1369">
            <v>59</v>
          </cell>
          <cell r="W1369">
            <v>58</v>
          </cell>
          <cell r="X1369">
            <v>22</v>
          </cell>
          <cell r="Y1369">
            <v>13</v>
          </cell>
          <cell r="Z1369">
            <v>19</v>
          </cell>
          <cell r="AA1369">
            <v>11</v>
          </cell>
          <cell r="AB1369">
            <v>8</v>
          </cell>
          <cell r="AC1369">
            <v>7</v>
          </cell>
          <cell r="AD1369">
            <v>16</v>
          </cell>
          <cell r="AE1369">
            <v>10</v>
          </cell>
          <cell r="AF1369">
            <v>16</v>
          </cell>
          <cell r="AG1369">
            <v>9</v>
          </cell>
          <cell r="AH1369">
            <v>7</v>
          </cell>
          <cell r="AI1369">
            <v>19</v>
          </cell>
          <cell r="AJ1369">
            <v>5</v>
          </cell>
        </row>
        <row r="1370">
          <cell r="E1370" t="str">
            <v>ID Industrial Kerosene</v>
          </cell>
          <cell r="F1370">
            <v>16</v>
          </cell>
          <cell r="G1370">
            <v>10</v>
          </cell>
          <cell r="H1370">
            <v>4</v>
          </cell>
          <cell r="I1370">
            <v>4</v>
          </cell>
          <cell r="J1370">
            <v>8</v>
          </cell>
          <cell r="K1370">
            <v>10</v>
          </cell>
          <cell r="L1370">
            <v>6</v>
          </cell>
          <cell r="M1370">
            <v>74</v>
          </cell>
          <cell r="N1370">
            <v>24</v>
          </cell>
          <cell r="O1370">
            <v>34</v>
          </cell>
          <cell r="P1370">
            <v>14</v>
          </cell>
          <cell r="Q1370">
            <v>8</v>
          </cell>
          <cell r="R1370">
            <v>3</v>
          </cell>
          <cell r="S1370">
            <v>3</v>
          </cell>
          <cell r="T1370">
            <v>9</v>
          </cell>
          <cell r="U1370">
            <v>4</v>
          </cell>
          <cell r="V1370">
            <v>3</v>
          </cell>
          <cell r="W1370">
            <v>3</v>
          </cell>
          <cell r="X1370">
            <v>3</v>
          </cell>
          <cell r="Y1370">
            <v>4</v>
          </cell>
          <cell r="Z1370">
            <v>3</v>
          </cell>
          <cell r="AA1370">
            <v>2</v>
          </cell>
          <cell r="AB1370">
            <v>1</v>
          </cell>
          <cell r="AC1370">
            <v>1</v>
          </cell>
          <cell r="AD1370">
            <v>1</v>
          </cell>
          <cell r="AE1370">
            <v>1</v>
          </cell>
          <cell r="AF1370">
            <v>1</v>
          </cell>
          <cell r="AG1370">
            <v>1</v>
          </cell>
          <cell r="AH1370">
            <v>1</v>
          </cell>
          <cell r="AI1370">
            <v>1</v>
          </cell>
          <cell r="AJ1370">
            <v>1</v>
          </cell>
        </row>
        <row r="1371">
          <cell r="E1371" t="str">
            <v>IL Industrial Kerosene</v>
          </cell>
          <cell r="F1371">
            <v>266</v>
          </cell>
          <cell r="G1371">
            <v>265</v>
          </cell>
          <cell r="H1371">
            <v>265</v>
          </cell>
          <cell r="I1371">
            <v>361</v>
          </cell>
          <cell r="J1371">
            <v>444</v>
          </cell>
          <cell r="K1371">
            <v>732</v>
          </cell>
          <cell r="L1371">
            <v>1335</v>
          </cell>
          <cell r="M1371">
            <v>849</v>
          </cell>
          <cell r="N1371">
            <v>1075</v>
          </cell>
          <cell r="O1371">
            <v>321</v>
          </cell>
          <cell r="P1371">
            <v>403</v>
          </cell>
          <cell r="Q1371">
            <v>408</v>
          </cell>
          <cell r="R1371">
            <v>277</v>
          </cell>
          <cell r="S1371">
            <v>316</v>
          </cell>
          <cell r="T1371">
            <v>397</v>
          </cell>
          <cell r="U1371">
            <v>413</v>
          </cell>
          <cell r="V1371">
            <v>282</v>
          </cell>
          <cell r="W1371">
            <v>469</v>
          </cell>
          <cell r="X1371">
            <v>98</v>
          </cell>
          <cell r="Y1371">
            <v>98</v>
          </cell>
          <cell r="Z1371">
            <v>121</v>
          </cell>
          <cell r="AA1371">
            <v>41</v>
          </cell>
          <cell r="AB1371">
            <v>40</v>
          </cell>
          <cell r="AC1371">
            <v>168</v>
          </cell>
          <cell r="AD1371">
            <v>282</v>
          </cell>
          <cell r="AE1371">
            <v>34</v>
          </cell>
          <cell r="AF1371">
            <v>32</v>
          </cell>
          <cell r="AG1371">
            <v>12</v>
          </cell>
          <cell r="AH1371">
            <v>15</v>
          </cell>
          <cell r="AI1371">
            <v>27</v>
          </cell>
          <cell r="AJ1371">
            <v>25</v>
          </cell>
        </row>
        <row r="1372">
          <cell r="E1372" t="str">
            <v>IN Industrial Kerosene</v>
          </cell>
          <cell r="F1372">
            <v>309</v>
          </cell>
          <cell r="G1372">
            <v>269</v>
          </cell>
          <cell r="H1372">
            <v>304</v>
          </cell>
          <cell r="I1372">
            <v>255</v>
          </cell>
          <cell r="J1372">
            <v>494</v>
          </cell>
          <cell r="K1372">
            <v>257</v>
          </cell>
          <cell r="L1372">
            <v>477</v>
          </cell>
          <cell r="M1372">
            <v>398</v>
          </cell>
          <cell r="N1372">
            <v>460</v>
          </cell>
          <cell r="O1372">
            <v>458</v>
          </cell>
          <cell r="P1372">
            <v>282</v>
          </cell>
          <cell r="Q1372">
            <v>277</v>
          </cell>
          <cell r="R1372">
            <v>975</v>
          </cell>
          <cell r="S1372">
            <v>208</v>
          </cell>
          <cell r="T1372">
            <v>331</v>
          </cell>
          <cell r="U1372">
            <v>316</v>
          </cell>
          <cell r="V1372">
            <v>183</v>
          </cell>
          <cell r="W1372">
            <v>155</v>
          </cell>
          <cell r="X1372">
            <v>71</v>
          </cell>
          <cell r="Y1372">
            <v>141</v>
          </cell>
          <cell r="Z1372">
            <v>123</v>
          </cell>
          <cell r="AA1372">
            <v>113</v>
          </cell>
          <cell r="AB1372">
            <v>30</v>
          </cell>
          <cell r="AC1372">
            <v>14</v>
          </cell>
          <cell r="AD1372">
            <v>63</v>
          </cell>
          <cell r="AE1372">
            <v>56</v>
          </cell>
          <cell r="AF1372">
            <v>42</v>
          </cell>
          <cell r="AG1372">
            <v>33</v>
          </cell>
          <cell r="AH1372">
            <v>22</v>
          </cell>
          <cell r="AI1372">
            <v>35</v>
          </cell>
          <cell r="AJ1372">
            <v>22</v>
          </cell>
        </row>
        <row r="1373">
          <cell r="E1373" t="str">
            <v>KS Industrial Kerosene</v>
          </cell>
          <cell r="F1373">
            <v>56</v>
          </cell>
          <cell r="G1373">
            <v>61</v>
          </cell>
          <cell r="H1373">
            <v>86</v>
          </cell>
          <cell r="I1373">
            <v>55</v>
          </cell>
          <cell r="J1373">
            <v>34</v>
          </cell>
          <cell r="K1373">
            <v>58</v>
          </cell>
          <cell r="L1373">
            <v>72</v>
          </cell>
          <cell r="M1373">
            <v>105</v>
          </cell>
          <cell r="N1373">
            <v>133</v>
          </cell>
          <cell r="O1373">
            <v>58</v>
          </cell>
          <cell r="P1373">
            <v>64</v>
          </cell>
          <cell r="Q1373">
            <v>113</v>
          </cell>
          <cell r="R1373">
            <v>90</v>
          </cell>
          <cell r="S1373">
            <v>21</v>
          </cell>
          <cell r="T1373">
            <v>18</v>
          </cell>
          <cell r="U1373">
            <v>542</v>
          </cell>
          <cell r="V1373">
            <v>12</v>
          </cell>
          <cell r="W1373">
            <v>19</v>
          </cell>
          <cell r="X1373">
            <v>57</v>
          </cell>
          <cell r="Y1373">
            <v>89</v>
          </cell>
          <cell r="Z1373">
            <v>60</v>
          </cell>
          <cell r="AA1373">
            <v>11</v>
          </cell>
          <cell r="AB1373">
            <v>5</v>
          </cell>
          <cell r="AC1373">
            <v>3</v>
          </cell>
          <cell r="AD1373">
            <v>4</v>
          </cell>
          <cell r="AE1373">
            <v>9</v>
          </cell>
          <cell r="AF1373">
            <v>3</v>
          </cell>
          <cell r="AG1373">
            <v>2</v>
          </cell>
          <cell r="AH1373">
            <v>3</v>
          </cell>
          <cell r="AI1373">
            <v>4</v>
          </cell>
          <cell r="AJ1373">
            <v>6</v>
          </cell>
        </row>
        <row r="1374">
          <cell r="E1374" t="str">
            <v>KY Industrial Kerosene</v>
          </cell>
          <cell r="F1374">
            <v>860</v>
          </cell>
          <cell r="G1374">
            <v>407</v>
          </cell>
          <cell r="H1374">
            <v>465</v>
          </cell>
          <cell r="I1374">
            <v>780</v>
          </cell>
          <cell r="J1374">
            <v>563</v>
          </cell>
          <cell r="K1374">
            <v>654</v>
          </cell>
          <cell r="L1374">
            <v>688</v>
          </cell>
          <cell r="M1374">
            <v>772</v>
          </cell>
          <cell r="N1374">
            <v>623</v>
          </cell>
          <cell r="O1374">
            <v>742</v>
          </cell>
          <cell r="P1374">
            <v>621</v>
          </cell>
          <cell r="Q1374">
            <v>417</v>
          </cell>
          <cell r="R1374">
            <v>242</v>
          </cell>
          <cell r="S1374">
            <v>199</v>
          </cell>
          <cell r="T1374">
            <v>260</v>
          </cell>
          <cell r="U1374">
            <v>294</v>
          </cell>
          <cell r="V1374">
            <v>278</v>
          </cell>
          <cell r="W1374">
            <v>129</v>
          </cell>
          <cell r="X1374">
            <v>121</v>
          </cell>
          <cell r="Y1374">
            <v>124</v>
          </cell>
          <cell r="Z1374">
            <v>137</v>
          </cell>
          <cell r="AA1374">
            <v>52</v>
          </cell>
          <cell r="AB1374">
            <v>22</v>
          </cell>
          <cell r="AC1374">
            <v>19</v>
          </cell>
          <cell r="AD1374">
            <v>91</v>
          </cell>
          <cell r="AE1374">
            <v>39</v>
          </cell>
          <cell r="AF1374">
            <v>159</v>
          </cell>
          <cell r="AG1374">
            <v>70</v>
          </cell>
          <cell r="AH1374">
            <v>94</v>
          </cell>
          <cell r="AI1374">
            <v>91</v>
          </cell>
          <cell r="AJ1374">
            <v>138</v>
          </cell>
        </row>
        <row r="1375">
          <cell r="E1375" t="str">
            <v>LA Industrial Kerosene</v>
          </cell>
          <cell r="F1375">
            <v>265</v>
          </cell>
          <cell r="G1375">
            <v>295</v>
          </cell>
          <cell r="H1375">
            <v>151</v>
          </cell>
          <cell r="I1375">
            <v>165</v>
          </cell>
          <cell r="J1375">
            <v>177</v>
          </cell>
          <cell r="K1375">
            <v>125</v>
          </cell>
          <cell r="L1375">
            <v>169</v>
          </cell>
          <cell r="M1375">
            <v>155</v>
          </cell>
          <cell r="N1375">
            <v>319</v>
          </cell>
          <cell r="O1375">
            <v>86</v>
          </cell>
          <cell r="P1375">
            <v>371</v>
          </cell>
          <cell r="Q1375">
            <v>6222</v>
          </cell>
          <cell r="R1375">
            <v>4066</v>
          </cell>
          <cell r="S1375">
            <v>8540</v>
          </cell>
          <cell r="T1375">
            <v>11435</v>
          </cell>
          <cell r="U1375">
            <v>13521</v>
          </cell>
          <cell r="V1375">
            <v>14313</v>
          </cell>
          <cell r="W1375">
            <v>4728</v>
          </cell>
          <cell r="X1375">
            <v>44</v>
          </cell>
          <cell r="Y1375">
            <v>235</v>
          </cell>
          <cell r="Z1375">
            <v>352</v>
          </cell>
          <cell r="AA1375">
            <v>209</v>
          </cell>
          <cell r="AB1375">
            <v>177</v>
          </cell>
          <cell r="AC1375">
            <v>117</v>
          </cell>
          <cell r="AD1375">
            <v>155</v>
          </cell>
          <cell r="AE1375">
            <v>30</v>
          </cell>
          <cell r="AF1375">
            <v>15</v>
          </cell>
          <cell r="AG1375">
            <v>27</v>
          </cell>
          <cell r="AH1375">
            <v>41</v>
          </cell>
          <cell r="AI1375">
            <v>43</v>
          </cell>
          <cell r="AJ1375">
            <v>32</v>
          </cell>
        </row>
        <row r="1376">
          <cell r="E1376" t="str">
            <v>MA Industrial Kerosene</v>
          </cell>
          <cell r="F1376">
            <v>101</v>
          </cell>
          <cell r="G1376">
            <v>104</v>
          </cell>
          <cell r="H1376">
            <v>520</v>
          </cell>
          <cell r="I1376">
            <v>87</v>
          </cell>
          <cell r="J1376">
            <v>99</v>
          </cell>
          <cell r="K1376">
            <v>200</v>
          </cell>
          <cell r="L1376">
            <v>82</v>
          </cell>
          <cell r="M1376">
            <v>118</v>
          </cell>
          <cell r="N1376">
            <v>129</v>
          </cell>
          <cell r="O1376">
            <v>127</v>
          </cell>
          <cell r="P1376">
            <v>60</v>
          </cell>
          <cell r="Q1376">
            <v>183</v>
          </cell>
          <cell r="R1376">
            <v>52</v>
          </cell>
          <cell r="S1376">
            <v>51</v>
          </cell>
          <cell r="T1376">
            <v>63</v>
          </cell>
          <cell r="U1376">
            <v>424</v>
          </cell>
          <cell r="V1376">
            <v>28</v>
          </cell>
          <cell r="W1376">
            <v>11</v>
          </cell>
          <cell r="X1376">
            <v>3</v>
          </cell>
          <cell r="Y1376">
            <v>59</v>
          </cell>
          <cell r="Z1376">
            <v>18</v>
          </cell>
          <cell r="AA1376">
            <v>3</v>
          </cell>
          <cell r="AB1376">
            <v>1</v>
          </cell>
          <cell r="AC1376">
            <v>2</v>
          </cell>
          <cell r="AD1376">
            <v>7</v>
          </cell>
          <cell r="AE1376">
            <v>9</v>
          </cell>
          <cell r="AF1376">
            <v>3</v>
          </cell>
          <cell r="AG1376">
            <v>4</v>
          </cell>
          <cell r="AH1376">
            <v>15</v>
          </cell>
          <cell r="AI1376">
            <v>1</v>
          </cell>
          <cell r="AJ1376">
            <v>22</v>
          </cell>
        </row>
        <row r="1377">
          <cell r="E1377" t="str">
            <v>MD Industrial Kerosene</v>
          </cell>
          <cell r="F1377">
            <v>190</v>
          </cell>
          <cell r="G1377">
            <v>159</v>
          </cell>
          <cell r="H1377">
            <v>110</v>
          </cell>
          <cell r="I1377">
            <v>154</v>
          </cell>
          <cell r="J1377">
            <v>376</v>
          </cell>
          <cell r="K1377">
            <v>325</v>
          </cell>
          <cell r="L1377">
            <v>330</v>
          </cell>
          <cell r="M1377">
            <v>232</v>
          </cell>
          <cell r="N1377">
            <v>641</v>
          </cell>
          <cell r="O1377">
            <v>205</v>
          </cell>
          <cell r="P1377">
            <v>169</v>
          </cell>
          <cell r="Q1377">
            <v>421</v>
          </cell>
          <cell r="R1377">
            <v>255</v>
          </cell>
          <cell r="S1377">
            <v>147</v>
          </cell>
          <cell r="T1377">
            <v>216</v>
          </cell>
          <cell r="U1377">
            <v>405</v>
          </cell>
          <cell r="V1377">
            <v>172</v>
          </cell>
          <cell r="W1377">
            <v>45</v>
          </cell>
          <cell r="X1377">
            <v>25</v>
          </cell>
          <cell r="Y1377">
            <v>21</v>
          </cell>
          <cell r="Z1377">
            <v>19</v>
          </cell>
          <cell r="AA1377">
            <v>7</v>
          </cell>
          <cell r="AB1377">
            <v>6</v>
          </cell>
          <cell r="AC1377">
            <v>5</v>
          </cell>
          <cell r="AD1377">
            <v>15</v>
          </cell>
          <cell r="AE1377">
            <v>7</v>
          </cell>
          <cell r="AF1377">
            <v>9</v>
          </cell>
          <cell r="AG1377">
            <v>7</v>
          </cell>
          <cell r="AH1377">
            <v>5</v>
          </cell>
          <cell r="AI1377">
            <v>8</v>
          </cell>
          <cell r="AJ1377">
            <v>5</v>
          </cell>
        </row>
        <row r="1378">
          <cell r="E1378" t="str">
            <v>ME Industrial Kerosene</v>
          </cell>
          <cell r="F1378">
            <v>151</v>
          </cell>
          <cell r="G1378">
            <v>145</v>
          </cell>
          <cell r="H1378">
            <v>79</v>
          </cell>
          <cell r="I1378">
            <v>297</v>
          </cell>
          <cell r="J1378">
            <v>411</v>
          </cell>
          <cell r="K1378">
            <v>175</v>
          </cell>
          <cell r="L1378">
            <v>99</v>
          </cell>
          <cell r="M1378">
            <v>223</v>
          </cell>
          <cell r="N1378">
            <v>345</v>
          </cell>
          <cell r="O1378">
            <v>139</v>
          </cell>
          <cell r="P1378">
            <v>126</v>
          </cell>
          <cell r="Q1378">
            <v>188</v>
          </cell>
          <cell r="R1378">
            <v>100</v>
          </cell>
          <cell r="S1378">
            <v>109</v>
          </cell>
          <cell r="T1378">
            <v>213</v>
          </cell>
          <cell r="U1378">
            <v>368</v>
          </cell>
          <cell r="V1378">
            <v>217</v>
          </cell>
          <cell r="W1378">
            <v>179</v>
          </cell>
          <cell r="X1378">
            <v>36</v>
          </cell>
          <cell r="Y1378">
            <v>32</v>
          </cell>
          <cell r="Z1378">
            <v>20</v>
          </cell>
          <cell r="AA1378">
            <v>24</v>
          </cell>
          <cell r="AB1378">
            <v>21</v>
          </cell>
          <cell r="AC1378">
            <v>11</v>
          </cell>
          <cell r="AD1378">
            <v>18</v>
          </cell>
          <cell r="AE1378">
            <v>12</v>
          </cell>
          <cell r="AF1378">
            <v>13</v>
          </cell>
          <cell r="AG1378">
            <v>8</v>
          </cell>
          <cell r="AH1378">
            <v>10</v>
          </cell>
          <cell r="AI1378">
            <v>14</v>
          </cell>
          <cell r="AJ1378">
            <v>54</v>
          </cell>
        </row>
        <row r="1379">
          <cell r="E1379" t="str">
            <v>MI Industrial Kerosene</v>
          </cell>
          <cell r="F1379">
            <v>195</v>
          </cell>
          <cell r="G1379">
            <v>361</v>
          </cell>
          <cell r="H1379">
            <v>232</v>
          </cell>
          <cell r="I1379">
            <v>408</v>
          </cell>
          <cell r="J1379">
            <v>341</v>
          </cell>
          <cell r="K1379">
            <v>180</v>
          </cell>
          <cell r="L1379">
            <v>236</v>
          </cell>
          <cell r="M1379">
            <v>251</v>
          </cell>
          <cell r="N1379">
            <v>281</v>
          </cell>
          <cell r="O1379">
            <v>287</v>
          </cell>
          <cell r="P1379">
            <v>251</v>
          </cell>
          <cell r="Q1379">
            <v>256</v>
          </cell>
          <cell r="R1379">
            <v>109</v>
          </cell>
          <cell r="S1379">
            <v>121</v>
          </cell>
          <cell r="T1379">
            <v>183</v>
          </cell>
          <cell r="U1379">
            <v>238</v>
          </cell>
          <cell r="V1379">
            <v>198</v>
          </cell>
          <cell r="W1379">
            <v>88</v>
          </cell>
          <cell r="X1379">
            <v>37</v>
          </cell>
          <cell r="Y1379">
            <v>58</v>
          </cell>
          <cell r="Z1379">
            <v>113</v>
          </cell>
          <cell r="AA1379">
            <v>21</v>
          </cell>
          <cell r="AB1379">
            <v>8</v>
          </cell>
          <cell r="AC1379">
            <v>5</v>
          </cell>
          <cell r="AD1379">
            <v>8</v>
          </cell>
          <cell r="AE1379">
            <v>5</v>
          </cell>
          <cell r="AF1379">
            <v>6</v>
          </cell>
          <cell r="AG1379">
            <v>5</v>
          </cell>
          <cell r="AH1379">
            <v>6</v>
          </cell>
          <cell r="AI1379">
            <v>9</v>
          </cell>
          <cell r="AJ1379">
            <v>4</v>
          </cell>
        </row>
        <row r="1380">
          <cell r="E1380" t="str">
            <v>MN Industrial Kerosene</v>
          </cell>
          <cell r="F1380">
            <v>41</v>
          </cell>
          <cell r="G1380">
            <v>58</v>
          </cell>
          <cell r="H1380">
            <v>46</v>
          </cell>
          <cell r="I1380">
            <v>90</v>
          </cell>
          <cell r="J1380">
            <v>425</v>
          </cell>
          <cell r="K1380">
            <v>174</v>
          </cell>
          <cell r="L1380">
            <v>199</v>
          </cell>
          <cell r="M1380">
            <v>142</v>
          </cell>
          <cell r="N1380">
            <v>149</v>
          </cell>
          <cell r="O1380">
            <v>417</v>
          </cell>
          <cell r="P1380">
            <v>380</v>
          </cell>
          <cell r="Q1380">
            <v>82</v>
          </cell>
          <cell r="R1380">
            <v>43</v>
          </cell>
          <cell r="S1380">
            <v>71</v>
          </cell>
          <cell r="T1380">
            <v>79</v>
          </cell>
          <cell r="U1380">
            <v>92</v>
          </cell>
          <cell r="V1380">
            <v>55</v>
          </cell>
          <cell r="W1380">
            <v>50</v>
          </cell>
          <cell r="X1380">
            <v>31</v>
          </cell>
          <cell r="Y1380">
            <v>23</v>
          </cell>
          <cell r="Z1380">
            <v>31</v>
          </cell>
          <cell r="AA1380">
            <v>16</v>
          </cell>
          <cell r="AB1380">
            <v>12</v>
          </cell>
          <cell r="AC1380">
            <v>14</v>
          </cell>
          <cell r="AD1380">
            <v>26</v>
          </cell>
          <cell r="AE1380">
            <v>12</v>
          </cell>
          <cell r="AF1380">
            <v>20</v>
          </cell>
          <cell r="AG1380">
            <v>22</v>
          </cell>
          <cell r="AH1380">
            <v>17</v>
          </cell>
          <cell r="AI1380">
            <v>15</v>
          </cell>
          <cell r="AJ1380">
            <v>20</v>
          </cell>
        </row>
        <row r="1381">
          <cell r="E1381" t="str">
            <v>MO Industrial Kerosene</v>
          </cell>
          <cell r="F1381">
            <v>43</v>
          </cell>
          <cell r="G1381">
            <v>131</v>
          </cell>
          <cell r="H1381">
            <v>36</v>
          </cell>
          <cell r="I1381">
            <v>29</v>
          </cell>
          <cell r="J1381">
            <v>57</v>
          </cell>
          <cell r="K1381">
            <v>60</v>
          </cell>
          <cell r="L1381">
            <v>187</v>
          </cell>
          <cell r="M1381">
            <v>68</v>
          </cell>
          <cell r="N1381">
            <v>87</v>
          </cell>
          <cell r="O1381">
            <v>70</v>
          </cell>
          <cell r="P1381">
            <v>81</v>
          </cell>
          <cell r="Q1381">
            <v>98</v>
          </cell>
          <cell r="R1381">
            <v>40</v>
          </cell>
          <cell r="S1381">
            <v>47</v>
          </cell>
          <cell r="T1381">
            <v>76</v>
          </cell>
          <cell r="U1381">
            <v>73</v>
          </cell>
          <cell r="V1381">
            <v>49</v>
          </cell>
          <cell r="W1381">
            <v>30</v>
          </cell>
          <cell r="X1381">
            <v>76</v>
          </cell>
          <cell r="Y1381">
            <v>20</v>
          </cell>
          <cell r="Z1381">
            <v>39</v>
          </cell>
          <cell r="AA1381">
            <v>8</v>
          </cell>
          <cell r="AB1381">
            <v>3</v>
          </cell>
          <cell r="AC1381">
            <v>5</v>
          </cell>
          <cell r="AD1381">
            <v>8</v>
          </cell>
          <cell r="AE1381">
            <v>7</v>
          </cell>
          <cell r="AF1381">
            <v>11</v>
          </cell>
          <cell r="AG1381">
            <v>4</v>
          </cell>
          <cell r="AH1381">
            <v>4</v>
          </cell>
          <cell r="AI1381">
            <v>4</v>
          </cell>
          <cell r="AJ1381">
            <v>5</v>
          </cell>
        </row>
        <row r="1382">
          <cell r="E1382" t="str">
            <v>MS Industrial Kerosene</v>
          </cell>
          <cell r="F1382">
            <v>198</v>
          </cell>
          <cell r="G1382">
            <v>185</v>
          </cell>
          <cell r="H1382">
            <v>86</v>
          </cell>
          <cell r="I1382">
            <v>201</v>
          </cell>
          <cell r="J1382">
            <v>163</v>
          </cell>
          <cell r="K1382">
            <v>110</v>
          </cell>
          <cell r="L1382">
            <v>120</v>
          </cell>
          <cell r="M1382">
            <v>173</v>
          </cell>
          <cell r="N1382">
            <v>296</v>
          </cell>
          <cell r="O1382">
            <v>226</v>
          </cell>
          <cell r="P1382">
            <v>135</v>
          </cell>
          <cell r="Q1382">
            <v>154</v>
          </cell>
          <cell r="R1382">
            <v>102</v>
          </cell>
          <cell r="S1382">
            <v>137</v>
          </cell>
          <cell r="T1382">
            <v>329</v>
          </cell>
          <cell r="U1382">
            <v>291</v>
          </cell>
          <cell r="V1382">
            <v>232</v>
          </cell>
          <cell r="W1382">
            <v>172</v>
          </cell>
          <cell r="X1382">
            <v>101</v>
          </cell>
          <cell r="Y1382">
            <v>18</v>
          </cell>
          <cell r="Z1382">
            <v>0</v>
          </cell>
          <cell r="AA1382">
            <v>0</v>
          </cell>
          <cell r="AB1382">
            <v>1</v>
          </cell>
          <cell r="AC1382">
            <v>0</v>
          </cell>
          <cell r="AD1382">
            <v>0</v>
          </cell>
          <cell r="AE1382">
            <v>2</v>
          </cell>
          <cell r="AF1382">
            <v>4</v>
          </cell>
          <cell r="AG1382">
            <v>2</v>
          </cell>
          <cell r="AH1382">
            <v>2</v>
          </cell>
          <cell r="AI1382">
            <v>0</v>
          </cell>
          <cell r="AJ1382">
            <v>0</v>
          </cell>
        </row>
        <row r="1383">
          <cell r="E1383" t="str">
            <v>MT Industrial Kerosene</v>
          </cell>
          <cell r="F1383">
            <v>39</v>
          </cell>
          <cell r="G1383">
            <v>11</v>
          </cell>
          <cell r="H1383">
            <v>1</v>
          </cell>
          <cell r="I1383">
            <v>0</v>
          </cell>
          <cell r="J1383">
            <v>2</v>
          </cell>
          <cell r="K1383">
            <v>1</v>
          </cell>
          <cell r="L1383">
            <v>1</v>
          </cell>
          <cell r="M1383">
            <v>1</v>
          </cell>
          <cell r="N1383">
            <v>1</v>
          </cell>
          <cell r="O1383">
            <v>2</v>
          </cell>
          <cell r="P1383">
            <v>3</v>
          </cell>
          <cell r="Q1383">
            <v>67</v>
          </cell>
          <cell r="R1383">
            <v>52</v>
          </cell>
          <cell r="S1383">
            <v>9</v>
          </cell>
          <cell r="T1383">
            <v>12</v>
          </cell>
          <cell r="U1383">
            <v>6</v>
          </cell>
          <cell r="V1383">
            <v>1</v>
          </cell>
          <cell r="W1383">
            <v>1</v>
          </cell>
          <cell r="X1383">
            <v>3</v>
          </cell>
          <cell r="Y1383">
            <v>0</v>
          </cell>
          <cell r="Z1383">
            <v>0</v>
          </cell>
          <cell r="AA1383">
            <v>1</v>
          </cell>
          <cell r="AB1383">
            <v>0</v>
          </cell>
          <cell r="AC1383">
            <v>0</v>
          </cell>
          <cell r="AD1383">
            <v>0</v>
          </cell>
          <cell r="AE1383">
            <v>0</v>
          </cell>
          <cell r="AF1383">
            <v>0</v>
          </cell>
          <cell r="AG1383">
            <v>0</v>
          </cell>
          <cell r="AH1383">
            <v>0</v>
          </cell>
          <cell r="AI1383">
            <v>0</v>
          </cell>
          <cell r="AJ1383">
            <v>0</v>
          </cell>
        </row>
        <row r="1384">
          <cell r="E1384" t="str">
            <v>NC Industrial Kerosene</v>
          </cell>
          <cell r="F1384">
            <v>790</v>
          </cell>
          <cell r="G1384">
            <v>963</v>
          </cell>
          <cell r="H1384">
            <v>828</v>
          </cell>
          <cell r="I1384">
            <v>898</v>
          </cell>
          <cell r="J1384">
            <v>475</v>
          </cell>
          <cell r="K1384">
            <v>652</v>
          </cell>
          <cell r="L1384">
            <v>936</v>
          </cell>
          <cell r="M1384">
            <v>904</v>
          </cell>
          <cell r="N1384">
            <v>824</v>
          </cell>
          <cell r="O1384">
            <v>262</v>
          </cell>
          <cell r="P1384">
            <v>394</v>
          </cell>
          <cell r="Q1384">
            <v>204</v>
          </cell>
          <cell r="R1384">
            <v>422</v>
          </cell>
          <cell r="S1384">
            <v>66</v>
          </cell>
          <cell r="T1384">
            <v>225</v>
          </cell>
          <cell r="U1384">
            <v>330</v>
          </cell>
          <cell r="V1384">
            <v>227</v>
          </cell>
          <cell r="W1384">
            <v>49</v>
          </cell>
          <cell r="X1384">
            <v>28</v>
          </cell>
          <cell r="Y1384">
            <v>41</v>
          </cell>
          <cell r="Z1384">
            <v>87</v>
          </cell>
          <cell r="AA1384">
            <v>80</v>
          </cell>
          <cell r="AB1384">
            <v>22</v>
          </cell>
          <cell r="AC1384">
            <v>13</v>
          </cell>
          <cell r="AD1384">
            <v>27</v>
          </cell>
          <cell r="AE1384">
            <v>27</v>
          </cell>
          <cell r="AF1384">
            <v>28</v>
          </cell>
          <cell r="AG1384">
            <v>13</v>
          </cell>
          <cell r="AH1384">
            <v>8</v>
          </cell>
          <cell r="AI1384">
            <v>5</v>
          </cell>
          <cell r="AJ1384">
            <v>8</v>
          </cell>
        </row>
        <row r="1385">
          <cell r="E1385" t="str">
            <v>ND Industrial Kerosene</v>
          </cell>
          <cell r="F1385">
            <v>4</v>
          </cell>
          <cell r="G1385">
            <v>11</v>
          </cell>
          <cell r="H1385">
            <v>3</v>
          </cell>
          <cell r="I1385">
            <v>6</v>
          </cell>
          <cell r="J1385">
            <v>4</v>
          </cell>
          <cell r="K1385">
            <v>2</v>
          </cell>
          <cell r="L1385">
            <v>3</v>
          </cell>
          <cell r="M1385">
            <v>5</v>
          </cell>
          <cell r="N1385">
            <v>5</v>
          </cell>
          <cell r="O1385">
            <v>7</v>
          </cell>
          <cell r="P1385">
            <v>38</v>
          </cell>
          <cell r="Q1385">
            <v>9</v>
          </cell>
          <cell r="R1385">
            <v>4</v>
          </cell>
          <cell r="S1385">
            <v>9</v>
          </cell>
          <cell r="T1385">
            <v>11</v>
          </cell>
          <cell r="U1385">
            <v>10</v>
          </cell>
          <cell r="V1385">
            <v>6</v>
          </cell>
          <cell r="W1385">
            <v>29</v>
          </cell>
          <cell r="X1385">
            <v>4</v>
          </cell>
          <cell r="Y1385">
            <v>5</v>
          </cell>
          <cell r="Z1385">
            <v>7</v>
          </cell>
          <cell r="AA1385">
            <v>3</v>
          </cell>
          <cell r="AB1385">
            <v>1</v>
          </cell>
          <cell r="AC1385">
            <v>1</v>
          </cell>
          <cell r="AD1385">
            <v>2</v>
          </cell>
          <cell r="AE1385">
            <v>1</v>
          </cell>
          <cell r="AF1385">
            <v>2</v>
          </cell>
          <cell r="AG1385">
            <v>1</v>
          </cell>
          <cell r="AH1385">
            <v>1</v>
          </cell>
          <cell r="AI1385">
            <v>1</v>
          </cell>
          <cell r="AJ1385">
            <v>1</v>
          </cell>
        </row>
        <row r="1386">
          <cell r="E1386" t="str">
            <v>NE Industrial Kerosene</v>
          </cell>
          <cell r="F1386">
            <v>80</v>
          </cell>
          <cell r="G1386">
            <v>53</v>
          </cell>
          <cell r="H1386">
            <v>46</v>
          </cell>
          <cell r="I1386">
            <v>53</v>
          </cell>
          <cell r="J1386">
            <v>58</v>
          </cell>
          <cell r="K1386">
            <v>51</v>
          </cell>
          <cell r="L1386">
            <v>65</v>
          </cell>
          <cell r="M1386">
            <v>78</v>
          </cell>
          <cell r="N1386">
            <v>60</v>
          </cell>
          <cell r="O1386">
            <v>21</v>
          </cell>
          <cell r="P1386">
            <v>36</v>
          </cell>
          <cell r="Q1386">
            <v>43</v>
          </cell>
          <cell r="R1386">
            <v>12</v>
          </cell>
          <cell r="S1386">
            <v>45</v>
          </cell>
          <cell r="T1386">
            <v>54</v>
          </cell>
          <cell r="U1386">
            <v>42</v>
          </cell>
          <cell r="V1386">
            <v>17</v>
          </cell>
          <cell r="W1386">
            <v>10</v>
          </cell>
          <cell r="X1386">
            <v>5</v>
          </cell>
          <cell r="Y1386">
            <v>20</v>
          </cell>
          <cell r="Z1386">
            <v>6</v>
          </cell>
          <cell r="AA1386">
            <v>4</v>
          </cell>
          <cell r="AB1386">
            <v>2</v>
          </cell>
          <cell r="AC1386">
            <v>2</v>
          </cell>
          <cell r="AD1386">
            <v>3</v>
          </cell>
          <cell r="AE1386">
            <v>2</v>
          </cell>
          <cell r="AF1386">
            <v>4</v>
          </cell>
          <cell r="AG1386">
            <v>2</v>
          </cell>
          <cell r="AH1386">
            <v>2</v>
          </cell>
          <cell r="AI1386">
            <v>3</v>
          </cell>
          <cell r="AJ1386">
            <v>3</v>
          </cell>
        </row>
        <row r="1387">
          <cell r="E1387" t="str">
            <v>NH Industrial Kerosene</v>
          </cell>
          <cell r="F1387">
            <v>43</v>
          </cell>
          <cell r="G1387">
            <v>178</v>
          </cell>
          <cell r="H1387">
            <v>116</v>
          </cell>
          <cell r="I1387">
            <v>54</v>
          </cell>
          <cell r="J1387">
            <v>80</v>
          </cell>
          <cell r="K1387">
            <v>107</v>
          </cell>
          <cell r="L1387">
            <v>95</v>
          </cell>
          <cell r="M1387">
            <v>147</v>
          </cell>
          <cell r="N1387">
            <v>112</v>
          </cell>
          <cell r="O1387">
            <v>105</v>
          </cell>
          <cell r="P1387">
            <v>80</v>
          </cell>
          <cell r="Q1387">
            <v>109</v>
          </cell>
          <cell r="R1387">
            <v>86</v>
          </cell>
          <cell r="S1387">
            <v>128</v>
          </cell>
          <cell r="T1387">
            <v>108</v>
          </cell>
          <cell r="U1387">
            <v>194</v>
          </cell>
          <cell r="V1387">
            <v>113</v>
          </cell>
          <cell r="W1387">
            <v>43</v>
          </cell>
          <cell r="X1387">
            <v>41</v>
          </cell>
          <cell r="Y1387">
            <v>2</v>
          </cell>
          <cell r="Z1387">
            <v>5</v>
          </cell>
          <cell r="AA1387">
            <v>13</v>
          </cell>
          <cell r="AB1387">
            <v>1</v>
          </cell>
          <cell r="AC1387">
            <v>10</v>
          </cell>
          <cell r="AD1387">
            <v>32</v>
          </cell>
          <cell r="AE1387">
            <v>1</v>
          </cell>
          <cell r="AF1387">
            <v>13</v>
          </cell>
          <cell r="AG1387">
            <v>8</v>
          </cell>
          <cell r="AH1387">
            <v>1</v>
          </cell>
          <cell r="AI1387">
            <v>1</v>
          </cell>
          <cell r="AJ1387">
            <v>0</v>
          </cell>
        </row>
        <row r="1388">
          <cell r="E1388" t="str">
            <v>NJ Industrial Kerosene</v>
          </cell>
          <cell r="F1388">
            <v>1452</v>
          </cell>
          <cell r="G1388">
            <v>538</v>
          </cell>
          <cell r="H1388">
            <v>898</v>
          </cell>
          <cell r="I1388">
            <v>773</v>
          </cell>
          <cell r="J1388">
            <v>3385</v>
          </cell>
          <cell r="K1388">
            <v>2348</v>
          </cell>
          <cell r="L1388">
            <v>1783</v>
          </cell>
          <cell r="M1388">
            <v>3734</v>
          </cell>
          <cell r="N1388">
            <v>2534</v>
          </cell>
          <cell r="O1388">
            <v>1198</v>
          </cell>
          <cell r="P1388">
            <v>2438</v>
          </cell>
          <cell r="Q1388">
            <v>2655</v>
          </cell>
          <cell r="R1388">
            <v>1624</v>
          </cell>
          <cell r="S1388">
            <v>2492</v>
          </cell>
          <cell r="T1388">
            <v>3869</v>
          </cell>
          <cell r="U1388">
            <v>7522</v>
          </cell>
          <cell r="V1388">
            <v>2922</v>
          </cell>
          <cell r="W1388">
            <v>1471</v>
          </cell>
          <cell r="X1388">
            <v>502</v>
          </cell>
          <cell r="Y1388">
            <v>432</v>
          </cell>
          <cell r="Z1388">
            <v>527</v>
          </cell>
          <cell r="AA1388">
            <v>263</v>
          </cell>
          <cell r="AB1388">
            <v>83</v>
          </cell>
          <cell r="AC1388">
            <v>13</v>
          </cell>
          <cell r="AD1388">
            <v>16</v>
          </cell>
          <cell r="AE1388">
            <v>16</v>
          </cell>
          <cell r="AF1388">
            <v>18</v>
          </cell>
          <cell r="AG1388">
            <v>8</v>
          </cell>
          <cell r="AH1388">
            <v>77</v>
          </cell>
          <cell r="AI1388">
            <v>32</v>
          </cell>
          <cell r="AJ1388">
            <v>29</v>
          </cell>
        </row>
        <row r="1389">
          <cell r="E1389" t="str">
            <v>NM Industrial Kerosene</v>
          </cell>
          <cell r="F1389">
            <v>211</v>
          </cell>
          <cell r="G1389">
            <v>219</v>
          </cell>
          <cell r="H1389">
            <v>54</v>
          </cell>
          <cell r="I1389">
            <v>42</v>
          </cell>
          <cell r="J1389">
            <v>27</v>
          </cell>
          <cell r="K1389">
            <v>40</v>
          </cell>
          <cell r="L1389">
            <v>55</v>
          </cell>
          <cell r="M1389">
            <v>35</v>
          </cell>
          <cell r="N1389">
            <v>50</v>
          </cell>
          <cell r="O1389">
            <v>103</v>
          </cell>
          <cell r="P1389">
            <v>86</v>
          </cell>
          <cell r="Q1389">
            <v>41</v>
          </cell>
          <cell r="R1389">
            <v>36</v>
          </cell>
          <cell r="S1389">
            <v>13</v>
          </cell>
          <cell r="T1389">
            <v>7</v>
          </cell>
          <cell r="U1389">
            <v>6</v>
          </cell>
          <cell r="V1389">
            <v>16</v>
          </cell>
          <cell r="W1389">
            <v>5</v>
          </cell>
          <cell r="X1389">
            <v>4</v>
          </cell>
          <cell r="Y1389">
            <v>1</v>
          </cell>
          <cell r="Z1389">
            <v>1</v>
          </cell>
          <cell r="AA1389">
            <v>0</v>
          </cell>
          <cell r="AB1389">
            <v>0</v>
          </cell>
          <cell r="AC1389">
            <v>1</v>
          </cell>
          <cell r="AD1389">
            <v>2</v>
          </cell>
          <cell r="AE1389">
            <v>1</v>
          </cell>
          <cell r="AF1389">
            <v>2</v>
          </cell>
          <cell r="AG1389">
            <v>0</v>
          </cell>
          <cell r="AH1389">
            <v>0</v>
          </cell>
          <cell r="AI1389">
            <v>0</v>
          </cell>
          <cell r="AJ1389">
            <v>0</v>
          </cell>
        </row>
        <row r="1390">
          <cell r="E1390" t="str">
            <v>NV Industrial Kerosene</v>
          </cell>
          <cell r="F1390">
            <v>38</v>
          </cell>
          <cell r="G1390">
            <v>53</v>
          </cell>
          <cell r="H1390">
            <v>54</v>
          </cell>
          <cell r="I1390">
            <v>3</v>
          </cell>
          <cell r="J1390">
            <v>5</v>
          </cell>
          <cell r="K1390">
            <v>10</v>
          </cell>
          <cell r="L1390">
            <v>10</v>
          </cell>
          <cell r="M1390">
            <v>9</v>
          </cell>
          <cell r="N1390">
            <v>7</v>
          </cell>
          <cell r="O1390">
            <v>88</v>
          </cell>
          <cell r="P1390">
            <v>5</v>
          </cell>
          <cell r="Q1390">
            <v>3</v>
          </cell>
          <cell r="R1390">
            <v>1</v>
          </cell>
          <cell r="S1390">
            <v>1</v>
          </cell>
          <cell r="T1390">
            <v>2</v>
          </cell>
          <cell r="U1390">
            <v>2</v>
          </cell>
          <cell r="V1390">
            <v>0</v>
          </cell>
          <cell r="W1390">
            <v>1</v>
          </cell>
          <cell r="X1390">
            <v>1</v>
          </cell>
          <cell r="Y1390">
            <v>8</v>
          </cell>
          <cell r="Z1390">
            <v>3</v>
          </cell>
          <cell r="AA1390">
            <v>7</v>
          </cell>
          <cell r="AB1390">
            <v>2</v>
          </cell>
          <cell r="AC1390">
            <v>1</v>
          </cell>
          <cell r="AD1390">
            <v>5</v>
          </cell>
          <cell r="AE1390">
            <v>0</v>
          </cell>
          <cell r="AF1390">
            <v>1</v>
          </cell>
          <cell r="AG1390">
            <v>1</v>
          </cell>
          <cell r="AH1390">
            <v>0</v>
          </cell>
          <cell r="AI1390">
            <v>0</v>
          </cell>
          <cell r="AJ1390">
            <v>0</v>
          </cell>
        </row>
        <row r="1391">
          <cell r="E1391" t="str">
            <v>NY Industrial Kerosene</v>
          </cell>
          <cell r="F1391">
            <v>1411</v>
          </cell>
          <cell r="G1391">
            <v>1899</v>
          </cell>
          <cell r="H1391">
            <v>1141</v>
          </cell>
          <cell r="I1391">
            <v>1365</v>
          </cell>
          <cell r="J1391">
            <v>2012</v>
          </cell>
          <cell r="K1391">
            <v>2320</v>
          </cell>
          <cell r="L1391">
            <v>3869</v>
          </cell>
          <cell r="M1391">
            <v>2046</v>
          </cell>
          <cell r="N1391">
            <v>2896</v>
          </cell>
          <cell r="O1391">
            <v>437</v>
          </cell>
          <cell r="P1391">
            <v>854</v>
          </cell>
          <cell r="Q1391">
            <v>1023</v>
          </cell>
          <cell r="R1391">
            <v>1350</v>
          </cell>
          <cell r="S1391">
            <v>5049</v>
          </cell>
          <cell r="T1391">
            <v>2111</v>
          </cell>
          <cell r="U1391">
            <v>3797</v>
          </cell>
          <cell r="V1391">
            <v>2392</v>
          </cell>
          <cell r="W1391">
            <v>1219</v>
          </cell>
          <cell r="X1391">
            <v>230</v>
          </cell>
          <cell r="Y1391">
            <v>429</v>
          </cell>
          <cell r="Z1391">
            <v>3108</v>
          </cell>
          <cell r="AA1391">
            <v>928</v>
          </cell>
          <cell r="AB1391">
            <v>818</v>
          </cell>
          <cell r="AC1391">
            <v>476</v>
          </cell>
          <cell r="AD1391">
            <v>868</v>
          </cell>
          <cell r="AE1391">
            <v>719</v>
          </cell>
          <cell r="AF1391">
            <v>1001</v>
          </cell>
          <cell r="AG1391">
            <v>329</v>
          </cell>
          <cell r="AH1391">
            <v>702</v>
          </cell>
          <cell r="AI1391">
            <v>686</v>
          </cell>
          <cell r="AJ1391">
            <v>2178</v>
          </cell>
        </row>
        <row r="1392">
          <cell r="E1392" t="str">
            <v>OH Industrial Kerosene</v>
          </cell>
          <cell r="F1392">
            <v>496</v>
          </cell>
          <cell r="G1392">
            <v>648</v>
          </cell>
          <cell r="H1392">
            <v>773</v>
          </cell>
          <cell r="I1392">
            <v>1774</v>
          </cell>
          <cell r="J1392">
            <v>1185</v>
          </cell>
          <cell r="K1392">
            <v>1062</v>
          </cell>
          <cell r="L1392">
            <v>1253</v>
          </cell>
          <cell r="M1392">
            <v>1382</v>
          </cell>
          <cell r="N1392">
            <v>1490</v>
          </cell>
          <cell r="O1392">
            <v>583</v>
          </cell>
          <cell r="P1392">
            <v>540</v>
          </cell>
          <cell r="Q1392">
            <v>1156</v>
          </cell>
          <cell r="R1392">
            <v>860</v>
          </cell>
          <cell r="S1392">
            <v>869</v>
          </cell>
          <cell r="T1392">
            <v>1086</v>
          </cell>
          <cell r="U1392">
            <v>1003</v>
          </cell>
          <cell r="V1392">
            <v>966</v>
          </cell>
          <cell r="W1392">
            <v>984</v>
          </cell>
          <cell r="X1392">
            <v>350</v>
          </cell>
          <cell r="Y1392">
            <v>413</v>
          </cell>
          <cell r="Z1392">
            <v>446</v>
          </cell>
          <cell r="AA1392">
            <v>54</v>
          </cell>
          <cell r="AB1392">
            <v>17</v>
          </cell>
          <cell r="AC1392">
            <v>19</v>
          </cell>
          <cell r="AD1392">
            <v>62</v>
          </cell>
          <cell r="AE1392">
            <v>30</v>
          </cell>
          <cell r="AF1392">
            <v>27</v>
          </cell>
          <cell r="AG1392">
            <v>38</v>
          </cell>
          <cell r="AH1392">
            <v>75</v>
          </cell>
          <cell r="AI1392">
            <v>66</v>
          </cell>
          <cell r="AJ1392">
            <v>76</v>
          </cell>
        </row>
        <row r="1393">
          <cell r="E1393" t="str">
            <v>OK Industrial Kerosene</v>
          </cell>
          <cell r="F1393">
            <v>88</v>
          </cell>
          <cell r="G1393">
            <v>66</v>
          </cell>
          <cell r="H1393">
            <v>95</v>
          </cell>
          <cell r="I1393">
            <v>77</v>
          </cell>
          <cell r="J1393">
            <v>133</v>
          </cell>
          <cell r="K1393">
            <v>34</v>
          </cell>
          <cell r="L1393">
            <v>40</v>
          </cell>
          <cell r="M1393">
            <v>85</v>
          </cell>
          <cell r="N1393">
            <v>70</v>
          </cell>
          <cell r="O1393">
            <v>141</v>
          </cell>
          <cell r="P1393">
            <v>172</v>
          </cell>
          <cell r="Q1393">
            <v>207</v>
          </cell>
          <cell r="R1393">
            <v>62</v>
          </cell>
          <cell r="S1393">
            <v>54</v>
          </cell>
          <cell r="T1393">
            <v>54</v>
          </cell>
          <cell r="U1393">
            <v>116</v>
          </cell>
          <cell r="V1393">
            <v>79</v>
          </cell>
          <cell r="W1393">
            <v>65</v>
          </cell>
          <cell r="X1393">
            <v>46</v>
          </cell>
          <cell r="Y1393">
            <v>15</v>
          </cell>
          <cell r="Z1393">
            <v>21</v>
          </cell>
          <cell r="AA1393">
            <v>13</v>
          </cell>
          <cell r="AB1393">
            <v>20</v>
          </cell>
          <cell r="AC1393">
            <v>9</v>
          </cell>
          <cell r="AD1393">
            <v>11</v>
          </cell>
          <cell r="AE1393">
            <v>13</v>
          </cell>
          <cell r="AF1393">
            <v>9</v>
          </cell>
          <cell r="AG1393">
            <v>6</v>
          </cell>
          <cell r="AH1393">
            <v>1</v>
          </cell>
          <cell r="AI1393">
            <v>2</v>
          </cell>
          <cell r="AJ1393">
            <v>3</v>
          </cell>
        </row>
        <row r="1394">
          <cell r="E1394" t="str">
            <v>OR Industrial Kerosene</v>
          </cell>
          <cell r="F1394">
            <v>24</v>
          </cell>
          <cell r="G1394">
            <v>22</v>
          </cell>
          <cell r="H1394">
            <v>52</v>
          </cell>
          <cell r="I1394">
            <v>68</v>
          </cell>
          <cell r="J1394">
            <v>59</v>
          </cell>
          <cell r="K1394">
            <v>129</v>
          </cell>
          <cell r="L1394">
            <v>62</v>
          </cell>
          <cell r="M1394">
            <v>33</v>
          </cell>
          <cell r="N1394">
            <v>103</v>
          </cell>
          <cell r="O1394">
            <v>327</v>
          </cell>
          <cell r="P1394">
            <v>176</v>
          </cell>
          <cell r="Q1394">
            <v>319</v>
          </cell>
          <cell r="R1394">
            <v>175</v>
          </cell>
          <cell r="S1394">
            <v>160</v>
          </cell>
          <cell r="T1394">
            <v>253</v>
          </cell>
          <cell r="U1394">
            <v>187</v>
          </cell>
          <cell r="V1394">
            <v>132</v>
          </cell>
          <cell r="W1394">
            <v>11</v>
          </cell>
          <cell r="X1394">
            <v>12</v>
          </cell>
          <cell r="Y1394">
            <v>76</v>
          </cell>
          <cell r="Z1394">
            <v>26</v>
          </cell>
          <cell r="AA1394">
            <v>20</v>
          </cell>
          <cell r="AB1394">
            <v>10</v>
          </cell>
          <cell r="AC1394">
            <v>11</v>
          </cell>
          <cell r="AD1394">
            <v>6</v>
          </cell>
          <cell r="AE1394">
            <v>5</v>
          </cell>
          <cell r="AF1394">
            <v>16</v>
          </cell>
          <cell r="AG1394">
            <v>4</v>
          </cell>
          <cell r="AH1394">
            <v>3</v>
          </cell>
          <cell r="AI1394">
            <v>3</v>
          </cell>
          <cell r="AJ1394">
            <v>4</v>
          </cell>
        </row>
        <row r="1395">
          <cell r="E1395" t="str">
            <v>PA Industrial Kerosene</v>
          </cell>
          <cell r="F1395">
            <v>718</v>
          </cell>
          <cell r="G1395">
            <v>811</v>
          </cell>
          <cell r="H1395">
            <v>803</v>
          </cell>
          <cell r="I1395">
            <v>1289</v>
          </cell>
          <cell r="J1395">
            <v>1438</v>
          </cell>
          <cell r="K1395">
            <v>957</v>
          </cell>
          <cell r="L1395">
            <v>848</v>
          </cell>
          <cell r="M1395">
            <v>853</v>
          </cell>
          <cell r="N1395">
            <v>1053</v>
          </cell>
          <cell r="O1395">
            <v>1142</v>
          </cell>
          <cell r="P1395">
            <v>1223</v>
          </cell>
          <cell r="Q1395">
            <v>1587</v>
          </cell>
          <cell r="R1395">
            <v>554</v>
          </cell>
          <cell r="S1395">
            <v>430</v>
          </cell>
          <cell r="T1395">
            <v>450</v>
          </cell>
          <cell r="U1395">
            <v>663</v>
          </cell>
          <cell r="V1395">
            <v>407</v>
          </cell>
          <cell r="W1395">
            <v>464</v>
          </cell>
          <cell r="X1395">
            <v>146</v>
          </cell>
          <cell r="Y1395">
            <v>163</v>
          </cell>
          <cell r="Z1395">
            <v>281</v>
          </cell>
          <cell r="AA1395">
            <v>187</v>
          </cell>
          <cell r="AB1395">
            <v>58</v>
          </cell>
          <cell r="AC1395">
            <v>63</v>
          </cell>
          <cell r="AD1395">
            <v>133</v>
          </cell>
          <cell r="AE1395">
            <v>68</v>
          </cell>
          <cell r="AF1395">
            <v>82</v>
          </cell>
          <cell r="AG1395">
            <v>58</v>
          </cell>
          <cell r="AH1395">
            <v>79</v>
          </cell>
          <cell r="AI1395">
            <v>63</v>
          </cell>
          <cell r="AJ1395">
            <v>60</v>
          </cell>
        </row>
        <row r="1396">
          <cell r="E1396" t="str">
            <v>RI Industrial Kerosene</v>
          </cell>
          <cell r="F1396">
            <v>82</v>
          </cell>
          <cell r="G1396">
            <v>86</v>
          </cell>
          <cell r="H1396">
            <v>63</v>
          </cell>
          <cell r="I1396">
            <v>46</v>
          </cell>
          <cell r="J1396">
            <v>42</v>
          </cell>
          <cell r="K1396">
            <v>38</v>
          </cell>
          <cell r="L1396">
            <v>16</v>
          </cell>
          <cell r="M1396">
            <v>18</v>
          </cell>
          <cell r="N1396">
            <v>74</v>
          </cell>
          <cell r="O1396">
            <v>108</v>
          </cell>
          <cell r="P1396">
            <v>6</v>
          </cell>
          <cell r="Q1396">
            <v>1</v>
          </cell>
          <cell r="R1396">
            <v>3</v>
          </cell>
          <cell r="S1396">
            <v>1</v>
          </cell>
          <cell r="T1396">
            <v>0</v>
          </cell>
          <cell r="U1396">
            <v>11</v>
          </cell>
          <cell r="V1396">
            <v>2</v>
          </cell>
          <cell r="W1396">
            <v>0</v>
          </cell>
          <cell r="X1396">
            <v>17</v>
          </cell>
          <cell r="Y1396">
            <v>0</v>
          </cell>
          <cell r="Z1396">
            <v>0</v>
          </cell>
          <cell r="AA1396">
            <v>0</v>
          </cell>
          <cell r="AB1396">
            <v>0</v>
          </cell>
          <cell r="AC1396">
            <v>1</v>
          </cell>
          <cell r="AD1396">
            <v>0</v>
          </cell>
          <cell r="AE1396">
            <v>0</v>
          </cell>
          <cell r="AF1396">
            <v>3</v>
          </cell>
          <cell r="AG1396">
            <v>0</v>
          </cell>
          <cell r="AH1396">
            <v>0</v>
          </cell>
          <cell r="AI1396">
            <v>0</v>
          </cell>
          <cell r="AJ1396">
            <v>0</v>
          </cell>
        </row>
        <row r="1397">
          <cell r="E1397" t="str">
            <v>SC Industrial Kerosene</v>
          </cell>
          <cell r="F1397">
            <v>548</v>
          </cell>
          <cell r="G1397">
            <v>618</v>
          </cell>
          <cell r="H1397">
            <v>393</v>
          </cell>
          <cell r="I1397">
            <v>535</v>
          </cell>
          <cell r="J1397">
            <v>430</v>
          </cell>
          <cell r="K1397">
            <v>438</v>
          </cell>
          <cell r="L1397">
            <v>500</v>
          </cell>
          <cell r="M1397">
            <v>385</v>
          </cell>
          <cell r="N1397">
            <v>624</v>
          </cell>
          <cell r="O1397">
            <v>476</v>
          </cell>
          <cell r="P1397">
            <v>644</v>
          </cell>
          <cell r="Q1397">
            <v>704</v>
          </cell>
          <cell r="R1397">
            <v>454</v>
          </cell>
          <cell r="S1397">
            <v>422</v>
          </cell>
          <cell r="T1397">
            <v>584</v>
          </cell>
          <cell r="U1397">
            <v>591</v>
          </cell>
          <cell r="V1397">
            <v>546</v>
          </cell>
          <cell r="W1397">
            <v>41</v>
          </cell>
          <cell r="X1397">
            <v>21</v>
          </cell>
          <cell r="Y1397">
            <v>20</v>
          </cell>
          <cell r="Z1397">
            <v>13</v>
          </cell>
          <cell r="AA1397">
            <v>7</v>
          </cell>
          <cell r="AB1397">
            <v>3</v>
          </cell>
          <cell r="AC1397">
            <v>1</v>
          </cell>
          <cell r="AD1397">
            <v>5</v>
          </cell>
          <cell r="AE1397">
            <v>2</v>
          </cell>
          <cell r="AF1397">
            <v>2</v>
          </cell>
          <cell r="AG1397">
            <v>0</v>
          </cell>
          <cell r="AH1397">
            <v>1</v>
          </cell>
          <cell r="AI1397">
            <v>2</v>
          </cell>
          <cell r="AJ1397">
            <v>2</v>
          </cell>
        </row>
        <row r="1398">
          <cell r="E1398" t="str">
            <v>SD Industrial Kerosene</v>
          </cell>
          <cell r="F1398">
            <v>19</v>
          </cell>
          <cell r="G1398">
            <v>15</v>
          </cell>
          <cell r="H1398">
            <v>21</v>
          </cell>
          <cell r="I1398">
            <v>7</v>
          </cell>
          <cell r="J1398">
            <v>5</v>
          </cell>
          <cell r="K1398">
            <v>10</v>
          </cell>
          <cell r="L1398">
            <v>17</v>
          </cell>
          <cell r="M1398">
            <v>13</v>
          </cell>
          <cell r="N1398">
            <v>7</v>
          </cell>
          <cell r="O1398">
            <v>9</v>
          </cell>
          <cell r="P1398">
            <v>9</v>
          </cell>
          <cell r="Q1398">
            <v>15</v>
          </cell>
          <cell r="R1398">
            <v>8</v>
          </cell>
          <cell r="S1398">
            <v>12</v>
          </cell>
          <cell r="T1398">
            <v>4</v>
          </cell>
          <cell r="U1398">
            <v>5</v>
          </cell>
          <cell r="V1398">
            <v>3</v>
          </cell>
          <cell r="W1398">
            <v>2</v>
          </cell>
          <cell r="X1398">
            <v>1</v>
          </cell>
          <cell r="Y1398">
            <v>5</v>
          </cell>
          <cell r="Z1398">
            <v>2</v>
          </cell>
          <cell r="AA1398">
            <v>1</v>
          </cell>
          <cell r="AB1398">
            <v>0</v>
          </cell>
          <cell r="AC1398">
            <v>1</v>
          </cell>
          <cell r="AD1398">
            <v>2</v>
          </cell>
          <cell r="AE1398">
            <v>1</v>
          </cell>
          <cell r="AF1398">
            <v>2</v>
          </cell>
          <cell r="AG1398">
            <v>0</v>
          </cell>
          <cell r="AH1398">
            <v>0</v>
          </cell>
          <cell r="AI1398">
            <v>1</v>
          </cell>
          <cell r="AJ1398">
            <v>1</v>
          </cell>
        </row>
        <row r="1399">
          <cell r="E1399" t="str">
            <v>TN Industrial Kerosene</v>
          </cell>
          <cell r="F1399">
            <v>259</v>
          </cell>
          <cell r="G1399">
            <v>241</v>
          </cell>
          <cell r="H1399">
            <v>70</v>
          </cell>
          <cell r="I1399">
            <v>218</v>
          </cell>
          <cell r="J1399">
            <v>183</v>
          </cell>
          <cell r="K1399">
            <v>210</v>
          </cell>
          <cell r="L1399">
            <v>233</v>
          </cell>
          <cell r="M1399">
            <v>250</v>
          </cell>
          <cell r="N1399">
            <v>372</v>
          </cell>
          <cell r="O1399">
            <v>300</v>
          </cell>
          <cell r="P1399">
            <v>536</v>
          </cell>
          <cell r="Q1399">
            <v>541</v>
          </cell>
          <cell r="R1399">
            <v>131</v>
          </cell>
          <cell r="S1399">
            <v>193</v>
          </cell>
          <cell r="T1399">
            <v>270</v>
          </cell>
          <cell r="U1399">
            <v>239</v>
          </cell>
          <cell r="V1399">
            <v>117</v>
          </cell>
          <cell r="W1399">
            <v>56</v>
          </cell>
          <cell r="X1399">
            <v>38</v>
          </cell>
          <cell r="Y1399">
            <v>60</v>
          </cell>
          <cell r="Z1399">
            <v>81</v>
          </cell>
          <cell r="AA1399">
            <v>41</v>
          </cell>
          <cell r="AB1399">
            <v>46</v>
          </cell>
          <cell r="AC1399">
            <v>38</v>
          </cell>
          <cell r="AD1399">
            <v>53</v>
          </cell>
          <cell r="AE1399">
            <v>40</v>
          </cell>
          <cell r="AF1399">
            <v>47</v>
          </cell>
          <cell r="AG1399">
            <v>26</v>
          </cell>
          <cell r="AH1399">
            <v>30</v>
          </cell>
          <cell r="AI1399">
            <v>31</v>
          </cell>
          <cell r="AJ1399">
            <v>38</v>
          </cell>
        </row>
        <row r="1400">
          <cell r="E1400" t="str">
            <v>TX Industrial Kerosene</v>
          </cell>
          <cell r="F1400">
            <v>842</v>
          </cell>
          <cell r="G1400">
            <v>264</v>
          </cell>
          <cell r="H1400">
            <v>467</v>
          </cell>
          <cell r="I1400">
            <v>550</v>
          </cell>
          <cell r="J1400">
            <v>559</v>
          </cell>
          <cell r="K1400">
            <v>726</v>
          </cell>
          <cell r="L1400">
            <v>913</v>
          </cell>
          <cell r="M1400">
            <v>1598</v>
          </cell>
          <cell r="N1400">
            <v>1970</v>
          </cell>
          <cell r="O1400">
            <v>761</v>
          </cell>
          <cell r="P1400">
            <v>1389</v>
          </cell>
          <cell r="Q1400">
            <v>2616</v>
          </cell>
          <cell r="R1400">
            <v>413</v>
          </cell>
          <cell r="S1400">
            <v>1111</v>
          </cell>
          <cell r="T1400">
            <v>1575</v>
          </cell>
          <cell r="U1400">
            <v>1356</v>
          </cell>
          <cell r="V1400">
            <v>1231</v>
          </cell>
          <cell r="W1400">
            <v>750</v>
          </cell>
          <cell r="X1400">
            <v>775</v>
          </cell>
          <cell r="Y1400">
            <v>405</v>
          </cell>
          <cell r="Z1400">
            <v>219</v>
          </cell>
          <cell r="AA1400">
            <v>379</v>
          </cell>
          <cell r="AB1400">
            <v>157</v>
          </cell>
          <cell r="AC1400">
            <v>145</v>
          </cell>
          <cell r="AD1400">
            <v>151</v>
          </cell>
          <cell r="AE1400">
            <v>203</v>
          </cell>
          <cell r="AF1400">
            <v>245</v>
          </cell>
          <cell r="AG1400">
            <v>131</v>
          </cell>
          <cell r="AH1400">
            <v>142</v>
          </cell>
          <cell r="AI1400">
            <v>92</v>
          </cell>
          <cell r="AJ1400">
            <v>52</v>
          </cell>
        </row>
        <row r="1401">
          <cell r="E1401" t="str">
            <v>US Industrial Kerosene</v>
          </cell>
          <cell r="F1401">
            <v>12275</v>
          </cell>
          <cell r="G1401">
            <v>11382</v>
          </cell>
          <cell r="H1401">
            <v>9790</v>
          </cell>
          <cell r="I1401">
            <v>13053</v>
          </cell>
          <cell r="J1401">
            <v>16912</v>
          </cell>
          <cell r="K1401">
            <v>15444</v>
          </cell>
          <cell r="L1401">
            <v>18301</v>
          </cell>
          <cell r="M1401">
            <v>18812</v>
          </cell>
          <cell r="N1401">
            <v>22071</v>
          </cell>
          <cell r="O1401">
            <v>12840</v>
          </cell>
          <cell r="P1401">
            <v>15640</v>
          </cell>
          <cell r="Q1401">
            <v>23222</v>
          </cell>
          <cell r="R1401">
            <v>13806</v>
          </cell>
          <cell r="S1401">
            <v>24115</v>
          </cell>
          <cell r="T1401">
            <v>28219</v>
          </cell>
          <cell r="U1401">
            <v>39076</v>
          </cell>
          <cell r="V1401">
            <v>29576</v>
          </cell>
          <cell r="W1401">
            <v>13422</v>
          </cell>
          <cell r="X1401">
            <v>3830</v>
          </cell>
          <cell r="Y1401">
            <v>4399</v>
          </cell>
          <cell r="Z1401">
            <v>7318</v>
          </cell>
          <cell r="AA1401">
            <v>3615</v>
          </cell>
          <cell r="AB1401">
            <v>2008</v>
          </cell>
          <cell r="AC1401">
            <v>1477</v>
          </cell>
          <cell r="AD1401">
            <v>2830</v>
          </cell>
          <cell r="AE1401">
            <v>1728</v>
          </cell>
          <cell r="AF1401">
            <v>2265</v>
          </cell>
          <cell r="AG1401">
            <v>1115</v>
          </cell>
          <cell r="AH1401">
            <v>1624</v>
          </cell>
          <cell r="AI1401">
            <v>1420</v>
          </cell>
          <cell r="AJ1401">
            <v>3023</v>
          </cell>
        </row>
        <row r="1402">
          <cell r="E1402" t="str">
            <v>UT Industrial Kerosene</v>
          </cell>
          <cell r="F1402">
            <v>23</v>
          </cell>
          <cell r="G1402">
            <v>19</v>
          </cell>
          <cell r="H1402">
            <v>6</v>
          </cell>
          <cell r="I1402">
            <v>13</v>
          </cell>
          <cell r="J1402">
            <v>10</v>
          </cell>
          <cell r="K1402">
            <v>14</v>
          </cell>
          <cell r="L1402">
            <v>13</v>
          </cell>
          <cell r="M1402">
            <v>19</v>
          </cell>
          <cell r="N1402">
            <v>20</v>
          </cell>
          <cell r="O1402">
            <v>29</v>
          </cell>
          <cell r="P1402">
            <v>28</v>
          </cell>
          <cell r="Q1402">
            <v>36</v>
          </cell>
          <cell r="R1402">
            <v>30</v>
          </cell>
          <cell r="S1402">
            <v>21</v>
          </cell>
          <cell r="T1402">
            <v>17</v>
          </cell>
          <cell r="U1402">
            <v>20</v>
          </cell>
          <cell r="V1402">
            <v>15</v>
          </cell>
          <cell r="W1402">
            <v>12</v>
          </cell>
          <cell r="X1402">
            <v>5</v>
          </cell>
          <cell r="Y1402">
            <v>9</v>
          </cell>
          <cell r="Z1402">
            <v>4</v>
          </cell>
          <cell r="AA1402">
            <v>2</v>
          </cell>
          <cell r="AB1402">
            <v>2</v>
          </cell>
          <cell r="AC1402">
            <v>3</v>
          </cell>
          <cell r="AD1402">
            <v>3</v>
          </cell>
          <cell r="AE1402">
            <v>2</v>
          </cell>
          <cell r="AF1402">
            <v>2</v>
          </cell>
          <cell r="AG1402">
            <v>0</v>
          </cell>
          <cell r="AH1402">
            <v>0</v>
          </cell>
          <cell r="AI1402">
            <v>1</v>
          </cell>
          <cell r="AJ1402">
            <v>11</v>
          </cell>
        </row>
        <row r="1403">
          <cell r="E1403" t="str">
            <v>VA Industrial Kerosene</v>
          </cell>
          <cell r="F1403">
            <v>425</v>
          </cell>
          <cell r="G1403">
            <v>521</v>
          </cell>
          <cell r="H1403">
            <v>317</v>
          </cell>
          <cell r="I1403">
            <v>494</v>
          </cell>
          <cell r="J1403">
            <v>575</v>
          </cell>
          <cell r="K1403">
            <v>694</v>
          </cell>
          <cell r="L1403">
            <v>646</v>
          </cell>
          <cell r="M1403">
            <v>518</v>
          </cell>
          <cell r="N1403">
            <v>668</v>
          </cell>
          <cell r="O1403">
            <v>317</v>
          </cell>
          <cell r="P1403">
            <v>320</v>
          </cell>
          <cell r="Q1403">
            <v>358</v>
          </cell>
          <cell r="R1403">
            <v>263</v>
          </cell>
          <cell r="S1403">
            <v>282</v>
          </cell>
          <cell r="T1403">
            <v>326</v>
          </cell>
          <cell r="U1403">
            <v>379</v>
          </cell>
          <cell r="V1403">
            <v>283</v>
          </cell>
          <cell r="W1403">
            <v>156</v>
          </cell>
          <cell r="X1403">
            <v>87</v>
          </cell>
          <cell r="Y1403">
            <v>82</v>
          </cell>
          <cell r="Z1403">
            <v>130</v>
          </cell>
          <cell r="AA1403">
            <v>63</v>
          </cell>
          <cell r="AB1403">
            <v>20</v>
          </cell>
          <cell r="AC1403">
            <v>20</v>
          </cell>
          <cell r="AD1403">
            <v>28</v>
          </cell>
          <cell r="AE1403">
            <v>17</v>
          </cell>
          <cell r="AF1403">
            <v>19</v>
          </cell>
          <cell r="AG1403">
            <v>15</v>
          </cell>
          <cell r="AH1403">
            <v>13</v>
          </cell>
          <cell r="AI1403">
            <v>13</v>
          </cell>
          <cell r="AJ1403">
            <v>9</v>
          </cell>
        </row>
        <row r="1404">
          <cell r="E1404" t="str">
            <v>VT Industrial Kerosene</v>
          </cell>
          <cell r="F1404">
            <v>97</v>
          </cell>
          <cell r="G1404">
            <v>63</v>
          </cell>
          <cell r="H1404">
            <v>35</v>
          </cell>
          <cell r="I1404">
            <v>46</v>
          </cell>
          <cell r="J1404">
            <v>66</v>
          </cell>
          <cell r="K1404">
            <v>55</v>
          </cell>
          <cell r="L1404">
            <v>127</v>
          </cell>
          <cell r="M1404">
            <v>131</v>
          </cell>
          <cell r="N1404">
            <v>856</v>
          </cell>
          <cell r="O1404">
            <v>330</v>
          </cell>
          <cell r="P1404">
            <v>539</v>
          </cell>
          <cell r="Q1404">
            <v>261</v>
          </cell>
          <cell r="R1404">
            <v>87</v>
          </cell>
          <cell r="S1404">
            <v>403</v>
          </cell>
          <cell r="T1404">
            <v>334</v>
          </cell>
          <cell r="U1404">
            <v>292</v>
          </cell>
          <cell r="V1404">
            <v>70</v>
          </cell>
          <cell r="W1404">
            <v>81</v>
          </cell>
          <cell r="X1404">
            <v>42</v>
          </cell>
          <cell r="Y1404">
            <v>48</v>
          </cell>
          <cell r="Z1404">
            <v>71</v>
          </cell>
          <cell r="AA1404">
            <v>42</v>
          </cell>
          <cell r="AB1404">
            <v>91</v>
          </cell>
          <cell r="AC1404">
            <v>35</v>
          </cell>
          <cell r="AD1404">
            <v>84</v>
          </cell>
          <cell r="AE1404">
            <v>16</v>
          </cell>
          <cell r="AF1404">
            <v>32</v>
          </cell>
          <cell r="AG1404">
            <v>20</v>
          </cell>
          <cell r="AH1404">
            <v>17</v>
          </cell>
          <cell r="AI1404">
            <v>20</v>
          </cell>
          <cell r="AJ1404">
            <v>32</v>
          </cell>
        </row>
        <row r="1405">
          <cell r="E1405" t="str">
            <v>WA Industrial Kerosene</v>
          </cell>
          <cell r="F1405">
            <v>65</v>
          </cell>
          <cell r="G1405">
            <v>39</v>
          </cell>
          <cell r="H1405">
            <v>33</v>
          </cell>
          <cell r="I1405">
            <v>36</v>
          </cell>
          <cell r="J1405">
            <v>46</v>
          </cell>
          <cell r="K1405">
            <v>120</v>
          </cell>
          <cell r="L1405">
            <v>134</v>
          </cell>
          <cell r="M1405">
            <v>118</v>
          </cell>
          <cell r="N1405">
            <v>187</v>
          </cell>
          <cell r="O1405">
            <v>145</v>
          </cell>
          <cell r="P1405">
            <v>144</v>
          </cell>
          <cell r="Q1405">
            <v>140</v>
          </cell>
          <cell r="R1405">
            <v>59</v>
          </cell>
          <cell r="S1405">
            <v>70</v>
          </cell>
          <cell r="T1405">
            <v>157</v>
          </cell>
          <cell r="U1405">
            <v>150</v>
          </cell>
          <cell r="V1405">
            <v>40</v>
          </cell>
          <cell r="W1405">
            <v>16</v>
          </cell>
          <cell r="X1405">
            <v>26</v>
          </cell>
          <cell r="Y1405">
            <v>41</v>
          </cell>
          <cell r="Z1405">
            <v>37</v>
          </cell>
          <cell r="AA1405">
            <v>18</v>
          </cell>
          <cell r="AB1405">
            <v>9</v>
          </cell>
          <cell r="AC1405">
            <v>7</v>
          </cell>
          <cell r="AD1405">
            <v>3</v>
          </cell>
          <cell r="AE1405">
            <v>2</v>
          </cell>
          <cell r="AF1405">
            <v>1</v>
          </cell>
          <cell r="AG1405">
            <v>2</v>
          </cell>
          <cell r="AH1405">
            <v>1</v>
          </cell>
          <cell r="AI1405">
            <v>1</v>
          </cell>
          <cell r="AJ1405">
            <v>2</v>
          </cell>
        </row>
        <row r="1406">
          <cell r="E1406" t="str">
            <v>WI Industrial Kerosene</v>
          </cell>
          <cell r="F1406">
            <v>60</v>
          </cell>
          <cell r="G1406">
            <v>55</v>
          </cell>
          <cell r="H1406">
            <v>66</v>
          </cell>
          <cell r="I1406">
            <v>106</v>
          </cell>
          <cell r="J1406">
            <v>92</v>
          </cell>
          <cell r="K1406">
            <v>85</v>
          </cell>
          <cell r="L1406">
            <v>111</v>
          </cell>
          <cell r="M1406">
            <v>85</v>
          </cell>
          <cell r="N1406">
            <v>89</v>
          </cell>
          <cell r="O1406">
            <v>278</v>
          </cell>
          <cell r="P1406">
            <v>322</v>
          </cell>
          <cell r="Q1406">
            <v>284</v>
          </cell>
          <cell r="R1406">
            <v>176</v>
          </cell>
          <cell r="S1406">
            <v>140</v>
          </cell>
          <cell r="T1406">
            <v>180</v>
          </cell>
          <cell r="U1406">
            <v>203</v>
          </cell>
          <cell r="V1406">
            <v>123</v>
          </cell>
          <cell r="W1406">
            <v>79</v>
          </cell>
          <cell r="X1406">
            <v>42</v>
          </cell>
          <cell r="Y1406">
            <v>38</v>
          </cell>
          <cell r="Z1406">
            <v>38</v>
          </cell>
          <cell r="AA1406">
            <v>34</v>
          </cell>
          <cell r="AB1406">
            <v>13</v>
          </cell>
          <cell r="AC1406">
            <v>12</v>
          </cell>
          <cell r="AD1406">
            <v>22</v>
          </cell>
          <cell r="AE1406">
            <v>14</v>
          </cell>
          <cell r="AF1406">
            <v>36</v>
          </cell>
          <cell r="AG1406">
            <v>18</v>
          </cell>
          <cell r="AH1406">
            <v>15</v>
          </cell>
          <cell r="AI1406">
            <v>27</v>
          </cell>
          <cell r="AJ1406">
            <v>18</v>
          </cell>
        </row>
        <row r="1407">
          <cell r="E1407" t="str">
            <v>WV Industrial Kerosene</v>
          </cell>
          <cell r="F1407">
            <v>222</v>
          </cell>
          <cell r="G1407">
            <v>220</v>
          </cell>
          <cell r="H1407">
            <v>340</v>
          </cell>
          <cell r="I1407">
            <v>367</v>
          </cell>
          <cell r="J1407">
            <v>398</v>
          </cell>
          <cell r="K1407">
            <v>401</v>
          </cell>
          <cell r="L1407">
            <v>436</v>
          </cell>
          <cell r="M1407">
            <v>359</v>
          </cell>
          <cell r="N1407">
            <v>300</v>
          </cell>
          <cell r="O1407">
            <v>101</v>
          </cell>
          <cell r="P1407">
            <v>128</v>
          </cell>
          <cell r="Q1407">
            <v>68</v>
          </cell>
          <cell r="R1407">
            <v>38</v>
          </cell>
          <cell r="S1407">
            <v>62</v>
          </cell>
          <cell r="T1407">
            <v>96</v>
          </cell>
          <cell r="U1407">
            <v>120</v>
          </cell>
          <cell r="V1407">
            <v>112</v>
          </cell>
          <cell r="W1407">
            <v>32</v>
          </cell>
          <cell r="X1407">
            <v>12</v>
          </cell>
          <cell r="Y1407">
            <v>75</v>
          </cell>
          <cell r="Z1407">
            <v>105</v>
          </cell>
          <cell r="AA1407">
            <v>40</v>
          </cell>
          <cell r="AB1407">
            <v>22</v>
          </cell>
          <cell r="AC1407">
            <v>21</v>
          </cell>
          <cell r="AD1407">
            <v>37</v>
          </cell>
          <cell r="AE1407">
            <v>20</v>
          </cell>
          <cell r="AF1407">
            <v>17</v>
          </cell>
          <cell r="AG1407">
            <v>5</v>
          </cell>
          <cell r="AH1407">
            <v>17</v>
          </cell>
          <cell r="AI1407">
            <v>15</v>
          </cell>
          <cell r="AJ1407">
            <v>4</v>
          </cell>
        </row>
        <row r="1408">
          <cell r="E1408" t="str">
            <v>WY Industrial Kerosene</v>
          </cell>
          <cell r="F1408">
            <v>13</v>
          </cell>
          <cell r="G1408">
            <v>20</v>
          </cell>
          <cell r="H1408">
            <v>32</v>
          </cell>
          <cell r="I1408">
            <v>107</v>
          </cell>
          <cell r="J1408">
            <v>126</v>
          </cell>
          <cell r="K1408">
            <v>124</v>
          </cell>
          <cell r="L1408">
            <v>144</v>
          </cell>
          <cell r="M1408">
            <v>127</v>
          </cell>
          <cell r="N1408">
            <v>39</v>
          </cell>
          <cell r="O1408">
            <v>27</v>
          </cell>
          <cell r="P1408">
            <v>24</v>
          </cell>
          <cell r="Q1408">
            <v>11</v>
          </cell>
          <cell r="R1408">
            <v>24</v>
          </cell>
          <cell r="S1408">
            <v>1</v>
          </cell>
          <cell r="T1408">
            <v>3</v>
          </cell>
          <cell r="U1408">
            <v>5</v>
          </cell>
          <cell r="V1408">
            <v>7</v>
          </cell>
          <cell r="W1408">
            <v>6</v>
          </cell>
          <cell r="X1408">
            <v>0</v>
          </cell>
          <cell r="Y1408">
            <v>0</v>
          </cell>
          <cell r="Z1408">
            <v>1</v>
          </cell>
          <cell r="AA1408">
            <v>0</v>
          </cell>
          <cell r="AB1408">
            <v>0</v>
          </cell>
          <cell r="AC1408">
            <v>0</v>
          </cell>
          <cell r="AD1408">
            <v>0</v>
          </cell>
          <cell r="AE1408">
            <v>0</v>
          </cell>
          <cell r="AF1408">
            <v>0</v>
          </cell>
          <cell r="AG1408">
            <v>0</v>
          </cell>
          <cell r="AH1408">
            <v>0</v>
          </cell>
          <cell r="AI1408">
            <v>0</v>
          </cell>
          <cell r="AJ1408">
            <v>0</v>
          </cell>
        </row>
        <row r="1409">
          <cell r="E1409" t="str">
            <v>AK Residential Kerosene</v>
          </cell>
          <cell r="F1409">
            <v>15</v>
          </cell>
          <cell r="G1409">
            <v>44</v>
          </cell>
          <cell r="H1409">
            <v>4</v>
          </cell>
          <cell r="I1409">
            <v>3</v>
          </cell>
          <cell r="J1409">
            <v>58</v>
          </cell>
          <cell r="K1409">
            <v>2</v>
          </cell>
          <cell r="L1409">
            <v>2</v>
          </cell>
          <cell r="M1409">
            <v>1</v>
          </cell>
          <cell r="N1409">
            <v>5</v>
          </cell>
          <cell r="O1409">
            <v>95</v>
          </cell>
          <cell r="P1409">
            <v>76</v>
          </cell>
          <cell r="Q1409">
            <v>90</v>
          </cell>
          <cell r="R1409">
            <v>0</v>
          </cell>
          <cell r="S1409">
            <v>85</v>
          </cell>
          <cell r="T1409">
            <v>112</v>
          </cell>
          <cell r="U1409">
            <v>176</v>
          </cell>
          <cell r="V1409">
            <v>1561</v>
          </cell>
          <cell r="W1409">
            <v>914</v>
          </cell>
          <cell r="X1409">
            <v>792</v>
          </cell>
          <cell r="Y1409">
            <v>77</v>
          </cell>
          <cell r="Z1409">
            <v>83</v>
          </cell>
          <cell r="AA1409">
            <v>142</v>
          </cell>
          <cell r="AB1409">
            <v>41</v>
          </cell>
          <cell r="AC1409">
            <v>27</v>
          </cell>
          <cell r="AD1409">
            <v>33</v>
          </cell>
          <cell r="AE1409">
            <v>38</v>
          </cell>
          <cell r="AF1409">
            <v>60</v>
          </cell>
          <cell r="AG1409">
            <v>0</v>
          </cell>
          <cell r="AH1409">
            <v>0</v>
          </cell>
          <cell r="AI1409">
            <v>0</v>
          </cell>
          <cell r="AJ1409">
            <v>0</v>
          </cell>
        </row>
        <row r="1410">
          <cell r="E1410" t="str">
            <v>AL Residential Kerosene</v>
          </cell>
          <cell r="F1410">
            <v>215</v>
          </cell>
          <cell r="G1410">
            <v>345</v>
          </cell>
          <cell r="H1410">
            <v>172</v>
          </cell>
          <cell r="I1410">
            <v>245</v>
          </cell>
          <cell r="J1410">
            <v>165</v>
          </cell>
          <cell r="K1410">
            <v>376</v>
          </cell>
          <cell r="L1410">
            <v>361</v>
          </cell>
          <cell r="M1410">
            <v>325</v>
          </cell>
          <cell r="N1410">
            <v>228</v>
          </cell>
          <cell r="O1410">
            <v>249</v>
          </cell>
          <cell r="P1410">
            <v>262</v>
          </cell>
          <cell r="Q1410">
            <v>220</v>
          </cell>
          <cell r="R1410">
            <v>124</v>
          </cell>
          <cell r="S1410">
            <v>280</v>
          </cell>
          <cell r="T1410">
            <v>379</v>
          </cell>
          <cell r="U1410">
            <v>426</v>
          </cell>
          <cell r="V1410">
            <v>284</v>
          </cell>
          <cell r="W1410">
            <v>181</v>
          </cell>
          <cell r="X1410">
            <v>46</v>
          </cell>
          <cell r="Y1410">
            <v>65</v>
          </cell>
          <cell r="Z1410">
            <v>86</v>
          </cell>
          <cell r="AA1410">
            <v>70</v>
          </cell>
          <cell r="AB1410">
            <v>15</v>
          </cell>
          <cell r="AC1410">
            <v>15</v>
          </cell>
          <cell r="AD1410">
            <v>22</v>
          </cell>
          <cell r="AE1410">
            <v>17</v>
          </cell>
          <cell r="AF1410">
            <v>12</v>
          </cell>
          <cell r="AG1410">
            <v>4</v>
          </cell>
          <cell r="AH1410">
            <v>13</v>
          </cell>
          <cell r="AI1410">
            <v>11</v>
          </cell>
          <cell r="AJ1410">
            <v>6</v>
          </cell>
        </row>
        <row r="1411">
          <cell r="E1411" t="str">
            <v>AR Residential Kerosene</v>
          </cell>
          <cell r="F1411">
            <v>112</v>
          </cell>
          <cell r="G1411">
            <v>79</v>
          </cell>
          <cell r="H1411">
            <v>42</v>
          </cell>
          <cell r="I1411">
            <v>56</v>
          </cell>
          <cell r="J1411">
            <v>37</v>
          </cell>
          <cell r="K1411">
            <v>79</v>
          </cell>
          <cell r="L1411">
            <v>67</v>
          </cell>
          <cell r="M1411">
            <v>107</v>
          </cell>
          <cell r="N1411">
            <v>85</v>
          </cell>
          <cell r="O1411">
            <v>203</v>
          </cell>
          <cell r="P1411">
            <v>141</v>
          </cell>
          <cell r="Q1411">
            <v>137</v>
          </cell>
          <cell r="R1411">
            <v>111</v>
          </cell>
          <cell r="S1411">
            <v>92</v>
          </cell>
          <cell r="T1411">
            <v>61</v>
          </cell>
          <cell r="U1411">
            <v>77</v>
          </cell>
          <cell r="V1411">
            <v>52</v>
          </cell>
          <cell r="W1411">
            <v>35</v>
          </cell>
          <cell r="X1411">
            <v>13</v>
          </cell>
          <cell r="Y1411">
            <v>26</v>
          </cell>
          <cell r="Z1411">
            <v>31</v>
          </cell>
          <cell r="AA1411">
            <v>12</v>
          </cell>
          <cell r="AB1411">
            <v>5</v>
          </cell>
          <cell r="AC1411">
            <v>7</v>
          </cell>
          <cell r="AD1411">
            <v>16</v>
          </cell>
          <cell r="AE1411">
            <v>9</v>
          </cell>
          <cell r="AF1411">
            <v>7</v>
          </cell>
          <cell r="AG1411">
            <v>2</v>
          </cell>
          <cell r="AH1411">
            <v>3</v>
          </cell>
          <cell r="AI1411">
            <v>4</v>
          </cell>
          <cell r="AJ1411">
            <v>3</v>
          </cell>
        </row>
        <row r="1412">
          <cell r="E1412" t="str">
            <v>AZ Residential Kerosene</v>
          </cell>
          <cell r="F1412">
            <v>1</v>
          </cell>
          <cell r="G1412">
            <v>4</v>
          </cell>
          <cell r="H1412">
            <v>11</v>
          </cell>
          <cell r="I1412">
            <v>6</v>
          </cell>
          <cell r="J1412">
            <v>10</v>
          </cell>
          <cell r="K1412">
            <v>11</v>
          </cell>
          <cell r="L1412">
            <v>16</v>
          </cell>
          <cell r="M1412">
            <v>13</v>
          </cell>
          <cell r="N1412">
            <v>15</v>
          </cell>
          <cell r="O1412">
            <v>11</v>
          </cell>
          <cell r="P1412">
            <v>8</v>
          </cell>
          <cell r="Q1412">
            <v>5</v>
          </cell>
          <cell r="R1412">
            <v>3</v>
          </cell>
          <cell r="S1412">
            <v>13</v>
          </cell>
          <cell r="T1412">
            <v>6</v>
          </cell>
          <cell r="U1412">
            <v>23</v>
          </cell>
          <cell r="V1412">
            <v>9</v>
          </cell>
          <cell r="W1412">
            <v>2</v>
          </cell>
          <cell r="X1412">
            <v>1</v>
          </cell>
          <cell r="Y1412">
            <v>2</v>
          </cell>
          <cell r="Z1412">
            <v>0</v>
          </cell>
          <cell r="AA1412">
            <v>0</v>
          </cell>
          <cell r="AB1412">
            <v>0</v>
          </cell>
          <cell r="AC1412">
            <v>0</v>
          </cell>
          <cell r="AD1412">
            <v>0</v>
          </cell>
          <cell r="AE1412">
            <v>0</v>
          </cell>
          <cell r="AF1412">
            <v>0</v>
          </cell>
          <cell r="AG1412">
            <v>0</v>
          </cell>
          <cell r="AH1412">
            <v>0</v>
          </cell>
          <cell r="AI1412">
            <v>2</v>
          </cell>
          <cell r="AJ1412">
            <v>0</v>
          </cell>
        </row>
        <row r="1413">
          <cell r="E1413" t="str">
            <v>CA Residential Kerosene</v>
          </cell>
          <cell r="F1413">
            <v>501</v>
          </cell>
          <cell r="G1413">
            <v>452</v>
          </cell>
          <cell r="H1413">
            <v>185</v>
          </cell>
          <cell r="I1413">
            <v>382</v>
          </cell>
          <cell r="J1413">
            <v>382</v>
          </cell>
          <cell r="K1413">
            <v>459</v>
          </cell>
          <cell r="L1413">
            <v>586</v>
          </cell>
          <cell r="M1413">
            <v>764</v>
          </cell>
          <cell r="N1413">
            <v>1344</v>
          </cell>
          <cell r="O1413">
            <v>1059</v>
          </cell>
          <cell r="P1413">
            <v>1591</v>
          </cell>
          <cell r="Q1413">
            <v>1985</v>
          </cell>
          <cell r="R1413">
            <v>1227</v>
          </cell>
          <cell r="S1413">
            <v>1109</v>
          </cell>
          <cell r="T1413">
            <v>1567</v>
          </cell>
          <cell r="U1413">
            <v>1721</v>
          </cell>
          <cell r="V1413">
            <v>1625</v>
          </cell>
          <cell r="W1413">
            <v>864</v>
          </cell>
          <cell r="X1413">
            <v>458</v>
          </cell>
          <cell r="Y1413">
            <v>973</v>
          </cell>
          <cell r="Z1413">
            <v>816</v>
          </cell>
          <cell r="AA1413">
            <v>625</v>
          </cell>
          <cell r="AB1413">
            <v>269</v>
          </cell>
          <cell r="AC1413">
            <v>257</v>
          </cell>
          <cell r="AD1413">
            <v>334</v>
          </cell>
          <cell r="AE1413">
            <v>248</v>
          </cell>
          <cell r="AF1413">
            <v>473</v>
          </cell>
          <cell r="AG1413">
            <v>287</v>
          </cell>
          <cell r="AH1413">
            <v>287</v>
          </cell>
          <cell r="AI1413">
            <v>418</v>
          </cell>
          <cell r="AJ1413">
            <v>415</v>
          </cell>
        </row>
        <row r="1414">
          <cell r="E1414" t="str">
            <v>CO Residential Kerosene</v>
          </cell>
          <cell r="F1414">
            <v>127</v>
          </cell>
          <cell r="G1414">
            <v>136</v>
          </cell>
          <cell r="H1414">
            <v>209</v>
          </cell>
          <cell r="I1414">
            <v>197</v>
          </cell>
          <cell r="J1414">
            <v>225</v>
          </cell>
          <cell r="K1414">
            <v>113</v>
          </cell>
          <cell r="L1414">
            <v>117</v>
          </cell>
          <cell r="M1414">
            <v>108</v>
          </cell>
          <cell r="N1414">
            <v>137</v>
          </cell>
          <cell r="O1414">
            <v>93</v>
          </cell>
          <cell r="P1414">
            <v>165</v>
          </cell>
          <cell r="Q1414">
            <v>101</v>
          </cell>
          <cell r="R1414">
            <v>51</v>
          </cell>
          <cell r="S1414">
            <v>200</v>
          </cell>
          <cell r="T1414">
            <v>256</v>
          </cell>
          <cell r="U1414">
            <v>204</v>
          </cell>
          <cell r="V1414">
            <v>91</v>
          </cell>
          <cell r="W1414">
            <v>36</v>
          </cell>
          <cell r="X1414">
            <v>22</v>
          </cell>
          <cell r="Y1414">
            <v>40</v>
          </cell>
          <cell r="Z1414">
            <v>34</v>
          </cell>
          <cell r="AA1414">
            <v>10</v>
          </cell>
          <cell r="AB1414">
            <v>5</v>
          </cell>
          <cell r="AC1414">
            <v>10</v>
          </cell>
          <cell r="AD1414">
            <v>5</v>
          </cell>
          <cell r="AE1414">
            <v>5</v>
          </cell>
          <cell r="AF1414">
            <v>9</v>
          </cell>
          <cell r="AG1414">
            <v>3</v>
          </cell>
          <cell r="AH1414">
            <v>2</v>
          </cell>
          <cell r="AI1414">
            <v>9</v>
          </cell>
          <cell r="AJ1414">
            <v>5</v>
          </cell>
        </row>
        <row r="1415">
          <cell r="E1415" t="str">
            <v>CT Residential Kerosene</v>
          </cell>
          <cell r="F1415">
            <v>1109</v>
          </cell>
          <cell r="G1415">
            <v>990</v>
          </cell>
          <cell r="H1415">
            <v>1109</v>
          </cell>
          <cell r="I1415">
            <v>1194</v>
          </cell>
          <cell r="J1415">
            <v>919</v>
          </cell>
          <cell r="K1415">
            <v>692</v>
          </cell>
          <cell r="L1415">
            <v>704</v>
          </cell>
          <cell r="M1415">
            <v>813</v>
          </cell>
          <cell r="N1415">
            <v>716</v>
          </cell>
          <cell r="O1415">
            <v>1001</v>
          </cell>
          <cell r="P1415">
            <v>1128</v>
          </cell>
          <cell r="Q1415">
            <v>910</v>
          </cell>
          <cell r="R1415">
            <v>522</v>
          </cell>
          <cell r="S1415">
            <v>1530</v>
          </cell>
          <cell r="T1415">
            <v>1979</v>
          </cell>
          <cell r="U1415">
            <v>1846</v>
          </cell>
          <cell r="V1415">
            <v>1317</v>
          </cell>
          <cell r="W1415">
            <v>733</v>
          </cell>
          <cell r="X1415">
            <v>278</v>
          </cell>
          <cell r="Y1415">
            <v>262</v>
          </cell>
          <cell r="Z1415">
            <v>242</v>
          </cell>
          <cell r="AA1415">
            <v>176</v>
          </cell>
          <cell r="AB1415">
            <v>78</v>
          </cell>
          <cell r="AC1415">
            <v>71</v>
          </cell>
          <cell r="AD1415">
            <v>95</v>
          </cell>
          <cell r="AE1415">
            <v>58</v>
          </cell>
          <cell r="AF1415">
            <v>75</v>
          </cell>
          <cell r="AG1415">
            <v>48</v>
          </cell>
          <cell r="AH1415">
            <v>44</v>
          </cell>
          <cell r="AI1415">
            <v>64</v>
          </cell>
          <cell r="AJ1415">
            <v>60</v>
          </cell>
        </row>
        <row r="1416">
          <cell r="E1416" t="str">
            <v>DC Residential Kerosene</v>
          </cell>
          <cell r="F1416">
            <v>19</v>
          </cell>
          <cell r="G1416">
            <v>23</v>
          </cell>
          <cell r="H1416">
            <v>20</v>
          </cell>
          <cell r="I1416">
            <v>28</v>
          </cell>
          <cell r="J1416">
            <v>25</v>
          </cell>
          <cell r="K1416">
            <v>36</v>
          </cell>
          <cell r="L1416">
            <v>35</v>
          </cell>
          <cell r="M1416">
            <v>33</v>
          </cell>
          <cell r="N1416">
            <v>31</v>
          </cell>
          <cell r="O1416">
            <v>30</v>
          </cell>
          <cell r="P1416">
            <v>17</v>
          </cell>
          <cell r="Q1416">
            <v>1</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row>
        <row r="1417">
          <cell r="E1417" t="str">
            <v>DE Residential Kerosene</v>
          </cell>
          <cell r="F1417">
            <v>819</v>
          </cell>
          <cell r="G1417">
            <v>938</v>
          </cell>
          <cell r="H1417">
            <v>815</v>
          </cell>
          <cell r="I1417">
            <v>599</v>
          </cell>
          <cell r="J1417">
            <v>544</v>
          </cell>
          <cell r="K1417">
            <v>680</v>
          </cell>
          <cell r="L1417">
            <v>1022</v>
          </cell>
          <cell r="M1417">
            <v>687</v>
          </cell>
          <cell r="N1417">
            <v>929</v>
          </cell>
          <cell r="O1417">
            <v>707</v>
          </cell>
          <cell r="P1417">
            <v>744</v>
          </cell>
          <cell r="Q1417">
            <v>641</v>
          </cell>
          <cell r="R1417">
            <v>371</v>
          </cell>
          <cell r="S1417">
            <v>496</v>
          </cell>
          <cell r="T1417">
            <v>721</v>
          </cell>
          <cell r="U1417">
            <v>758</v>
          </cell>
          <cell r="V1417">
            <v>614</v>
          </cell>
          <cell r="W1417">
            <v>275</v>
          </cell>
          <cell r="X1417">
            <v>141</v>
          </cell>
          <cell r="Y1417">
            <v>300</v>
          </cell>
          <cell r="Z1417">
            <v>226</v>
          </cell>
          <cell r="AA1417">
            <v>141</v>
          </cell>
          <cell r="AB1417">
            <v>60</v>
          </cell>
          <cell r="AC1417">
            <v>63</v>
          </cell>
          <cell r="AD1417">
            <v>104</v>
          </cell>
          <cell r="AE1417">
            <v>76</v>
          </cell>
          <cell r="AF1417">
            <v>78</v>
          </cell>
          <cell r="AG1417">
            <v>39</v>
          </cell>
          <cell r="AH1417">
            <v>46</v>
          </cell>
          <cell r="AI1417">
            <v>48</v>
          </cell>
          <cell r="AJ1417">
            <v>44</v>
          </cell>
        </row>
        <row r="1418">
          <cell r="E1418" t="str">
            <v>FL Residential Kerosene</v>
          </cell>
          <cell r="F1418">
            <v>873</v>
          </cell>
          <cell r="G1418">
            <v>1107</v>
          </cell>
          <cell r="H1418">
            <v>1553</v>
          </cell>
          <cell r="I1418">
            <v>1236</v>
          </cell>
          <cell r="J1418">
            <v>706</v>
          </cell>
          <cell r="K1418">
            <v>1194</v>
          </cell>
          <cell r="L1418">
            <v>1494</v>
          </cell>
          <cell r="M1418">
            <v>1145</v>
          </cell>
          <cell r="N1418">
            <v>949</v>
          </cell>
          <cell r="O1418">
            <v>913</v>
          </cell>
          <cell r="P1418">
            <v>562</v>
          </cell>
          <cell r="Q1418">
            <v>517</v>
          </cell>
          <cell r="R1418">
            <v>360</v>
          </cell>
          <cell r="S1418">
            <v>547</v>
          </cell>
          <cell r="T1418">
            <v>536</v>
          </cell>
          <cell r="U1418">
            <v>464</v>
          </cell>
          <cell r="V1418">
            <v>306</v>
          </cell>
          <cell r="W1418">
            <v>113</v>
          </cell>
          <cell r="X1418">
            <v>80</v>
          </cell>
          <cell r="Y1418">
            <v>100</v>
          </cell>
          <cell r="Z1418">
            <v>174</v>
          </cell>
          <cell r="AA1418">
            <v>62</v>
          </cell>
          <cell r="AB1418">
            <v>21</v>
          </cell>
          <cell r="AC1418">
            <v>19</v>
          </cell>
          <cell r="AD1418">
            <v>43</v>
          </cell>
          <cell r="AE1418">
            <v>19</v>
          </cell>
          <cell r="AF1418">
            <v>33</v>
          </cell>
          <cell r="AG1418">
            <v>10</v>
          </cell>
          <cell r="AH1418">
            <v>19</v>
          </cell>
          <cell r="AI1418">
            <v>18</v>
          </cell>
          <cell r="AJ1418">
            <v>17</v>
          </cell>
        </row>
        <row r="1419">
          <cell r="E1419" t="str">
            <v>GA Residential Kerosene</v>
          </cell>
          <cell r="F1419">
            <v>630</v>
          </cell>
          <cell r="G1419">
            <v>642</v>
          </cell>
          <cell r="H1419">
            <v>617</v>
          </cell>
          <cell r="I1419">
            <v>773</v>
          </cell>
          <cell r="J1419">
            <v>454</v>
          </cell>
          <cell r="K1419">
            <v>713</v>
          </cell>
          <cell r="L1419">
            <v>816</v>
          </cell>
          <cell r="M1419">
            <v>767</v>
          </cell>
          <cell r="N1419">
            <v>972</v>
          </cell>
          <cell r="O1419">
            <v>1365</v>
          </cell>
          <cell r="P1419">
            <v>1122</v>
          </cell>
          <cell r="Q1419">
            <v>1027</v>
          </cell>
          <cell r="R1419">
            <v>458</v>
          </cell>
          <cell r="S1419">
            <v>377</v>
          </cell>
          <cell r="T1419">
            <v>527</v>
          </cell>
          <cell r="U1419">
            <v>384</v>
          </cell>
          <cell r="V1419">
            <v>356</v>
          </cell>
          <cell r="W1419">
            <v>222</v>
          </cell>
          <cell r="X1419">
            <v>95</v>
          </cell>
          <cell r="Y1419">
            <v>190</v>
          </cell>
          <cell r="Z1419">
            <v>198</v>
          </cell>
          <cell r="AA1419">
            <v>98</v>
          </cell>
          <cell r="AB1419">
            <v>29</v>
          </cell>
          <cell r="AC1419">
            <v>27</v>
          </cell>
          <cell r="AD1419">
            <v>57</v>
          </cell>
          <cell r="AE1419">
            <v>34</v>
          </cell>
          <cell r="AF1419">
            <v>41</v>
          </cell>
          <cell r="AG1419">
            <v>21</v>
          </cell>
          <cell r="AH1419">
            <v>93</v>
          </cell>
          <cell r="AI1419">
            <v>59</v>
          </cell>
          <cell r="AJ1419">
            <v>23</v>
          </cell>
        </row>
        <row r="1420">
          <cell r="E1420" t="str">
            <v>HI Residential Kerosene</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row>
        <row r="1421">
          <cell r="E1421" t="str">
            <v>IA Residential Kerosene</v>
          </cell>
          <cell r="F1421">
            <v>137</v>
          </cell>
          <cell r="G1421">
            <v>191</v>
          </cell>
          <cell r="H1421">
            <v>114</v>
          </cell>
          <cell r="I1421">
            <v>187</v>
          </cell>
          <cell r="J1421">
            <v>107</v>
          </cell>
          <cell r="K1421">
            <v>139</v>
          </cell>
          <cell r="L1421">
            <v>168</v>
          </cell>
          <cell r="M1421">
            <v>160</v>
          </cell>
          <cell r="N1421">
            <v>143</v>
          </cell>
          <cell r="O1421">
            <v>134</v>
          </cell>
          <cell r="P1421">
            <v>148</v>
          </cell>
          <cell r="Q1421">
            <v>208</v>
          </cell>
          <cell r="R1421">
            <v>126</v>
          </cell>
          <cell r="S1421">
            <v>112</v>
          </cell>
          <cell r="T1421">
            <v>156</v>
          </cell>
          <cell r="U1421">
            <v>125</v>
          </cell>
          <cell r="V1421">
            <v>86</v>
          </cell>
          <cell r="W1421">
            <v>56</v>
          </cell>
          <cell r="X1421">
            <v>35</v>
          </cell>
          <cell r="Y1421">
            <v>82</v>
          </cell>
          <cell r="Z1421">
            <v>84</v>
          </cell>
          <cell r="AA1421">
            <v>62</v>
          </cell>
          <cell r="AB1421">
            <v>10</v>
          </cell>
          <cell r="AC1421">
            <v>11</v>
          </cell>
          <cell r="AD1421">
            <v>22</v>
          </cell>
          <cell r="AE1421">
            <v>15</v>
          </cell>
          <cell r="AF1421">
            <v>32</v>
          </cell>
          <cell r="AG1421">
            <v>27</v>
          </cell>
          <cell r="AH1421">
            <v>14</v>
          </cell>
          <cell r="AI1421">
            <v>27</v>
          </cell>
          <cell r="AJ1421">
            <v>50</v>
          </cell>
        </row>
        <row r="1422">
          <cell r="E1422" t="str">
            <v>ID Residential Kerosene</v>
          </cell>
          <cell r="F1422">
            <v>29</v>
          </cell>
          <cell r="G1422">
            <v>9</v>
          </cell>
          <cell r="H1422">
            <v>9</v>
          </cell>
          <cell r="I1422">
            <v>9</v>
          </cell>
          <cell r="J1422">
            <v>13</v>
          </cell>
          <cell r="K1422">
            <v>85</v>
          </cell>
          <cell r="L1422">
            <v>71</v>
          </cell>
          <cell r="M1422">
            <v>21</v>
          </cell>
          <cell r="N1422">
            <v>78</v>
          </cell>
          <cell r="O1422">
            <v>35</v>
          </cell>
          <cell r="P1422">
            <v>56</v>
          </cell>
          <cell r="Q1422">
            <v>29</v>
          </cell>
          <cell r="R1422">
            <v>15</v>
          </cell>
          <cell r="S1422">
            <v>21</v>
          </cell>
          <cell r="T1422">
            <v>37</v>
          </cell>
          <cell r="U1422">
            <v>31</v>
          </cell>
          <cell r="V1422">
            <v>18</v>
          </cell>
          <cell r="W1422">
            <v>12</v>
          </cell>
          <cell r="X1422">
            <v>7</v>
          </cell>
          <cell r="Y1422">
            <v>10</v>
          </cell>
          <cell r="Z1422">
            <v>9</v>
          </cell>
          <cell r="AA1422">
            <v>6</v>
          </cell>
          <cell r="AB1422">
            <v>3</v>
          </cell>
          <cell r="AC1422">
            <v>2</v>
          </cell>
          <cell r="AD1422">
            <v>1</v>
          </cell>
          <cell r="AE1422">
            <v>1</v>
          </cell>
          <cell r="AF1422">
            <v>1</v>
          </cell>
          <cell r="AG1422">
            <v>1</v>
          </cell>
          <cell r="AH1422">
            <v>3</v>
          </cell>
          <cell r="AI1422">
            <v>12</v>
          </cell>
          <cell r="AJ1422">
            <v>4</v>
          </cell>
        </row>
        <row r="1423">
          <cell r="E1423" t="str">
            <v>IL Residential Kerosene</v>
          </cell>
          <cell r="F1423">
            <v>574</v>
          </cell>
          <cell r="G1423">
            <v>661</v>
          </cell>
          <cell r="H1423">
            <v>343</v>
          </cell>
          <cell r="I1423">
            <v>457</v>
          </cell>
          <cell r="J1423">
            <v>409</v>
          </cell>
          <cell r="K1423">
            <v>475</v>
          </cell>
          <cell r="L1423">
            <v>543</v>
          </cell>
          <cell r="M1423">
            <v>618</v>
          </cell>
          <cell r="N1423">
            <v>682</v>
          </cell>
          <cell r="O1423">
            <v>2950</v>
          </cell>
          <cell r="P1423">
            <v>689</v>
          </cell>
          <cell r="Q1423">
            <v>680</v>
          </cell>
          <cell r="R1423">
            <v>808</v>
          </cell>
          <cell r="S1423">
            <v>601</v>
          </cell>
          <cell r="T1423">
            <v>568</v>
          </cell>
          <cell r="U1423">
            <v>663</v>
          </cell>
          <cell r="V1423">
            <v>383</v>
          </cell>
          <cell r="W1423">
            <v>295</v>
          </cell>
          <cell r="X1423">
            <v>134</v>
          </cell>
          <cell r="Y1423">
            <v>179</v>
          </cell>
          <cell r="Z1423">
            <v>193</v>
          </cell>
          <cell r="AA1423">
            <v>136</v>
          </cell>
          <cell r="AB1423">
            <v>40</v>
          </cell>
          <cell r="AC1423">
            <v>57</v>
          </cell>
          <cell r="AD1423">
            <v>94</v>
          </cell>
          <cell r="AE1423">
            <v>63</v>
          </cell>
          <cell r="AF1423">
            <v>100</v>
          </cell>
          <cell r="AG1423">
            <v>63</v>
          </cell>
          <cell r="AH1423">
            <v>47</v>
          </cell>
          <cell r="AI1423">
            <v>81</v>
          </cell>
          <cell r="AJ1423">
            <v>51</v>
          </cell>
        </row>
        <row r="1424">
          <cell r="E1424" t="str">
            <v>IN Residential Kerosene</v>
          </cell>
          <cell r="F1424">
            <v>1578</v>
          </cell>
          <cell r="G1424">
            <v>1791</v>
          </cell>
          <cell r="H1424">
            <v>1052</v>
          </cell>
          <cell r="I1424">
            <v>1437</v>
          </cell>
          <cell r="J1424">
            <v>1560</v>
          </cell>
          <cell r="K1424">
            <v>1217</v>
          </cell>
          <cell r="L1424">
            <v>1633</v>
          </cell>
          <cell r="M1424">
            <v>1716</v>
          </cell>
          <cell r="N1424">
            <v>1702</v>
          </cell>
          <cell r="O1424">
            <v>7532</v>
          </cell>
          <cell r="P1424">
            <v>2038</v>
          </cell>
          <cell r="Q1424">
            <v>2028</v>
          </cell>
          <cell r="R1424">
            <v>1609</v>
          </cell>
          <cell r="S1424">
            <v>1169</v>
          </cell>
          <cell r="T1424">
            <v>1454</v>
          </cell>
          <cell r="U1424">
            <v>1488</v>
          </cell>
          <cell r="V1424">
            <v>985</v>
          </cell>
          <cell r="W1424">
            <v>732</v>
          </cell>
          <cell r="X1424">
            <v>400</v>
          </cell>
          <cell r="Y1424">
            <v>733</v>
          </cell>
          <cell r="Z1424">
            <v>596</v>
          </cell>
          <cell r="AA1424">
            <v>363</v>
          </cell>
          <cell r="AB1424">
            <v>104</v>
          </cell>
          <cell r="AC1424">
            <v>131</v>
          </cell>
          <cell r="AD1424">
            <v>234</v>
          </cell>
          <cell r="AE1424">
            <v>162</v>
          </cell>
          <cell r="AF1424">
            <v>239</v>
          </cell>
          <cell r="AG1424">
            <v>112</v>
          </cell>
          <cell r="AH1424">
            <v>103</v>
          </cell>
          <cell r="AI1424">
            <v>147</v>
          </cell>
          <cell r="AJ1424">
            <v>126</v>
          </cell>
        </row>
        <row r="1425">
          <cell r="E1425" t="str">
            <v>KS Residential Kerosene</v>
          </cell>
          <cell r="F1425">
            <v>63</v>
          </cell>
          <cell r="G1425">
            <v>56</v>
          </cell>
          <cell r="H1425">
            <v>75</v>
          </cell>
          <cell r="I1425">
            <v>111</v>
          </cell>
          <cell r="J1425">
            <v>43</v>
          </cell>
          <cell r="K1425">
            <v>72</v>
          </cell>
          <cell r="L1425">
            <v>109</v>
          </cell>
          <cell r="M1425">
            <v>66</v>
          </cell>
          <cell r="N1425">
            <v>101</v>
          </cell>
          <cell r="O1425">
            <v>1962</v>
          </cell>
          <cell r="P1425">
            <v>112</v>
          </cell>
          <cell r="Q1425">
            <v>81</v>
          </cell>
          <cell r="R1425">
            <v>54</v>
          </cell>
          <cell r="S1425">
            <v>62</v>
          </cell>
          <cell r="T1425">
            <v>59</v>
          </cell>
          <cell r="U1425">
            <v>54</v>
          </cell>
          <cell r="V1425">
            <v>26</v>
          </cell>
          <cell r="W1425">
            <v>13</v>
          </cell>
          <cell r="X1425">
            <v>8</v>
          </cell>
          <cell r="Y1425">
            <v>15</v>
          </cell>
          <cell r="Z1425">
            <v>14</v>
          </cell>
          <cell r="AA1425">
            <v>6</v>
          </cell>
          <cell r="AB1425">
            <v>2</v>
          </cell>
          <cell r="AC1425">
            <v>2</v>
          </cell>
          <cell r="AD1425">
            <v>5</v>
          </cell>
          <cell r="AE1425">
            <v>2</v>
          </cell>
          <cell r="AF1425">
            <v>53</v>
          </cell>
          <cell r="AG1425">
            <v>1</v>
          </cell>
          <cell r="AH1425">
            <v>3</v>
          </cell>
          <cell r="AI1425">
            <v>3</v>
          </cell>
          <cell r="AJ1425">
            <v>2</v>
          </cell>
        </row>
        <row r="1426">
          <cell r="E1426" t="str">
            <v>KY Residential Kerosene</v>
          </cell>
          <cell r="F1426">
            <v>1822</v>
          </cell>
          <cell r="G1426">
            <v>2142</v>
          </cell>
          <cell r="H1426">
            <v>2071</v>
          </cell>
          <cell r="I1426">
            <v>2246</v>
          </cell>
          <cell r="J1426">
            <v>2213</v>
          </cell>
          <cell r="K1426">
            <v>2353</v>
          </cell>
          <cell r="L1426">
            <v>2485</v>
          </cell>
          <cell r="M1426">
            <v>2753</v>
          </cell>
          <cell r="N1426">
            <v>3465</v>
          </cell>
          <cell r="O1426">
            <v>4899</v>
          </cell>
          <cell r="P1426">
            <v>1791</v>
          </cell>
          <cell r="Q1426">
            <v>1537</v>
          </cell>
          <cell r="R1426">
            <v>961</v>
          </cell>
          <cell r="S1426">
            <v>1034</v>
          </cell>
          <cell r="T1426">
            <v>1173</v>
          </cell>
          <cell r="U1426">
            <v>1422</v>
          </cell>
          <cell r="V1426">
            <v>906</v>
          </cell>
          <cell r="W1426">
            <v>565</v>
          </cell>
          <cell r="X1426">
            <v>339</v>
          </cell>
          <cell r="Y1426">
            <v>645</v>
          </cell>
          <cell r="Z1426">
            <v>630</v>
          </cell>
          <cell r="AA1426">
            <v>531</v>
          </cell>
          <cell r="AB1426">
            <v>114</v>
          </cell>
          <cell r="AC1426">
            <v>117</v>
          </cell>
          <cell r="AD1426">
            <v>252</v>
          </cell>
          <cell r="AE1426">
            <v>150</v>
          </cell>
          <cell r="AF1426">
            <v>171</v>
          </cell>
          <cell r="AG1426">
            <v>86</v>
          </cell>
          <cell r="AH1426">
            <v>101</v>
          </cell>
          <cell r="AI1426">
            <v>148</v>
          </cell>
          <cell r="AJ1426">
            <v>132</v>
          </cell>
        </row>
        <row r="1427">
          <cell r="E1427" t="str">
            <v>LA Residential Kerosene</v>
          </cell>
          <cell r="F1427">
            <v>73</v>
          </cell>
          <cell r="G1427">
            <v>77</v>
          </cell>
          <cell r="H1427">
            <v>53</v>
          </cell>
          <cell r="I1427">
            <v>42</v>
          </cell>
          <cell r="J1427">
            <v>29</v>
          </cell>
          <cell r="K1427">
            <v>51</v>
          </cell>
          <cell r="L1427">
            <v>95</v>
          </cell>
          <cell r="M1427">
            <v>522</v>
          </cell>
          <cell r="N1427">
            <v>390</v>
          </cell>
          <cell r="O1427">
            <v>354</v>
          </cell>
          <cell r="P1427">
            <v>147</v>
          </cell>
          <cell r="Q1427">
            <v>151</v>
          </cell>
          <cell r="R1427">
            <v>74</v>
          </cell>
          <cell r="S1427">
            <v>54</v>
          </cell>
          <cell r="T1427">
            <v>55</v>
          </cell>
          <cell r="U1427">
            <v>43</v>
          </cell>
          <cell r="V1427">
            <v>47</v>
          </cell>
          <cell r="W1427">
            <v>34</v>
          </cell>
          <cell r="X1427">
            <v>15</v>
          </cell>
          <cell r="Y1427">
            <v>12</v>
          </cell>
          <cell r="Z1427">
            <v>12</v>
          </cell>
          <cell r="AA1427">
            <v>5</v>
          </cell>
          <cell r="AB1427">
            <v>1</v>
          </cell>
          <cell r="AC1427">
            <v>2</v>
          </cell>
          <cell r="AD1427">
            <v>2</v>
          </cell>
          <cell r="AE1427">
            <v>2</v>
          </cell>
          <cell r="AF1427">
            <v>1</v>
          </cell>
          <cell r="AG1427">
            <v>2</v>
          </cell>
          <cell r="AH1427">
            <v>4</v>
          </cell>
          <cell r="AI1427">
            <v>2</v>
          </cell>
          <cell r="AJ1427">
            <v>1</v>
          </cell>
        </row>
        <row r="1428">
          <cell r="E1428" t="str">
            <v>MA Residential Kerosene</v>
          </cell>
          <cell r="F1428">
            <v>923</v>
          </cell>
          <cell r="G1428">
            <v>855</v>
          </cell>
          <cell r="H1428">
            <v>1471</v>
          </cell>
          <cell r="I1428">
            <v>1417</v>
          </cell>
          <cell r="J1428">
            <v>1238</v>
          </cell>
          <cell r="K1428">
            <v>737</v>
          </cell>
          <cell r="L1428">
            <v>840</v>
          </cell>
          <cell r="M1428">
            <v>1075</v>
          </cell>
          <cell r="N1428">
            <v>1115</v>
          </cell>
          <cell r="O1428">
            <v>1013</v>
          </cell>
          <cell r="P1428">
            <v>1081</v>
          </cell>
          <cell r="Q1428">
            <v>1116</v>
          </cell>
          <cell r="R1428">
            <v>721</v>
          </cell>
          <cell r="S1428">
            <v>1382</v>
          </cell>
          <cell r="T1428">
            <v>1584</v>
          </cell>
          <cell r="U1428">
            <v>1696</v>
          </cell>
          <cell r="V1428">
            <v>1350</v>
          </cell>
          <cell r="W1428">
            <v>916</v>
          </cell>
          <cell r="X1428">
            <v>356</v>
          </cell>
          <cell r="Y1428">
            <v>563</v>
          </cell>
          <cell r="Z1428">
            <v>569</v>
          </cell>
          <cell r="AA1428">
            <v>349</v>
          </cell>
          <cell r="AB1428">
            <v>165</v>
          </cell>
          <cell r="AC1428">
            <v>170</v>
          </cell>
          <cell r="AD1428">
            <v>297</v>
          </cell>
          <cell r="AE1428">
            <v>251</v>
          </cell>
          <cell r="AF1428">
            <v>296</v>
          </cell>
          <cell r="AG1428">
            <v>206</v>
          </cell>
          <cell r="AH1428">
            <v>200</v>
          </cell>
          <cell r="AI1428">
            <v>241</v>
          </cell>
          <cell r="AJ1428">
            <v>277</v>
          </cell>
        </row>
        <row r="1429">
          <cell r="E1429" t="str">
            <v>MD Residential Kerosene</v>
          </cell>
          <cell r="F1429">
            <v>2181</v>
          </cell>
          <cell r="G1429">
            <v>2246</v>
          </cell>
          <cell r="H1429">
            <v>1793</v>
          </cell>
          <cell r="I1429">
            <v>2886</v>
          </cell>
          <cell r="J1429">
            <v>2227</v>
          </cell>
          <cell r="K1429">
            <v>3031</v>
          </cell>
          <cell r="L1429">
            <v>3365</v>
          </cell>
          <cell r="M1429">
            <v>3387</v>
          </cell>
          <cell r="N1429">
            <v>4081</v>
          </cell>
          <cell r="O1429">
            <v>2968</v>
          </cell>
          <cell r="P1429">
            <v>2865</v>
          </cell>
          <cell r="Q1429">
            <v>2668</v>
          </cell>
          <cell r="R1429">
            <v>1728</v>
          </cell>
          <cell r="S1429">
            <v>2292</v>
          </cell>
          <cell r="T1429">
            <v>3119</v>
          </cell>
          <cell r="U1429">
            <v>3499</v>
          </cell>
          <cell r="V1429">
            <v>2477</v>
          </cell>
          <cell r="W1429">
            <v>1276</v>
          </cell>
          <cell r="X1429">
            <v>519</v>
          </cell>
          <cell r="Y1429">
            <v>660</v>
          </cell>
          <cell r="Z1429">
            <v>829</v>
          </cell>
          <cell r="AA1429">
            <v>436</v>
          </cell>
          <cell r="AB1429">
            <v>165</v>
          </cell>
          <cell r="AC1429">
            <v>179</v>
          </cell>
          <cell r="AD1429">
            <v>339</v>
          </cell>
          <cell r="AE1429">
            <v>253</v>
          </cell>
          <cell r="AF1429">
            <v>265</v>
          </cell>
          <cell r="AG1429">
            <v>149</v>
          </cell>
          <cell r="AH1429">
            <v>131</v>
          </cell>
          <cell r="AI1429">
            <v>146</v>
          </cell>
          <cell r="AJ1429">
            <v>168</v>
          </cell>
        </row>
        <row r="1430">
          <cell r="E1430" t="str">
            <v>ME Residential Kerosene</v>
          </cell>
          <cell r="F1430">
            <v>3190</v>
          </cell>
          <cell r="G1430">
            <v>3360</v>
          </cell>
          <cell r="H1430">
            <v>2685</v>
          </cell>
          <cell r="I1430">
            <v>4199</v>
          </cell>
          <cell r="J1430">
            <v>4299</v>
          </cell>
          <cell r="K1430">
            <v>6173</v>
          </cell>
          <cell r="L1430">
            <v>7769</v>
          </cell>
          <cell r="M1430">
            <v>7425</v>
          </cell>
          <cell r="N1430">
            <v>10661</v>
          </cell>
          <cell r="O1430">
            <v>8725</v>
          </cell>
          <cell r="P1430">
            <v>9530</v>
          </cell>
          <cell r="Q1430">
            <v>9494</v>
          </cell>
          <cell r="R1430">
            <v>5680</v>
          </cell>
          <cell r="S1430">
            <v>7892</v>
          </cell>
          <cell r="T1430">
            <v>9868</v>
          </cell>
          <cell r="U1430">
            <v>9699</v>
          </cell>
          <cell r="V1430">
            <v>7887</v>
          </cell>
          <cell r="W1430">
            <v>5427</v>
          </cell>
          <cell r="X1430">
            <v>2384</v>
          </cell>
          <cell r="Y1430">
            <v>3071</v>
          </cell>
          <cell r="Z1430">
            <v>2978</v>
          </cell>
          <cell r="AA1430">
            <v>2111</v>
          </cell>
          <cell r="AB1430">
            <v>850</v>
          </cell>
          <cell r="AC1430">
            <v>905</v>
          </cell>
          <cell r="AD1430">
            <v>1415</v>
          </cell>
          <cell r="AE1430">
            <v>1331</v>
          </cell>
          <cell r="AF1430">
            <v>1899</v>
          </cell>
          <cell r="AG1430">
            <v>1275</v>
          </cell>
          <cell r="AH1430">
            <v>1077</v>
          </cell>
          <cell r="AI1430">
            <v>1443</v>
          </cell>
          <cell r="AJ1430">
            <v>1525</v>
          </cell>
        </row>
        <row r="1431">
          <cell r="E1431" t="str">
            <v>MI Residential Kerosene</v>
          </cell>
          <cell r="F1431">
            <v>1232</v>
          </cell>
          <cell r="G1431">
            <v>1582</v>
          </cell>
          <cell r="H1431">
            <v>1160</v>
          </cell>
          <cell r="I1431">
            <v>2013</v>
          </cell>
          <cell r="J1431">
            <v>1826</v>
          </cell>
          <cell r="K1431">
            <v>1319</v>
          </cell>
          <cell r="L1431">
            <v>1302</v>
          </cell>
          <cell r="M1431">
            <v>1442</v>
          </cell>
          <cell r="N1431">
            <v>1544</v>
          </cell>
          <cell r="O1431">
            <v>3436</v>
          </cell>
          <cell r="P1431">
            <v>2019</v>
          </cell>
          <cell r="Q1431">
            <v>1261</v>
          </cell>
          <cell r="R1431">
            <v>910</v>
          </cell>
          <cell r="S1431">
            <v>1498</v>
          </cell>
          <cell r="T1431">
            <v>1255</v>
          </cell>
          <cell r="U1431">
            <v>1242</v>
          </cell>
          <cell r="V1431">
            <v>866</v>
          </cell>
          <cell r="W1431">
            <v>541</v>
          </cell>
          <cell r="X1431">
            <v>278</v>
          </cell>
          <cell r="Y1431">
            <v>403</v>
          </cell>
          <cell r="Z1431">
            <v>361</v>
          </cell>
          <cell r="AA1431">
            <v>264</v>
          </cell>
          <cell r="AB1431">
            <v>87</v>
          </cell>
          <cell r="AC1431">
            <v>128</v>
          </cell>
          <cell r="AD1431">
            <v>199</v>
          </cell>
          <cell r="AE1431">
            <v>162</v>
          </cell>
          <cell r="AF1431">
            <v>164</v>
          </cell>
          <cell r="AG1431">
            <v>68</v>
          </cell>
          <cell r="AH1431">
            <v>67</v>
          </cell>
          <cell r="AI1431">
            <v>109</v>
          </cell>
          <cell r="AJ1431">
            <v>106</v>
          </cell>
        </row>
        <row r="1432">
          <cell r="E1432" t="str">
            <v>MN Residential Kerosene</v>
          </cell>
          <cell r="F1432">
            <v>173</v>
          </cell>
          <cell r="G1432">
            <v>230</v>
          </cell>
          <cell r="H1432">
            <v>217</v>
          </cell>
          <cell r="I1432">
            <v>201</v>
          </cell>
          <cell r="J1432">
            <v>256</v>
          </cell>
          <cell r="K1432">
            <v>283</v>
          </cell>
          <cell r="L1432">
            <v>345</v>
          </cell>
          <cell r="M1432">
            <v>293</v>
          </cell>
          <cell r="N1432">
            <v>412</v>
          </cell>
          <cell r="O1432">
            <v>181</v>
          </cell>
          <cell r="P1432">
            <v>186</v>
          </cell>
          <cell r="Q1432">
            <v>1065</v>
          </cell>
          <cell r="R1432">
            <v>92</v>
          </cell>
          <cell r="S1432">
            <v>103</v>
          </cell>
          <cell r="T1432">
            <v>157</v>
          </cell>
          <cell r="U1432">
            <v>156</v>
          </cell>
          <cell r="V1432">
            <v>103</v>
          </cell>
          <cell r="W1432">
            <v>63</v>
          </cell>
          <cell r="X1432">
            <v>45</v>
          </cell>
          <cell r="Y1432">
            <v>102</v>
          </cell>
          <cell r="Z1432">
            <v>113</v>
          </cell>
          <cell r="AA1432">
            <v>73</v>
          </cell>
          <cell r="AB1432">
            <v>31</v>
          </cell>
          <cell r="AC1432">
            <v>51</v>
          </cell>
          <cell r="AD1432">
            <v>70</v>
          </cell>
          <cell r="AE1432">
            <v>48</v>
          </cell>
          <cell r="AF1432">
            <v>73</v>
          </cell>
          <cell r="AG1432">
            <v>51</v>
          </cell>
          <cell r="AH1432">
            <v>53</v>
          </cell>
          <cell r="AI1432">
            <v>80</v>
          </cell>
          <cell r="AJ1432">
            <v>79</v>
          </cell>
        </row>
        <row r="1433">
          <cell r="E1433" t="str">
            <v>MO Residential Kerosene</v>
          </cell>
          <cell r="F1433">
            <v>163</v>
          </cell>
          <cell r="G1433">
            <v>210</v>
          </cell>
          <cell r="H1433">
            <v>117</v>
          </cell>
          <cell r="I1433">
            <v>212</v>
          </cell>
          <cell r="J1433">
            <v>136</v>
          </cell>
          <cell r="K1433">
            <v>183</v>
          </cell>
          <cell r="L1433">
            <v>320</v>
          </cell>
          <cell r="M1433">
            <v>254</v>
          </cell>
          <cell r="N1433">
            <v>280</v>
          </cell>
          <cell r="O1433">
            <v>310</v>
          </cell>
          <cell r="P1433">
            <v>390</v>
          </cell>
          <cell r="Q1433">
            <v>443</v>
          </cell>
          <cell r="R1433">
            <v>289</v>
          </cell>
          <cell r="S1433">
            <v>408</v>
          </cell>
          <cell r="T1433">
            <v>496</v>
          </cell>
          <cell r="U1433">
            <v>449</v>
          </cell>
          <cell r="V1433">
            <v>377</v>
          </cell>
          <cell r="W1433">
            <v>307</v>
          </cell>
          <cell r="X1433">
            <v>128</v>
          </cell>
          <cell r="Y1433">
            <v>142</v>
          </cell>
          <cell r="Z1433">
            <v>179</v>
          </cell>
          <cell r="AA1433">
            <v>74</v>
          </cell>
          <cell r="AB1433">
            <v>22</v>
          </cell>
          <cell r="AC1433">
            <v>26</v>
          </cell>
          <cell r="AD1433">
            <v>43</v>
          </cell>
          <cell r="AE1433">
            <v>34</v>
          </cell>
          <cell r="AF1433">
            <v>62</v>
          </cell>
          <cell r="AG1433">
            <v>25</v>
          </cell>
          <cell r="AH1433">
            <v>28</v>
          </cell>
          <cell r="AI1433">
            <v>39</v>
          </cell>
          <cell r="AJ1433">
            <v>36</v>
          </cell>
        </row>
        <row r="1434">
          <cell r="E1434" t="str">
            <v>MS Residential Kerosene</v>
          </cell>
          <cell r="F1434">
            <v>68</v>
          </cell>
          <cell r="G1434">
            <v>128</v>
          </cell>
          <cell r="H1434">
            <v>81</v>
          </cell>
          <cell r="I1434">
            <v>140</v>
          </cell>
          <cell r="J1434">
            <v>114</v>
          </cell>
          <cell r="K1434">
            <v>114</v>
          </cell>
          <cell r="L1434">
            <v>127</v>
          </cell>
          <cell r="M1434">
            <v>122</v>
          </cell>
          <cell r="N1434">
            <v>137</v>
          </cell>
          <cell r="O1434">
            <v>118</v>
          </cell>
          <cell r="P1434">
            <v>199</v>
          </cell>
          <cell r="Q1434">
            <v>179</v>
          </cell>
          <cell r="R1434">
            <v>52</v>
          </cell>
          <cell r="S1434">
            <v>65</v>
          </cell>
          <cell r="T1434">
            <v>87</v>
          </cell>
          <cell r="U1434">
            <v>98</v>
          </cell>
          <cell r="V1434">
            <v>81</v>
          </cell>
          <cell r="W1434">
            <v>73</v>
          </cell>
          <cell r="X1434">
            <v>23</v>
          </cell>
          <cell r="Y1434">
            <v>75</v>
          </cell>
          <cell r="Z1434">
            <v>65</v>
          </cell>
          <cell r="AA1434">
            <v>33</v>
          </cell>
          <cell r="AB1434">
            <v>14</v>
          </cell>
          <cell r="AC1434">
            <v>16</v>
          </cell>
          <cell r="AD1434">
            <v>28</v>
          </cell>
          <cell r="AE1434">
            <v>11</v>
          </cell>
          <cell r="AF1434">
            <v>17</v>
          </cell>
          <cell r="AG1434">
            <v>5</v>
          </cell>
          <cell r="AH1434">
            <v>8</v>
          </cell>
          <cell r="AI1434">
            <v>8</v>
          </cell>
          <cell r="AJ1434">
            <v>8</v>
          </cell>
        </row>
        <row r="1435">
          <cell r="E1435" t="str">
            <v>MT Residential Kerosene</v>
          </cell>
          <cell r="F1435">
            <v>6</v>
          </cell>
          <cell r="G1435">
            <v>5</v>
          </cell>
          <cell r="H1435">
            <v>1</v>
          </cell>
          <cell r="I1435">
            <v>39</v>
          </cell>
          <cell r="J1435">
            <v>32</v>
          </cell>
          <cell r="K1435">
            <v>3</v>
          </cell>
          <cell r="L1435">
            <v>4</v>
          </cell>
          <cell r="M1435">
            <v>10</v>
          </cell>
          <cell r="N1435">
            <v>14</v>
          </cell>
          <cell r="O1435">
            <v>8</v>
          </cell>
          <cell r="P1435">
            <v>1</v>
          </cell>
          <cell r="Q1435">
            <v>3</v>
          </cell>
          <cell r="R1435">
            <v>3</v>
          </cell>
          <cell r="S1435">
            <v>22</v>
          </cell>
          <cell r="T1435">
            <v>7</v>
          </cell>
          <cell r="U1435">
            <v>5</v>
          </cell>
          <cell r="V1435">
            <v>5</v>
          </cell>
          <cell r="W1435">
            <v>5</v>
          </cell>
          <cell r="X1435">
            <v>15</v>
          </cell>
          <cell r="Y1435">
            <v>1</v>
          </cell>
          <cell r="Z1435">
            <v>6</v>
          </cell>
          <cell r="AA1435">
            <v>4</v>
          </cell>
          <cell r="AB1435">
            <v>0</v>
          </cell>
          <cell r="AC1435">
            <v>1</v>
          </cell>
          <cell r="AD1435">
            <v>4</v>
          </cell>
          <cell r="AE1435">
            <v>0</v>
          </cell>
          <cell r="AF1435">
            <v>5</v>
          </cell>
          <cell r="AG1435">
            <v>0</v>
          </cell>
          <cell r="AH1435">
            <v>0</v>
          </cell>
          <cell r="AI1435">
            <v>0</v>
          </cell>
          <cell r="AJ1435">
            <v>33</v>
          </cell>
        </row>
        <row r="1436">
          <cell r="E1436" t="str">
            <v>NC Residential Kerosene</v>
          </cell>
          <cell r="F1436">
            <v>7983</v>
          </cell>
          <cell r="G1436">
            <v>9489</v>
          </cell>
          <cell r="H1436">
            <v>10401</v>
          </cell>
          <cell r="I1436">
            <v>10704</v>
          </cell>
          <cell r="J1436">
            <v>7416</v>
          </cell>
          <cell r="K1436">
            <v>11894</v>
          </cell>
          <cell r="L1436">
            <v>14436</v>
          </cell>
          <cell r="M1436">
            <v>14762</v>
          </cell>
          <cell r="N1436">
            <v>16944</v>
          </cell>
          <cell r="O1436">
            <v>11255</v>
          </cell>
          <cell r="P1436">
            <v>11220</v>
          </cell>
          <cell r="Q1436">
            <v>11462</v>
          </cell>
          <cell r="R1436">
            <v>6932</v>
          </cell>
          <cell r="S1436">
            <v>10129</v>
          </cell>
          <cell r="T1436">
            <v>10725</v>
          </cell>
          <cell r="U1436">
            <v>9952</v>
          </cell>
          <cell r="V1436">
            <v>6773</v>
          </cell>
          <cell r="W1436">
            <v>4815</v>
          </cell>
          <cell r="X1436">
            <v>2468</v>
          </cell>
          <cell r="Y1436">
            <v>2176</v>
          </cell>
          <cell r="Z1436">
            <v>3132</v>
          </cell>
          <cell r="AA1436">
            <v>1531</v>
          </cell>
          <cell r="AB1436">
            <v>599</v>
          </cell>
          <cell r="AC1436">
            <v>597</v>
          </cell>
          <cell r="AD1436">
            <v>964</v>
          </cell>
          <cell r="AE1436">
            <v>850</v>
          </cell>
          <cell r="AF1436">
            <v>1239</v>
          </cell>
          <cell r="AG1436">
            <v>675</v>
          </cell>
          <cell r="AH1436">
            <v>708</v>
          </cell>
          <cell r="AI1436">
            <v>846</v>
          </cell>
          <cell r="AJ1436">
            <v>862</v>
          </cell>
        </row>
        <row r="1437">
          <cell r="E1437" t="str">
            <v>ND Residential Kerosene</v>
          </cell>
          <cell r="F1437">
            <v>28</v>
          </cell>
          <cell r="G1437">
            <v>42</v>
          </cell>
          <cell r="H1437">
            <v>35</v>
          </cell>
          <cell r="I1437">
            <v>44</v>
          </cell>
          <cell r="J1437">
            <v>32</v>
          </cell>
          <cell r="K1437">
            <v>21</v>
          </cell>
          <cell r="L1437">
            <v>30</v>
          </cell>
          <cell r="M1437">
            <v>30</v>
          </cell>
          <cell r="N1437">
            <v>34</v>
          </cell>
          <cell r="O1437">
            <v>96</v>
          </cell>
          <cell r="P1437">
            <v>16</v>
          </cell>
          <cell r="Q1437">
            <v>24</v>
          </cell>
          <cell r="R1437">
            <v>12</v>
          </cell>
          <cell r="S1437">
            <v>16</v>
          </cell>
          <cell r="T1437">
            <v>27</v>
          </cell>
          <cell r="U1437">
            <v>38</v>
          </cell>
          <cell r="V1437">
            <v>17</v>
          </cell>
          <cell r="W1437">
            <v>13</v>
          </cell>
          <cell r="X1437">
            <v>7</v>
          </cell>
          <cell r="Y1437">
            <v>15</v>
          </cell>
          <cell r="Z1437">
            <v>17</v>
          </cell>
          <cell r="AA1437">
            <v>9</v>
          </cell>
          <cell r="AB1437">
            <v>3</v>
          </cell>
          <cell r="AC1437">
            <v>5</v>
          </cell>
          <cell r="AD1437">
            <v>7</v>
          </cell>
          <cell r="AE1437">
            <v>4</v>
          </cell>
          <cell r="AF1437">
            <v>16</v>
          </cell>
          <cell r="AG1437">
            <v>6</v>
          </cell>
          <cell r="AH1437">
            <v>5</v>
          </cell>
          <cell r="AI1437">
            <v>7</v>
          </cell>
          <cell r="AJ1437">
            <v>9</v>
          </cell>
        </row>
        <row r="1438">
          <cell r="E1438" t="str">
            <v>NE Residential Kerosene</v>
          </cell>
          <cell r="F1438">
            <v>24</v>
          </cell>
          <cell r="G1438">
            <v>31</v>
          </cell>
          <cell r="H1438">
            <v>58</v>
          </cell>
          <cell r="I1438">
            <v>60</v>
          </cell>
          <cell r="J1438">
            <v>30</v>
          </cell>
          <cell r="K1438">
            <v>21</v>
          </cell>
          <cell r="L1438">
            <v>21</v>
          </cell>
          <cell r="M1438">
            <v>40</v>
          </cell>
          <cell r="N1438">
            <v>54</v>
          </cell>
          <cell r="O1438">
            <v>36</v>
          </cell>
          <cell r="P1438">
            <v>45</v>
          </cell>
          <cell r="Q1438">
            <v>59</v>
          </cell>
          <cell r="R1438">
            <v>17</v>
          </cell>
          <cell r="S1438">
            <v>25</v>
          </cell>
          <cell r="T1438">
            <v>31</v>
          </cell>
          <cell r="U1438">
            <v>38</v>
          </cell>
          <cell r="V1438">
            <v>14</v>
          </cell>
          <cell r="W1438">
            <v>35</v>
          </cell>
          <cell r="X1438">
            <v>13</v>
          </cell>
          <cell r="Y1438">
            <v>15</v>
          </cell>
          <cell r="Z1438">
            <v>18</v>
          </cell>
          <cell r="AA1438">
            <v>3</v>
          </cell>
          <cell r="AB1438">
            <v>3</v>
          </cell>
          <cell r="AC1438">
            <v>3</v>
          </cell>
          <cell r="AD1438">
            <v>7</v>
          </cell>
          <cell r="AE1438">
            <v>3</v>
          </cell>
          <cell r="AF1438">
            <v>6</v>
          </cell>
          <cell r="AG1438">
            <v>2</v>
          </cell>
          <cell r="AH1438">
            <v>3</v>
          </cell>
          <cell r="AI1438">
            <v>4</v>
          </cell>
          <cell r="AJ1438">
            <v>2</v>
          </cell>
        </row>
        <row r="1439">
          <cell r="E1439" t="str">
            <v>NH Residential Kerosene</v>
          </cell>
          <cell r="F1439">
            <v>1324</v>
          </cell>
          <cell r="G1439">
            <v>1527</v>
          </cell>
          <cell r="H1439">
            <v>1418</v>
          </cell>
          <cell r="I1439">
            <v>1992</v>
          </cell>
          <cell r="J1439">
            <v>1601</v>
          </cell>
          <cell r="K1439">
            <v>1877</v>
          </cell>
          <cell r="L1439">
            <v>2226</v>
          </cell>
          <cell r="M1439">
            <v>2698</v>
          </cell>
          <cell r="N1439">
            <v>3516</v>
          </cell>
          <cell r="O1439">
            <v>2137</v>
          </cell>
          <cell r="P1439">
            <v>2226</v>
          </cell>
          <cell r="Q1439">
            <v>2001</v>
          </cell>
          <cell r="R1439">
            <v>1484</v>
          </cell>
          <cell r="S1439">
            <v>2356</v>
          </cell>
          <cell r="T1439">
            <v>2966</v>
          </cell>
          <cell r="U1439">
            <v>3180</v>
          </cell>
          <cell r="V1439">
            <v>2463</v>
          </cell>
          <cell r="W1439">
            <v>1687</v>
          </cell>
          <cell r="X1439">
            <v>794</v>
          </cell>
          <cell r="Y1439">
            <v>1047</v>
          </cell>
          <cell r="Z1439">
            <v>925</v>
          </cell>
          <cell r="AA1439">
            <v>666</v>
          </cell>
          <cell r="AB1439">
            <v>247</v>
          </cell>
          <cell r="AC1439">
            <v>304</v>
          </cell>
          <cell r="AD1439">
            <v>438</v>
          </cell>
          <cell r="AE1439">
            <v>371</v>
          </cell>
          <cell r="AF1439">
            <v>585</v>
          </cell>
          <cell r="AG1439">
            <v>433</v>
          </cell>
          <cell r="AH1439">
            <v>436</v>
          </cell>
          <cell r="AI1439">
            <v>570</v>
          </cell>
          <cell r="AJ1439">
            <v>608</v>
          </cell>
        </row>
        <row r="1440">
          <cell r="E1440" t="str">
            <v>NJ Residential Kerosene</v>
          </cell>
          <cell r="F1440">
            <v>1673</v>
          </cell>
          <cell r="G1440">
            <v>1864</v>
          </cell>
          <cell r="H1440">
            <v>1547</v>
          </cell>
          <cell r="I1440">
            <v>1264</v>
          </cell>
          <cell r="J1440">
            <v>1651</v>
          </cell>
          <cell r="K1440">
            <v>1340</v>
          </cell>
          <cell r="L1440">
            <v>1608</v>
          </cell>
          <cell r="M1440">
            <v>1658</v>
          </cell>
          <cell r="N1440">
            <v>1747</v>
          </cell>
          <cell r="O1440">
            <v>1529</v>
          </cell>
          <cell r="P1440">
            <v>1693</v>
          </cell>
          <cell r="Q1440">
            <v>2322</v>
          </cell>
          <cell r="R1440">
            <v>808</v>
          </cell>
          <cell r="S1440">
            <v>784</v>
          </cell>
          <cell r="T1440">
            <v>880</v>
          </cell>
          <cell r="U1440">
            <v>1043</v>
          </cell>
          <cell r="V1440">
            <v>658</v>
          </cell>
          <cell r="W1440">
            <v>409</v>
          </cell>
          <cell r="X1440">
            <v>309</v>
          </cell>
          <cell r="Y1440">
            <v>202</v>
          </cell>
          <cell r="Z1440">
            <v>204</v>
          </cell>
          <cell r="AA1440">
            <v>145</v>
          </cell>
          <cell r="AB1440">
            <v>60</v>
          </cell>
          <cell r="AC1440">
            <v>64</v>
          </cell>
          <cell r="AD1440">
            <v>95</v>
          </cell>
          <cell r="AE1440">
            <v>56</v>
          </cell>
          <cell r="AF1440">
            <v>55</v>
          </cell>
          <cell r="AG1440">
            <v>29</v>
          </cell>
          <cell r="AH1440">
            <v>28</v>
          </cell>
          <cell r="AI1440">
            <v>32</v>
          </cell>
          <cell r="AJ1440">
            <v>30</v>
          </cell>
        </row>
        <row r="1441">
          <cell r="E1441" t="str">
            <v>NM Residential Kerosene</v>
          </cell>
          <cell r="F1441">
            <v>24</v>
          </cell>
          <cell r="G1441">
            <v>35</v>
          </cell>
          <cell r="H1441">
            <v>26</v>
          </cell>
          <cell r="I1441">
            <v>23</v>
          </cell>
          <cell r="J1441">
            <v>19</v>
          </cell>
          <cell r="K1441">
            <v>32</v>
          </cell>
          <cell r="L1441">
            <v>37</v>
          </cell>
          <cell r="M1441">
            <v>30</v>
          </cell>
          <cell r="N1441">
            <v>33</v>
          </cell>
          <cell r="O1441">
            <v>128</v>
          </cell>
          <cell r="P1441">
            <v>32</v>
          </cell>
          <cell r="Q1441">
            <v>27</v>
          </cell>
          <cell r="R1441">
            <v>15</v>
          </cell>
          <cell r="S1441">
            <v>21</v>
          </cell>
          <cell r="T1441">
            <v>30</v>
          </cell>
          <cell r="U1441">
            <v>26</v>
          </cell>
          <cell r="V1441">
            <v>23</v>
          </cell>
          <cell r="W1441">
            <v>15</v>
          </cell>
          <cell r="X1441">
            <v>6</v>
          </cell>
          <cell r="Y1441">
            <v>5</v>
          </cell>
          <cell r="Z1441">
            <v>3</v>
          </cell>
          <cell r="AA1441">
            <v>2</v>
          </cell>
          <cell r="AB1441">
            <v>0</v>
          </cell>
          <cell r="AC1441">
            <v>0</v>
          </cell>
          <cell r="AD1441">
            <v>1</v>
          </cell>
          <cell r="AE1441">
            <v>0</v>
          </cell>
          <cell r="AF1441">
            <v>0</v>
          </cell>
          <cell r="AG1441">
            <v>0</v>
          </cell>
          <cell r="AH1441">
            <v>0</v>
          </cell>
          <cell r="AI1441">
            <v>0</v>
          </cell>
          <cell r="AJ1441">
            <v>1</v>
          </cell>
        </row>
        <row r="1442">
          <cell r="E1442" t="str">
            <v>NV Residential Kerosene</v>
          </cell>
          <cell r="F1442">
            <v>48</v>
          </cell>
          <cell r="G1442">
            <v>58</v>
          </cell>
          <cell r="H1442">
            <v>54</v>
          </cell>
          <cell r="I1442">
            <v>60</v>
          </cell>
          <cell r="J1442">
            <v>25</v>
          </cell>
          <cell r="K1442">
            <v>32</v>
          </cell>
          <cell r="L1442">
            <v>35</v>
          </cell>
          <cell r="M1442">
            <v>31</v>
          </cell>
          <cell r="N1442">
            <v>55</v>
          </cell>
          <cell r="O1442">
            <v>43</v>
          </cell>
          <cell r="P1442">
            <v>46</v>
          </cell>
          <cell r="Q1442">
            <v>40</v>
          </cell>
          <cell r="R1442">
            <v>39</v>
          </cell>
          <cell r="S1442">
            <v>64</v>
          </cell>
          <cell r="T1442">
            <v>104</v>
          </cell>
          <cell r="U1442">
            <v>102</v>
          </cell>
          <cell r="V1442">
            <v>89</v>
          </cell>
          <cell r="W1442">
            <v>96</v>
          </cell>
          <cell r="X1442">
            <v>51</v>
          </cell>
          <cell r="Y1442">
            <v>141</v>
          </cell>
          <cell r="Z1442">
            <v>117</v>
          </cell>
          <cell r="AA1442">
            <v>15</v>
          </cell>
          <cell r="AB1442">
            <v>13</v>
          </cell>
          <cell r="AC1442">
            <v>4</v>
          </cell>
          <cell r="AD1442">
            <v>3</v>
          </cell>
          <cell r="AE1442">
            <v>1</v>
          </cell>
          <cell r="AF1442">
            <v>2</v>
          </cell>
          <cell r="AG1442">
            <v>2</v>
          </cell>
          <cell r="AH1442">
            <v>4</v>
          </cell>
          <cell r="AI1442">
            <v>4</v>
          </cell>
          <cell r="AJ1442">
            <v>4</v>
          </cell>
        </row>
        <row r="1443">
          <cell r="E1443" t="str">
            <v>NY Residential Kerosene</v>
          </cell>
          <cell r="F1443">
            <v>10008</v>
          </cell>
          <cell r="G1443">
            <v>11897</v>
          </cell>
          <cell r="H1443">
            <v>7101</v>
          </cell>
          <cell r="I1443">
            <v>8871</v>
          </cell>
          <cell r="J1443">
            <v>7913</v>
          </cell>
          <cell r="K1443">
            <v>7033</v>
          </cell>
          <cell r="L1443">
            <v>8221</v>
          </cell>
          <cell r="M1443">
            <v>9890</v>
          </cell>
          <cell r="N1443">
            <v>10583</v>
          </cell>
          <cell r="O1443">
            <v>13195</v>
          </cell>
          <cell r="P1443">
            <v>13292</v>
          </cell>
          <cell r="Q1443">
            <v>13553</v>
          </cell>
          <cell r="R1443">
            <v>9312</v>
          </cell>
          <cell r="S1443">
            <v>9292</v>
          </cell>
          <cell r="T1443">
            <v>11711</v>
          </cell>
          <cell r="U1443">
            <v>12490</v>
          </cell>
          <cell r="V1443">
            <v>10225</v>
          </cell>
          <cell r="W1443">
            <v>7471</v>
          </cell>
          <cell r="X1443">
            <v>3745</v>
          </cell>
          <cell r="Y1443">
            <v>5516</v>
          </cell>
          <cell r="Z1443">
            <v>5663</v>
          </cell>
          <cell r="AA1443">
            <v>4117</v>
          </cell>
          <cell r="AB1443">
            <v>2072</v>
          </cell>
          <cell r="AC1443">
            <v>2236</v>
          </cell>
          <cell r="AD1443">
            <v>3808</v>
          </cell>
          <cell r="AE1443">
            <v>2597</v>
          </cell>
          <cell r="AF1443">
            <v>3415</v>
          </cell>
          <cell r="AG1443">
            <v>2280</v>
          </cell>
          <cell r="AH1443">
            <v>2132</v>
          </cell>
          <cell r="AI1443">
            <v>3266</v>
          </cell>
          <cell r="AJ1443">
            <v>3126</v>
          </cell>
        </row>
        <row r="1444">
          <cell r="E1444" t="str">
            <v>OH Residential Kerosene</v>
          </cell>
          <cell r="F1444">
            <v>3541</v>
          </cell>
          <cell r="G1444">
            <v>3836</v>
          </cell>
          <cell r="H1444">
            <v>4128</v>
          </cell>
          <cell r="I1444">
            <v>4754</v>
          </cell>
          <cell r="J1444">
            <v>4021</v>
          </cell>
          <cell r="K1444">
            <v>4243</v>
          </cell>
          <cell r="L1444">
            <v>4641</v>
          </cell>
          <cell r="M1444">
            <v>4388</v>
          </cell>
          <cell r="N1444">
            <v>4391</v>
          </cell>
          <cell r="O1444">
            <v>7341</v>
          </cell>
          <cell r="P1444">
            <v>2377</v>
          </cell>
          <cell r="Q1444">
            <v>2505</v>
          </cell>
          <cell r="R1444">
            <v>1864</v>
          </cell>
          <cell r="S1444">
            <v>2093</v>
          </cell>
          <cell r="T1444">
            <v>2747</v>
          </cell>
          <cell r="U1444">
            <v>2504</v>
          </cell>
          <cell r="V1444">
            <v>2065</v>
          </cell>
          <cell r="W1444">
            <v>1378</v>
          </cell>
          <cell r="X1444">
            <v>686</v>
          </cell>
          <cell r="Y1444">
            <v>1177</v>
          </cell>
          <cell r="Z1444">
            <v>975</v>
          </cell>
          <cell r="AA1444">
            <v>671</v>
          </cell>
          <cell r="AB1444">
            <v>256</v>
          </cell>
          <cell r="AC1444">
            <v>249</v>
          </cell>
          <cell r="AD1444">
            <v>536</v>
          </cell>
          <cell r="AE1444">
            <v>334</v>
          </cell>
          <cell r="AF1444">
            <v>421</v>
          </cell>
          <cell r="AG1444">
            <v>248</v>
          </cell>
          <cell r="AH1444">
            <v>269</v>
          </cell>
          <cell r="AI1444">
            <v>284</v>
          </cell>
          <cell r="AJ1444">
            <v>348</v>
          </cell>
        </row>
        <row r="1445">
          <cell r="E1445" t="str">
            <v>OK Residential Kerosene</v>
          </cell>
          <cell r="F1445">
            <v>57</v>
          </cell>
          <cell r="G1445">
            <v>56</v>
          </cell>
          <cell r="H1445">
            <v>61</v>
          </cell>
          <cell r="I1445">
            <v>40</v>
          </cell>
          <cell r="J1445">
            <v>29</v>
          </cell>
          <cell r="K1445">
            <v>21</v>
          </cell>
          <cell r="L1445">
            <v>114</v>
          </cell>
          <cell r="M1445">
            <v>79</v>
          </cell>
          <cell r="N1445">
            <v>71</v>
          </cell>
          <cell r="O1445">
            <v>51</v>
          </cell>
          <cell r="P1445">
            <v>334</v>
          </cell>
          <cell r="Q1445">
            <v>37</v>
          </cell>
          <cell r="R1445">
            <v>87</v>
          </cell>
          <cell r="S1445">
            <v>80</v>
          </cell>
          <cell r="T1445">
            <v>95</v>
          </cell>
          <cell r="U1445">
            <v>32</v>
          </cell>
          <cell r="V1445">
            <v>49</v>
          </cell>
          <cell r="W1445">
            <v>46</v>
          </cell>
          <cell r="X1445">
            <v>16</v>
          </cell>
          <cell r="Y1445">
            <v>25</v>
          </cell>
          <cell r="Z1445">
            <v>27</v>
          </cell>
          <cell r="AA1445">
            <v>18</v>
          </cell>
          <cell r="AB1445">
            <v>5</v>
          </cell>
          <cell r="AC1445">
            <v>6</v>
          </cell>
          <cell r="AD1445">
            <v>9</v>
          </cell>
          <cell r="AE1445">
            <v>3</v>
          </cell>
          <cell r="AF1445">
            <v>3</v>
          </cell>
          <cell r="AG1445">
            <v>8</v>
          </cell>
          <cell r="AH1445">
            <v>2</v>
          </cell>
          <cell r="AI1445">
            <v>2</v>
          </cell>
          <cell r="AJ1445">
            <v>4</v>
          </cell>
        </row>
        <row r="1446">
          <cell r="E1446" t="str">
            <v>OR Residential Kerosene</v>
          </cell>
          <cell r="F1446">
            <v>76</v>
          </cell>
          <cell r="G1446">
            <v>76</v>
          </cell>
          <cell r="H1446">
            <v>97</v>
          </cell>
          <cell r="I1446">
            <v>104</v>
          </cell>
          <cell r="J1446">
            <v>283</v>
          </cell>
          <cell r="K1446">
            <v>145</v>
          </cell>
          <cell r="L1446">
            <v>229</v>
          </cell>
          <cell r="M1446">
            <v>194</v>
          </cell>
          <cell r="N1446">
            <v>374</v>
          </cell>
          <cell r="O1446">
            <v>462</v>
          </cell>
          <cell r="P1446">
            <v>1053</v>
          </cell>
          <cell r="Q1446">
            <v>979</v>
          </cell>
          <cell r="R1446">
            <v>621</v>
          </cell>
          <cell r="S1446">
            <v>428</v>
          </cell>
          <cell r="T1446">
            <v>529</v>
          </cell>
          <cell r="U1446">
            <v>430</v>
          </cell>
          <cell r="V1446">
            <v>292</v>
          </cell>
          <cell r="W1446">
            <v>44</v>
          </cell>
          <cell r="X1446">
            <v>60</v>
          </cell>
          <cell r="Y1446">
            <v>344</v>
          </cell>
          <cell r="Z1446">
            <v>340</v>
          </cell>
          <cell r="AA1446">
            <v>355</v>
          </cell>
          <cell r="AB1446">
            <v>175</v>
          </cell>
          <cell r="AC1446">
            <v>134</v>
          </cell>
          <cell r="AD1446">
            <v>155</v>
          </cell>
          <cell r="AE1446">
            <v>125</v>
          </cell>
          <cell r="AF1446">
            <v>240</v>
          </cell>
          <cell r="AG1446">
            <v>145</v>
          </cell>
          <cell r="AH1446">
            <v>119</v>
          </cell>
          <cell r="AI1446">
            <v>150</v>
          </cell>
          <cell r="AJ1446">
            <v>166</v>
          </cell>
        </row>
        <row r="1447">
          <cell r="E1447" t="str">
            <v>PA Residential Kerosene</v>
          </cell>
          <cell r="F1447">
            <v>7810</v>
          </cell>
          <cell r="G1447">
            <v>8548</v>
          </cell>
          <cell r="H1447">
            <v>8985</v>
          </cell>
          <cell r="I1447">
            <v>9384</v>
          </cell>
          <cell r="J1447">
            <v>8447</v>
          </cell>
          <cell r="K1447">
            <v>11702</v>
          </cell>
          <cell r="L1447">
            <v>13671</v>
          </cell>
          <cell r="M1447">
            <v>14406</v>
          </cell>
          <cell r="N1447">
            <v>16478</v>
          </cell>
          <cell r="O1447">
            <v>14276</v>
          </cell>
          <cell r="P1447">
            <v>15822</v>
          </cell>
          <cell r="Q1447">
            <v>16351</v>
          </cell>
          <cell r="R1447">
            <v>11254</v>
          </cell>
          <cell r="S1447">
            <v>9053</v>
          </cell>
          <cell r="T1447">
            <v>11003</v>
          </cell>
          <cell r="U1447">
            <v>10330</v>
          </cell>
          <cell r="V1447">
            <v>8050</v>
          </cell>
          <cell r="W1447">
            <v>5360</v>
          </cell>
          <cell r="X1447">
            <v>2791</v>
          </cell>
          <cell r="Y1447">
            <v>3887</v>
          </cell>
          <cell r="Z1447">
            <v>4211</v>
          </cell>
          <cell r="AA1447">
            <v>2572</v>
          </cell>
          <cell r="AB1447">
            <v>1076</v>
          </cell>
          <cell r="AC1447">
            <v>1152</v>
          </cell>
          <cell r="AD1447">
            <v>2030</v>
          </cell>
          <cell r="AE1447">
            <v>1350</v>
          </cell>
          <cell r="AF1447">
            <v>1513</v>
          </cell>
          <cell r="AG1447">
            <v>921</v>
          </cell>
          <cell r="AH1447">
            <v>930</v>
          </cell>
          <cell r="AI1447">
            <v>1056</v>
          </cell>
          <cell r="AJ1447">
            <v>1000</v>
          </cell>
        </row>
        <row r="1448">
          <cell r="E1448" t="str">
            <v>RI Residential Kerosene</v>
          </cell>
          <cell r="F1448">
            <v>215</v>
          </cell>
          <cell r="G1448">
            <v>201</v>
          </cell>
          <cell r="H1448">
            <v>207</v>
          </cell>
          <cell r="I1448">
            <v>224</v>
          </cell>
          <cell r="J1448">
            <v>217</v>
          </cell>
          <cell r="K1448">
            <v>152</v>
          </cell>
          <cell r="L1448">
            <v>171</v>
          </cell>
          <cell r="M1448">
            <v>194</v>
          </cell>
          <cell r="N1448">
            <v>234</v>
          </cell>
          <cell r="O1448">
            <v>279</v>
          </cell>
          <cell r="P1448">
            <v>366</v>
          </cell>
          <cell r="Q1448">
            <v>390</v>
          </cell>
          <cell r="R1448">
            <v>192</v>
          </cell>
          <cell r="S1448">
            <v>263</v>
          </cell>
          <cell r="T1448">
            <v>282</v>
          </cell>
          <cell r="U1448">
            <v>333</v>
          </cell>
          <cell r="V1448">
            <v>224</v>
          </cell>
          <cell r="W1448">
            <v>91</v>
          </cell>
          <cell r="X1448">
            <v>60</v>
          </cell>
          <cell r="Y1448">
            <v>135</v>
          </cell>
          <cell r="Z1448">
            <v>101</v>
          </cell>
          <cell r="AA1448">
            <v>74</v>
          </cell>
          <cell r="AB1448">
            <v>35</v>
          </cell>
          <cell r="AC1448">
            <v>37</v>
          </cell>
          <cell r="AD1448">
            <v>48</v>
          </cell>
          <cell r="AE1448">
            <v>29</v>
          </cell>
          <cell r="AF1448">
            <v>29</v>
          </cell>
          <cell r="AG1448">
            <v>16</v>
          </cell>
          <cell r="AH1448">
            <v>19</v>
          </cell>
          <cell r="AI1448">
            <v>19</v>
          </cell>
          <cell r="AJ1448">
            <v>12</v>
          </cell>
        </row>
        <row r="1449">
          <cell r="E1449" t="str">
            <v>SC Residential Kerosene</v>
          </cell>
          <cell r="F1449">
            <v>3117</v>
          </cell>
          <cell r="G1449">
            <v>4142</v>
          </cell>
          <cell r="H1449">
            <v>2501</v>
          </cell>
          <cell r="I1449">
            <v>3659</v>
          </cell>
          <cell r="J1449">
            <v>2107</v>
          </cell>
          <cell r="K1449">
            <v>2666</v>
          </cell>
          <cell r="L1449">
            <v>3182</v>
          </cell>
          <cell r="M1449">
            <v>3461</v>
          </cell>
          <cell r="N1449">
            <v>3854</v>
          </cell>
          <cell r="O1449">
            <v>3133</v>
          </cell>
          <cell r="P1449">
            <v>2912</v>
          </cell>
          <cell r="Q1449">
            <v>2821</v>
          </cell>
          <cell r="R1449">
            <v>1650</v>
          </cell>
          <cell r="S1449">
            <v>2135</v>
          </cell>
          <cell r="T1449">
            <v>3084</v>
          </cell>
          <cell r="U1449">
            <v>2699</v>
          </cell>
          <cell r="V1449">
            <v>2050</v>
          </cell>
          <cell r="W1449">
            <v>1087</v>
          </cell>
          <cell r="X1449">
            <v>451</v>
          </cell>
          <cell r="Y1449">
            <v>449</v>
          </cell>
          <cell r="Z1449">
            <v>698</v>
          </cell>
          <cell r="AA1449">
            <v>309</v>
          </cell>
          <cell r="AB1449">
            <v>114</v>
          </cell>
          <cell r="AC1449">
            <v>131</v>
          </cell>
          <cell r="AD1449">
            <v>224</v>
          </cell>
          <cell r="AE1449">
            <v>162</v>
          </cell>
          <cell r="AF1449">
            <v>196</v>
          </cell>
          <cell r="AG1449">
            <v>91</v>
          </cell>
          <cell r="AH1449">
            <v>153</v>
          </cell>
          <cell r="AI1449">
            <v>131</v>
          </cell>
          <cell r="AJ1449">
            <v>120</v>
          </cell>
        </row>
        <row r="1450">
          <cell r="E1450" t="str">
            <v>SD Residential Kerosene</v>
          </cell>
          <cell r="F1450">
            <v>23</v>
          </cell>
          <cell r="G1450">
            <v>25</v>
          </cell>
          <cell r="H1450">
            <v>21</v>
          </cell>
          <cell r="I1450">
            <v>32</v>
          </cell>
          <cell r="J1450">
            <v>21</v>
          </cell>
          <cell r="K1450">
            <v>21</v>
          </cell>
          <cell r="L1450">
            <v>29</v>
          </cell>
          <cell r="M1450">
            <v>33</v>
          </cell>
          <cell r="N1450">
            <v>29</v>
          </cell>
          <cell r="O1450">
            <v>24</v>
          </cell>
          <cell r="P1450">
            <v>20</v>
          </cell>
          <cell r="Q1450">
            <v>21</v>
          </cell>
          <cell r="R1450">
            <v>15</v>
          </cell>
          <cell r="S1450">
            <v>13</v>
          </cell>
          <cell r="T1450">
            <v>14</v>
          </cell>
          <cell r="U1450">
            <v>17</v>
          </cell>
          <cell r="V1450">
            <v>13</v>
          </cell>
          <cell r="W1450">
            <v>9</v>
          </cell>
          <cell r="X1450">
            <v>7</v>
          </cell>
          <cell r="Y1450">
            <v>7</v>
          </cell>
          <cell r="Z1450">
            <v>9</v>
          </cell>
          <cell r="AA1450">
            <v>5</v>
          </cell>
          <cell r="AB1450">
            <v>2</v>
          </cell>
          <cell r="AC1450">
            <v>2</v>
          </cell>
          <cell r="AD1450">
            <v>3</v>
          </cell>
          <cell r="AE1450">
            <v>2</v>
          </cell>
          <cell r="AF1450">
            <v>42</v>
          </cell>
          <cell r="AG1450">
            <v>1</v>
          </cell>
          <cell r="AH1450">
            <v>2</v>
          </cell>
          <cell r="AI1450">
            <v>2</v>
          </cell>
          <cell r="AJ1450">
            <v>4</v>
          </cell>
        </row>
        <row r="1451">
          <cell r="E1451" t="str">
            <v>TN Residential Kerosene</v>
          </cell>
          <cell r="F1451">
            <v>1834</v>
          </cell>
          <cell r="G1451">
            <v>1519</v>
          </cell>
          <cell r="H1451">
            <v>2046</v>
          </cell>
          <cell r="I1451">
            <v>1761</v>
          </cell>
          <cell r="J1451">
            <v>2492</v>
          </cell>
          <cell r="K1451">
            <v>2112</v>
          </cell>
          <cell r="L1451">
            <v>2584</v>
          </cell>
          <cell r="M1451">
            <v>2478</v>
          </cell>
          <cell r="N1451">
            <v>2407</v>
          </cell>
          <cell r="O1451">
            <v>2399</v>
          </cell>
          <cell r="P1451">
            <v>2145</v>
          </cell>
          <cell r="Q1451">
            <v>1399</v>
          </cell>
          <cell r="R1451">
            <v>951</v>
          </cell>
          <cell r="S1451">
            <v>1309</v>
          </cell>
          <cell r="T1451">
            <v>1654</v>
          </cell>
          <cell r="U1451">
            <v>1610</v>
          </cell>
          <cell r="V1451">
            <v>1607</v>
          </cell>
          <cell r="W1451">
            <v>1156</v>
          </cell>
          <cell r="X1451">
            <v>394</v>
          </cell>
          <cell r="Y1451">
            <v>583</v>
          </cell>
          <cell r="Z1451">
            <v>725</v>
          </cell>
          <cell r="AA1451">
            <v>287</v>
          </cell>
          <cell r="AB1451">
            <v>98</v>
          </cell>
          <cell r="AC1451">
            <v>130</v>
          </cell>
          <cell r="AD1451">
            <v>221</v>
          </cell>
          <cell r="AE1451">
            <v>162</v>
          </cell>
          <cell r="AF1451">
            <v>248</v>
          </cell>
          <cell r="AG1451">
            <v>172</v>
          </cell>
          <cell r="AH1451">
            <v>169</v>
          </cell>
          <cell r="AI1451">
            <v>213</v>
          </cell>
          <cell r="AJ1451">
            <v>252</v>
          </cell>
        </row>
        <row r="1452">
          <cell r="E1452" t="str">
            <v>TX Residential Kerosene</v>
          </cell>
          <cell r="F1452">
            <v>149</v>
          </cell>
          <cell r="G1452">
            <v>195</v>
          </cell>
          <cell r="H1452">
            <v>129</v>
          </cell>
          <cell r="I1452">
            <v>172</v>
          </cell>
          <cell r="J1452">
            <v>113</v>
          </cell>
          <cell r="K1452">
            <v>125</v>
          </cell>
          <cell r="L1452">
            <v>218</v>
          </cell>
          <cell r="M1452">
            <v>254</v>
          </cell>
          <cell r="N1452">
            <v>173</v>
          </cell>
          <cell r="O1452">
            <v>178</v>
          </cell>
          <cell r="P1452">
            <v>170</v>
          </cell>
          <cell r="Q1452">
            <v>327</v>
          </cell>
          <cell r="R1452">
            <v>98</v>
          </cell>
          <cell r="S1452">
            <v>104</v>
          </cell>
          <cell r="T1452">
            <v>65</v>
          </cell>
          <cell r="U1452">
            <v>87</v>
          </cell>
          <cell r="V1452">
            <v>40</v>
          </cell>
          <cell r="W1452">
            <v>54</v>
          </cell>
          <cell r="X1452">
            <v>46</v>
          </cell>
          <cell r="Y1452">
            <v>17</v>
          </cell>
          <cell r="Z1452">
            <v>28</v>
          </cell>
          <cell r="AA1452">
            <v>16</v>
          </cell>
          <cell r="AB1452">
            <v>4</v>
          </cell>
          <cell r="AC1452">
            <v>7</v>
          </cell>
          <cell r="AD1452">
            <v>9</v>
          </cell>
          <cell r="AE1452">
            <v>7</v>
          </cell>
          <cell r="AF1452">
            <v>7</v>
          </cell>
          <cell r="AG1452">
            <v>4</v>
          </cell>
          <cell r="AH1452">
            <v>3</v>
          </cell>
          <cell r="AI1452">
            <v>2</v>
          </cell>
          <cell r="AJ1452">
            <v>4</v>
          </cell>
        </row>
        <row r="1453">
          <cell r="E1453" t="str">
            <v>US Residential Kerosene</v>
          </cell>
          <cell r="F1453">
            <v>63911</v>
          </cell>
          <cell r="G1453">
            <v>72342</v>
          </cell>
          <cell r="H1453">
            <v>65004</v>
          </cell>
          <cell r="I1453">
            <v>75614</v>
          </cell>
          <cell r="J1453">
            <v>64924</v>
          </cell>
          <cell r="K1453">
            <v>74295</v>
          </cell>
          <cell r="L1453">
            <v>88781</v>
          </cell>
          <cell r="M1453">
            <v>92883</v>
          </cell>
          <cell r="N1453">
            <v>108317</v>
          </cell>
          <cell r="O1453">
            <v>111164</v>
          </cell>
          <cell r="P1453">
            <v>94572</v>
          </cell>
          <cell r="Q1453">
            <v>95081</v>
          </cell>
          <cell r="R1453">
            <v>59929</v>
          </cell>
          <cell r="S1453">
            <v>70308</v>
          </cell>
          <cell r="T1453">
            <v>84759</v>
          </cell>
          <cell r="U1453">
            <v>83803</v>
          </cell>
          <cell r="V1453">
            <v>66350</v>
          </cell>
          <cell r="W1453">
            <v>43918</v>
          </cell>
          <cell r="X1453">
            <v>21263</v>
          </cell>
          <cell r="Y1453">
            <v>27693</v>
          </cell>
          <cell r="Z1453">
            <v>29104</v>
          </cell>
          <cell r="AA1453">
            <v>18526</v>
          </cell>
          <cell r="AB1453">
            <v>7738</v>
          </cell>
          <cell r="AC1453">
            <v>8260</v>
          </cell>
          <cell r="AD1453">
            <v>13750</v>
          </cell>
          <cell r="AE1453">
            <v>10118</v>
          </cell>
          <cell r="AF1453">
            <v>13649</v>
          </cell>
          <cell r="AG1453">
            <v>8414</v>
          </cell>
          <cell r="AH1453">
            <v>8243</v>
          </cell>
          <cell r="AI1453">
            <v>10756</v>
          </cell>
          <cell r="AJ1453">
            <v>10837</v>
          </cell>
        </row>
        <row r="1454">
          <cell r="E1454" t="str">
            <v>UT Residential Kerosene</v>
          </cell>
          <cell r="F1454">
            <v>26</v>
          </cell>
          <cell r="G1454">
            <v>29</v>
          </cell>
          <cell r="H1454">
            <v>13</v>
          </cell>
          <cell r="I1454">
            <v>19</v>
          </cell>
          <cell r="J1454">
            <v>31</v>
          </cell>
          <cell r="K1454">
            <v>16</v>
          </cell>
          <cell r="L1454">
            <v>24</v>
          </cell>
          <cell r="M1454">
            <v>29</v>
          </cell>
          <cell r="N1454">
            <v>22</v>
          </cell>
          <cell r="O1454">
            <v>25</v>
          </cell>
          <cell r="P1454">
            <v>21</v>
          </cell>
          <cell r="Q1454">
            <v>18</v>
          </cell>
          <cell r="R1454">
            <v>13</v>
          </cell>
          <cell r="S1454">
            <v>13</v>
          </cell>
          <cell r="T1454">
            <v>10</v>
          </cell>
          <cell r="U1454">
            <v>7</v>
          </cell>
          <cell r="V1454">
            <v>9</v>
          </cell>
          <cell r="W1454">
            <v>14</v>
          </cell>
          <cell r="X1454">
            <v>5</v>
          </cell>
          <cell r="Y1454">
            <v>4</v>
          </cell>
          <cell r="Z1454">
            <v>3</v>
          </cell>
          <cell r="AA1454">
            <v>1</v>
          </cell>
          <cell r="AB1454">
            <v>1</v>
          </cell>
          <cell r="AC1454">
            <v>1</v>
          </cell>
          <cell r="AD1454">
            <v>1</v>
          </cell>
          <cell r="AE1454">
            <v>1</v>
          </cell>
          <cell r="AF1454">
            <v>3</v>
          </cell>
          <cell r="AG1454">
            <v>1</v>
          </cell>
          <cell r="AH1454">
            <v>1</v>
          </cell>
          <cell r="AI1454">
            <v>1</v>
          </cell>
          <cell r="AJ1454">
            <v>1</v>
          </cell>
        </row>
        <row r="1455">
          <cell r="E1455" t="str">
            <v>VA Residential Kerosene</v>
          </cell>
          <cell r="F1455">
            <v>6576</v>
          </cell>
          <cell r="G1455">
            <v>7496</v>
          </cell>
          <cell r="H1455">
            <v>7277</v>
          </cell>
          <cell r="I1455">
            <v>8442</v>
          </cell>
          <cell r="J1455">
            <v>7124</v>
          </cell>
          <cell r="K1455">
            <v>6918</v>
          </cell>
          <cell r="L1455">
            <v>8754</v>
          </cell>
          <cell r="M1455">
            <v>8975</v>
          </cell>
          <cell r="N1455">
            <v>11639</v>
          </cell>
          <cell r="O1455">
            <v>8779</v>
          </cell>
          <cell r="P1455">
            <v>9308</v>
          </cell>
          <cell r="Q1455">
            <v>9531</v>
          </cell>
          <cell r="R1455">
            <v>5302</v>
          </cell>
          <cell r="S1455">
            <v>7149</v>
          </cell>
          <cell r="T1455">
            <v>8244</v>
          </cell>
          <cell r="U1455">
            <v>8084</v>
          </cell>
          <cell r="V1455">
            <v>6460</v>
          </cell>
          <cell r="W1455">
            <v>4195</v>
          </cell>
          <cell r="X1455">
            <v>1742</v>
          </cell>
          <cell r="Y1455">
            <v>1624</v>
          </cell>
          <cell r="Z1455">
            <v>1880</v>
          </cell>
          <cell r="AA1455">
            <v>881</v>
          </cell>
          <cell r="AB1455">
            <v>400</v>
          </cell>
          <cell r="AC1455">
            <v>447</v>
          </cell>
          <cell r="AD1455">
            <v>697</v>
          </cell>
          <cell r="AE1455">
            <v>480</v>
          </cell>
          <cell r="AF1455">
            <v>643</v>
          </cell>
          <cell r="AG1455">
            <v>365</v>
          </cell>
          <cell r="AH1455">
            <v>386</v>
          </cell>
          <cell r="AI1455">
            <v>418</v>
          </cell>
          <cell r="AJ1455">
            <v>473</v>
          </cell>
        </row>
        <row r="1456">
          <cell r="E1456" t="str">
            <v>VT Residential Kerosene</v>
          </cell>
          <cell r="F1456">
            <v>1095</v>
          </cell>
          <cell r="G1456">
            <v>1404</v>
          </cell>
          <cell r="H1456">
            <v>1190</v>
          </cell>
          <cell r="I1456">
            <v>1333</v>
          </cell>
          <cell r="J1456">
            <v>1036</v>
          </cell>
          <cell r="K1456">
            <v>1021</v>
          </cell>
          <cell r="L1456">
            <v>1153</v>
          </cell>
          <cell r="M1456">
            <v>1352</v>
          </cell>
          <cell r="N1456">
            <v>1849</v>
          </cell>
          <cell r="O1456">
            <v>1485</v>
          </cell>
          <cell r="P1456">
            <v>1848</v>
          </cell>
          <cell r="Q1456">
            <v>1817</v>
          </cell>
          <cell r="R1456">
            <v>1056</v>
          </cell>
          <cell r="S1456">
            <v>1566</v>
          </cell>
          <cell r="T1456">
            <v>2265</v>
          </cell>
          <cell r="U1456">
            <v>2161</v>
          </cell>
          <cell r="V1456">
            <v>2013</v>
          </cell>
          <cell r="W1456">
            <v>1404</v>
          </cell>
          <cell r="X1456">
            <v>616</v>
          </cell>
          <cell r="Y1456">
            <v>953</v>
          </cell>
          <cell r="Z1456">
            <v>850</v>
          </cell>
          <cell r="AA1456">
            <v>590</v>
          </cell>
          <cell r="AB1456">
            <v>288</v>
          </cell>
          <cell r="AC1456">
            <v>286</v>
          </cell>
          <cell r="AD1456">
            <v>449</v>
          </cell>
          <cell r="AE1456">
            <v>368</v>
          </cell>
          <cell r="AF1456">
            <v>488</v>
          </cell>
          <cell r="AG1456">
            <v>342</v>
          </cell>
          <cell r="AH1456">
            <v>330</v>
          </cell>
          <cell r="AI1456">
            <v>378</v>
          </cell>
          <cell r="AJ1456">
            <v>408</v>
          </cell>
        </row>
        <row r="1457">
          <cell r="E1457" t="str">
            <v>WA Residential Kerosene</v>
          </cell>
          <cell r="F1457">
            <v>280</v>
          </cell>
          <cell r="G1457">
            <v>261</v>
          </cell>
          <cell r="H1457">
            <v>167</v>
          </cell>
          <cell r="I1457">
            <v>248</v>
          </cell>
          <cell r="J1457">
            <v>372</v>
          </cell>
          <cell r="K1457">
            <v>487</v>
          </cell>
          <cell r="L1457">
            <v>626</v>
          </cell>
          <cell r="M1457">
            <v>754</v>
          </cell>
          <cell r="N1457">
            <v>698</v>
          </cell>
          <cell r="O1457">
            <v>490</v>
          </cell>
          <cell r="P1457">
            <v>366</v>
          </cell>
          <cell r="Q1457">
            <v>573</v>
          </cell>
          <cell r="R1457">
            <v>196</v>
          </cell>
          <cell r="S1457">
            <v>570</v>
          </cell>
          <cell r="T1457">
            <v>393</v>
          </cell>
          <cell r="U1457">
            <v>307</v>
          </cell>
          <cell r="V1457">
            <v>178</v>
          </cell>
          <cell r="W1457">
            <v>72</v>
          </cell>
          <cell r="X1457">
            <v>63</v>
          </cell>
          <cell r="Y1457">
            <v>103</v>
          </cell>
          <cell r="Z1457">
            <v>120</v>
          </cell>
          <cell r="AA1457">
            <v>72</v>
          </cell>
          <cell r="AB1457">
            <v>28</v>
          </cell>
          <cell r="AC1457">
            <v>22</v>
          </cell>
          <cell r="AD1457">
            <v>36</v>
          </cell>
          <cell r="AE1457">
            <v>22</v>
          </cell>
          <cell r="AF1457">
            <v>39</v>
          </cell>
          <cell r="AG1457">
            <v>25</v>
          </cell>
          <cell r="AH1457">
            <v>20</v>
          </cell>
          <cell r="AI1457">
            <v>31</v>
          </cell>
          <cell r="AJ1457">
            <v>21</v>
          </cell>
        </row>
        <row r="1458">
          <cell r="E1458" t="str">
            <v>WI Residential Kerosene</v>
          </cell>
          <cell r="F1458">
            <v>165</v>
          </cell>
          <cell r="G1458">
            <v>172</v>
          </cell>
          <cell r="H1458">
            <v>165</v>
          </cell>
          <cell r="I1458">
            <v>266</v>
          </cell>
          <cell r="J1458">
            <v>192</v>
          </cell>
          <cell r="K1458">
            <v>194</v>
          </cell>
          <cell r="L1458">
            <v>231</v>
          </cell>
          <cell r="M1458">
            <v>250</v>
          </cell>
          <cell r="N1458">
            <v>223</v>
          </cell>
          <cell r="O1458">
            <v>345</v>
          </cell>
          <cell r="P1458">
            <v>251</v>
          </cell>
          <cell r="Q1458">
            <v>229</v>
          </cell>
          <cell r="R1458">
            <v>169</v>
          </cell>
          <cell r="S1458">
            <v>156</v>
          </cell>
          <cell r="T1458">
            <v>228</v>
          </cell>
          <cell r="U1458">
            <v>159</v>
          </cell>
          <cell r="V1458">
            <v>153</v>
          </cell>
          <cell r="W1458">
            <v>77</v>
          </cell>
          <cell r="X1458">
            <v>52</v>
          </cell>
          <cell r="Y1458">
            <v>155</v>
          </cell>
          <cell r="Z1458">
            <v>151</v>
          </cell>
          <cell r="AA1458">
            <v>207</v>
          </cell>
          <cell r="AB1458">
            <v>36</v>
          </cell>
          <cell r="AC1458">
            <v>54</v>
          </cell>
          <cell r="AD1458">
            <v>92</v>
          </cell>
          <cell r="AE1458">
            <v>54</v>
          </cell>
          <cell r="AF1458">
            <v>82</v>
          </cell>
          <cell r="AG1458">
            <v>49</v>
          </cell>
          <cell r="AH1458">
            <v>54</v>
          </cell>
          <cell r="AI1458">
            <v>78</v>
          </cell>
          <cell r="AJ1458">
            <v>68</v>
          </cell>
        </row>
        <row r="1459">
          <cell r="E1459" t="str">
            <v>WV Residential Kerosene</v>
          </cell>
          <cell r="F1459">
            <v>1193</v>
          </cell>
          <cell r="G1459">
            <v>1117</v>
          </cell>
          <cell r="H1459">
            <v>1391</v>
          </cell>
          <cell r="I1459">
            <v>1833</v>
          </cell>
          <cell r="J1459">
            <v>1722</v>
          </cell>
          <cell r="K1459">
            <v>1627</v>
          </cell>
          <cell r="L1459">
            <v>2137</v>
          </cell>
          <cell r="M1459">
            <v>2263</v>
          </cell>
          <cell r="N1459">
            <v>2683</v>
          </cell>
          <cell r="O1459">
            <v>3122</v>
          </cell>
          <cell r="P1459">
            <v>1930</v>
          </cell>
          <cell r="Q1459">
            <v>2008</v>
          </cell>
          <cell r="R1459">
            <v>1487</v>
          </cell>
          <cell r="S1459">
            <v>1241</v>
          </cell>
          <cell r="T1459">
            <v>1446</v>
          </cell>
          <cell r="U1459">
            <v>1417</v>
          </cell>
          <cell r="V1459">
            <v>1066</v>
          </cell>
          <cell r="W1459">
            <v>699</v>
          </cell>
          <cell r="X1459">
            <v>267</v>
          </cell>
          <cell r="Y1459">
            <v>386</v>
          </cell>
          <cell r="Z1459">
            <v>382</v>
          </cell>
          <cell r="AA1459">
            <v>188</v>
          </cell>
          <cell r="AB1459">
            <v>90</v>
          </cell>
          <cell r="AC1459">
            <v>100</v>
          </cell>
          <cell r="AD1459">
            <v>202</v>
          </cell>
          <cell r="AE1459">
            <v>148</v>
          </cell>
          <cell r="AF1459">
            <v>208</v>
          </cell>
          <cell r="AG1459">
            <v>112</v>
          </cell>
          <cell r="AH1459">
            <v>121</v>
          </cell>
          <cell r="AI1459">
            <v>140</v>
          </cell>
          <cell r="AJ1459">
            <v>142</v>
          </cell>
        </row>
        <row r="1460">
          <cell r="E1460" t="str">
            <v>WY Residential Kerosene</v>
          </cell>
          <cell r="F1460">
            <v>7</v>
          </cell>
          <cell r="G1460">
            <v>17</v>
          </cell>
          <cell r="H1460">
            <v>7</v>
          </cell>
          <cell r="I1460">
            <v>9</v>
          </cell>
          <cell r="J1460">
            <v>4</v>
          </cell>
          <cell r="K1460">
            <v>4</v>
          </cell>
          <cell r="L1460">
            <v>4</v>
          </cell>
          <cell r="M1460">
            <v>9</v>
          </cell>
          <cell r="N1460">
            <v>9</v>
          </cell>
          <cell r="O1460">
            <v>7</v>
          </cell>
          <cell r="P1460">
            <v>8</v>
          </cell>
          <cell r="Q1460">
            <v>11</v>
          </cell>
          <cell r="R1460">
            <v>6</v>
          </cell>
          <cell r="S1460">
            <v>6</v>
          </cell>
          <cell r="T1460">
            <v>4</v>
          </cell>
          <cell r="U1460">
            <v>5</v>
          </cell>
          <cell r="V1460">
            <v>7</v>
          </cell>
          <cell r="W1460">
            <v>4</v>
          </cell>
          <cell r="X1460">
            <v>1</v>
          </cell>
          <cell r="Y1460">
            <v>1</v>
          </cell>
          <cell r="Z1460">
            <v>1</v>
          </cell>
          <cell r="AA1460">
            <v>1</v>
          </cell>
          <cell r="AB1460">
            <v>1</v>
          </cell>
          <cell r="AC1460">
            <v>0</v>
          </cell>
          <cell r="AD1460">
            <v>0</v>
          </cell>
          <cell r="AE1460">
            <v>1</v>
          </cell>
          <cell r="AF1460">
            <v>1</v>
          </cell>
          <cell r="AG1460">
            <v>0</v>
          </cell>
          <cell r="AH1460">
            <v>0</v>
          </cell>
          <cell r="AI1460">
            <v>0</v>
          </cell>
          <cell r="AJ1460">
            <v>0</v>
          </cell>
        </row>
        <row r="1461">
          <cell r="E1461" t="str">
            <v>AK Commercial Hydrocarbon Gas Liquids</v>
          </cell>
          <cell r="F1461">
            <v>588</v>
          </cell>
          <cell r="G1461">
            <v>634</v>
          </cell>
          <cell r="H1461">
            <v>626</v>
          </cell>
          <cell r="I1461">
            <v>377</v>
          </cell>
          <cell r="J1461">
            <v>297</v>
          </cell>
          <cell r="K1461">
            <v>307</v>
          </cell>
          <cell r="L1461">
            <v>382</v>
          </cell>
          <cell r="M1461">
            <v>241</v>
          </cell>
          <cell r="N1461">
            <v>192</v>
          </cell>
          <cell r="O1461">
            <v>418</v>
          </cell>
          <cell r="P1461">
            <v>369</v>
          </cell>
          <cell r="Q1461">
            <v>420</v>
          </cell>
          <cell r="R1461">
            <v>414</v>
          </cell>
          <cell r="S1461">
            <v>486</v>
          </cell>
          <cell r="T1461">
            <v>317</v>
          </cell>
          <cell r="U1461">
            <v>375</v>
          </cell>
          <cell r="V1461">
            <v>421</v>
          </cell>
          <cell r="W1461">
            <v>322</v>
          </cell>
          <cell r="X1461">
            <v>502</v>
          </cell>
          <cell r="Y1461">
            <v>704</v>
          </cell>
          <cell r="Z1461">
            <v>578</v>
          </cell>
          <cell r="AA1461">
            <v>627</v>
          </cell>
          <cell r="AB1461">
            <v>707</v>
          </cell>
          <cell r="AC1461">
            <v>765</v>
          </cell>
          <cell r="AD1461">
            <v>751</v>
          </cell>
          <cell r="AE1461">
            <v>640</v>
          </cell>
          <cell r="AF1461">
            <v>659</v>
          </cell>
          <cell r="AG1461">
            <v>681</v>
          </cell>
          <cell r="AH1461">
            <v>745</v>
          </cell>
          <cell r="AI1461">
            <v>786</v>
          </cell>
          <cell r="AJ1461">
            <v>708</v>
          </cell>
        </row>
        <row r="1462">
          <cell r="E1462" t="str">
            <v>AL Commercial Hydrocarbon Gas Liquids</v>
          </cell>
          <cell r="F1462">
            <v>3365</v>
          </cell>
          <cell r="G1462">
            <v>2893</v>
          </cell>
          <cell r="H1462">
            <v>2770</v>
          </cell>
          <cell r="I1462">
            <v>3581</v>
          </cell>
          <cell r="J1462">
            <v>3503</v>
          </cell>
          <cell r="K1462">
            <v>3566</v>
          </cell>
          <cell r="L1462">
            <v>3658</v>
          </cell>
          <cell r="M1462">
            <v>3766</v>
          </cell>
          <cell r="N1462">
            <v>3244</v>
          </cell>
          <cell r="O1462">
            <v>5844</v>
          </cell>
          <cell r="P1462">
            <v>6164</v>
          </cell>
          <cell r="Q1462">
            <v>4969</v>
          </cell>
          <cell r="R1462">
            <v>4221</v>
          </cell>
          <cell r="S1462">
            <v>3534</v>
          </cell>
          <cell r="T1462">
            <v>3509</v>
          </cell>
          <cell r="U1462">
            <v>2013</v>
          </cell>
          <cell r="V1462">
            <v>2573</v>
          </cell>
          <cell r="W1462">
            <v>2418</v>
          </cell>
          <cell r="X1462">
            <v>3121</v>
          </cell>
          <cell r="Y1462">
            <v>2200</v>
          </cell>
          <cell r="Z1462">
            <v>2516</v>
          </cell>
          <cell r="AA1462">
            <v>2646</v>
          </cell>
          <cell r="AB1462">
            <v>2052</v>
          </cell>
          <cell r="AC1462">
            <v>2234</v>
          </cell>
          <cell r="AD1462">
            <v>2181</v>
          </cell>
          <cell r="AE1462">
            <v>1683</v>
          </cell>
          <cell r="AF1462">
            <v>1717</v>
          </cell>
          <cell r="AG1462">
            <v>2037</v>
          </cell>
          <cell r="AH1462">
            <v>2151</v>
          </cell>
          <cell r="AI1462">
            <v>2113</v>
          </cell>
          <cell r="AJ1462">
            <v>2220</v>
          </cell>
        </row>
        <row r="1463">
          <cell r="E1463" t="str">
            <v>AR Commercial Hydrocarbon Gas Liquids</v>
          </cell>
          <cell r="F1463">
            <v>1555</v>
          </cell>
          <cell r="G1463">
            <v>1407</v>
          </cell>
          <cell r="H1463">
            <v>1259</v>
          </cell>
          <cell r="I1463">
            <v>1435</v>
          </cell>
          <cell r="J1463">
            <v>1403</v>
          </cell>
          <cell r="K1463">
            <v>1258</v>
          </cell>
          <cell r="L1463">
            <v>1253</v>
          </cell>
          <cell r="M1463">
            <v>1325</v>
          </cell>
          <cell r="N1463">
            <v>982</v>
          </cell>
          <cell r="O1463">
            <v>2544</v>
          </cell>
          <cell r="P1463">
            <v>2257</v>
          </cell>
          <cell r="Q1463">
            <v>2373</v>
          </cell>
          <cell r="R1463">
            <v>1775</v>
          </cell>
          <cell r="S1463">
            <v>1418</v>
          </cell>
          <cell r="T1463">
            <v>2561</v>
          </cell>
          <cell r="U1463">
            <v>1101</v>
          </cell>
          <cell r="V1463">
            <v>1070</v>
          </cell>
          <cell r="W1463">
            <v>784</v>
          </cell>
          <cell r="X1463">
            <v>1661</v>
          </cell>
          <cell r="Y1463">
            <v>1153</v>
          </cell>
          <cell r="Z1463">
            <v>1116</v>
          </cell>
          <cell r="AA1463">
            <v>1180</v>
          </cell>
          <cell r="AB1463">
            <v>1169</v>
          </cell>
          <cell r="AC1463">
            <v>1114</v>
          </cell>
          <cell r="AD1463">
            <v>1458</v>
          </cell>
          <cell r="AE1463">
            <v>1246</v>
          </cell>
          <cell r="AF1463">
            <v>865</v>
          </cell>
          <cell r="AG1463">
            <v>816</v>
          </cell>
          <cell r="AH1463">
            <v>1174</v>
          </cell>
          <cell r="AI1463">
            <v>1090</v>
          </cell>
          <cell r="AJ1463">
            <v>1413</v>
          </cell>
        </row>
        <row r="1464">
          <cell r="E1464" t="str">
            <v>AZ Commercial Hydrocarbon Gas Liquids</v>
          </cell>
          <cell r="F1464">
            <v>844</v>
          </cell>
          <cell r="G1464">
            <v>954</v>
          </cell>
          <cell r="H1464">
            <v>1026</v>
          </cell>
          <cell r="I1464">
            <v>904</v>
          </cell>
          <cell r="J1464">
            <v>923</v>
          </cell>
          <cell r="K1464">
            <v>1062</v>
          </cell>
          <cell r="L1464">
            <v>858</v>
          </cell>
          <cell r="M1464">
            <v>787</v>
          </cell>
          <cell r="N1464">
            <v>1125</v>
          </cell>
          <cell r="O1464">
            <v>1556</v>
          </cell>
          <cell r="P1464">
            <v>1367</v>
          </cell>
          <cell r="Q1464">
            <v>1291</v>
          </cell>
          <cell r="R1464">
            <v>1312</v>
          </cell>
          <cell r="S1464">
            <v>1382</v>
          </cell>
          <cell r="T1464">
            <v>1066</v>
          </cell>
          <cell r="U1464">
            <v>879</v>
          </cell>
          <cell r="V1464">
            <v>793</v>
          </cell>
          <cell r="W1464">
            <v>814</v>
          </cell>
          <cell r="X1464">
            <v>1642</v>
          </cell>
          <cell r="Y1464">
            <v>827</v>
          </cell>
          <cell r="Z1464">
            <v>1186</v>
          </cell>
          <cell r="AA1464">
            <v>1448</v>
          </cell>
          <cell r="AB1464">
            <v>1348</v>
          </cell>
          <cell r="AC1464">
            <v>1475</v>
          </cell>
          <cell r="AD1464">
            <v>1746</v>
          </cell>
          <cell r="AE1464">
            <v>1639</v>
          </cell>
          <cell r="AF1464">
            <v>2422</v>
          </cell>
          <cell r="AG1464">
            <v>2481</v>
          </cell>
          <cell r="AH1464">
            <v>2417</v>
          </cell>
          <cell r="AI1464">
            <v>3457</v>
          </cell>
          <cell r="AJ1464">
            <v>3381</v>
          </cell>
        </row>
        <row r="1465">
          <cell r="E1465" t="str">
            <v>CA Commercial Hydrocarbon Gas Liquids</v>
          </cell>
          <cell r="F1465">
            <v>6678</v>
          </cell>
          <cell r="G1465">
            <v>8074</v>
          </cell>
          <cell r="H1465">
            <v>5577</v>
          </cell>
          <cell r="I1465">
            <v>5847</v>
          </cell>
          <cell r="J1465">
            <v>5752</v>
          </cell>
          <cell r="K1465">
            <v>5672</v>
          </cell>
          <cell r="L1465">
            <v>4738</v>
          </cell>
          <cell r="M1465">
            <v>4280</v>
          </cell>
          <cell r="N1465">
            <v>7075</v>
          </cell>
          <cell r="O1465">
            <v>6633</v>
          </cell>
          <cell r="P1465">
            <v>6188</v>
          </cell>
          <cell r="Q1465">
            <v>4247</v>
          </cell>
          <cell r="R1465">
            <v>4943</v>
          </cell>
          <cell r="S1465">
            <v>8369</v>
          </cell>
          <cell r="T1465">
            <v>11815</v>
          </cell>
          <cell r="U1465">
            <v>9279</v>
          </cell>
          <cell r="V1465">
            <v>6885</v>
          </cell>
          <cell r="W1465">
            <v>7735</v>
          </cell>
          <cell r="X1465">
            <v>9988</v>
          </cell>
          <cell r="Y1465">
            <v>7976</v>
          </cell>
          <cell r="Z1465">
            <v>8628</v>
          </cell>
          <cell r="AA1465">
            <v>8428</v>
          </cell>
          <cell r="AB1465">
            <v>8557</v>
          </cell>
          <cell r="AC1465">
            <v>8134</v>
          </cell>
          <cell r="AD1465">
            <v>9721</v>
          </cell>
          <cell r="AE1465">
            <v>8002</v>
          </cell>
          <cell r="AF1465">
            <v>10970</v>
          </cell>
          <cell r="AG1465">
            <v>10999</v>
          </cell>
          <cell r="AH1465">
            <v>12528</v>
          </cell>
          <cell r="AI1465">
            <v>13283</v>
          </cell>
          <cell r="AJ1465">
            <v>12512</v>
          </cell>
        </row>
        <row r="1466">
          <cell r="E1466" t="str">
            <v>CO Commercial Hydrocarbon Gas Liquids</v>
          </cell>
          <cell r="F1466">
            <v>1165</v>
          </cell>
          <cell r="G1466">
            <v>1305</v>
          </cell>
          <cell r="H1466">
            <v>1162</v>
          </cell>
          <cell r="I1466">
            <v>1214</v>
          </cell>
          <cell r="J1466">
            <v>1207</v>
          </cell>
          <cell r="K1466">
            <v>1503</v>
          </cell>
          <cell r="L1466">
            <v>1442</v>
          </cell>
          <cell r="M1466">
            <v>226</v>
          </cell>
          <cell r="N1466">
            <v>118</v>
          </cell>
          <cell r="O1466">
            <v>1381</v>
          </cell>
          <cell r="P1466">
            <v>1938</v>
          </cell>
          <cell r="Q1466">
            <v>1812</v>
          </cell>
          <cell r="R1466">
            <v>1843</v>
          </cell>
          <cell r="S1466">
            <v>2959</v>
          </cell>
          <cell r="T1466">
            <v>2902</v>
          </cell>
          <cell r="U1466">
            <v>2522</v>
          </cell>
          <cell r="V1466">
            <v>1439</v>
          </cell>
          <cell r="W1466">
            <v>1727</v>
          </cell>
          <cell r="X1466">
            <v>2254</v>
          </cell>
          <cell r="Y1466">
            <v>1718</v>
          </cell>
          <cell r="Z1466">
            <v>1899</v>
          </cell>
          <cell r="AA1466">
            <v>2843</v>
          </cell>
          <cell r="AB1466">
            <v>1979</v>
          </cell>
          <cell r="AC1466">
            <v>2015</v>
          </cell>
          <cell r="AD1466">
            <v>2396</v>
          </cell>
          <cell r="AE1466">
            <v>2219</v>
          </cell>
          <cell r="AF1466">
            <v>2486</v>
          </cell>
          <cell r="AG1466">
            <v>3204</v>
          </cell>
          <cell r="AH1466">
            <v>2665</v>
          </cell>
          <cell r="AI1466">
            <v>3584</v>
          </cell>
          <cell r="AJ1466">
            <v>3398</v>
          </cell>
        </row>
        <row r="1467">
          <cell r="E1467" t="str">
            <v>CT Commercial Hydrocarbon Gas Liquids</v>
          </cell>
          <cell r="F1467">
            <v>1316</v>
          </cell>
          <cell r="G1467">
            <v>1460</v>
          </cell>
          <cell r="H1467">
            <v>1874</v>
          </cell>
          <cell r="I1467">
            <v>1615</v>
          </cell>
          <cell r="J1467">
            <v>1445</v>
          </cell>
          <cell r="K1467">
            <v>1344</v>
          </cell>
          <cell r="L1467">
            <v>1630</v>
          </cell>
          <cell r="M1467">
            <v>1856</v>
          </cell>
          <cell r="N1467">
            <v>2351</v>
          </cell>
          <cell r="O1467">
            <v>1816</v>
          </cell>
          <cell r="P1467">
            <v>2051</v>
          </cell>
          <cell r="Q1467">
            <v>2131</v>
          </cell>
          <cell r="R1467">
            <v>2298</v>
          </cell>
          <cell r="S1467">
            <v>3189</v>
          </cell>
          <cell r="T1467">
            <v>2765</v>
          </cell>
          <cell r="U1467">
            <v>2180</v>
          </cell>
          <cell r="V1467">
            <v>1802</v>
          </cell>
          <cell r="W1467">
            <v>2400</v>
          </cell>
          <cell r="X1467">
            <v>2991</v>
          </cell>
          <cell r="Y1467">
            <v>3340</v>
          </cell>
          <cell r="Z1467">
            <v>3044</v>
          </cell>
          <cell r="AA1467">
            <v>3415</v>
          </cell>
          <cell r="AB1467">
            <v>2749</v>
          </cell>
          <cell r="AC1467">
            <v>3331</v>
          </cell>
          <cell r="AD1467">
            <v>3102</v>
          </cell>
          <cell r="AE1467">
            <v>3402</v>
          </cell>
          <cell r="AF1467">
            <v>3111</v>
          </cell>
          <cell r="AG1467">
            <v>1754</v>
          </cell>
          <cell r="AH1467">
            <v>2786</v>
          </cell>
          <cell r="AI1467">
            <v>2886</v>
          </cell>
          <cell r="AJ1467">
            <v>3121</v>
          </cell>
        </row>
        <row r="1468">
          <cell r="E1468" t="str">
            <v>DC Commercial Hydrocarbon Gas Liquids</v>
          </cell>
          <cell r="F1468">
            <v>2</v>
          </cell>
          <cell r="G1468">
            <v>2</v>
          </cell>
          <cell r="H1468">
            <v>2</v>
          </cell>
          <cell r="I1468">
            <v>2</v>
          </cell>
          <cell r="J1468">
            <v>2</v>
          </cell>
          <cell r="K1468">
            <v>2</v>
          </cell>
          <cell r="L1468">
            <v>3</v>
          </cell>
          <cell r="M1468">
            <v>3</v>
          </cell>
          <cell r="N1468">
            <v>3</v>
          </cell>
          <cell r="O1468">
            <v>2</v>
          </cell>
          <cell r="P1468">
            <v>2</v>
          </cell>
          <cell r="Q1468">
            <v>2</v>
          </cell>
          <cell r="R1468">
            <v>2</v>
          </cell>
          <cell r="S1468">
            <v>3</v>
          </cell>
          <cell r="T1468">
            <v>3</v>
          </cell>
          <cell r="U1468">
            <v>3</v>
          </cell>
          <cell r="V1468">
            <v>3</v>
          </cell>
          <cell r="W1468">
            <v>2</v>
          </cell>
          <cell r="X1468">
            <v>3</v>
          </cell>
          <cell r="Y1468">
            <v>3</v>
          </cell>
          <cell r="Z1468">
            <v>4</v>
          </cell>
          <cell r="AA1468">
            <v>0</v>
          </cell>
          <cell r="AB1468">
            <v>11</v>
          </cell>
          <cell r="AC1468">
            <v>5</v>
          </cell>
          <cell r="AD1468">
            <v>2</v>
          </cell>
          <cell r="AE1468">
            <v>1</v>
          </cell>
          <cell r="AF1468">
            <v>1</v>
          </cell>
          <cell r="AG1468">
            <v>1</v>
          </cell>
          <cell r="AH1468">
            <v>1</v>
          </cell>
          <cell r="AI1468">
            <v>3</v>
          </cell>
          <cell r="AJ1468">
            <v>2</v>
          </cell>
        </row>
        <row r="1469">
          <cell r="E1469" t="str">
            <v>DE Commercial Hydrocarbon Gas Liquids</v>
          </cell>
          <cell r="F1469">
            <v>720</v>
          </cell>
          <cell r="G1469">
            <v>792</v>
          </cell>
          <cell r="H1469">
            <v>776</v>
          </cell>
          <cell r="I1469">
            <v>845</v>
          </cell>
          <cell r="J1469">
            <v>880</v>
          </cell>
          <cell r="K1469">
            <v>1079</v>
          </cell>
          <cell r="L1469">
            <v>1147</v>
          </cell>
          <cell r="M1469">
            <v>1234</v>
          </cell>
          <cell r="N1469">
            <v>1308</v>
          </cell>
          <cell r="O1469">
            <v>1170</v>
          </cell>
          <cell r="P1469">
            <v>923</v>
          </cell>
          <cell r="Q1469">
            <v>1175</v>
          </cell>
          <cell r="R1469">
            <v>1252</v>
          </cell>
          <cell r="S1469">
            <v>1033</v>
          </cell>
          <cell r="T1469">
            <v>1546</v>
          </cell>
          <cell r="U1469">
            <v>1139</v>
          </cell>
          <cell r="V1469">
            <v>1044</v>
          </cell>
          <cell r="W1469">
            <v>778</v>
          </cell>
          <cell r="X1469">
            <v>1037</v>
          </cell>
          <cell r="Y1469">
            <v>1286</v>
          </cell>
          <cell r="Z1469">
            <v>1109</v>
          </cell>
          <cell r="AA1469">
            <v>1034</v>
          </cell>
          <cell r="AB1469">
            <v>1065</v>
          </cell>
          <cell r="AC1469">
            <v>1071</v>
          </cell>
          <cell r="AD1469">
            <v>1208</v>
          </cell>
          <cell r="AE1469">
            <v>1340</v>
          </cell>
          <cell r="AF1469">
            <v>1087</v>
          </cell>
          <cell r="AG1469">
            <v>743</v>
          </cell>
          <cell r="AH1469">
            <v>1019</v>
          </cell>
          <cell r="AI1469">
            <v>1048</v>
          </cell>
          <cell r="AJ1469">
            <v>778</v>
          </cell>
        </row>
        <row r="1470">
          <cell r="E1470" t="str">
            <v>FL Commercial Hydrocarbon Gas Liquids</v>
          </cell>
          <cell r="F1470">
            <v>12851</v>
          </cell>
          <cell r="G1470">
            <v>13295</v>
          </cell>
          <cell r="H1470">
            <v>13365</v>
          </cell>
          <cell r="I1470">
            <v>13016</v>
          </cell>
          <cell r="J1470">
            <v>11938</v>
          </cell>
          <cell r="K1470">
            <v>10158</v>
          </cell>
          <cell r="L1470">
            <v>10380</v>
          </cell>
          <cell r="M1470">
            <v>10283</v>
          </cell>
          <cell r="N1470">
            <v>11475</v>
          </cell>
          <cell r="O1470">
            <v>11419</v>
          </cell>
          <cell r="P1470">
            <v>11300</v>
          </cell>
          <cell r="Q1470">
            <v>9434</v>
          </cell>
          <cell r="R1470">
            <v>10212</v>
          </cell>
          <cell r="S1470">
            <v>10429</v>
          </cell>
          <cell r="T1470">
            <v>14196</v>
          </cell>
          <cell r="U1470">
            <v>10209</v>
          </cell>
          <cell r="V1470">
            <v>9673</v>
          </cell>
          <cell r="W1470">
            <v>9962</v>
          </cell>
          <cell r="X1470">
            <v>9089</v>
          </cell>
          <cell r="Y1470">
            <v>7978</v>
          </cell>
          <cell r="Z1470">
            <v>8020</v>
          </cell>
          <cell r="AA1470">
            <v>6913</v>
          </cell>
          <cell r="AB1470">
            <v>8352</v>
          </cell>
          <cell r="AC1470">
            <v>7771</v>
          </cell>
          <cell r="AD1470">
            <v>8069</v>
          </cell>
          <cell r="AE1470">
            <v>7643</v>
          </cell>
          <cell r="AF1470">
            <v>8908</v>
          </cell>
          <cell r="AG1470">
            <v>7596</v>
          </cell>
          <cell r="AH1470">
            <v>8021</v>
          </cell>
          <cell r="AI1470">
            <v>8194</v>
          </cell>
          <cell r="AJ1470">
            <v>7903</v>
          </cell>
        </row>
        <row r="1471">
          <cell r="E1471" t="str">
            <v>GA Commercial Hydrocarbon Gas Liquids</v>
          </cell>
          <cell r="F1471">
            <v>3718</v>
          </cell>
          <cell r="G1471">
            <v>3992</v>
          </cell>
          <cell r="H1471">
            <v>4396</v>
          </cell>
          <cell r="I1471">
            <v>4589</v>
          </cell>
          <cell r="J1471">
            <v>4610</v>
          </cell>
          <cell r="K1471">
            <v>4375</v>
          </cell>
          <cell r="L1471">
            <v>4453</v>
          </cell>
          <cell r="M1471">
            <v>4798</v>
          </cell>
          <cell r="N1471">
            <v>4123</v>
          </cell>
          <cell r="O1471">
            <v>4490</v>
          </cell>
          <cell r="P1471">
            <v>5108</v>
          </cell>
          <cell r="Q1471">
            <v>3592</v>
          </cell>
          <cell r="R1471">
            <v>3597</v>
          </cell>
          <cell r="S1471">
            <v>3587</v>
          </cell>
          <cell r="T1471">
            <v>4382</v>
          </cell>
          <cell r="U1471">
            <v>3257</v>
          </cell>
          <cell r="V1471">
            <v>3243</v>
          </cell>
          <cell r="W1471">
            <v>3247</v>
          </cell>
          <cell r="X1471">
            <v>3771</v>
          </cell>
          <cell r="Y1471">
            <v>2997</v>
          </cell>
          <cell r="Z1471">
            <v>3667</v>
          </cell>
          <cell r="AA1471">
            <v>3187</v>
          </cell>
          <cell r="AB1471">
            <v>2751</v>
          </cell>
          <cell r="AC1471">
            <v>3071</v>
          </cell>
          <cell r="AD1471">
            <v>3409</v>
          </cell>
          <cell r="AE1471">
            <v>3131</v>
          </cell>
          <cell r="AF1471">
            <v>2949</v>
          </cell>
          <cell r="AG1471">
            <v>3444</v>
          </cell>
          <cell r="AH1471">
            <v>4060</v>
          </cell>
          <cell r="AI1471">
            <v>3663</v>
          </cell>
          <cell r="AJ1471">
            <v>4195</v>
          </cell>
        </row>
        <row r="1472">
          <cell r="E1472" t="str">
            <v>HI Commercial Hydrocarbon Gas Liquids</v>
          </cell>
          <cell r="F1472">
            <v>359</v>
          </cell>
          <cell r="G1472">
            <v>369</v>
          </cell>
          <cell r="H1472">
            <v>1163</v>
          </cell>
          <cell r="I1472">
            <v>247</v>
          </cell>
          <cell r="J1472">
            <v>253</v>
          </cell>
          <cell r="K1472">
            <v>243</v>
          </cell>
          <cell r="L1472">
            <v>302</v>
          </cell>
          <cell r="M1472">
            <v>557</v>
          </cell>
          <cell r="N1472">
            <v>1585</v>
          </cell>
          <cell r="O1472">
            <v>899</v>
          </cell>
          <cell r="P1472">
            <v>1228</v>
          </cell>
          <cell r="Q1472">
            <v>1246</v>
          </cell>
          <cell r="R1472">
            <v>1251</v>
          </cell>
          <cell r="S1472">
            <v>927</v>
          </cell>
          <cell r="T1472">
            <v>946</v>
          </cell>
          <cell r="U1472">
            <v>965</v>
          </cell>
          <cell r="V1472">
            <v>988</v>
          </cell>
          <cell r="W1472">
            <v>857</v>
          </cell>
          <cell r="X1472">
            <v>1549</v>
          </cell>
          <cell r="Y1472">
            <v>2076</v>
          </cell>
          <cell r="Z1472">
            <v>2041</v>
          </cell>
          <cell r="AA1472">
            <v>2424</v>
          </cell>
          <cell r="AB1472">
            <v>2129</v>
          </cell>
          <cell r="AC1472">
            <v>2302</v>
          </cell>
          <cell r="AD1472">
            <v>2504</v>
          </cell>
          <cell r="AE1472">
            <v>2319</v>
          </cell>
          <cell r="AF1472">
            <v>2327</v>
          </cell>
          <cell r="AG1472">
            <v>3025</v>
          </cell>
          <cell r="AH1472">
            <v>2843</v>
          </cell>
          <cell r="AI1472">
            <v>3085</v>
          </cell>
          <cell r="AJ1472">
            <v>2803</v>
          </cell>
        </row>
        <row r="1473">
          <cell r="E1473" t="str">
            <v>IA Commercial Hydrocarbon Gas Liquids</v>
          </cell>
          <cell r="F1473">
            <v>1239</v>
          </cell>
          <cell r="G1473">
            <v>1518</v>
          </cell>
          <cell r="H1473">
            <v>1537</v>
          </cell>
          <cell r="I1473">
            <v>1787</v>
          </cell>
          <cell r="J1473">
            <v>1774</v>
          </cell>
          <cell r="K1473">
            <v>1791</v>
          </cell>
          <cell r="L1473">
            <v>2404</v>
          </cell>
          <cell r="M1473">
            <v>2230</v>
          </cell>
          <cell r="N1473">
            <v>1888</v>
          </cell>
          <cell r="O1473">
            <v>2364</v>
          </cell>
          <cell r="P1473">
            <v>2398</v>
          </cell>
          <cell r="Q1473">
            <v>1542</v>
          </cell>
          <cell r="R1473">
            <v>1996</v>
          </cell>
          <cell r="S1473">
            <v>1897</v>
          </cell>
          <cell r="T1473">
            <v>1826</v>
          </cell>
          <cell r="U1473">
            <v>1576</v>
          </cell>
          <cell r="V1473">
            <v>2000</v>
          </cell>
          <cell r="W1473">
            <v>2039</v>
          </cell>
          <cell r="X1473">
            <v>2687</v>
          </cell>
          <cell r="Y1473">
            <v>3988</v>
          </cell>
          <cell r="Z1473">
            <v>2472</v>
          </cell>
          <cell r="AA1473">
            <v>3002</v>
          </cell>
          <cell r="AB1473">
            <v>2312</v>
          </cell>
          <cell r="AC1473">
            <v>2437</v>
          </cell>
          <cell r="AD1473">
            <v>2495</v>
          </cell>
          <cell r="AE1473">
            <v>1922</v>
          </cell>
          <cell r="AF1473">
            <v>1957</v>
          </cell>
          <cell r="AG1473">
            <v>2145</v>
          </cell>
          <cell r="AH1473">
            <v>3579</v>
          </cell>
          <cell r="AI1473">
            <v>4238</v>
          </cell>
          <cell r="AJ1473">
            <v>4144</v>
          </cell>
        </row>
        <row r="1474">
          <cell r="E1474" t="str">
            <v>ID Commercial Hydrocarbon Gas Liquids</v>
          </cell>
          <cell r="F1474">
            <v>390</v>
          </cell>
          <cell r="G1474">
            <v>456</v>
          </cell>
          <cell r="H1474">
            <v>364</v>
          </cell>
          <cell r="I1474">
            <v>401</v>
          </cell>
          <cell r="J1474">
            <v>376</v>
          </cell>
          <cell r="K1474">
            <v>458</v>
          </cell>
          <cell r="L1474">
            <v>550</v>
          </cell>
          <cell r="M1474">
            <v>529</v>
          </cell>
          <cell r="N1474">
            <v>217</v>
          </cell>
          <cell r="O1474">
            <v>898</v>
          </cell>
          <cell r="P1474">
            <v>1788</v>
          </cell>
          <cell r="Q1474">
            <v>1463</v>
          </cell>
          <cell r="R1474">
            <v>923</v>
          </cell>
          <cell r="S1474">
            <v>807</v>
          </cell>
          <cell r="T1474">
            <v>1137</v>
          </cell>
          <cell r="U1474">
            <v>1333</v>
          </cell>
          <cell r="V1474">
            <v>1245</v>
          </cell>
          <cell r="W1474">
            <v>1306</v>
          </cell>
          <cell r="X1474">
            <v>1444</v>
          </cell>
          <cell r="Y1474">
            <v>909</v>
          </cell>
          <cell r="Z1474">
            <v>969</v>
          </cell>
          <cell r="AA1474">
            <v>995</v>
          </cell>
          <cell r="AB1474">
            <v>1441</v>
          </cell>
          <cell r="AC1474">
            <v>1082</v>
          </cell>
          <cell r="AD1474">
            <v>1254</v>
          </cell>
          <cell r="AE1474">
            <v>1238</v>
          </cell>
          <cell r="AF1474">
            <v>1534</v>
          </cell>
          <cell r="AG1474">
            <v>1280</v>
          </cell>
          <cell r="AH1474">
            <v>1534</v>
          </cell>
          <cell r="AI1474">
            <v>1504</v>
          </cell>
          <cell r="AJ1474">
            <v>2042</v>
          </cell>
        </row>
        <row r="1475">
          <cell r="E1475" t="str">
            <v>IL Commercial Hydrocarbon Gas Liquids</v>
          </cell>
          <cell r="F1475">
            <v>2132</v>
          </cell>
          <cell r="G1475">
            <v>2522</v>
          </cell>
          <cell r="H1475">
            <v>2432</v>
          </cell>
          <cell r="I1475">
            <v>2579</v>
          </cell>
          <cell r="J1475">
            <v>2505</v>
          </cell>
          <cell r="K1475">
            <v>2571</v>
          </cell>
          <cell r="L1475">
            <v>3465</v>
          </cell>
          <cell r="M1475">
            <v>3517</v>
          </cell>
          <cell r="N1475">
            <v>2988</v>
          </cell>
          <cell r="O1475">
            <v>4327</v>
          </cell>
          <cell r="P1475">
            <v>3610</v>
          </cell>
          <cell r="Q1475">
            <v>2714</v>
          </cell>
          <cell r="R1475">
            <v>3606</v>
          </cell>
          <cell r="S1475">
            <v>3738</v>
          </cell>
          <cell r="T1475">
            <v>3472</v>
          </cell>
          <cell r="U1475">
            <v>3092</v>
          </cell>
          <cell r="V1475">
            <v>3110</v>
          </cell>
          <cell r="W1475">
            <v>2686</v>
          </cell>
          <cell r="X1475">
            <v>3592</v>
          </cell>
          <cell r="Y1475">
            <v>3517</v>
          </cell>
          <cell r="Z1475">
            <v>3052</v>
          </cell>
          <cell r="AA1475">
            <v>2784</v>
          </cell>
          <cell r="AB1475">
            <v>2094</v>
          </cell>
          <cell r="AC1475">
            <v>4156</v>
          </cell>
          <cell r="AD1475">
            <v>2870</v>
          </cell>
          <cell r="AE1475">
            <v>2443</v>
          </cell>
          <cell r="AF1475">
            <v>2456</v>
          </cell>
          <cell r="AG1475">
            <v>3953</v>
          </cell>
          <cell r="AH1475">
            <v>3492</v>
          </cell>
          <cell r="AI1475">
            <v>4287</v>
          </cell>
          <cell r="AJ1475">
            <v>5288</v>
          </cell>
        </row>
        <row r="1476">
          <cell r="E1476" t="str">
            <v>IN Commercial Hydrocarbon Gas Liquids</v>
          </cell>
          <cell r="F1476">
            <v>2021</v>
          </cell>
          <cell r="G1476">
            <v>2019</v>
          </cell>
          <cell r="H1476">
            <v>1979</v>
          </cell>
          <cell r="I1476">
            <v>2180</v>
          </cell>
          <cell r="J1476">
            <v>2139</v>
          </cell>
          <cell r="K1476">
            <v>2180</v>
          </cell>
          <cell r="L1476">
            <v>2926</v>
          </cell>
          <cell r="M1476">
            <v>2894</v>
          </cell>
          <cell r="N1476">
            <v>2131</v>
          </cell>
          <cell r="O1476">
            <v>2583</v>
          </cell>
          <cell r="P1476">
            <v>2918</v>
          </cell>
          <cell r="Q1476">
            <v>2143</v>
          </cell>
          <cell r="R1476">
            <v>2972</v>
          </cell>
          <cell r="S1476">
            <v>2952</v>
          </cell>
          <cell r="T1476">
            <v>2961</v>
          </cell>
          <cell r="U1476">
            <v>2224</v>
          </cell>
          <cell r="V1476">
            <v>1746</v>
          </cell>
          <cell r="W1476">
            <v>1865</v>
          </cell>
          <cell r="X1476">
            <v>3698</v>
          </cell>
          <cell r="Y1476">
            <v>3418</v>
          </cell>
          <cell r="Z1476">
            <v>2324</v>
          </cell>
          <cell r="AA1476">
            <v>2990</v>
          </cell>
          <cell r="AB1476">
            <v>2108</v>
          </cell>
          <cell r="AC1476">
            <v>2874</v>
          </cell>
          <cell r="AD1476">
            <v>2462</v>
          </cell>
          <cell r="AE1476">
            <v>2486</v>
          </cell>
          <cell r="AF1476">
            <v>2060</v>
          </cell>
          <cell r="AG1476">
            <v>2161</v>
          </cell>
          <cell r="AH1476">
            <v>3216</v>
          </cell>
          <cell r="AI1476">
            <v>3855</v>
          </cell>
          <cell r="AJ1476">
            <v>3341</v>
          </cell>
        </row>
        <row r="1477">
          <cell r="E1477" t="str">
            <v>KS Commercial Hydrocarbon Gas Liquids</v>
          </cell>
          <cell r="F1477">
            <v>588</v>
          </cell>
          <cell r="G1477">
            <v>649</v>
          </cell>
          <cell r="H1477">
            <v>536</v>
          </cell>
          <cell r="I1477">
            <v>543</v>
          </cell>
          <cell r="J1477">
            <v>524</v>
          </cell>
          <cell r="K1477">
            <v>730</v>
          </cell>
          <cell r="L1477">
            <v>980</v>
          </cell>
          <cell r="M1477">
            <v>1184</v>
          </cell>
          <cell r="N1477">
            <v>1261</v>
          </cell>
          <cell r="O1477">
            <v>1661</v>
          </cell>
          <cell r="P1477">
            <v>1291</v>
          </cell>
          <cell r="Q1477">
            <v>930</v>
          </cell>
          <cell r="R1477">
            <v>1118</v>
          </cell>
          <cell r="S1477">
            <v>1065</v>
          </cell>
          <cell r="T1477">
            <v>1118</v>
          </cell>
          <cell r="U1477">
            <v>1131</v>
          </cell>
          <cell r="V1477">
            <v>530</v>
          </cell>
          <cell r="W1477">
            <v>1026</v>
          </cell>
          <cell r="X1477">
            <v>1773</v>
          </cell>
          <cell r="Y1477">
            <v>1542</v>
          </cell>
          <cell r="Z1477">
            <v>1860</v>
          </cell>
          <cell r="AA1477">
            <v>1209</v>
          </cell>
          <cell r="AB1477">
            <v>833</v>
          </cell>
          <cell r="AC1477">
            <v>1123</v>
          </cell>
          <cell r="AD1477">
            <v>1704</v>
          </cell>
          <cell r="AE1477">
            <v>1510</v>
          </cell>
          <cell r="AF1477">
            <v>1182</v>
          </cell>
          <cell r="AG1477">
            <v>1188</v>
          </cell>
          <cell r="AH1477">
            <v>865</v>
          </cell>
          <cell r="AI1477">
            <v>1328</v>
          </cell>
          <cell r="AJ1477">
            <v>1673</v>
          </cell>
        </row>
        <row r="1478">
          <cell r="E1478" t="str">
            <v>KY Commercial Hydrocarbon Gas Liquids</v>
          </cell>
          <cell r="F1478">
            <v>1138</v>
          </cell>
          <cell r="G1478">
            <v>1342</v>
          </cell>
          <cell r="H1478">
            <v>1264</v>
          </cell>
          <cell r="I1478">
            <v>1464</v>
          </cell>
          <cell r="J1478">
            <v>1416</v>
          </cell>
          <cell r="K1478">
            <v>1409</v>
          </cell>
          <cell r="L1478">
            <v>1891</v>
          </cell>
          <cell r="M1478">
            <v>1882</v>
          </cell>
          <cell r="N1478">
            <v>1427</v>
          </cell>
          <cell r="O1478">
            <v>1744</v>
          </cell>
          <cell r="P1478">
            <v>1730</v>
          </cell>
          <cell r="Q1478">
            <v>1148</v>
          </cell>
          <cell r="R1478">
            <v>1245</v>
          </cell>
          <cell r="S1478">
            <v>1468</v>
          </cell>
          <cell r="T1478">
            <v>1570</v>
          </cell>
          <cell r="U1478">
            <v>1189</v>
          </cell>
          <cell r="V1478">
            <v>1182</v>
          </cell>
          <cell r="W1478">
            <v>932</v>
          </cell>
          <cell r="X1478">
            <v>1911</v>
          </cell>
          <cell r="Y1478">
            <v>1404</v>
          </cell>
          <cell r="Z1478">
            <v>1246</v>
          </cell>
          <cell r="AA1478">
            <v>1947</v>
          </cell>
          <cell r="AB1478">
            <v>1602</v>
          </cell>
          <cell r="AC1478">
            <v>1825</v>
          </cell>
          <cell r="AD1478">
            <v>1455</v>
          </cell>
          <cell r="AE1478">
            <v>1339</v>
          </cell>
          <cell r="AF1478">
            <v>1350</v>
          </cell>
          <cell r="AG1478">
            <v>1500</v>
          </cell>
          <cell r="AH1478">
            <v>1923</v>
          </cell>
          <cell r="AI1478">
            <v>2751</v>
          </cell>
          <cell r="AJ1478">
            <v>1923</v>
          </cell>
        </row>
        <row r="1479">
          <cell r="E1479" t="str">
            <v>LA Commercial Hydrocarbon Gas Liquids</v>
          </cell>
          <cell r="F1479">
            <v>983</v>
          </cell>
          <cell r="G1479">
            <v>1047</v>
          </cell>
          <cell r="H1479">
            <v>1343</v>
          </cell>
          <cell r="I1479">
            <v>904</v>
          </cell>
          <cell r="J1479">
            <v>868</v>
          </cell>
          <cell r="K1479">
            <v>795</v>
          </cell>
          <cell r="L1479">
            <v>1005</v>
          </cell>
          <cell r="M1479">
            <v>1106</v>
          </cell>
          <cell r="N1479">
            <v>1613</v>
          </cell>
          <cell r="O1479">
            <v>2398</v>
          </cell>
          <cell r="P1479">
            <v>2852</v>
          </cell>
          <cell r="Q1479">
            <v>2666</v>
          </cell>
          <cell r="R1479">
            <v>1412</v>
          </cell>
          <cell r="S1479">
            <v>1206</v>
          </cell>
          <cell r="T1479">
            <v>1133</v>
          </cell>
          <cell r="U1479">
            <v>1256</v>
          </cell>
          <cell r="V1479">
            <v>964</v>
          </cell>
          <cell r="W1479">
            <v>851</v>
          </cell>
          <cell r="X1479">
            <v>990</v>
          </cell>
          <cell r="Y1479">
            <v>1063</v>
          </cell>
          <cell r="Z1479">
            <v>961</v>
          </cell>
          <cell r="AA1479">
            <v>963</v>
          </cell>
          <cell r="AB1479">
            <v>834</v>
          </cell>
          <cell r="AC1479">
            <v>863</v>
          </cell>
          <cell r="AD1479">
            <v>949</v>
          </cell>
          <cell r="AE1479">
            <v>787</v>
          </cell>
          <cell r="AF1479">
            <v>1010</v>
          </cell>
          <cell r="AG1479">
            <v>1331</v>
          </cell>
          <cell r="AH1479">
            <v>1107</v>
          </cell>
          <cell r="AI1479">
            <v>1401</v>
          </cell>
          <cell r="AJ1479">
            <v>1517</v>
          </cell>
        </row>
        <row r="1480">
          <cell r="E1480" t="str">
            <v>MA Commercial Hydrocarbon Gas Liquids</v>
          </cell>
          <cell r="F1480">
            <v>1755</v>
          </cell>
          <cell r="G1480">
            <v>1588</v>
          </cell>
          <cell r="H1480">
            <v>1575</v>
          </cell>
          <cell r="I1480">
            <v>1736</v>
          </cell>
          <cell r="J1480">
            <v>1795</v>
          </cell>
          <cell r="K1480">
            <v>1875</v>
          </cell>
          <cell r="L1480">
            <v>2223</v>
          </cell>
          <cell r="M1480">
            <v>2086</v>
          </cell>
          <cell r="N1480">
            <v>1910</v>
          </cell>
          <cell r="O1480">
            <v>1967</v>
          </cell>
          <cell r="P1480">
            <v>2434</v>
          </cell>
          <cell r="Q1480">
            <v>2208</v>
          </cell>
          <cell r="R1480">
            <v>1787</v>
          </cell>
          <cell r="S1480">
            <v>2823</v>
          </cell>
          <cell r="T1480">
            <v>1810</v>
          </cell>
          <cell r="U1480">
            <v>2944</v>
          </cell>
          <cell r="V1480">
            <v>2789</v>
          </cell>
          <cell r="W1480">
            <v>2485</v>
          </cell>
          <cell r="X1480">
            <v>2882</v>
          </cell>
          <cell r="Y1480">
            <v>2485</v>
          </cell>
          <cell r="Z1480">
            <v>2235</v>
          </cell>
          <cell r="AA1480">
            <v>2478</v>
          </cell>
          <cell r="AB1480">
            <v>2265</v>
          </cell>
          <cell r="AC1480">
            <v>2800</v>
          </cell>
          <cell r="AD1480">
            <v>3080</v>
          </cell>
          <cell r="AE1480">
            <v>2826</v>
          </cell>
          <cell r="AF1480">
            <v>2153</v>
          </cell>
          <cell r="AG1480">
            <v>2161</v>
          </cell>
          <cell r="AH1480">
            <v>3427</v>
          </cell>
          <cell r="AI1480">
            <v>3043</v>
          </cell>
          <cell r="AJ1480">
            <v>3634</v>
          </cell>
        </row>
        <row r="1481">
          <cell r="E1481" t="str">
            <v>MD Commercial Hydrocarbon Gas Liquids</v>
          </cell>
          <cell r="F1481">
            <v>1539</v>
          </cell>
          <cell r="G1481">
            <v>1718</v>
          </cell>
          <cell r="H1481">
            <v>1931</v>
          </cell>
          <cell r="I1481">
            <v>1986</v>
          </cell>
          <cell r="J1481">
            <v>2025</v>
          </cell>
          <cell r="K1481">
            <v>2330</v>
          </cell>
          <cell r="L1481">
            <v>2620</v>
          </cell>
          <cell r="M1481">
            <v>2813</v>
          </cell>
          <cell r="N1481">
            <v>2566</v>
          </cell>
          <cell r="O1481">
            <v>2350</v>
          </cell>
          <cell r="P1481">
            <v>1904</v>
          </cell>
          <cell r="Q1481">
            <v>2290</v>
          </cell>
          <cell r="R1481">
            <v>2385</v>
          </cell>
          <cell r="S1481">
            <v>3345</v>
          </cell>
          <cell r="T1481">
            <v>2910</v>
          </cell>
          <cell r="U1481">
            <v>2785</v>
          </cell>
          <cell r="V1481">
            <v>2924</v>
          </cell>
          <cell r="W1481">
            <v>2259</v>
          </cell>
          <cell r="X1481">
            <v>3231</v>
          </cell>
          <cell r="Y1481">
            <v>3041</v>
          </cell>
          <cell r="Z1481">
            <v>3345</v>
          </cell>
          <cell r="AA1481">
            <v>3182</v>
          </cell>
          <cell r="AB1481">
            <v>2584</v>
          </cell>
          <cell r="AC1481">
            <v>2718</v>
          </cell>
          <cell r="AD1481">
            <v>2795</v>
          </cell>
          <cell r="AE1481">
            <v>2542</v>
          </cell>
          <cell r="AF1481">
            <v>2566</v>
          </cell>
          <cell r="AG1481">
            <v>3078</v>
          </cell>
          <cell r="AH1481">
            <v>2631</v>
          </cell>
          <cell r="AI1481">
            <v>3469</v>
          </cell>
          <cell r="AJ1481">
            <v>2724</v>
          </cell>
        </row>
        <row r="1482">
          <cell r="E1482" t="str">
            <v>ME Commercial Hydrocarbon Gas Liquids</v>
          </cell>
          <cell r="F1482">
            <v>1958</v>
          </cell>
          <cell r="G1482">
            <v>2130</v>
          </cell>
          <cell r="H1482">
            <v>1739</v>
          </cell>
          <cell r="I1482">
            <v>2159</v>
          </cell>
          <cell r="J1482">
            <v>2234</v>
          </cell>
          <cell r="K1482">
            <v>2542</v>
          </cell>
          <cell r="L1482">
            <v>2983</v>
          </cell>
          <cell r="M1482">
            <v>2204</v>
          </cell>
          <cell r="N1482">
            <v>2437</v>
          </cell>
          <cell r="O1482">
            <v>2151</v>
          </cell>
          <cell r="P1482">
            <v>2373</v>
          </cell>
          <cell r="Q1482">
            <v>2914</v>
          </cell>
          <cell r="R1482">
            <v>1790</v>
          </cell>
          <cell r="S1482">
            <v>3090</v>
          </cell>
          <cell r="T1482">
            <v>2108</v>
          </cell>
          <cell r="U1482">
            <v>4070</v>
          </cell>
          <cell r="V1482">
            <v>3434</v>
          </cell>
          <cell r="W1482">
            <v>5232</v>
          </cell>
          <cell r="X1482">
            <v>5252</v>
          </cell>
          <cell r="Y1482">
            <v>6159</v>
          </cell>
          <cell r="Z1482">
            <v>4610</v>
          </cell>
          <cell r="AA1482">
            <v>5503</v>
          </cell>
          <cell r="AB1482">
            <v>5566</v>
          </cell>
          <cell r="AC1482">
            <v>7099</v>
          </cell>
          <cell r="AD1482">
            <v>6759</v>
          </cell>
          <cell r="AE1482">
            <v>6952</v>
          </cell>
          <cell r="AF1482">
            <v>6531</v>
          </cell>
          <cell r="AG1482">
            <v>7080</v>
          </cell>
          <cell r="AH1482">
            <v>6949</v>
          </cell>
          <cell r="AI1482">
            <v>6668</v>
          </cell>
          <cell r="AJ1482">
            <v>6111</v>
          </cell>
        </row>
        <row r="1483">
          <cell r="E1483" t="str">
            <v>MI Commercial Hydrocarbon Gas Liquids</v>
          </cell>
          <cell r="F1483">
            <v>2482</v>
          </cell>
          <cell r="G1483">
            <v>2751</v>
          </cell>
          <cell r="H1483">
            <v>2783</v>
          </cell>
          <cell r="I1483">
            <v>3027</v>
          </cell>
          <cell r="J1483">
            <v>2997</v>
          </cell>
          <cell r="K1483">
            <v>3042</v>
          </cell>
          <cell r="L1483">
            <v>4084</v>
          </cell>
          <cell r="M1483">
            <v>3859</v>
          </cell>
          <cell r="N1483">
            <v>3606</v>
          </cell>
          <cell r="O1483">
            <v>4086</v>
          </cell>
          <cell r="P1483">
            <v>4206</v>
          </cell>
          <cell r="Q1483">
            <v>5256</v>
          </cell>
          <cell r="R1483">
            <v>5614</v>
          </cell>
          <cell r="S1483">
            <v>6076</v>
          </cell>
          <cell r="T1483">
            <v>5943</v>
          </cell>
          <cell r="U1483">
            <v>3584</v>
          </cell>
          <cell r="V1483">
            <v>3515</v>
          </cell>
          <cell r="W1483">
            <v>3498</v>
          </cell>
          <cell r="X1483">
            <v>3833</v>
          </cell>
          <cell r="Y1483">
            <v>2650</v>
          </cell>
          <cell r="Z1483">
            <v>2638</v>
          </cell>
          <cell r="AA1483">
            <v>2510</v>
          </cell>
          <cell r="AB1483">
            <v>2886</v>
          </cell>
          <cell r="AC1483">
            <v>3622</v>
          </cell>
          <cell r="AD1483">
            <v>3568</v>
          </cell>
          <cell r="AE1483">
            <v>2812</v>
          </cell>
          <cell r="AF1483">
            <v>3646</v>
          </cell>
          <cell r="AG1483">
            <v>4110</v>
          </cell>
          <cell r="AH1483">
            <v>4411</v>
          </cell>
          <cell r="AI1483">
            <v>4358</v>
          </cell>
          <cell r="AJ1483">
            <v>6855</v>
          </cell>
        </row>
        <row r="1484">
          <cell r="E1484" t="str">
            <v>MN Commercial Hydrocarbon Gas Liquids</v>
          </cell>
          <cell r="F1484">
            <v>1683</v>
          </cell>
          <cell r="G1484">
            <v>1828</v>
          </cell>
          <cell r="H1484">
            <v>2043</v>
          </cell>
          <cell r="I1484">
            <v>2513</v>
          </cell>
          <cell r="J1484">
            <v>2471</v>
          </cell>
          <cell r="K1484">
            <v>2552</v>
          </cell>
          <cell r="L1484">
            <v>3426</v>
          </cell>
          <cell r="M1484">
            <v>3243</v>
          </cell>
          <cell r="N1484">
            <v>2254</v>
          </cell>
          <cell r="O1484">
            <v>2785</v>
          </cell>
          <cell r="P1484">
            <v>3120</v>
          </cell>
          <cell r="Q1484">
            <v>2732</v>
          </cell>
          <cell r="R1484">
            <v>2629</v>
          </cell>
          <cell r="S1484">
            <v>3710</v>
          </cell>
          <cell r="T1484">
            <v>2866</v>
          </cell>
          <cell r="U1484">
            <v>2722</v>
          </cell>
          <cell r="V1484">
            <v>2612</v>
          </cell>
          <cell r="W1484">
            <v>2230</v>
          </cell>
          <cell r="X1484">
            <v>3682</v>
          </cell>
          <cell r="Y1484">
            <v>3031</v>
          </cell>
          <cell r="Z1484">
            <v>2575</v>
          </cell>
          <cell r="AA1484">
            <v>2983</v>
          </cell>
          <cell r="AB1484">
            <v>2603</v>
          </cell>
          <cell r="AC1484">
            <v>3633</v>
          </cell>
          <cell r="AD1484">
            <v>4129</v>
          </cell>
          <cell r="AE1484">
            <v>3794</v>
          </cell>
          <cell r="AF1484">
            <v>4335</v>
          </cell>
          <cell r="AG1484">
            <v>5094</v>
          </cell>
          <cell r="AH1484">
            <v>6232</v>
          </cell>
          <cell r="AI1484">
            <v>5532</v>
          </cell>
          <cell r="AJ1484">
            <v>5834</v>
          </cell>
        </row>
        <row r="1485">
          <cell r="E1485" t="str">
            <v>MO Commercial Hydrocarbon Gas Liquids</v>
          </cell>
          <cell r="F1485">
            <v>3828</v>
          </cell>
          <cell r="G1485">
            <v>5010</v>
          </cell>
          <cell r="H1485">
            <v>5061</v>
          </cell>
          <cell r="I1485">
            <v>5352</v>
          </cell>
          <cell r="J1485">
            <v>5268</v>
          </cell>
          <cell r="K1485">
            <v>5331</v>
          </cell>
          <cell r="L1485">
            <v>7156</v>
          </cell>
          <cell r="M1485">
            <v>6525</v>
          </cell>
          <cell r="N1485">
            <v>4660</v>
          </cell>
          <cell r="O1485">
            <v>6251</v>
          </cell>
          <cell r="P1485">
            <v>5464</v>
          </cell>
          <cell r="Q1485">
            <v>8210</v>
          </cell>
          <cell r="R1485">
            <v>6196</v>
          </cell>
          <cell r="S1485">
            <v>5950</v>
          </cell>
          <cell r="T1485">
            <v>5887</v>
          </cell>
          <cell r="U1485">
            <v>3238</v>
          </cell>
          <cell r="V1485">
            <v>4181</v>
          </cell>
          <cell r="W1485">
            <v>3982</v>
          </cell>
          <cell r="X1485">
            <v>6584</v>
          </cell>
          <cell r="Y1485">
            <v>4459</v>
          </cell>
          <cell r="Z1485">
            <v>3633</v>
          </cell>
          <cell r="AA1485">
            <v>3313</v>
          </cell>
          <cell r="AB1485">
            <v>3326</v>
          </cell>
          <cell r="AC1485">
            <v>4007</v>
          </cell>
          <cell r="AD1485">
            <v>4579</v>
          </cell>
          <cell r="AE1485">
            <v>3628</v>
          </cell>
          <cell r="AF1485">
            <v>3160</v>
          </cell>
          <cell r="AG1485">
            <v>3917</v>
          </cell>
          <cell r="AH1485">
            <v>5093</v>
          </cell>
          <cell r="AI1485">
            <v>4309</v>
          </cell>
          <cell r="AJ1485">
            <v>5706</v>
          </cell>
        </row>
        <row r="1486">
          <cell r="E1486" t="str">
            <v>MS Commercial Hydrocarbon Gas Liquids</v>
          </cell>
          <cell r="F1486">
            <v>2350</v>
          </cell>
          <cell r="G1486">
            <v>2028</v>
          </cell>
          <cell r="H1486">
            <v>1899</v>
          </cell>
          <cell r="I1486">
            <v>2396</v>
          </cell>
          <cell r="J1486">
            <v>2352</v>
          </cell>
          <cell r="K1486">
            <v>2119</v>
          </cell>
          <cell r="L1486">
            <v>2610</v>
          </cell>
          <cell r="M1486">
            <v>2439</v>
          </cell>
          <cell r="N1486">
            <v>2314</v>
          </cell>
          <cell r="O1486">
            <v>2536</v>
          </cell>
          <cell r="P1486">
            <v>4354</v>
          </cell>
          <cell r="Q1486">
            <v>4509</v>
          </cell>
          <cell r="R1486">
            <v>3204</v>
          </cell>
          <cell r="S1486">
            <v>2857</v>
          </cell>
          <cell r="T1486">
            <v>2445</v>
          </cell>
          <cell r="U1486">
            <v>1802</v>
          </cell>
          <cell r="V1486">
            <v>2210</v>
          </cell>
          <cell r="W1486">
            <v>1974</v>
          </cell>
          <cell r="X1486">
            <v>2136</v>
          </cell>
          <cell r="Y1486">
            <v>2205</v>
          </cell>
          <cell r="Z1486">
            <v>2145</v>
          </cell>
          <cell r="AA1486">
            <v>2103</v>
          </cell>
          <cell r="AB1486">
            <v>1845</v>
          </cell>
          <cell r="AC1486">
            <v>2178</v>
          </cell>
          <cell r="AD1486">
            <v>2205</v>
          </cell>
          <cell r="AE1486">
            <v>1931</v>
          </cell>
          <cell r="AF1486">
            <v>1875</v>
          </cell>
          <cell r="AG1486">
            <v>1835</v>
          </cell>
          <cell r="AH1486">
            <v>1412</v>
          </cell>
          <cell r="AI1486">
            <v>1647</v>
          </cell>
          <cell r="AJ1486">
            <v>2033</v>
          </cell>
        </row>
        <row r="1487">
          <cell r="E1487" t="str">
            <v>MT Commercial Hydrocarbon Gas Liquids</v>
          </cell>
          <cell r="F1487">
            <v>661</v>
          </cell>
          <cell r="G1487">
            <v>572</v>
          </cell>
          <cell r="H1487">
            <v>486</v>
          </cell>
          <cell r="I1487">
            <v>446</v>
          </cell>
          <cell r="J1487">
            <v>440</v>
          </cell>
          <cell r="K1487">
            <v>385</v>
          </cell>
          <cell r="L1487">
            <v>422</v>
          </cell>
          <cell r="M1487">
            <v>123</v>
          </cell>
          <cell r="N1487">
            <v>70</v>
          </cell>
          <cell r="O1487">
            <v>279</v>
          </cell>
          <cell r="P1487">
            <v>750</v>
          </cell>
          <cell r="Q1487">
            <v>764</v>
          </cell>
          <cell r="R1487">
            <v>783</v>
          </cell>
          <cell r="S1487">
            <v>2027</v>
          </cell>
          <cell r="T1487">
            <v>1272</v>
          </cell>
          <cell r="U1487">
            <v>1591</v>
          </cell>
          <cell r="V1487">
            <v>1320</v>
          </cell>
          <cell r="W1487">
            <v>1213</v>
          </cell>
          <cell r="X1487">
            <v>1644</v>
          </cell>
          <cell r="Y1487">
            <v>704</v>
          </cell>
          <cell r="Z1487">
            <v>1118</v>
          </cell>
          <cell r="AA1487">
            <v>1162</v>
          </cell>
          <cell r="AB1487">
            <v>1442</v>
          </cell>
          <cell r="AC1487">
            <v>1189</v>
          </cell>
          <cell r="AD1487">
            <v>1517</v>
          </cell>
          <cell r="AE1487">
            <v>1487</v>
          </cell>
          <cell r="AF1487">
            <v>1619</v>
          </cell>
          <cell r="AG1487">
            <v>1380</v>
          </cell>
          <cell r="AH1487">
            <v>2321</v>
          </cell>
          <cell r="AI1487">
            <v>1666</v>
          </cell>
          <cell r="AJ1487">
            <v>2032</v>
          </cell>
        </row>
        <row r="1488">
          <cell r="E1488" t="str">
            <v>NC Commercial Hydrocarbon Gas Liquids</v>
          </cell>
          <cell r="F1488">
            <v>5315</v>
          </cell>
          <cell r="G1488">
            <v>5952</v>
          </cell>
          <cell r="H1488">
            <v>6682</v>
          </cell>
          <cell r="I1488">
            <v>6899</v>
          </cell>
          <cell r="J1488">
            <v>6919</v>
          </cell>
          <cell r="K1488">
            <v>7269</v>
          </cell>
          <cell r="L1488">
            <v>8321</v>
          </cell>
          <cell r="M1488">
            <v>8282</v>
          </cell>
          <cell r="N1488">
            <v>7901</v>
          </cell>
          <cell r="O1488">
            <v>7990</v>
          </cell>
          <cell r="P1488">
            <v>8643</v>
          </cell>
          <cell r="Q1488">
            <v>8895</v>
          </cell>
          <cell r="R1488">
            <v>8289</v>
          </cell>
          <cell r="S1488">
            <v>9147</v>
          </cell>
          <cell r="T1488">
            <v>9458</v>
          </cell>
          <cell r="U1488">
            <v>7464</v>
          </cell>
          <cell r="V1488">
            <v>7300</v>
          </cell>
          <cell r="W1488">
            <v>7450</v>
          </cell>
          <cell r="X1488">
            <v>9842</v>
          </cell>
          <cell r="Y1488">
            <v>7572</v>
          </cell>
          <cell r="Z1488">
            <v>8037</v>
          </cell>
          <cell r="AA1488">
            <v>7053</v>
          </cell>
          <cell r="AB1488">
            <v>6890</v>
          </cell>
          <cell r="AC1488">
            <v>6842</v>
          </cell>
          <cell r="AD1488">
            <v>8556</v>
          </cell>
          <cell r="AE1488">
            <v>7738</v>
          </cell>
          <cell r="AF1488">
            <v>6678</v>
          </cell>
          <cell r="AG1488">
            <v>8185</v>
          </cell>
          <cell r="AH1488">
            <v>7745</v>
          </cell>
          <cell r="AI1488">
            <v>6886</v>
          </cell>
          <cell r="AJ1488">
            <v>9036</v>
          </cell>
        </row>
        <row r="1489">
          <cell r="E1489" t="str">
            <v>ND Commercial Hydrocarbon Gas Liquids</v>
          </cell>
          <cell r="F1489">
            <v>484</v>
          </cell>
          <cell r="G1489">
            <v>723</v>
          </cell>
          <cell r="H1489">
            <v>801</v>
          </cell>
          <cell r="I1489">
            <v>565</v>
          </cell>
          <cell r="J1489">
            <v>514</v>
          </cell>
          <cell r="K1489">
            <v>574</v>
          </cell>
          <cell r="L1489">
            <v>700</v>
          </cell>
          <cell r="M1489">
            <v>1126</v>
          </cell>
          <cell r="N1489">
            <v>806</v>
          </cell>
          <cell r="O1489">
            <v>1067</v>
          </cell>
          <cell r="P1489">
            <v>1301</v>
          </cell>
          <cell r="Q1489">
            <v>1487</v>
          </cell>
          <cell r="R1489">
            <v>1334</v>
          </cell>
          <cell r="S1489">
            <v>812</v>
          </cell>
          <cell r="T1489">
            <v>735</v>
          </cell>
          <cell r="U1489">
            <v>1316</v>
          </cell>
          <cell r="V1489">
            <v>1265</v>
          </cell>
          <cell r="W1489">
            <v>1403</v>
          </cell>
          <cell r="X1489">
            <v>1874</v>
          </cell>
          <cell r="Y1489">
            <v>1607</v>
          </cell>
          <cell r="Z1489">
            <v>1061</v>
          </cell>
          <cell r="AA1489">
            <v>1548</v>
          </cell>
          <cell r="AB1489">
            <v>1777</v>
          </cell>
          <cell r="AC1489">
            <v>3204</v>
          </cell>
          <cell r="AD1489">
            <v>2016</v>
          </cell>
          <cell r="AE1489">
            <v>2294</v>
          </cell>
          <cell r="AF1489">
            <v>2384</v>
          </cell>
          <cell r="AG1489">
            <v>2408</v>
          </cell>
          <cell r="AH1489">
            <v>1352</v>
          </cell>
          <cell r="AI1489">
            <v>2171</v>
          </cell>
          <cell r="AJ1489">
            <v>4393</v>
          </cell>
        </row>
        <row r="1490">
          <cell r="E1490" t="str">
            <v>NE Commercial Hydrocarbon Gas Liquids</v>
          </cell>
          <cell r="F1490">
            <v>318</v>
          </cell>
          <cell r="G1490">
            <v>399</v>
          </cell>
          <cell r="H1490">
            <v>405</v>
          </cell>
          <cell r="I1490">
            <v>381</v>
          </cell>
          <cell r="J1490">
            <v>355</v>
          </cell>
          <cell r="K1490">
            <v>382</v>
          </cell>
          <cell r="L1490">
            <v>512</v>
          </cell>
          <cell r="M1490">
            <v>411</v>
          </cell>
          <cell r="N1490">
            <v>545</v>
          </cell>
          <cell r="O1490">
            <v>557</v>
          </cell>
          <cell r="P1490">
            <v>567</v>
          </cell>
          <cell r="Q1490">
            <v>530</v>
          </cell>
          <cell r="R1490">
            <v>642</v>
          </cell>
          <cell r="S1490">
            <v>1010</v>
          </cell>
          <cell r="T1490">
            <v>548</v>
          </cell>
          <cell r="U1490">
            <v>584</v>
          </cell>
          <cell r="V1490">
            <v>258</v>
          </cell>
          <cell r="W1490">
            <v>505</v>
          </cell>
          <cell r="X1490">
            <v>504</v>
          </cell>
          <cell r="Y1490">
            <v>428</v>
          </cell>
          <cell r="Z1490">
            <v>690</v>
          </cell>
          <cell r="AA1490">
            <v>541</v>
          </cell>
          <cell r="AB1490">
            <v>536</v>
          </cell>
          <cell r="AC1490">
            <v>872</v>
          </cell>
          <cell r="AD1490">
            <v>735</v>
          </cell>
          <cell r="AE1490">
            <v>567</v>
          </cell>
          <cell r="AF1490">
            <v>427</v>
          </cell>
          <cell r="AG1490">
            <v>459</v>
          </cell>
          <cell r="AH1490">
            <v>864</v>
          </cell>
          <cell r="AI1490">
            <v>988</v>
          </cell>
          <cell r="AJ1490">
            <v>1728</v>
          </cell>
        </row>
        <row r="1491">
          <cell r="E1491" t="str">
            <v>NH Commercial Hydrocarbon Gas Liquids</v>
          </cell>
          <cell r="F1491">
            <v>1945</v>
          </cell>
          <cell r="G1491">
            <v>1649</v>
          </cell>
          <cell r="H1491">
            <v>1725</v>
          </cell>
          <cell r="I1491">
            <v>1986</v>
          </cell>
          <cell r="J1491">
            <v>2057</v>
          </cell>
          <cell r="K1491">
            <v>2231</v>
          </cell>
          <cell r="L1491">
            <v>2462</v>
          </cell>
          <cell r="M1491">
            <v>2157</v>
          </cell>
          <cell r="N1491">
            <v>2420</v>
          </cell>
          <cell r="O1491">
            <v>2524</v>
          </cell>
          <cell r="P1491">
            <v>2414</v>
          </cell>
          <cell r="Q1491">
            <v>2375</v>
          </cell>
          <cell r="R1491">
            <v>2380</v>
          </cell>
          <cell r="S1491">
            <v>3740</v>
          </cell>
          <cell r="T1491">
            <v>2883</v>
          </cell>
          <cell r="U1491">
            <v>2574</v>
          </cell>
          <cell r="V1491">
            <v>2649</v>
          </cell>
          <cell r="W1491">
            <v>3174</v>
          </cell>
          <cell r="X1491">
            <v>4403</v>
          </cell>
          <cell r="Y1491">
            <v>3251</v>
          </cell>
          <cell r="Z1491">
            <v>3314</v>
          </cell>
          <cell r="AA1491">
            <v>4218</v>
          </cell>
          <cell r="AB1491">
            <v>5882</v>
          </cell>
          <cell r="AC1491">
            <v>5897</v>
          </cell>
          <cell r="AD1491">
            <v>6954</v>
          </cell>
          <cell r="AE1491">
            <v>6382</v>
          </cell>
          <cell r="AF1491">
            <v>5788</v>
          </cell>
          <cell r="AG1491">
            <v>4401</v>
          </cell>
          <cell r="AH1491">
            <v>5663</v>
          </cell>
          <cell r="AI1491">
            <v>5539</v>
          </cell>
          <cell r="AJ1491">
            <v>5107</v>
          </cell>
        </row>
        <row r="1492">
          <cell r="E1492" t="str">
            <v>NJ Commercial Hydrocarbon Gas Liquids</v>
          </cell>
          <cell r="F1492">
            <v>975</v>
          </cell>
          <cell r="G1492">
            <v>1201</v>
          </cell>
          <cell r="H1492">
            <v>1428</v>
          </cell>
          <cell r="I1492">
            <v>1509</v>
          </cell>
          <cell r="J1492">
            <v>1414</v>
          </cell>
          <cell r="K1492">
            <v>1679</v>
          </cell>
          <cell r="L1492">
            <v>1827</v>
          </cell>
          <cell r="M1492">
            <v>1511</v>
          </cell>
          <cell r="N1492">
            <v>1904</v>
          </cell>
          <cell r="O1492">
            <v>2034</v>
          </cell>
          <cell r="P1492">
            <v>2140</v>
          </cell>
          <cell r="Q1492">
            <v>2162</v>
          </cell>
          <cell r="R1492">
            <v>1716</v>
          </cell>
          <cell r="S1492">
            <v>2470</v>
          </cell>
          <cell r="T1492">
            <v>2107</v>
          </cell>
          <cell r="U1492">
            <v>1508</v>
          </cell>
          <cell r="V1492">
            <v>1257</v>
          </cell>
          <cell r="W1492">
            <v>1652</v>
          </cell>
          <cell r="X1492">
            <v>1500</v>
          </cell>
          <cell r="Y1492">
            <v>1417</v>
          </cell>
          <cell r="Z1492">
            <v>1796</v>
          </cell>
          <cell r="AA1492">
            <v>1673</v>
          </cell>
          <cell r="AB1492">
            <v>1363</v>
          </cell>
          <cell r="AC1492">
            <v>1586</v>
          </cell>
          <cell r="AD1492">
            <v>1464</v>
          </cell>
          <cell r="AE1492">
            <v>1209</v>
          </cell>
          <cell r="AF1492">
            <v>1314</v>
          </cell>
          <cell r="AG1492">
            <v>1111</v>
          </cell>
          <cell r="AH1492">
            <v>1340</v>
          </cell>
          <cell r="AI1492">
            <v>1106</v>
          </cell>
          <cell r="AJ1492">
            <v>1648</v>
          </cell>
        </row>
        <row r="1493">
          <cell r="E1493" t="str">
            <v>NM Commercial Hydrocarbon Gas Liquids</v>
          </cell>
          <cell r="F1493">
            <v>1472</v>
          </cell>
          <cell r="G1493">
            <v>1165</v>
          </cell>
          <cell r="H1493">
            <v>946</v>
          </cell>
          <cell r="I1493">
            <v>698</v>
          </cell>
          <cell r="J1493">
            <v>667</v>
          </cell>
          <cell r="K1493">
            <v>743</v>
          </cell>
          <cell r="L1493">
            <v>736</v>
          </cell>
          <cell r="M1493">
            <v>937</v>
          </cell>
          <cell r="N1493">
            <v>1374</v>
          </cell>
          <cell r="O1493">
            <v>1765</v>
          </cell>
          <cell r="P1493">
            <v>1761</v>
          </cell>
          <cell r="Q1493">
            <v>2974</v>
          </cell>
          <cell r="R1493">
            <v>2369</v>
          </cell>
          <cell r="S1493">
            <v>1649</v>
          </cell>
          <cell r="T1493">
            <v>1842</v>
          </cell>
          <cell r="U1493">
            <v>1524</v>
          </cell>
          <cell r="V1493">
            <v>2147</v>
          </cell>
          <cell r="W1493">
            <v>1552</v>
          </cell>
          <cell r="X1493">
            <v>1618</v>
          </cell>
          <cell r="Y1493">
            <v>1297</v>
          </cell>
          <cell r="Z1493">
            <v>1491</v>
          </cell>
          <cell r="AA1493">
            <v>1258</v>
          </cell>
          <cell r="AB1493">
            <v>1566</v>
          </cell>
          <cell r="AC1493">
            <v>1419</v>
          </cell>
          <cell r="AD1493">
            <v>1454</v>
          </cell>
          <cell r="AE1493">
            <v>1149</v>
          </cell>
          <cell r="AF1493">
            <v>1136</v>
          </cell>
          <cell r="AG1493">
            <v>1209</v>
          </cell>
          <cell r="AH1493">
            <v>1601</v>
          </cell>
          <cell r="AI1493">
            <v>1866</v>
          </cell>
          <cell r="AJ1493">
            <v>1404</v>
          </cell>
        </row>
        <row r="1494">
          <cell r="E1494" t="str">
            <v>NV Commercial Hydrocarbon Gas Liquids</v>
          </cell>
          <cell r="F1494">
            <v>1126</v>
          </cell>
          <cell r="G1494">
            <v>1011</v>
          </cell>
          <cell r="H1494">
            <v>872</v>
          </cell>
          <cell r="I1494">
            <v>858</v>
          </cell>
          <cell r="J1494">
            <v>885</v>
          </cell>
          <cell r="K1494">
            <v>701</v>
          </cell>
          <cell r="L1494">
            <v>757</v>
          </cell>
          <cell r="M1494">
            <v>804</v>
          </cell>
          <cell r="N1494">
            <v>847</v>
          </cell>
          <cell r="O1494">
            <v>1232</v>
          </cell>
          <cell r="P1494">
            <v>750</v>
          </cell>
          <cell r="Q1494">
            <v>715</v>
          </cell>
          <cell r="R1494">
            <v>1041</v>
          </cell>
          <cell r="S1494">
            <v>424</v>
          </cell>
          <cell r="T1494">
            <v>341</v>
          </cell>
          <cell r="U1494">
            <v>1156</v>
          </cell>
          <cell r="V1494">
            <v>927</v>
          </cell>
          <cell r="W1494">
            <v>955</v>
          </cell>
          <cell r="X1494">
            <v>1071</v>
          </cell>
          <cell r="Y1494">
            <v>897</v>
          </cell>
          <cell r="Z1494">
            <v>749</v>
          </cell>
          <cell r="AA1494">
            <v>638</v>
          </cell>
          <cell r="AB1494">
            <v>1151</v>
          </cell>
          <cell r="AC1494">
            <v>1157</v>
          </cell>
          <cell r="AD1494">
            <v>1027</v>
          </cell>
          <cell r="AE1494">
            <v>1364</v>
          </cell>
          <cell r="AF1494">
            <v>881</v>
          </cell>
          <cell r="AG1494">
            <v>1169</v>
          </cell>
          <cell r="AH1494">
            <v>1227</v>
          </cell>
          <cell r="AI1494">
            <v>1459</v>
          </cell>
          <cell r="AJ1494">
            <v>1236</v>
          </cell>
        </row>
        <row r="1495">
          <cell r="E1495" t="str">
            <v>NY Commercial Hydrocarbon Gas Liquids</v>
          </cell>
          <cell r="F1495">
            <v>4074</v>
          </cell>
          <cell r="G1495">
            <v>5044</v>
          </cell>
          <cell r="H1495">
            <v>4958</v>
          </cell>
          <cell r="I1495">
            <v>4287</v>
          </cell>
          <cell r="J1495">
            <v>4344</v>
          </cell>
          <cell r="K1495">
            <v>4510</v>
          </cell>
          <cell r="L1495">
            <v>4930</v>
          </cell>
          <cell r="M1495">
            <v>4373</v>
          </cell>
          <cell r="N1495">
            <v>4317</v>
          </cell>
          <cell r="O1495">
            <v>4685</v>
          </cell>
          <cell r="P1495">
            <v>6203</v>
          </cell>
          <cell r="Q1495">
            <v>4692</v>
          </cell>
          <cell r="R1495">
            <v>5434</v>
          </cell>
          <cell r="S1495">
            <v>5407</v>
          </cell>
          <cell r="T1495">
            <v>7272</v>
          </cell>
          <cell r="U1495">
            <v>4254</v>
          </cell>
          <cell r="V1495">
            <v>4396</v>
          </cell>
          <cell r="W1495">
            <v>4901</v>
          </cell>
          <cell r="X1495">
            <v>6302</v>
          </cell>
          <cell r="Y1495">
            <v>6624</v>
          </cell>
          <cell r="Z1495">
            <v>6598</v>
          </cell>
          <cell r="AA1495">
            <v>6903</v>
          </cell>
          <cell r="AB1495">
            <v>5983</v>
          </cell>
          <cell r="AC1495">
            <v>6505</v>
          </cell>
          <cell r="AD1495">
            <v>6823</v>
          </cell>
          <cell r="AE1495">
            <v>7267</v>
          </cell>
          <cell r="AF1495">
            <v>7915</v>
          </cell>
          <cell r="AG1495">
            <v>7770</v>
          </cell>
          <cell r="AH1495">
            <v>8136</v>
          </cell>
          <cell r="AI1495">
            <v>8449</v>
          </cell>
          <cell r="AJ1495">
            <v>9496</v>
          </cell>
        </row>
        <row r="1496">
          <cell r="E1496" t="str">
            <v>OH Commercial Hydrocarbon Gas Liquids</v>
          </cell>
          <cell r="F1496">
            <v>3078</v>
          </cell>
          <cell r="G1496">
            <v>3258</v>
          </cell>
          <cell r="H1496">
            <v>2918</v>
          </cell>
          <cell r="I1496">
            <v>3456</v>
          </cell>
          <cell r="J1496">
            <v>3384</v>
          </cell>
          <cell r="K1496">
            <v>3645</v>
          </cell>
          <cell r="L1496">
            <v>4892</v>
          </cell>
          <cell r="M1496">
            <v>4734</v>
          </cell>
          <cell r="N1496">
            <v>4095</v>
          </cell>
          <cell r="O1496">
            <v>5478</v>
          </cell>
          <cell r="P1496">
            <v>4735</v>
          </cell>
          <cell r="Q1496">
            <v>3156</v>
          </cell>
          <cell r="R1496">
            <v>3853</v>
          </cell>
          <cell r="S1496">
            <v>4605</v>
          </cell>
          <cell r="T1496">
            <v>4010</v>
          </cell>
          <cell r="U1496">
            <v>4132</v>
          </cell>
          <cell r="V1496">
            <v>2652</v>
          </cell>
          <cell r="W1496">
            <v>3685</v>
          </cell>
          <cell r="X1496">
            <v>4049</v>
          </cell>
          <cell r="Y1496">
            <v>4177</v>
          </cell>
          <cell r="Z1496">
            <v>3848</v>
          </cell>
          <cell r="AA1496">
            <v>3872</v>
          </cell>
          <cell r="AB1496">
            <v>2885</v>
          </cell>
          <cell r="AC1496">
            <v>3578</v>
          </cell>
          <cell r="AD1496">
            <v>3729</v>
          </cell>
          <cell r="AE1496">
            <v>3186</v>
          </cell>
          <cell r="AF1496">
            <v>3610</v>
          </cell>
          <cell r="AG1496">
            <v>3832</v>
          </cell>
          <cell r="AH1496">
            <v>4308</v>
          </cell>
          <cell r="AI1496">
            <v>4758</v>
          </cell>
          <cell r="AJ1496">
            <v>5751</v>
          </cell>
        </row>
        <row r="1497">
          <cell r="E1497" t="str">
            <v>OK Commercial Hydrocarbon Gas Liquids</v>
          </cell>
          <cell r="F1497">
            <v>909</v>
          </cell>
          <cell r="G1497">
            <v>980</v>
          </cell>
          <cell r="H1497">
            <v>794</v>
          </cell>
          <cell r="I1497">
            <v>918</v>
          </cell>
          <cell r="J1497">
            <v>855</v>
          </cell>
          <cell r="K1497">
            <v>867</v>
          </cell>
          <cell r="L1497">
            <v>1164</v>
          </cell>
          <cell r="M1497">
            <v>1094</v>
          </cell>
          <cell r="N1497">
            <v>1156</v>
          </cell>
          <cell r="O1497">
            <v>1636</v>
          </cell>
          <cell r="P1497">
            <v>1861</v>
          </cell>
          <cell r="Q1497">
            <v>1772</v>
          </cell>
          <cell r="R1497">
            <v>2164</v>
          </cell>
          <cell r="S1497">
            <v>2323</v>
          </cell>
          <cell r="T1497">
            <v>1304</v>
          </cell>
          <cell r="U1497">
            <v>1423</v>
          </cell>
          <cell r="V1497">
            <v>1432</v>
          </cell>
          <cell r="W1497">
            <v>1403</v>
          </cell>
          <cell r="X1497">
            <v>1344</v>
          </cell>
          <cell r="Y1497">
            <v>1166</v>
          </cell>
          <cell r="Z1497">
            <v>1786</v>
          </cell>
          <cell r="AA1497">
            <v>1552</v>
          </cell>
          <cell r="AB1497">
            <v>1239</v>
          </cell>
          <cell r="AC1497">
            <v>1564</v>
          </cell>
          <cell r="AD1497">
            <v>1845</v>
          </cell>
          <cell r="AE1497">
            <v>1550</v>
          </cell>
          <cell r="AF1497">
            <v>1725</v>
          </cell>
          <cell r="AG1497">
            <v>1728</v>
          </cell>
          <cell r="AH1497">
            <v>2277</v>
          </cell>
          <cell r="AI1497">
            <v>2371</v>
          </cell>
          <cell r="AJ1497">
            <v>2579</v>
          </cell>
        </row>
        <row r="1498">
          <cell r="E1498" t="str">
            <v>OR Commercial Hydrocarbon Gas Liquids</v>
          </cell>
          <cell r="F1498">
            <v>566</v>
          </cell>
          <cell r="G1498">
            <v>728</v>
          </cell>
          <cell r="H1498">
            <v>644</v>
          </cell>
          <cell r="I1498">
            <v>720</v>
          </cell>
          <cell r="J1498">
            <v>760</v>
          </cell>
          <cell r="K1498">
            <v>728</v>
          </cell>
          <cell r="L1498">
            <v>690</v>
          </cell>
          <cell r="M1498">
            <v>586</v>
          </cell>
          <cell r="N1498">
            <v>721</v>
          </cell>
          <cell r="O1498">
            <v>811</v>
          </cell>
          <cell r="P1498">
            <v>931</v>
          </cell>
          <cell r="Q1498">
            <v>1035</v>
          </cell>
          <cell r="R1498">
            <v>1224</v>
          </cell>
          <cell r="S1498">
            <v>1529</v>
          </cell>
          <cell r="T1498">
            <v>577</v>
          </cell>
          <cell r="U1498">
            <v>997</v>
          </cell>
          <cell r="V1498">
            <v>962</v>
          </cell>
          <cell r="W1498">
            <v>938</v>
          </cell>
          <cell r="X1498">
            <v>1440</v>
          </cell>
          <cell r="Y1498">
            <v>1381</v>
          </cell>
          <cell r="Z1498">
            <v>1323</v>
          </cell>
          <cell r="AA1498">
            <v>1384</v>
          </cell>
          <cell r="AB1498">
            <v>1372</v>
          </cell>
          <cell r="AC1498">
            <v>1173</v>
          </cell>
          <cell r="AD1498">
            <v>1183</v>
          </cell>
          <cell r="AE1498">
            <v>1322</v>
          </cell>
          <cell r="AF1498">
            <v>1733</v>
          </cell>
          <cell r="AG1498">
            <v>3436</v>
          </cell>
          <cell r="AH1498">
            <v>3497</v>
          </cell>
          <cell r="AI1498">
            <v>3792</v>
          </cell>
          <cell r="AJ1498">
            <v>3558</v>
          </cell>
        </row>
        <row r="1499">
          <cell r="E1499" t="str">
            <v>PA Commercial Hydrocarbon Gas Liquids</v>
          </cell>
          <cell r="F1499">
            <v>3147</v>
          </cell>
          <cell r="G1499">
            <v>3654</v>
          </cell>
          <cell r="H1499">
            <v>3863</v>
          </cell>
          <cell r="I1499">
            <v>3529</v>
          </cell>
          <cell r="J1499">
            <v>3591</v>
          </cell>
          <cell r="K1499">
            <v>3839</v>
          </cell>
          <cell r="L1499">
            <v>4177</v>
          </cell>
          <cell r="M1499">
            <v>4114</v>
          </cell>
          <cell r="N1499">
            <v>4332</v>
          </cell>
          <cell r="O1499">
            <v>4639</v>
          </cell>
          <cell r="P1499">
            <v>5578</v>
          </cell>
          <cell r="Q1499">
            <v>4324</v>
          </cell>
          <cell r="R1499">
            <v>4989</v>
          </cell>
          <cell r="S1499">
            <v>6212</v>
          </cell>
          <cell r="T1499">
            <v>6699</v>
          </cell>
          <cell r="U1499">
            <v>5480</v>
          </cell>
          <cell r="V1499">
            <v>6085</v>
          </cell>
          <cell r="W1499">
            <v>6668</v>
          </cell>
          <cell r="X1499">
            <v>6457</v>
          </cell>
          <cell r="Y1499">
            <v>6851</v>
          </cell>
          <cell r="Z1499">
            <v>6853</v>
          </cell>
          <cell r="AA1499">
            <v>8022</v>
          </cell>
          <cell r="AB1499">
            <v>6447</v>
          </cell>
          <cell r="AC1499">
            <v>7605</v>
          </cell>
          <cell r="AD1499">
            <v>8230</v>
          </cell>
          <cell r="AE1499">
            <v>7829</v>
          </cell>
          <cell r="AF1499">
            <v>8135</v>
          </cell>
          <cell r="AG1499">
            <v>7225</v>
          </cell>
          <cell r="AH1499">
            <v>8409</v>
          </cell>
          <cell r="AI1499">
            <v>8019</v>
          </cell>
          <cell r="AJ1499">
            <v>7966</v>
          </cell>
        </row>
        <row r="1500">
          <cell r="E1500" t="str">
            <v>RI Commercial Hydrocarbon Gas Liquids</v>
          </cell>
          <cell r="F1500">
            <v>417</v>
          </cell>
          <cell r="G1500">
            <v>421</v>
          </cell>
          <cell r="H1500">
            <v>402</v>
          </cell>
          <cell r="I1500">
            <v>480</v>
          </cell>
          <cell r="J1500">
            <v>470</v>
          </cell>
          <cell r="K1500">
            <v>426</v>
          </cell>
          <cell r="L1500">
            <v>533</v>
          </cell>
          <cell r="M1500">
            <v>479</v>
          </cell>
          <cell r="N1500">
            <v>560</v>
          </cell>
          <cell r="O1500">
            <v>392</v>
          </cell>
          <cell r="P1500">
            <v>418</v>
          </cell>
          <cell r="Q1500">
            <v>366</v>
          </cell>
          <cell r="R1500">
            <v>448</v>
          </cell>
          <cell r="S1500">
            <v>512</v>
          </cell>
          <cell r="T1500">
            <v>404</v>
          </cell>
          <cell r="U1500">
            <v>402</v>
          </cell>
          <cell r="V1500">
            <v>289</v>
          </cell>
          <cell r="W1500">
            <v>341</v>
          </cell>
          <cell r="X1500">
            <v>353</v>
          </cell>
          <cell r="Y1500">
            <v>347</v>
          </cell>
          <cell r="Z1500">
            <v>322</v>
          </cell>
          <cell r="AA1500">
            <v>375</v>
          </cell>
          <cell r="AB1500">
            <v>318</v>
          </cell>
          <cell r="AC1500">
            <v>388</v>
          </cell>
          <cell r="AD1500">
            <v>438</v>
          </cell>
          <cell r="AE1500">
            <v>420</v>
          </cell>
          <cell r="AF1500">
            <v>426</v>
          </cell>
          <cell r="AG1500">
            <v>405</v>
          </cell>
          <cell r="AH1500">
            <v>769</v>
          </cell>
          <cell r="AI1500">
            <v>896</v>
          </cell>
          <cell r="AJ1500">
            <v>841</v>
          </cell>
        </row>
        <row r="1501">
          <cell r="E1501" t="str">
            <v>SC Commercial Hydrocarbon Gas Liquids</v>
          </cell>
          <cell r="F1501">
            <v>2500</v>
          </cell>
          <cell r="G1501">
            <v>2928</v>
          </cell>
          <cell r="H1501">
            <v>3147</v>
          </cell>
          <cell r="I1501">
            <v>3183</v>
          </cell>
          <cell r="J1501">
            <v>3248</v>
          </cell>
          <cell r="K1501">
            <v>3130</v>
          </cell>
          <cell r="L1501">
            <v>2901</v>
          </cell>
          <cell r="M1501">
            <v>2956</v>
          </cell>
          <cell r="N1501">
            <v>2502</v>
          </cell>
          <cell r="O1501">
            <v>2943</v>
          </cell>
          <cell r="P1501">
            <v>3385</v>
          </cell>
          <cell r="Q1501">
            <v>2232</v>
          </cell>
          <cell r="R1501">
            <v>2858</v>
          </cell>
          <cell r="S1501">
            <v>2610</v>
          </cell>
          <cell r="T1501">
            <v>3094</v>
          </cell>
          <cell r="U1501">
            <v>2822</v>
          </cell>
          <cell r="V1501">
            <v>2779</v>
          </cell>
          <cell r="W1501">
            <v>2598</v>
          </cell>
          <cell r="X1501">
            <v>3232</v>
          </cell>
          <cell r="Y1501">
            <v>2097</v>
          </cell>
          <cell r="Z1501">
            <v>2714</v>
          </cell>
          <cell r="AA1501">
            <v>2460</v>
          </cell>
          <cell r="AB1501">
            <v>2733</v>
          </cell>
          <cell r="AC1501">
            <v>2502</v>
          </cell>
          <cell r="AD1501">
            <v>3007</v>
          </cell>
          <cell r="AE1501">
            <v>2668</v>
          </cell>
          <cell r="AF1501">
            <v>2605</v>
          </cell>
          <cell r="AG1501">
            <v>3013</v>
          </cell>
          <cell r="AH1501">
            <v>2593</v>
          </cell>
          <cell r="AI1501">
            <v>2588</v>
          </cell>
          <cell r="AJ1501">
            <v>2583</v>
          </cell>
        </row>
        <row r="1502">
          <cell r="E1502" t="str">
            <v>SD Commercial Hydrocarbon Gas Liquids</v>
          </cell>
          <cell r="F1502">
            <v>1259</v>
          </cell>
          <cell r="G1502">
            <v>772</v>
          </cell>
          <cell r="H1502">
            <v>732</v>
          </cell>
          <cell r="I1502">
            <v>986</v>
          </cell>
          <cell r="J1502">
            <v>930</v>
          </cell>
          <cell r="K1502">
            <v>1007</v>
          </cell>
          <cell r="L1502">
            <v>1351</v>
          </cell>
          <cell r="M1502">
            <v>1308</v>
          </cell>
          <cell r="N1502">
            <v>1055</v>
          </cell>
          <cell r="O1502">
            <v>1015</v>
          </cell>
          <cell r="P1502">
            <v>1211</v>
          </cell>
          <cell r="Q1502">
            <v>1001</v>
          </cell>
          <cell r="R1502">
            <v>1162</v>
          </cell>
          <cell r="S1502">
            <v>1488</v>
          </cell>
          <cell r="T1502">
            <v>731</v>
          </cell>
          <cell r="U1502">
            <v>712</v>
          </cell>
          <cell r="V1502">
            <v>782</v>
          </cell>
          <cell r="W1502">
            <v>1110</v>
          </cell>
          <cell r="X1502">
            <v>1312</v>
          </cell>
          <cell r="Y1502">
            <v>1631</v>
          </cell>
          <cell r="Z1502">
            <v>1377</v>
          </cell>
          <cell r="AA1502">
            <v>929</v>
          </cell>
          <cell r="AB1502">
            <v>829</v>
          </cell>
          <cell r="AC1502">
            <v>829</v>
          </cell>
          <cell r="AD1502">
            <v>1222</v>
          </cell>
          <cell r="AE1502">
            <v>706</v>
          </cell>
          <cell r="AF1502">
            <v>868</v>
          </cell>
          <cell r="AG1502">
            <v>1096</v>
          </cell>
          <cell r="AH1502">
            <v>922</v>
          </cell>
          <cell r="AI1502">
            <v>826</v>
          </cell>
          <cell r="AJ1502">
            <v>840</v>
          </cell>
        </row>
        <row r="1503">
          <cell r="E1503" t="str">
            <v>TN Commercial Hydrocarbon Gas Liquids</v>
          </cell>
          <cell r="F1503">
            <v>1536</v>
          </cell>
          <cell r="G1503">
            <v>1732</v>
          </cell>
          <cell r="H1503">
            <v>1874</v>
          </cell>
          <cell r="I1503">
            <v>1969</v>
          </cell>
          <cell r="J1503">
            <v>1889</v>
          </cell>
          <cell r="K1503">
            <v>1904</v>
          </cell>
          <cell r="L1503">
            <v>2556</v>
          </cell>
          <cell r="M1503">
            <v>2310</v>
          </cell>
          <cell r="N1503">
            <v>2176</v>
          </cell>
          <cell r="O1503">
            <v>2726</v>
          </cell>
          <cell r="P1503">
            <v>3084</v>
          </cell>
          <cell r="Q1503">
            <v>2417</v>
          </cell>
          <cell r="R1503">
            <v>2872</v>
          </cell>
          <cell r="S1503">
            <v>2875</v>
          </cell>
          <cell r="T1503">
            <v>2535</v>
          </cell>
          <cell r="U1503">
            <v>1875</v>
          </cell>
          <cell r="V1503">
            <v>2583</v>
          </cell>
          <cell r="W1503">
            <v>1726</v>
          </cell>
          <cell r="X1503">
            <v>2090</v>
          </cell>
          <cell r="Y1503">
            <v>1437</v>
          </cell>
          <cell r="Z1503">
            <v>1690</v>
          </cell>
          <cell r="AA1503">
            <v>2594</v>
          </cell>
          <cell r="AB1503">
            <v>1542</v>
          </cell>
          <cell r="AC1503">
            <v>1744</v>
          </cell>
          <cell r="AD1503">
            <v>1642</v>
          </cell>
          <cell r="AE1503">
            <v>1503</v>
          </cell>
          <cell r="AF1503">
            <v>2016</v>
          </cell>
          <cell r="AG1503">
            <v>1948</v>
          </cell>
          <cell r="AH1503">
            <v>2352</v>
          </cell>
          <cell r="AI1503">
            <v>2183</v>
          </cell>
          <cell r="AJ1503">
            <v>2721</v>
          </cell>
        </row>
        <row r="1504">
          <cell r="E1504" t="str">
            <v>TX Commercial Hydrocarbon Gas Liquids</v>
          </cell>
          <cell r="F1504">
            <v>6457</v>
          </cell>
          <cell r="G1504">
            <v>4254</v>
          </cell>
          <cell r="H1504">
            <v>3631</v>
          </cell>
          <cell r="I1504">
            <v>3868</v>
          </cell>
          <cell r="J1504">
            <v>3819</v>
          </cell>
          <cell r="K1504">
            <v>3494</v>
          </cell>
          <cell r="L1504">
            <v>2434</v>
          </cell>
          <cell r="M1504">
            <v>3689</v>
          </cell>
          <cell r="N1504">
            <v>4793</v>
          </cell>
          <cell r="O1504">
            <v>9572</v>
          </cell>
          <cell r="P1504">
            <v>11324</v>
          </cell>
          <cell r="Q1504">
            <v>12863</v>
          </cell>
          <cell r="R1504">
            <v>11522</v>
          </cell>
          <cell r="S1504">
            <v>13180</v>
          </cell>
          <cell r="T1504">
            <v>7504</v>
          </cell>
          <cell r="U1504">
            <v>10081</v>
          </cell>
          <cell r="V1504">
            <v>8866</v>
          </cell>
          <cell r="W1504">
            <v>2666</v>
          </cell>
          <cell r="X1504">
            <v>8673</v>
          </cell>
          <cell r="Y1504">
            <v>6825</v>
          </cell>
          <cell r="Z1504">
            <v>9017</v>
          </cell>
          <cell r="AA1504">
            <v>6916</v>
          </cell>
          <cell r="AB1504">
            <v>6928</v>
          </cell>
          <cell r="AC1504">
            <v>7500</v>
          </cell>
          <cell r="AD1504">
            <v>8043</v>
          </cell>
          <cell r="AE1504">
            <v>8603</v>
          </cell>
          <cell r="AF1504">
            <v>7053</v>
          </cell>
          <cell r="AG1504">
            <v>6579</v>
          </cell>
          <cell r="AH1504">
            <v>9516</v>
          </cell>
          <cell r="AI1504">
            <v>9704</v>
          </cell>
          <cell r="AJ1504">
            <v>17387</v>
          </cell>
        </row>
        <row r="1505">
          <cell r="E1505" t="str">
            <v>US Commercial Hydrocarbon Gas Liquids</v>
          </cell>
          <cell r="F1505">
            <v>102400</v>
          </cell>
          <cell r="G1505">
            <v>108370</v>
          </cell>
          <cell r="H1505">
            <v>107046</v>
          </cell>
          <cell r="I1505">
            <v>109389</v>
          </cell>
          <cell r="J1505">
            <v>107403</v>
          </cell>
          <cell r="K1505">
            <v>108873</v>
          </cell>
          <cell r="L1505">
            <v>122553</v>
          </cell>
          <cell r="M1505">
            <v>120397</v>
          </cell>
          <cell r="N1505">
            <v>117723</v>
          </cell>
          <cell r="O1505">
            <v>140345</v>
          </cell>
          <cell r="P1505">
            <v>150588</v>
          </cell>
          <cell r="Q1505">
            <v>142863</v>
          </cell>
          <cell r="R1505">
            <v>140981</v>
          </cell>
          <cell r="S1505">
            <v>157058</v>
          </cell>
          <cell r="T1505">
            <v>152168</v>
          </cell>
          <cell r="U1505">
            <v>131556</v>
          </cell>
          <cell r="V1505">
            <v>123331</v>
          </cell>
          <cell r="W1505">
            <v>121573</v>
          </cell>
          <cell r="X1505">
            <v>158181</v>
          </cell>
          <cell r="Y1505">
            <v>139033</v>
          </cell>
          <cell r="Z1505">
            <v>140011</v>
          </cell>
          <cell r="AA1505">
            <v>142509</v>
          </cell>
          <cell r="AB1505">
            <v>135525</v>
          </cell>
          <cell r="AC1505">
            <v>151617</v>
          </cell>
          <cell r="AD1505">
            <v>160473</v>
          </cell>
          <cell r="AE1505">
            <v>148028</v>
          </cell>
          <cell r="AF1505">
            <v>150012</v>
          </cell>
          <cell r="AG1505">
            <v>155673</v>
          </cell>
          <cell r="AH1505">
            <v>175966</v>
          </cell>
          <cell r="AI1505">
            <v>182028</v>
          </cell>
          <cell r="AJ1505">
            <v>201045</v>
          </cell>
        </row>
        <row r="1506">
          <cell r="E1506" t="str">
            <v>UT Commercial Hydrocarbon Gas Liquids</v>
          </cell>
          <cell r="F1506">
            <v>769</v>
          </cell>
          <cell r="G1506">
            <v>752</v>
          </cell>
          <cell r="H1506">
            <v>605</v>
          </cell>
          <cell r="I1506">
            <v>367</v>
          </cell>
          <cell r="J1506">
            <v>294</v>
          </cell>
          <cell r="K1506">
            <v>380</v>
          </cell>
          <cell r="L1506">
            <v>454</v>
          </cell>
          <cell r="M1506">
            <v>886</v>
          </cell>
          <cell r="N1506">
            <v>269</v>
          </cell>
          <cell r="O1506">
            <v>566</v>
          </cell>
          <cell r="P1506">
            <v>1068</v>
          </cell>
          <cell r="Q1506">
            <v>1818</v>
          </cell>
          <cell r="R1506">
            <v>1124</v>
          </cell>
          <cell r="S1506">
            <v>1033</v>
          </cell>
          <cell r="T1506">
            <v>951</v>
          </cell>
          <cell r="U1506">
            <v>2143</v>
          </cell>
          <cell r="V1506">
            <v>1128</v>
          </cell>
          <cell r="W1506">
            <v>1468</v>
          </cell>
          <cell r="X1506">
            <v>1749</v>
          </cell>
          <cell r="Y1506">
            <v>1239</v>
          </cell>
          <cell r="Z1506">
            <v>1263</v>
          </cell>
          <cell r="AA1506">
            <v>2121</v>
          </cell>
          <cell r="AB1506">
            <v>1130</v>
          </cell>
          <cell r="AC1506">
            <v>1897</v>
          </cell>
          <cell r="AD1506">
            <v>1980</v>
          </cell>
          <cell r="AE1506">
            <v>1884</v>
          </cell>
          <cell r="AF1506">
            <v>1285</v>
          </cell>
          <cell r="AG1506">
            <v>987</v>
          </cell>
          <cell r="AH1506">
            <v>1592</v>
          </cell>
          <cell r="AI1506">
            <v>1631</v>
          </cell>
          <cell r="AJ1506">
            <v>2392</v>
          </cell>
        </row>
        <row r="1507">
          <cell r="E1507" t="str">
            <v>VA Commercial Hydrocarbon Gas Liquids</v>
          </cell>
          <cell r="F1507">
            <v>2841</v>
          </cell>
          <cell r="G1507">
            <v>3103</v>
          </cell>
          <cell r="H1507">
            <v>3250</v>
          </cell>
          <cell r="I1507">
            <v>3199</v>
          </cell>
          <cell r="J1507">
            <v>3263</v>
          </cell>
          <cell r="K1507">
            <v>3844</v>
          </cell>
          <cell r="L1507">
            <v>4264</v>
          </cell>
          <cell r="M1507">
            <v>4599</v>
          </cell>
          <cell r="N1507">
            <v>3510</v>
          </cell>
          <cell r="O1507">
            <v>3915</v>
          </cell>
          <cell r="P1507">
            <v>4681</v>
          </cell>
          <cell r="Q1507">
            <v>4252</v>
          </cell>
          <cell r="R1507">
            <v>4092</v>
          </cell>
          <cell r="S1507">
            <v>5385</v>
          </cell>
          <cell r="T1507">
            <v>5043</v>
          </cell>
          <cell r="U1507">
            <v>4843</v>
          </cell>
          <cell r="V1507">
            <v>4199</v>
          </cell>
          <cell r="W1507">
            <v>4506</v>
          </cell>
          <cell r="X1507">
            <v>5549</v>
          </cell>
          <cell r="Y1507">
            <v>5218</v>
          </cell>
          <cell r="Z1507">
            <v>5810</v>
          </cell>
          <cell r="AA1507">
            <v>6021</v>
          </cell>
          <cell r="AB1507">
            <v>5430</v>
          </cell>
          <cell r="AC1507">
            <v>7052</v>
          </cell>
          <cell r="AD1507">
            <v>7610</v>
          </cell>
          <cell r="AE1507">
            <v>6980</v>
          </cell>
          <cell r="AF1507">
            <v>7290</v>
          </cell>
          <cell r="AG1507">
            <v>7568</v>
          </cell>
          <cell r="AH1507">
            <v>7481</v>
          </cell>
          <cell r="AI1507">
            <v>7026</v>
          </cell>
          <cell r="AJ1507">
            <v>6571</v>
          </cell>
        </row>
        <row r="1508">
          <cell r="E1508" t="str">
            <v>VT Commercial Hydrocarbon Gas Liquids</v>
          </cell>
          <cell r="F1508">
            <v>1579</v>
          </cell>
          <cell r="G1508">
            <v>1691</v>
          </cell>
          <cell r="H1508">
            <v>2027</v>
          </cell>
          <cell r="I1508">
            <v>1713</v>
          </cell>
          <cell r="J1508">
            <v>1747</v>
          </cell>
          <cell r="K1508">
            <v>1740</v>
          </cell>
          <cell r="L1508">
            <v>1962</v>
          </cell>
          <cell r="M1508">
            <v>1749</v>
          </cell>
          <cell r="N1508">
            <v>1975</v>
          </cell>
          <cell r="O1508">
            <v>1931</v>
          </cell>
          <cell r="P1508">
            <v>1871</v>
          </cell>
          <cell r="Q1508">
            <v>2568</v>
          </cell>
          <cell r="R1508">
            <v>2568</v>
          </cell>
          <cell r="S1508">
            <v>2013</v>
          </cell>
          <cell r="T1508">
            <v>2399</v>
          </cell>
          <cell r="U1508">
            <v>1965</v>
          </cell>
          <cell r="V1508">
            <v>1983</v>
          </cell>
          <cell r="W1508">
            <v>2466</v>
          </cell>
          <cell r="X1508">
            <v>2989</v>
          </cell>
          <cell r="Y1508">
            <v>2941</v>
          </cell>
          <cell r="Z1508">
            <v>2826</v>
          </cell>
          <cell r="AA1508">
            <v>3173</v>
          </cell>
          <cell r="AB1508">
            <v>3730</v>
          </cell>
          <cell r="AC1508">
            <v>3827</v>
          </cell>
          <cell r="AD1508">
            <v>4013</v>
          </cell>
          <cell r="AE1508">
            <v>4201</v>
          </cell>
          <cell r="AF1508">
            <v>3440</v>
          </cell>
          <cell r="AG1508">
            <v>2105</v>
          </cell>
          <cell r="AH1508">
            <v>3486</v>
          </cell>
          <cell r="AI1508">
            <v>3056</v>
          </cell>
          <cell r="AJ1508">
            <v>3477</v>
          </cell>
        </row>
        <row r="1509">
          <cell r="E1509" t="str">
            <v>WA Commercial Hydrocarbon Gas Liquids</v>
          </cell>
          <cell r="F1509">
            <v>626</v>
          </cell>
          <cell r="G1509">
            <v>850</v>
          </cell>
          <cell r="H1509">
            <v>839</v>
          </cell>
          <cell r="I1509">
            <v>878</v>
          </cell>
          <cell r="J1509">
            <v>900</v>
          </cell>
          <cell r="K1509">
            <v>1180</v>
          </cell>
          <cell r="L1509">
            <v>1199</v>
          </cell>
          <cell r="M1509">
            <v>2292</v>
          </cell>
          <cell r="N1509">
            <v>2081</v>
          </cell>
          <cell r="O1509">
            <v>1912</v>
          </cell>
          <cell r="P1509">
            <v>1974</v>
          </cell>
          <cell r="Q1509">
            <v>2150</v>
          </cell>
          <cell r="R1509">
            <v>2934</v>
          </cell>
          <cell r="S1509">
            <v>1862</v>
          </cell>
          <cell r="T1509">
            <v>1422</v>
          </cell>
          <cell r="U1509">
            <v>1539</v>
          </cell>
          <cell r="V1509">
            <v>1811</v>
          </cell>
          <cell r="W1509">
            <v>1821</v>
          </cell>
          <cell r="X1509">
            <v>2948</v>
          </cell>
          <cell r="Y1509">
            <v>2603</v>
          </cell>
          <cell r="Z1509">
            <v>2773</v>
          </cell>
          <cell r="AA1509">
            <v>2618</v>
          </cell>
          <cell r="AB1509">
            <v>4103</v>
          </cell>
          <cell r="AC1509">
            <v>3543</v>
          </cell>
          <cell r="AD1509">
            <v>3746</v>
          </cell>
          <cell r="AE1509">
            <v>2796</v>
          </cell>
          <cell r="AF1509">
            <v>3319</v>
          </cell>
          <cell r="AG1509">
            <v>4298</v>
          </cell>
          <cell r="AH1509">
            <v>4982</v>
          </cell>
          <cell r="AI1509">
            <v>4749</v>
          </cell>
          <cell r="AJ1509">
            <v>4854</v>
          </cell>
        </row>
        <row r="1510">
          <cell r="E1510" t="str">
            <v>WI Commercial Hydrocarbon Gas Liquids</v>
          </cell>
          <cell r="F1510">
            <v>2081</v>
          </cell>
          <cell r="G1510">
            <v>2605</v>
          </cell>
          <cell r="H1510">
            <v>2460</v>
          </cell>
          <cell r="I1510">
            <v>2771</v>
          </cell>
          <cell r="J1510">
            <v>2723</v>
          </cell>
          <cell r="K1510">
            <v>2764</v>
          </cell>
          <cell r="L1510">
            <v>3710</v>
          </cell>
          <cell r="M1510">
            <v>3278</v>
          </cell>
          <cell r="N1510">
            <v>2946</v>
          </cell>
          <cell r="O1510">
            <v>3477</v>
          </cell>
          <cell r="P1510">
            <v>3275</v>
          </cell>
          <cell r="Q1510">
            <v>3099</v>
          </cell>
          <cell r="R1510">
            <v>3702</v>
          </cell>
          <cell r="S1510">
            <v>4446</v>
          </cell>
          <cell r="T1510">
            <v>3924</v>
          </cell>
          <cell r="U1510">
            <v>2545</v>
          </cell>
          <cell r="V1510">
            <v>2333</v>
          </cell>
          <cell r="W1510">
            <v>2516</v>
          </cell>
          <cell r="X1510">
            <v>3645</v>
          </cell>
          <cell r="Y1510">
            <v>2835</v>
          </cell>
          <cell r="Z1510">
            <v>3423</v>
          </cell>
          <cell r="AA1510">
            <v>3120</v>
          </cell>
          <cell r="AB1510">
            <v>2593</v>
          </cell>
          <cell r="AC1510">
            <v>3237</v>
          </cell>
          <cell r="AD1510">
            <v>3506</v>
          </cell>
          <cell r="AE1510">
            <v>3362</v>
          </cell>
          <cell r="AF1510">
            <v>3271</v>
          </cell>
          <cell r="AG1510">
            <v>3920</v>
          </cell>
          <cell r="AH1510">
            <v>5513</v>
          </cell>
          <cell r="AI1510">
            <v>5247</v>
          </cell>
          <cell r="AJ1510">
            <v>5634</v>
          </cell>
        </row>
        <row r="1511">
          <cell r="E1511" t="str">
            <v>WV Commercial Hydrocarbon Gas Liquids</v>
          </cell>
          <cell r="F1511">
            <v>350</v>
          </cell>
          <cell r="G1511">
            <v>331</v>
          </cell>
          <cell r="H1511">
            <v>382</v>
          </cell>
          <cell r="I1511">
            <v>406</v>
          </cell>
          <cell r="J1511">
            <v>409</v>
          </cell>
          <cell r="K1511">
            <v>349</v>
          </cell>
          <cell r="L1511">
            <v>403</v>
          </cell>
          <cell r="M1511">
            <v>569</v>
          </cell>
          <cell r="N1511">
            <v>430</v>
          </cell>
          <cell r="O1511">
            <v>599</v>
          </cell>
          <cell r="P1511">
            <v>632</v>
          </cell>
          <cell r="Q1511">
            <v>831</v>
          </cell>
          <cell r="R1511">
            <v>530</v>
          </cell>
          <cell r="S1511">
            <v>903</v>
          </cell>
          <cell r="T1511">
            <v>862</v>
          </cell>
          <cell r="U1511">
            <v>459</v>
          </cell>
          <cell r="V1511">
            <v>701</v>
          </cell>
          <cell r="W1511">
            <v>614</v>
          </cell>
          <cell r="X1511">
            <v>803</v>
          </cell>
          <cell r="Y1511">
            <v>780</v>
          </cell>
          <cell r="Z1511">
            <v>828</v>
          </cell>
          <cell r="AA1511">
            <v>790</v>
          </cell>
          <cell r="AB1511">
            <v>794</v>
          </cell>
          <cell r="AC1511">
            <v>1167</v>
          </cell>
          <cell r="AD1511">
            <v>691</v>
          </cell>
          <cell r="AE1511">
            <v>601</v>
          </cell>
          <cell r="AF1511">
            <v>663</v>
          </cell>
          <cell r="AG1511">
            <v>726</v>
          </cell>
          <cell r="AH1511">
            <v>803</v>
          </cell>
          <cell r="AI1511">
            <v>1573</v>
          </cell>
          <cell r="AJ1511">
            <v>797</v>
          </cell>
        </row>
        <row r="1512">
          <cell r="E1512" t="str">
            <v>WY Commercial Hydrocarbon Gas Liquids</v>
          </cell>
          <cell r="F1512">
            <v>665</v>
          </cell>
          <cell r="G1512">
            <v>812</v>
          </cell>
          <cell r="H1512">
            <v>691</v>
          </cell>
          <cell r="I1512">
            <v>617</v>
          </cell>
          <cell r="J1512">
            <v>573</v>
          </cell>
          <cell r="K1512">
            <v>808</v>
          </cell>
          <cell r="L1512">
            <v>626</v>
          </cell>
          <cell r="M1512">
            <v>162</v>
          </cell>
          <cell r="N1512">
            <v>87</v>
          </cell>
          <cell r="O1512">
            <v>326</v>
          </cell>
          <cell r="P1512">
            <v>692</v>
          </cell>
          <cell r="Q1512">
            <v>968</v>
          </cell>
          <cell r="R1512">
            <v>952</v>
          </cell>
          <cell r="S1512">
            <v>1098</v>
          </cell>
          <cell r="T1512">
            <v>1055</v>
          </cell>
          <cell r="U1512">
            <v>1300</v>
          </cell>
          <cell r="V1512">
            <v>855</v>
          </cell>
          <cell r="W1512">
            <v>831</v>
          </cell>
          <cell r="X1512">
            <v>1486</v>
          </cell>
          <cell r="Y1512">
            <v>1580</v>
          </cell>
          <cell r="Z1512">
            <v>1426</v>
          </cell>
          <cell r="AA1512">
            <v>1459</v>
          </cell>
          <cell r="AB1512">
            <v>1694</v>
          </cell>
          <cell r="AC1512">
            <v>1633</v>
          </cell>
          <cell r="AD1512">
            <v>2194</v>
          </cell>
          <cell r="AE1512">
            <v>1486</v>
          </cell>
          <cell r="AF1512">
            <v>1115</v>
          </cell>
          <cell r="AG1512">
            <v>1103</v>
          </cell>
          <cell r="AH1512">
            <v>939</v>
          </cell>
          <cell r="AI1512">
            <v>1895</v>
          </cell>
          <cell r="AJ1512">
            <v>1754</v>
          </cell>
        </row>
        <row r="1513">
          <cell r="E1513" t="str">
            <v>AK Transportation Hydrocarbon Gas Liquids</v>
          </cell>
          <cell r="F1513">
            <v>22</v>
          </cell>
          <cell r="G1513">
            <v>17</v>
          </cell>
          <cell r="H1513">
            <v>15</v>
          </cell>
          <cell r="I1513">
            <v>8</v>
          </cell>
          <cell r="J1513">
            <v>15</v>
          </cell>
          <cell r="K1513">
            <v>9</v>
          </cell>
          <cell r="L1513">
            <v>13</v>
          </cell>
          <cell r="M1513">
            <v>7</v>
          </cell>
          <cell r="N1513">
            <v>3</v>
          </cell>
          <cell r="O1513">
            <v>0</v>
          </cell>
          <cell r="P1513">
            <v>0</v>
          </cell>
          <cell r="Q1513">
            <v>7</v>
          </cell>
          <cell r="R1513">
            <v>87</v>
          </cell>
          <cell r="S1513">
            <v>14</v>
          </cell>
          <cell r="T1513">
            <v>10</v>
          </cell>
          <cell r="U1513">
            <v>14</v>
          </cell>
          <cell r="V1513">
            <v>16</v>
          </cell>
          <cell r="W1513">
            <v>11</v>
          </cell>
          <cell r="X1513">
            <v>4</v>
          </cell>
          <cell r="Y1513">
            <v>5</v>
          </cell>
          <cell r="Z1513">
            <v>5</v>
          </cell>
          <cell r="AA1513">
            <v>5</v>
          </cell>
          <cell r="AB1513">
            <v>7</v>
          </cell>
          <cell r="AC1513">
            <v>11</v>
          </cell>
          <cell r="AD1513">
            <v>3</v>
          </cell>
          <cell r="AE1513">
            <v>4</v>
          </cell>
          <cell r="AF1513">
            <v>5</v>
          </cell>
          <cell r="AG1513">
            <v>16</v>
          </cell>
          <cell r="AH1513">
            <v>14</v>
          </cell>
          <cell r="AI1513">
            <v>11</v>
          </cell>
          <cell r="AJ1513">
            <v>1</v>
          </cell>
        </row>
        <row r="1514">
          <cell r="E1514" t="str">
            <v>AL Transportation Hydrocarbon Gas Liquids</v>
          </cell>
          <cell r="F1514">
            <v>370</v>
          </cell>
          <cell r="G1514">
            <v>360</v>
          </cell>
          <cell r="H1514">
            <v>325</v>
          </cell>
          <cell r="I1514">
            <v>449</v>
          </cell>
          <cell r="J1514">
            <v>742</v>
          </cell>
          <cell r="K1514">
            <v>358</v>
          </cell>
          <cell r="L1514">
            <v>299</v>
          </cell>
          <cell r="M1514">
            <v>261</v>
          </cell>
          <cell r="N1514">
            <v>64</v>
          </cell>
          <cell r="O1514">
            <v>59</v>
          </cell>
          <cell r="P1514">
            <v>153</v>
          </cell>
          <cell r="Q1514">
            <v>44</v>
          </cell>
          <cell r="R1514">
            <v>63</v>
          </cell>
          <cell r="S1514">
            <v>254</v>
          </cell>
          <cell r="T1514">
            <v>716</v>
          </cell>
          <cell r="U1514">
            <v>284</v>
          </cell>
          <cell r="V1514">
            <v>306</v>
          </cell>
          <cell r="W1514">
            <v>210</v>
          </cell>
          <cell r="X1514">
            <v>470</v>
          </cell>
          <cell r="Y1514">
            <v>318</v>
          </cell>
          <cell r="Z1514">
            <v>135</v>
          </cell>
          <cell r="AA1514">
            <v>144</v>
          </cell>
          <cell r="AB1514">
            <v>136</v>
          </cell>
          <cell r="AC1514">
            <v>146</v>
          </cell>
          <cell r="AD1514">
            <v>134</v>
          </cell>
          <cell r="AE1514">
            <v>183</v>
          </cell>
          <cell r="AF1514">
            <v>223</v>
          </cell>
          <cell r="AG1514">
            <v>14</v>
          </cell>
          <cell r="AH1514">
            <v>56</v>
          </cell>
          <cell r="AI1514">
            <v>112</v>
          </cell>
          <cell r="AJ1514">
            <v>69</v>
          </cell>
        </row>
        <row r="1515">
          <cell r="E1515" t="str">
            <v>AR Transportation Hydrocarbon Gas Liquids</v>
          </cell>
          <cell r="F1515">
            <v>319</v>
          </cell>
          <cell r="G1515">
            <v>301</v>
          </cell>
          <cell r="H1515">
            <v>237</v>
          </cell>
          <cell r="I1515">
            <v>263</v>
          </cell>
          <cell r="J1515">
            <v>478</v>
          </cell>
          <cell r="K1515">
            <v>197</v>
          </cell>
          <cell r="L1515">
            <v>173</v>
          </cell>
          <cell r="M1515">
            <v>162</v>
          </cell>
          <cell r="N1515">
            <v>126</v>
          </cell>
          <cell r="O1515">
            <v>1755</v>
          </cell>
          <cell r="P1515">
            <v>359</v>
          </cell>
          <cell r="Q1515">
            <v>342</v>
          </cell>
          <cell r="R1515">
            <v>209</v>
          </cell>
          <cell r="S1515">
            <v>195</v>
          </cell>
          <cell r="T1515">
            <v>196</v>
          </cell>
          <cell r="U1515">
            <v>318</v>
          </cell>
          <cell r="V1515">
            <v>310</v>
          </cell>
          <cell r="W1515">
            <v>228</v>
          </cell>
          <cell r="X1515">
            <v>590</v>
          </cell>
          <cell r="Y1515">
            <v>294</v>
          </cell>
          <cell r="Z1515">
            <v>72</v>
          </cell>
          <cell r="AA1515">
            <v>71</v>
          </cell>
          <cell r="AB1515">
            <v>43</v>
          </cell>
          <cell r="AC1515">
            <v>55</v>
          </cell>
          <cell r="AD1515">
            <v>45</v>
          </cell>
          <cell r="AE1515">
            <v>60</v>
          </cell>
          <cell r="AF1515">
            <v>57</v>
          </cell>
          <cell r="AG1515">
            <v>16</v>
          </cell>
          <cell r="AH1515">
            <v>12</v>
          </cell>
          <cell r="AI1515">
            <v>14</v>
          </cell>
          <cell r="AJ1515">
            <v>14</v>
          </cell>
        </row>
        <row r="1516">
          <cell r="E1516" t="str">
            <v>AZ Transportation Hydrocarbon Gas Liquids</v>
          </cell>
          <cell r="F1516">
            <v>211</v>
          </cell>
          <cell r="G1516">
            <v>217</v>
          </cell>
          <cell r="H1516">
            <v>217</v>
          </cell>
          <cell r="I1516">
            <v>223</v>
          </cell>
          <cell r="J1516">
            <v>324</v>
          </cell>
          <cell r="K1516">
            <v>194</v>
          </cell>
          <cell r="L1516">
            <v>136</v>
          </cell>
          <cell r="M1516">
            <v>101</v>
          </cell>
          <cell r="N1516">
            <v>26</v>
          </cell>
          <cell r="O1516">
            <v>70</v>
          </cell>
          <cell r="P1516">
            <v>88</v>
          </cell>
          <cell r="Q1516">
            <v>44</v>
          </cell>
          <cell r="R1516">
            <v>71</v>
          </cell>
          <cell r="S1516">
            <v>554</v>
          </cell>
          <cell r="T1516">
            <v>469</v>
          </cell>
          <cell r="U1516">
            <v>779</v>
          </cell>
          <cell r="V1516">
            <v>894</v>
          </cell>
          <cell r="W1516">
            <v>696</v>
          </cell>
          <cell r="X1516">
            <v>1033</v>
          </cell>
          <cell r="Y1516">
            <v>778</v>
          </cell>
          <cell r="Z1516">
            <v>133</v>
          </cell>
          <cell r="AA1516">
            <v>135</v>
          </cell>
          <cell r="AB1516">
            <v>139</v>
          </cell>
          <cell r="AC1516">
            <v>166</v>
          </cell>
          <cell r="AD1516">
            <v>236</v>
          </cell>
          <cell r="AE1516">
            <v>378</v>
          </cell>
          <cell r="AF1516">
            <v>435</v>
          </cell>
          <cell r="AG1516">
            <v>363</v>
          </cell>
          <cell r="AH1516">
            <v>292</v>
          </cell>
          <cell r="AI1516">
            <v>270</v>
          </cell>
          <cell r="AJ1516">
            <v>169</v>
          </cell>
        </row>
        <row r="1517">
          <cell r="E1517" t="str">
            <v>CA Transportation Hydrocarbon Gas Liquids</v>
          </cell>
          <cell r="F1517">
            <v>3545</v>
          </cell>
          <cell r="G1517">
            <v>2918</v>
          </cell>
          <cell r="H1517">
            <v>2496</v>
          </cell>
          <cell r="I1517">
            <v>2528</v>
          </cell>
          <cell r="J1517">
            <v>3864</v>
          </cell>
          <cell r="K1517">
            <v>2166</v>
          </cell>
          <cell r="L1517">
            <v>1847</v>
          </cell>
          <cell r="M1517">
            <v>1342</v>
          </cell>
          <cell r="N1517">
            <v>2573</v>
          </cell>
          <cell r="O1517">
            <v>1475</v>
          </cell>
          <cell r="P1517">
            <v>1311</v>
          </cell>
          <cell r="Q1517">
            <v>1498</v>
          </cell>
          <cell r="R1517">
            <v>1924</v>
          </cell>
          <cell r="S1517">
            <v>1960</v>
          </cell>
          <cell r="T1517">
            <v>1837</v>
          </cell>
          <cell r="U1517">
            <v>3236</v>
          </cell>
          <cell r="V1517">
            <v>3334</v>
          </cell>
          <cell r="W1517">
            <v>2919</v>
          </cell>
          <cell r="X1517">
            <v>5072</v>
          </cell>
          <cell r="Y1517">
            <v>3892</v>
          </cell>
          <cell r="Z1517">
            <v>436</v>
          </cell>
          <cell r="AA1517">
            <v>441</v>
          </cell>
          <cell r="AB1517">
            <v>546</v>
          </cell>
          <cell r="AC1517">
            <v>665</v>
          </cell>
          <cell r="AD1517">
            <v>639</v>
          </cell>
          <cell r="AE1517">
            <v>841</v>
          </cell>
          <cell r="AF1517">
            <v>985</v>
          </cell>
          <cell r="AG1517">
            <v>778</v>
          </cell>
          <cell r="AH1517">
            <v>782</v>
          </cell>
          <cell r="AI1517">
            <v>669</v>
          </cell>
          <cell r="AJ1517">
            <v>295</v>
          </cell>
        </row>
        <row r="1518">
          <cell r="E1518" t="str">
            <v>CO Transportation Hydrocarbon Gas Liquids</v>
          </cell>
          <cell r="F1518">
            <v>287</v>
          </cell>
          <cell r="G1518">
            <v>318</v>
          </cell>
          <cell r="H1518">
            <v>260</v>
          </cell>
          <cell r="I1518">
            <v>322</v>
          </cell>
          <cell r="J1518">
            <v>531</v>
          </cell>
          <cell r="K1518">
            <v>264</v>
          </cell>
          <cell r="L1518">
            <v>267</v>
          </cell>
          <cell r="M1518">
            <v>118</v>
          </cell>
          <cell r="N1518">
            <v>97</v>
          </cell>
          <cell r="O1518">
            <v>267</v>
          </cell>
          <cell r="P1518">
            <v>217</v>
          </cell>
          <cell r="Q1518">
            <v>228</v>
          </cell>
          <cell r="R1518">
            <v>200</v>
          </cell>
          <cell r="S1518">
            <v>212</v>
          </cell>
          <cell r="T1518">
            <v>296</v>
          </cell>
          <cell r="U1518">
            <v>297</v>
          </cell>
          <cell r="V1518">
            <v>307</v>
          </cell>
          <cell r="W1518">
            <v>181</v>
          </cell>
          <cell r="X1518">
            <v>420</v>
          </cell>
          <cell r="Y1518">
            <v>254</v>
          </cell>
          <cell r="Z1518">
            <v>91</v>
          </cell>
          <cell r="AA1518">
            <v>110</v>
          </cell>
          <cell r="AB1518">
            <v>117</v>
          </cell>
          <cell r="AC1518">
            <v>150</v>
          </cell>
          <cell r="AD1518">
            <v>234</v>
          </cell>
          <cell r="AE1518">
            <v>456</v>
          </cell>
          <cell r="AF1518">
            <v>354</v>
          </cell>
          <cell r="AG1518">
            <v>191</v>
          </cell>
          <cell r="AH1518">
            <v>184</v>
          </cell>
          <cell r="AI1518">
            <v>168</v>
          </cell>
          <cell r="AJ1518">
            <v>79</v>
          </cell>
        </row>
        <row r="1519">
          <cell r="E1519" t="str">
            <v>CT Transportation Hydrocarbon Gas Liquids</v>
          </cell>
          <cell r="F1519">
            <v>139</v>
          </cell>
          <cell r="G1519">
            <v>154</v>
          </cell>
          <cell r="H1519">
            <v>124</v>
          </cell>
          <cell r="I1519">
            <v>126</v>
          </cell>
          <cell r="J1519">
            <v>192</v>
          </cell>
          <cell r="K1519">
            <v>100</v>
          </cell>
          <cell r="L1519">
            <v>82</v>
          </cell>
          <cell r="M1519">
            <v>62</v>
          </cell>
          <cell r="N1519">
            <v>199</v>
          </cell>
          <cell r="O1519">
            <v>129</v>
          </cell>
          <cell r="P1519">
            <v>126</v>
          </cell>
          <cell r="Q1519">
            <v>358</v>
          </cell>
          <cell r="R1519">
            <v>134</v>
          </cell>
          <cell r="S1519">
            <v>106</v>
          </cell>
          <cell r="T1519">
            <v>124</v>
          </cell>
          <cell r="U1519">
            <v>147</v>
          </cell>
          <cell r="V1519">
            <v>89</v>
          </cell>
          <cell r="W1519">
            <v>66</v>
          </cell>
          <cell r="X1519">
            <v>182</v>
          </cell>
          <cell r="Y1519">
            <v>149</v>
          </cell>
          <cell r="Z1519">
            <v>32</v>
          </cell>
          <cell r="AA1519">
            <v>33</v>
          </cell>
          <cell r="AB1519">
            <v>34</v>
          </cell>
          <cell r="AC1519">
            <v>40</v>
          </cell>
          <cell r="AD1519">
            <v>44</v>
          </cell>
          <cell r="AE1519">
            <v>60</v>
          </cell>
          <cell r="AF1519">
            <v>70</v>
          </cell>
          <cell r="AG1519">
            <v>223</v>
          </cell>
          <cell r="AH1519">
            <v>150</v>
          </cell>
          <cell r="AI1519">
            <v>102</v>
          </cell>
          <cell r="AJ1519">
            <v>75</v>
          </cell>
        </row>
        <row r="1520">
          <cell r="E1520" t="str">
            <v>DC Transportation Hydrocarbon Gas Liquids</v>
          </cell>
          <cell r="F1520">
            <v>2</v>
          </cell>
          <cell r="G1520">
            <v>2</v>
          </cell>
          <cell r="H1520">
            <v>4</v>
          </cell>
          <cell r="I1520">
            <v>5</v>
          </cell>
          <cell r="J1520">
            <v>4</v>
          </cell>
          <cell r="K1520">
            <v>2</v>
          </cell>
          <cell r="L1520">
            <v>2</v>
          </cell>
          <cell r="M1520">
            <v>4</v>
          </cell>
          <cell r="N1520">
            <v>1</v>
          </cell>
          <cell r="O1520">
            <v>1</v>
          </cell>
          <cell r="P1520">
            <v>3</v>
          </cell>
          <cell r="Q1520">
            <v>0</v>
          </cell>
          <cell r="R1520">
            <v>0</v>
          </cell>
          <cell r="S1520">
            <v>1</v>
          </cell>
          <cell r="T1520">
            <v>1</v>
          </cell>
          <cell r="U1520">
            <v>2</v>
          </cell>
          <cell r="V1520">
            <v>2</v>
          </cell>
          <cell r="W1520">
            <v>2</v>
          </cell>
          <cell r="X1520">
            <v>3</v>
          </cell>
          <cell r="Y1520">
            <v>2</v>
          </cell>
          <cell r="Z1520">
            <v>2</v>
          </cell>
          <cell r="AA1520">
            <v>2</v>
          </cell>
          <cell r="AB1520">
            <v>2</v>
          </cell>
          <cell r="AC1520">
            <v>2</v>
          </cell>
          <cell r="AD1520">
            <v>2</v>
          </cell>
          <cell r="AE1520">
            <v>46</v>
          </cell>
          <cell r="AF1520">
            <v>12</v>
          </cell>
          <cell r="AG1520">
            <v>0</v>
          </cell>
          <cell r="AH1520">
            <v>0</v>
          </cell>
          <cell r="AI1520">
            <v>2</v>
          </cell>
          <cell r="AJ1520">
            <v>0</v>
          </cell>
        </row>
        <row r="1521">
          <cell r="E1521" t="str">
            <v>DE Transportation Hydrocarbon Gas Liquids</v>
          </cell>
          <cell r="F1521">
            <v>22</v>
          </cell>
          <cell r="G1521">
            <v>24</v>
          </cell>
          <cell r="H1521">
            <v>23</v>
          </cell>
          <cell r="I1521">
            <v>20</v>
          </cell>
          <cell r="J1521">
            <v>26</v>
          </cell>
          <cell r="K1521">
            <v>18</v>
          </cell>
          <cell r="L1521">
            <v>16</v>
          </cell>
          <cell r="M1521">
            <v>25</v>
          </cell>
          <cell r="N1521">
            <v>12</v>
          </cell>
          <cell r="O1521">
            <v>6</v>
          </cell>
          <cell r="P1521">
            <v>7</v>
          </cell>
          <cell r="Q1521">
            <v>1</v>
          </cell>
          <cell r="R1521">
            <v>12</v>
          </cell>
          <cell r="S1521">
            <v>7</v>
          </cell>
          <cell r="T1521">
            <v>11</v>
          </cell>
          <cell r="U1521">
            <v>15</v>
          </cell>
          <cell r="V1521">
            <v>17</v>
          </cell>
          <cell r="W1521">
            <v>6</v>
          </cell>
          <cell r="X1521">
            <v>50</v>
          </cell>
          <cell r="Y1521">
            <v>11</v>
          </cell>
          <cell r="Z1521">
            <v>8</v>
          </cell>
          <cell r="AA1521">
            <v>8</v>
          </cell>
          <cell r="AB1521">
            <v>11</v>
          </cell>
          <cell r="AC1521">
            <v>9</v>
          </cell>
          <cell r="AD1521">
            <v>15</v>
          </cell>
          <cell r="AE1521">
            <v>23</v>
          </cell>
          <cell r="AF1521">
            <v>104</v>
          </cell>
          <cell r="AG1521">
            <v>135</v>
          </cell>
          <cell r="AH1521">
            <v>168</v>
          </cell>
          <cell r="AI1521">
            <v>164</v>
          </cell>
          <cell r="AJ1521">
            <v>132</v>
          </cell>
        </row>
        <row r="1522">
          <cell r="E1522" t="str">
            <v>FL Transportation Hydrocarbon Gas Liquids</v>
          </cell>
          <cell r="F1522">
            <v>817</v>
          </cell>
          <cell r="G1522">
            <v>687</v>
          </cell>
          <cell r="H1522">
            <v>640</v>
          </cell>
          <cell r="I1522">
            <v>629</v>
          </cell>
          <cell r="J1522">
            <v>1072</v>
          </cell>
          <cell r="K1522">
            <v>570</v>
          </cell>
          <cell r="L1522">
            <v>459</v>
          </cell>
          <cell r="M1522">
            <v>397</v>
          </cell>
          <cell r="N1522">
            <v>354</v>
          </cell>
          <cell r="O1522">
            <v>509</v>
          </cell>
          <cell r="P1522">
            <v>530</v>
          </cell>
          <cell r="Q1522">
            <v>1206</v>
          </cell>
          <cell r="R1522">
            <v>657</v>
          </cell>
          <cell r="S1522">
            <v>716</v>
          </cell>
          <cell r="T1522">
            <v>1032</v>
          </cell>
          <cell r="U1522">
            <v>1312</v>
          </cell>
          <cell r="V1522">
            <v>1244</v>
          </cell>
          <cell r="W1522">
            <v>756</v>
          </cell>
          <cell r="X1522">
            <v>1267</v>
          </cell>
          <cell r="Y1522">
            <v>891</v>
          </cell>
          <cell r="Z1522">
            <v>234</v>
          </cell>
          <cell r="AA1522">
            <v>234</v>
          </cell>
          <cell r="AB1522">
            <v>182</v>
          </cell>
          <cell r="AC1522">
            <v>231</v>
          </cell>
          <cell r="AD1522">
            <v>240</v>
          </cell>
          <cell r="AE1522">
            <v>338</v>
          </cell>
          <cell r="AF1522">
            <v>389</v>
          </cell>
          <cell r="AG1522">
            <v>663</v>
          </cell>
          <cell r="AH1522">
            <v>637</v>
          </cell>
          <cell r="AI1522">
            <v>608</v>
          </cell>
          <cell r="AJ1522">
            <v>637</v>
          </cell>
        </row>
        <row r="1523">
          <cell r="E1523" t="str">
            <v>GA Transportation Hydrocarbon Gas Liquids</v>
          </cell>
          <cell r="F1523">
            <v>403</v>
          </cell>
          <cell r="G1523">
            <v>430</v>
          </cell>
          <cell r="H1523">
            <v>422</v>
          </cell>
          <cell r="I1523">
            <v>452</v>
          </cell>
          <cell r="J1523">
            <v>957</v>
          </cell>
          <cell r="K1523">
            <v>537</v>
          </cell>
          <cell r="L1523">
            <v>461</v>
          </cell>
          <cell r="M1523">
            <v>523</v>
          </cell>
          <cell r="N1523">
            <v>158</v>
          </cell>
          <cell r="O1523">
            <v>463</v>
          </cell>
          <cell r="P1523">
            <v>451</v>
          </cell>
          <cell r="Q1523">
            <v>459</v>
          </cell>
          <cell r="R1523">
            <v>492</v>
          </cell>
          <cell r="S1523">
            <v>760</v>
          </cell>
          <cell r="T1523">
            <v>723</v>
          </cell>
          <cell r="U1523">
            <v>1069</v>
          </cell>
          <cell r="V1523">
            <v>991</v>
          </cell>
          <cell r="W1523">
            <v>805</v>
          </cell>
          <cell r="X1523">
            <v>1478</v>
          </cell>
          <cell r="Y1523">
            <v>1008</v>
          </cell>
          <cell r="Z1523">
            <v>120</v>
          </cell>
          <cell r="AA1523">
            <v>246</v>
          </cell>
          <cell r="AB1523">
            <v>256</v>
          </cell>
          <cell r="AC1523">
            <v>317</v>
          </cell>
          <cell r="AD1523">
            <v>305</v>
          </cell>
          <cell r="AE1523">
            <v>409</v>
          </cell>
          <cell r="AF1523">
            <v>479</v>
          </cell>
          <cell r="AG1523">
            <v>198</v>
          </cell>
          <cell r="AH1523">
            <v>230</v>
          </cell>
          <cell r="AI1523">
            <v>290</v>
          </cell>
          <cell r="AJ1523">
            <v>191</v>
          </cell>
        </row>
        <row r="1524">
          <cell r="E1524" t="str">
            <v>HI Transportation Hydrocarbon Gas Liquids</v>
          </cell>
          <cell r="F1524">
            <v>49</v>
          </cell>
          <cell r="G1524">
            <v>53</v>
          </cell>
          <cell r="H1524">
            <v>136</v>
          </cell>
          <cell r="I1524">
            <v>36</v>
          </cell>
          <cell r="J1524">
            <v>55</v>
          </cell>
          <cell r="K1524">
            <v>30</v>
          </cell>
          <cell r="L1524">
            <v>7</v>
          </cell>
          <cell r="M1524">
            <v>7</v>
          </cell>
          <cell r="N1524">
            <v>3</v>
          </cell>
          <cell r="O1524">
            <v>0</v>
          </cell>
          <cell r="P1524">
            <v>0</v>
          </cell>
          <cell r="Q1524">
            <v>0</v>
          </cell>
          <cell r="R1524">
            <v>0</v>
          </cell>
          <cell r="S1524">
            <v>43</v>
          </cell>
          <cell r="T1524">
            <v>0</v>
          </cell>
          <cell r="U1524">
            <v>57</v>
          </cell>
          <cell r="V1524">
            <v>64</v>
          </cell>
          <cell r="W1524">
            <v>48</v>
          </cell>
          <cell r="X1524">
            <v>15</v>
          </cell>
          <cell r="Y1524">
            <v>25</v>
          </cell>
          <cell r="Z1524">
            <v>12</v>
          </cell>
          <cell r="AA1524">
            <v>12</v>
          </cell>
          <cell r="AB1524">
            <v>13</v>
          </cell>
          <cell r="AC1524">
            <v>13</v>
          </cell>
          <cell r="AD1524">
            <v>11</v>
          </cell>
          <cell r="AE1524">
            <v>13</v>
          </cell>
          <cell r="AF1524">
            <v>13</v>
          </cell>
          <cell r="AG1524">
            <v>0</v>
          </cell>
          <cell r="AH1524">
            <v>0</v>
          </cell>
          <cell r="AI1524">
            <v>0</v>
          </cell>
          <cell r="AJ1524">
            <v>0</v>
          </cell>
        </row>
        <row r="1525">
          <cell r="E1525" t="str">
            <v>IA Transportation Hydrocarbon Gas Liquids</v>
          </cell>
          <cell r="F1525">
            <v>162</v>
          </cell>
          <cell r="G1525">
            <v>188</v>
          </cell>
          <cell r="H1525">
            <v>176</v>
          </cell>
          <cell r="I1525">
            <v>208</v>
          </cell>
          <cell r="J1525">
            <v>580</v>
          </cell>
          <cell r="K1525">
            <v>224</v>
          </cell>
          <cell r="L1525">
            <v>376</v>
          </cell>
          <cell r="M1525">
            <v>351</v>
          </cell>
          <cell r="N1525">
            <v>79</v>
          </cell>
          <cell r="O1525">
            <v>14</v>
          </cell>
          <cell r="P1525">
            <v>34</v>
          </cell>
          <cell r="Q1525">
            <v>315</v>
          </cell>
          <cell r="R1525">
            <v>40</v>
          </cell>
          <cell r="S1525">
            <v>199</v>
          </cell>
          <cell r="T1525">
            <v>170</v>
          </cell>
          <cell r="U1525">
            <v>237</v>
          </cell>
          <cell r="V1525">
            <v>234</v>
          </cell>
          <cell r="W1525">
            <v>294</v>
          </cell>
          <cell r="X1525">
            <v>517</v>
          </cell>
          <cell r="Y1525">
            <v>528</v>
          </cell>
          <cell r="Z1525">
            <v>35</v>
          </cell>
          <cell r="AA1525">
            <v>31</v>
          </cell>
          <cell r="AB1525">
            <v>25</v>
          </cell>
          <cell r="AC1525">
            <v>32</v>
          </cell>
          <cell r="AD1525">
            <v>28</v>
          </cell>
          <cell r="AE1525">
            <v>37</v>
          </cell>
          <cell r="AF1525">
            <v>42</v>
          </cell>
          <cell r="AG1525">
            <v>136</v>
          </cell>
          <cell r="AH1525">
            <v>555</v>
          </cell>
          <cell r="AI1525">
            <v>579</v>
          </cell>
          <cell r="AJ1525">
            <v>60</v>
          </cell>
        </row>
        <row r="1526">
          <cell r="E1526" t="str">
            <v>ID Transportation Hydrocarbon Gas Liquids</v>
          </cell>
          <cell r="F1526">
            <v>184</v>
          </cell>
          <cell r="G1526">
            <v>153</v>
          </cell>
          <cell r="H1526">
            <v>138</v>
          </cell>
          <cell r="I1526">
            <v>132</v>
          </cell>
          <cell r="J1526">
            <v>193</v>
          </cell>
          <cell r="K1526">
            <v>104</v>
          </cell>
          <cell r="L1526">
            <v>81</v>
          </cell>
          <cell r="M1526">
            <v>37</v>
          </cell>
          <cell r="N1526">
            <v>6</v>
          </cell>
          <cell r="O1526">
            <v>38</v>
          </cell>
          <cell r="P1526">
            <v>78</v>
          </cell>
          <cell r="Q1526">
            <v>14</v>
          </cell>
          <cell r="R1526">
            <v>7</v>
          </cell>
          <cell r="S1526">
            <v>51</v>
          </cell>
          <cell r="T1526">
            <v>166</v>
          </cell>
          <cell r="U1526">
            <v>127</v>
          </cell>
          <cell r="V1526">
            <v>156</v>
          </cell>
          <cell r="W1526">
            <v>102</v>
          </cell>
          <cell r="X1526">
            <v>177</v>
          </cell>
          <cell r="Y1526">
            <v>68</v>
          </cell>
          <cell r="Z1526">
            <v>25</v>
          </cell>
          <cell r="AA1526">
            <v>26</v>
          </cell>
          <cell r="AB1526">
            <v>13</v>
          </cell>
          <cell r="AC1526">
            <v>15</v>
          </cell>
          <cell r="AD1526">
            <v>13</v>
          </cell>
          <cell r="AE1526">
            <v>18</v>
          </cell>
          <cell r="AF1526">
            <v>18</v>
          </cell>
          <cell r="AG1526">
            <v>6</v>
          </cell>
          <cell r="AH1526">
            <v>3</v>
          </cell>
          <cell r="AI1526">
            <v>7</v>
          </cell>
          <cell r="AJ1526">
            <v>10</v>
          </cell>
        </row>
        <row r="1527">
          <cell r="E1527" t="str">
            <v>IL Transportation Hydrocarbon Gas Liquids</v>
          </cell>
          <cell r="F1527">
            <v>1259</v>
          </cell>
          <cell r="G1527">
            <v>1197</v>
          </cell>
          <cell r="H1527">
            <v>1226</v>
          </cell>
          <cell r="I1527">
            <v>1078</v>
          </cell>
          <cell r="J1527">
            <v>2038</v>
          </cell>
          <cell r="K1527">
            <v>1101</v>
          </cell>
          <cell r="L1527">
            <v>949</v>
          </cell>
          <cell r="M1527">
            <v>672</v>
          </cell>
          <cell r="N1527">
            <v>1034</v>
          </cell>
          <cell r="O1527">
            <v>1295</v>
          </cell>
          <cell r="P1527">
            <v>834</v>
          </cell>
          <cell r="Q1527">
            <v>431</v>
          </cell>
          <cell r="R1527">
            <v>860</v>
          </cell>
          <cell r="S1527">
            <v>875</v>
          </cell>
          <cell r="T1527">
            <v>734</v>
          </cell>
          <cell r="U1527">
            <v>1176</v>
          </cell>
          <cell r="V1527">
            <v>1740</v>
          </cell>
          <cell r="W1527">
            <v>1306</v>
          </cell>
          <cell r="X1527">
            <v>2841</v>
          </cell>
          <cell r="Y1527">
            <v>1890</v>
          </cell>
          <cell r="Z1527">
            <v>127</v>
          </cell>
          <cell r="AA1527">
            <v>117</v>
          </cell>
          <cell r="AB1527">
            <v>98</v>
          </cell>
          <cell r="AC1527">
            <v>128</v>
          </cell>
          <cell r="AD1527">
            <v>119</v>
          </cell>
          <cell r="AE1527">
            <v>151</v>
          </cell>
          <cell r="AF1527">
            <v>185</v>
          </cell>
          <cell r="AG1527">
            <v>264</v>
          </cell>
          <cell r="AH1527">
            <v>743</v>
          </cell>
          <cell r="AI1527">
            <v>753</v>
          </cell>
          <cell r="AJ1527">
            <v>100</v>
          </cell>
        </row>
        <row r="1528">
          <cell r="E1528" t="str">
            <v>IN Transportation Hydrocarbon Gas Liquids</v>
          </cell>
          <cell r="F1528">
            <v>586</v>
          </cell>
          <cell r="G1528">
            <v>610</v>
          </cell>
          <cell r="H1528">
            <v>622</v>
          </cell>
          <cell r="I1528">
            <v>490</v>
          </cell>
          <cell r="J1528">
            <v>900</v>
          </cell>
          <cell r="K1528">
            <v>401</v>
          </cell>
          <cell r="L1528">
            <v>459</v>
          </cell>
          <cell r="M1528">
            <v>255</v>
          </cell>
          <cell r="N1528">
            <v>190</v>
          </cell>
          <cell r="O1528">
            <v>134</v>
          </cell>
          <cell r="P1528">
            <v>231</v>
          </cell>
          <cell r="Q1528">
            <v>280</v>
          </cell>
          <cell r="R1528">
            <v>522</v>
          </cell>
          <cell r="S1528">
            <v>672</v>
          </cell>
          <cell r="T1528">
            <v>681</v>
          </cell>
          <cell r="U1528">
            <v>655</v>
          </cell>
          <cell r="V1528">
            <v>558</v>
          </cell>
          <cell r="W1528">
            <v>534</v>
          </cell>
          <cell r="X1528">
            <v>948</v>
          </cell>
          <cell r="Y1528">
            <v>724</v>
          </cell>
          <cell r="Z1528">
            <v>125</v>
          </cell>
          <cell r="AA1528">
            <v>135</v>
          </cell>
          <cell r="AB1528">
            <v>110</v>
          </cell>
          <cell r="AC1528">
            <v>152</v>
          </cell>
          <cell r="AD1528">
            <v>311</v>
          </cell>
          <cell r="AE1528">
            <v>277</v>
          </cell>
          <cell r="AF1528">
            <v>362</v>
          </cell>
          <cell r="AG1528">
            <v>184</v>
          </cell>
          <cell r="AH1528">
            <v>160</v>
          </cell>
          <cell r="AI1528">
            <v>123</v>
          </cell>
          <cell r="AJ1528">
            <v>77</v>
          </cell>
        </row>
        <row r="1529">
          <cell r="E1529" t="str">
            <v>KS Transportation Hydrocarbon Gas Liquids</v>
          </cell>
          <cell r="F1529">
            <v>545</v>
          </cell>
          <cell r="G1529">
            <v>417</v>
          </cell>
          <cell r="H1529">
            <v>380</v>
          </cell>
          <cell r="I1529">
            <v>384</v>
          </cell>
          <cell r="J1529">
            <v>579</v>
          </cell>
          <cell r="K1529">
            <v>217</v>
          </cell>
          <cell r="L1529">
            <v>89</v>
          </cell>
          <cell r="M1529">
            <v>374</v>
          </cell>
          <cell r="N1529">
            <v>102</v>
          </cell>
          <cell r="O1529">
            <v>87</v>
          </cell>
          <cell r="P1529">
            <v>115</v>
          </cell>
          <cell r="Q1529">
            <v>217</v>
          </cell>
          <cell r="R1529">
            <v>192</v>
          </cell>
          <cell r="S1529">
            <v>196</v>
          </cell>
          <cell r="T1529">
            <v>165</v>
          </cell>
          <cell r="U1529">
            <v>295</v>
          </cell>
          <cell r="V1529">
            <v>155</v>
          </cell>
          <cell r="W1529">
            <v>158</v>
          </cell>
          <cell r="X1529">
            <v>270</v>
          </cell>
          <cell r="Y1529">
            <v>263</v>
          </cell>
          <cell r="Z1529">
            <v>56</v>
          </cell>
          <cell r="AA1529">
            <v>36</v>
          </cell>
          <cell r="AB1529">
            <v>31</v>
          </cell>
          <cell r="AC1529">
            <v>40</v>
          </cell>
          <cell r="AD1529">
            <v>39</v>
          </cell>
          <cell r="AE1529">
            <v>47</v>
          </cell>
          <cell r="AF1529">
            <v>51</v>
          </cell>
          <cell r="AG1529">
            <v>32</v>
          </cell>
          <cell r="AH1529">
            <v>392</v>
          </cell>
          <cell r="AI1529">
            <v>103</v>
          </cell>
          <cell r="AJ1529">
            <v>49</v>
          </cell>
        </row>
        <row r="1530">
          <cell r="E1530" t="str">
            <v>KY Transportation Hydrocarbon Gas Liquids</v>
          </cell>
          <cell r="F1530">
            <v>249</v>
          </cell>
          <cell r="G1530">
            <v>201</v>
          </cell>
          <cell r="H1530">
            <v>218</v>
          </cell>
          <cell r="I1530">
            <v>217</v>
          </cell>
          <cell r="J1530">
            <v>357</v>
          </cell>
          <cell r="K1530">
            <v>179</v>
          </cell>
          <cell r="L1530">
            <v>190</v>
          </cell>
          <cell r="M1530">
            <v>224</v>
          </cell>
          <cell r="N1530">
            <v>73</v>
          </cell>
          <cell r="O1530">
            <v>98</v>
          </cell>
          <cell r="P1530">
            <v>216</v>
          </cell>
          <cell r="Q1530">
            <v>250</v>
          </cell>
          <cell r="R1530">
            <v>534</v>
          </cell>
          <cell r="S1530">
            <v>234</v>
          </cell>
          <cell r="T1530">
            <v>312</v>
          </cell>
          <cell r="U1530">
            <v>354</v>
          </cell>
          <cell r="V1530">
            <v>444</v>
          </cell>
          <cell r="W1530">
            <v>355</v>
          </cell>
          <cell r="X1530">
            <v>534</v>
          </cell>
          <cell r="Y1530">
            <v>341</v>
          </cell>
          <cell r="Z1530">
            <v>62</v>
          </cell>
          <cell r="AA1530">
            <v>72</v>
          </cell>
          <cell r="AB1530">
            <v>60</v>
          </cell>
          <cell r="AC1530">
            <v>58</v>
          </cell>
          <cell r="AD1530">
            <v>61</v>
          </cell>
          <cell r="AE1530">
            <v>80</v>
          </cell>
          <cell r="AF1530">
            <v>99</v>
          </cell>
          <cell r="AG1530">
            <v>49</v>
          </cell>
          <cell r="AH1530">
            <v>35</v>
          </cell>
          <cell r="AI1530">
            <v>39</v>
          </cell>
          <cell r="AJ1530">
            <v>20</v>
          </cell>
        </row>
        <row r="1531">
          <cell r="E1531" t="str">
            <v>LA Transportation Hydrocarbon Gas Liquids</v>
          </cell>
          <cell r="F1531">
            <v>282</v>
          </cell>
          <cell r="G1531">
            <v>285</v>
          </cell>
          <cell r="H1531">
            <v>247</v>
          </cell>
          <cell r="I1531">
            <v>264</v>
          </cell>
          <cell r="J1531">
            <v>441</v>
          </cell>
          <cell r="K1531">
            <v>235</v>
          </cell>
          <cell r="L1531">
            <v>173</v>
          </cell>
          <cell r="M1531">
            <v>174</v>
          </cell>
          <cell r="N1531">
            <v>79</v>
          </cell>
          <cell r="O1531">
            <v>99</v>
          </cell>
          <cell r="P1531">
            <v>31</v>
          </cell>
          <cell r="Q1531">
            <v>63</v>
          </cell>
          <cell r="R1531">
            <v>281</v>
          </cell>
          <cell r="S1531">
            <v>148</v>
          </cell>
          <cell r="T1531">
            <v>209</v>
          </cell>
          <cell r="U1531">
            <v>265</v>
          </cell>
          <cell r="V1531">
            <v>194</v>
          </cell>
          <cell r="W1531">
            <v>153</v>
          </cell>
          <cell r="X1531">
            <v>295</v>
          </cell>
          <cell r="Y1531">
            <v>207</v>
          </cell>
          <cell r="Z1531">
            <v>34</v>
          </cell>
          <cell r="AA1531">
            <v>34</v>
          </cell>
          <cell r="AB1531">
            <v>31</v>
          </cell>
          <cell r="AC1531">
            <v>36</v>
          </cell>
          <cell r="AD1531">
            <v>36</v>
          </cell>
          <cell r="AE1531">
            <v>46</v>
          </cell>
          <cell r="AF1531">
            <v>49</v>
          </cell>
          <cell r="AG1531">
            <v>219</v>
          </cell>
          <cell r="AH1531">
            <v>162</v>
          </cell>
          <cell r="AI1531">
            <v>161</v>
          </cell>
          <cell r="AJ1531">
            <v>164</v>
          </cell>
        </row>
        <row r="1532">
          <cell r="E1532" t="str">
            <v>MA Transportation Hydrocarbon Gas Liquids</v>
          </cell>
          <cell r="F1532">
            <v>227</v>
          </cell>
          <cell r="G1532">
            <v>264</v>
          </cell>
          <cell r="H1532">
            <v>244</v>
          </cell>
          <cell r="I1532">
            <v>236</v>
          </cell>
          <cell r="J1532">
            <v>338</v>
          </cell>
          <cell r="K1532">
            <v>192</v>
          </cell>
          <cell r="L1532">
            <v>173</v>
          </cell>
          <cell r="M1532">
            <v>179</v>
          </cell>
          <cell r="N1532">
            <v>174</v>
          </cell>
          <cell r="O1532">
            <v>600</v>
          </cell>
          <cell r="P1532">
            <v>215</v>
          </cell>
          <cell r="Q1532">
            <v>159</v>
          </cell>
          <cell r="R1532">
            <v>149</v>
          </cell>
          <cell r="S1532">
            <v>150</v>
          </cell>
          <cell r="T1532">
            <v>123</v>
          </cell>
          <cell r="U1532">
            <v>153</v>
          </cell>
          <cell r="V1532">
            <v>131</v>
          </cell>
          <cell r="W1532">
            <v>113</v>
          </cell>
          <cell r="X1532">
            <v>209</v>
          </cell>
          <cell r="Y1532">
            <v>97</v>
          </cell>
          <cell r="Z1532">
            <v>38</v>
          </cell>
          <cell r="AA1532">
            <v>40</v>
          </cell>
          <cell r="AB1532">
            <v>40</v>
          </cell>
          <cell r="AC1532">
            <v>40</v>
          </cell>
          <cell r="AD1532">
            <v>49</v>
          </cell>
          <cell r="AE1532">
            <v>74</v>
          </cell>
          <cell r="AF1532">
            <v>95</v>
          </cell>
          <cell r="AG1532">
            <v>162</v>
          </cell>
          <cell r="AH1532">
            <v>37</v>
          </cell>
          <cell r="AI1532">
            <v>30</v>
          </cell>
          <cell r="AJ1532">
            <v>52</v>
          </cell>
        </row>
        <row r="1533">
          <cell r="E1533" t="str">
            <v>MD Transportation Hydrocarbon Gas Liquids</v>
          </cell>
          <cell r="F1533">
            <v>198</v>
          </cell>
          <cell r="G1533">
            <v>162</v>
          </cell>
          <cell r="H1533">
            <v>389</v>
          </cell>
          <cell r="I1533">
            <v>440</v>
          </cell>
          <cell r="J1533">
            <v>371</v>
          </cell>
          <cell r="K1533">
            <v>185</v>
          </cell>
          <cell r="L1533">
            <v>187</v>
          </cell>
          <cell r="M1533">
            <v>392</v>
          </cell>
          <cell r="N1533">
            <v>49</v>
          </cell>
          <cell r="O1533">
            <v>48</v>
          </cell>
          <cell r="P1533">
            <v>291</v>
          </cell>
          <cell r="Q1533">
            <v>27</v>
          </cell>
          <cell r="R1533">
            <v>45</v>
          </cell>
          <cell r="S1533">
            <v>123</v>
          </cell>
          <cell r="T1533">
            <v>131</v>
          </cell>
          <cell r="U1533">
            <v>177</v>
          </cell>
          <cell r="V1533">
            <v>168</v>
          </cell>
          <cell r="W1533">
            <v>156</v>
          </cell>
          <cell r="X1533">
            <v>291</v>
          </cell>
          <cell r="Y1533">
            <v>216</v>
          </cell>
          <cell r="Z1533">
            <v>41</v>
          </cell>
          <cell r="AA1533">
            <v>43</v>
          </cell>
          <cell r="AB1533">
            <v>42</v>
          </cell>
          <cell r="AC1533">
            <v>49</v>
          </cell>
          <cell r="AD1533">
            <v>55</v>
          </cell>
          <cell r="AE1533">
            <v>72</v>
          </cell>
          <cell r="AF1533">
            <v>84</v>
          </cell>
          <cell r="AG1533">
            <v>113</v>
          </cell>
          <cell r="AH1533">
            <v>165</v>
          </cell>
          <cell r="AI1533">
            <v>139</v>
          </cell>
          <cell r="AJ1533">
            <v>69</v>
          </cell>
        </row>
        <row r="1534">
          <cell r="E1534" t="str">
            <v>ME Transportation Hydrocarbon Gas Liquids</v>
          </cell>
          <cell r="F1534">
            <v>66</v>
          </cell>
          <cell r="G1534">
            <v>65</v>
          </cell>
          <cell r="H1534">
            <v>59</v>
          </cell>
          <cell r="I1534">
            <v>50</v>
          </cell>
          <cell r="J1534">
            <v>86</v>
          </cell>
          <cell r="K1534">
            <v>41</v>
          </cell>
          <cell r="L1534">
            <v>28</v>
          </cell>
          <cell r="M1534">
            <v>49</v>
          </cell>
          <cell r="N1534">
            <v>22</v>
          </cell>
          <cell r="O1534">
            <v>18</v>
          </cell>
          <cell r="P1534">
            <v>2</v>
          </cell>
          <cell r="Q1534">
            <v>2</v>
          </cell>
          <cell r="R1534">
            <v>2</v>
          </cell>
          <cell r="S1534">
            <v>47</v>
          </cell>
          <cell r="T1534">
            <v>30</v>
          </cell>
          <cell r="U1534">
            <v>35</v>
          </cell>
          <cell r="V1534">
            <v>32</v>
          </cell>
          <cell r="W1534">
            <v>27</v>
          </cell>
          <cell r="X1534">
            <v>46</v>
          </cell>
          <cell r="Y1534">
            <v>33</v>
          </cell>
          <cell r="Z1534">
            <v>44</v>
          </cell>
          <cell r="AA1534">
            <v>45</v>
          </cell>
          <cell r="AB1534">
            <v>53</v>
          </cell>
          <cell r="AC1534">
            <v>61</v>
          </cell>
          <cell r="AD1534">
            <v>66</v>
          </cell>
          <cell r="AE1534">
            <v>48</v>
          </cell>
          <cell r="AF1534">
            <v>60</v>
          </cell>
          <cell r="AG1534">
            <v>24</v>
          </cell>
          <cell r="AH1534">
            <v>8</v>
          </cell>
          <cell r="AI1534">
            <v>7</v>
          </cell>
          <cell r="AJ1534">
            <v>7</v>
          </cell>
        </row>
        <row r="1535">
          <cell r="E1535" t="str">
            <v>MI Transportation Hydrocarbon Gas Liquids</v>
          </cell>
          <cell r="F1535">
            <v>1087</v>
          </cell>
          <cell r="G1535">
            <v>1005</v>
          </cell>
          <cell r="H1535">
            <v>963</v>
          </cell>
          <cell r="I1535">
            <v>1055</v>
          </cell>
          <cell r="J1535">
            <v>1806</v>
          </cell>
          <cell r="K1535">
            <v>926</v>
          </cell>
          <cell r="L1535">
            <v>859</v>
          </cell>
          <cell r="M1535">
            <v>782</v>
          </cell>
          <cell r="N1535">
            <v>3087</v>
          </cell>
          <cell r="O1535">
            <v>1354</v>
          </cell>
          <cell r="P1535">
            <v>1023</v>
          </cell>
          <cell r="Q1535">
            <v>579</v>
          </cell>
          <cell r="R1535">
            <v>703</v>
          </cell>
          <cell r="S1535">
            <v>814</v>
          </cell>
          <cell r="T1535">
            <v>1524</v>
          </cell>
          <cell r="U1535">
            <v>1954</v>
          </cell>
          <cell r="V1535">
            <v>886</v>
          </cell>
          <cell r="W1535">
            <v>1068</v>
          </cell>
          <cell r="X1535">
            <v>1110</v>
          </cell>
          <cell r="Y1535">
            <v>873</v>
          </cell>
          <cell r="Z1535">
            <v>159</v>
          </cell>
          <cell r="AA1535">
            <v>159</v>
          </cell>
          <cell r="AB1535">
            <v>127</v>
          </cell>
          <cell r="AC1535">
            <v>156</v>
          </cell>
          <cell r="AD1535">
            <v>154</v>
          </cell>
          <cell r="AE1535">
            <v>216</v>
          </cell>
          <cell r="AF1535">
            <v>254</v>
          </cell>
          <cell r="AG1535">
            <v>509</v>
          </cell>
          <cell r="AH1535">
            <v>363</v>
          </cell>
          <cell r="AI1535">
            <v>382</v>
          </cell>
          <cell r="AJ1535">
            <v>230</v>
          </cell>
        </row>
        <row r="1536">
          <cell r="E1536" t="str">
            <v>MN Transportation Hydrocarbon Gas Liquids</v>
          </cell>
          <cell r="F1536">
            <v>218</v>
          </cell>
          <cell r="G1536">
            <v>198</v>
          </cell>
          <cell r="H1536">
            <v>207</v>
          </cell>
          <cell r="I1536">
            <v>382</v>
          </cell>
          <cell r="J1536">
            <v>486</v>
          </cell>
          <cell r="K1536">
            <v>515</v>
          </cell>
          <cell r="L1536">
            <v>539</v>
          </cell>
          <cell r="M1536">
            <v>525</v>
          </cell>
          <cell r="N1536">
            <v>52</v>
          </cell>
          <cell r="O1536">
            <v>26</v>
          </cell>
          <cell r="P1536">
            <v>26</v>
          </cell>
          <cell r="Q1536">
            <v>51</v>
          </cell>
          <cell r="R1536">
            <v>52</v>
          </cell>
          <cell r="S1536">
            <v>330</v>
          </cell>
          <cell r="T1536">
            <v>375</v>
          </cell>
          <cell r="U1536">
            <v>381</v>
          </cell>
          <cell r="V1536">
            <v>333</v>
          </cell>
          <cell r="W1536">
            <v>352</v>
          </cell>
          <cell r="X1536">
            <v>655</v>
          </cell>
          <cell r="Y1536">
            <v>441</v>
          </cell>
          <cell r="Z1536">
            <v>74</v>
          </cell>
          <cell r="AA1536">
            <v>79</v>
          </cell>
          <cell r="AB1536">
            <v>64</v>
          </cell>
          <cell r="AC1536">
            <v>80</v>
          </cell>
          <cell r="AD1536">
            <v>77</v>
          </cell>
          <cell r="AE1536">
            <v>94</v>
          </cell>
          <cell r="AF1536">
            <v>107</v>
          </cell>
          <cell r="AG1536">
            <v>142</v>
          </cell>
          <cell r="AH1536">
            <v>50</v>
          </cell>
          <cell r="AI1536">
            <v>228</v>
          </cell>
          <cell r="AJ1536">
            <v>56</v>
          </cell>
        </row>
        <row r="1537">
          <cell r="E1537" t="str">
            <v>MO Transportation Hydrocarbon Gas Liquids</v>
          </cell>
          <cell r="F1537">
            <v>450</v>
          </cell>
          <cell r="G1537">
            <v>500</v>
          </cell>
          <cell r="H1537">
            <v>337</v>
          </cell>
          <cell r="I1537">
            <v>350</v>
          </cell>
          <cell r="J1537">
            <v>777</v>
          </cell>
          <cell r="K1537">
            <v>429</v>
          </cell>
          <cell r="L1537">
            <v>375</v>
          </cell>
          <cell r="M1537">
            <v>221</v>
          </cell>
          <cell r="N1537">
            <v>76</v>
          </cell>
          <cell r="O1537">
            <v>226</v>
          </cell>
          <cell r="P1537">
            <v>252</v>
          </cell>
          <cell r="Q1537">
            <v>1010</v>
          </cell>
          <cell r="R1537">
            <v>301</v>
          </cell>
          <cell r="S1537">
            <v>481</v>
          </cell>
          <cell r="T1537">
            <v>426</v>
          </cell>
          <cell r="U1537">
            <v>436</v>
          </cell>
          <cell r="V1537">
            <v>620</v>
          </cell>
          <cell r="W1537">
            <v>610</v>
          </cell>
          <cell r="X1537">
            <v>999</v>
          </cell>
          <cell r="Y1537">
            <v>1040</v>
          </cell>
          <cell r="Z1537">
            <v>166</v>
          </cell>
          <cell r="AA1537">
            <v>173</v>
          </cell>
          <cell r="AB1537">
            <v>149</v>
          </cell>
          <cell r="AC1537">
            <v>173</v>
          </cell>
          <cell r="AD1537">
            <v>173</v>
          </cell>
          <cell r="AE1537">
            <v>216</v>
          </cell>
          <cell r="AF1537">
            <v>226</v>
          </cell>
          <cell r="AG1537">
            <v>34</v>
          </cell>
          <cell r="AH1537">
            <v>184</v>
          </cell>
          <cell r="AI1537">
            <v>127</v>
          </cell>
          <cell r="AJ1537">
            <v>35</v>
          </cell>
        </row>
        <row r="1538">
          <cell r="E1538" t="str">
            <v>MS Transportation Hydrocarbon Gas Liquids</v>
          </cell>
          <cell r="F1538">
            <v>505</v>
          </cell>
          <cell r="G1538">
            <v>420</v>
          </cell>
          <cell r="H1538">
            <v>353</v>
          </cell>
          <cell r="I1538">
            <v>405</v>
          </cell>
          <cell r="J1538">
            <v>607</v>
          </cell>
          <cell r="K1538">
            <v>277</v>
          </cell>
          <cell r="L1538">
            <v>244</v>
          </cell>
          <cell r="M1538">
            <v>224</v>
          </cell>
          <cell r="N1538">
            <v>26</v>
          </cell>
          <cell r="O1538">
            <v>1311</v>
          </cell>
          <cell r="P1538">
            <v>437</v>
          </cell>
          <cell r="Q1538">
            <v>93</v>
          </cell>
          <cell r="R1538">
            <v>276</v>
          </cell>
          <cell r="S1538">
            <v>178</v>
          </cell>
          <cell r="T1538">
            <v>166</v>
          </cell>
          <cell r="U1538">
            <v>174</v>
          </cell>
          <cell r="V1538">
            <v>125</v>
          </cell>
          <cell r="W1538">
            <v>114</v>
          </cell>
          <cell r="X1538">
            <v>300</v>
          </cell>
          <cell r="Y1538">
            <v>214</v>
          </cell>
          <cell r="Z1538">
            <v>178</v>
          </cell>
          <cell r="AA1538">
            <v>123</v>
          </cell>
          <cell r="AB1538">
            <v>154</v>
          </cell>
          <cell r="AC1538">
            <v>173</v>
          </cell>
          <cell r="AD1538">
            <v>117</v>
          </cell>
          <cell r="AE1538">
            <v>171</v>
          </cell>
          <cell r="AF1538">
            <v>136</v>
          </cell>
          <cell r="AG1538">
            <v>6</v>
          </cell>
          <cell r="AH1538">
            <v>147</v>
          </cell>
          <cell r="AI1538">
            <v>38</v>
          </cell>
          <cell r="AJ1538">
            <v>140</v>
          </cell>
        </row>
        <row r="1539">
          <cell r="E1539" t="str">
            <v>MT Transportation Hydrocarbon Gas Liquids</v>
          </cell>
          <cell r="F1539">
            <v>256</v>
          </cell>
          <cell r="G1539">
            <v>184</v>
          </cell>
          <cell r="H1539">
            <v>135</v>
          </cell>
          <cell r="I1539">
            <v>165</v>
          </cell>
          <cell r="J1539">
            <v>222</v>
          </cell>
          <cell r="K1539">
            <v>107</v>
          </cell>
          <cell r="L1539">
            <v>60</v>
          </cell>
          <cell r="M1539">
            <v>31</v>
          </cell>
          <cell r="N1539">
            <v>240</v>
          </cell>
          <cell r="O1539">
            <v>47</v>
          </cell>
          <cell r="P1539">
            <v>43</v>
          </cell>
          <cell r="Q1539">
            <v>78</v>
          </cell>
          <cell r="R1539">
            <v>43</v>
          </cell>
          <cell r="S1539">
            <v>48</v>
          </cell>
          <cell r="T1539">
            <v>100</v>
          </cell>
          <cell r="U1539">
            <v>86</v>
          </cell>
          <cell r="V1539">
            <v>69</v>
          </cell>
          <cell r="W1539">
            <v>46</v>
          </cell>
          <cell r="X1539">
            <v>136</v>
          </cell>
          <cell r="Y1539">
            <v>37</v>
          </cell>
          <cell r="Z1539">
            <v>24</v>
          </cell>
          <cell r="AA1539">
            <v>22</v>
          </cell>
          <cell r="AB1539">
            <v>18</v>
          </cell>
          <cell r="AC1539">
            <v>13</v>
          </cell>
          <cell r="AD1539">
            <v>9</v>
          </cell>
          <cell r="AE1539">
            <v>12</v>
          </cell>
          <cell r="AF1539">
            <v>13</v>
          </cell>
          <cell r="AG1539">
            <v>14</v>
          </cell>
          <cell r="AH1539">
            <v>28</v>
          </cell>
          <cell r="AI1539">
            <v>25</v>
          </cell>
          <cell r="AJ1539">
            <v>29</v>
          </cell>
        </row>
        <row r="1540">
          <cell r="E1540" t="str">
            <v>NC Transportation Hydrocarbon Gas Liquids</v>
          </cell>
          <cell r="F1540">
            <v>614</v>
          </cell>
          <cell r="G1540">
            <v>713</v>
          </cell>
          <cell r="H1540">
            <v>551</v>
          </cell>
          <cell r="I1540">
            <v>594</v>
          </cell>
          <cell r="J1540">
            <v>1067</v>
          </cell>
          <cell r="K1540">
            <v>540</v>
          </cell>
          <cell r="L1540">
            <v>505</v>
          </cell>
          <cell r="M1540">
            <v>468</v>
          </cell>
          <cell r="N1540">
            <v>809</v>
          </cell>
          <cell r="O1540">
            <v>278</v>
          </cell>
          <cell r="P1540">
            <v>378</v>
          </cell>
          <cell r="Q1540">
            <v>223</v>
          </cell>
          <cell r="R1540">
            <v>515</v>
          </cell>
          <cell r="S1540">
            <v>530</v>
          </cell>
          <cell r="T1540">
            <v>530</v>
          </cell>
          <cell r="U1540">
            <v>4792</v>
          </cell>
          <cell r="V1540">
            <v>4506</v>
          </cell>
          <cell r="W1540">
            <v>3456</v>
          </cell>
          <cell r="X1540">
            <v>5867</v>
          </cell>
          <cell r="Y1540">
            <v>4359</v>
          </cell>
          <cell r="Z1540">
            <v>211</v>
          </cell>
          <cell r="AA1540">
            <v>214</v>
          </cell>
          <cell r="AB1540">
            <v>199</v>
          </cell>
          <cell r="AC1540">
            <v>222</v>
          </cell>
          <cell r="AD1540">
            <v>179</v>
          </cell>
          <cell r="AE1540">
            <v>223</v>
          </cell>
          <cell r="AF1540">
            <v>281</v>
          </cell>
          <cell r="AG1540">
            <v>73</v>
          </cell>
          <cell r="AH1540">
            <v>116</v>
          </cell>
          <cell r="AI1540">
            <v>92</v>
          </cell>
          <cell r="AJ1540">
            <v>88</v>
          </cell>
        </row>
        <row r="1541">
          <cell r="E1541" t="str">
            <v>ND Transportation Hydrocarbon Gas Liquids</v>
          </cell>
          <cell r="F1541">
            <v>53</v>
          </cell>
          <cell r="G1541">
            <v>58</v>
          </cell>
          <cell r="H1541">
            <v>62</v>
          </cell>
          <cell r="I1541">
            <v>67</v>
          </cell>
          <cell r="J1541">
            <v>76</v>
          </cell>
          <cell r="K1541">
            <v>51</v>
          </cell>
          <cell r="L1541">
            <v>81</v>
          </cell>
          <cell r="M1541">
            <v>48</v>
          </cell>
          <cell r="N1541">
            <v>17</v>
          </cell>
          <cell r="O1541">
            <v>36</v>
          </cell>
          <cell r="P1541">
            <v>20</v>
          </cell>
          <cell r="Q1541">
            <v>31</v>
          </cell>
          <cell r="R1541">
            <v>38</v>
          </cell>
          <cell r="S1541">
            <v>94</v>
          </cell>
          <cell r="T1541">
            <v>126</v>
          </cell>
          <cell r="U1541">
            <v>87</v>
          </cell>
          <cell r="V1541">
            <v>74</v>
          </cell>
          <cell r="W1541">
            <v>74</v>
          </cell>
          <cell r="X1541">
            <v>128</v>
          </cell>
          <cell r="Y1541">
            <v>208</v>
          </cell>
          <cell r="Z1541">
            <v>9</v>
          </cell>
          <cell r="AA1541">
            <v>9</v>
          </cell>
          <cell r="AB1541">
            <v>5</v>
          </cell>
          <cell r="AC1541">
            <v>9</v>
          </cell>
          <cell r="AD1541">
            <v>10</v>
          </cell>
          <cell r="AE1541">
            <v>11</v>
          </cell>
          <cell r="AF1541">
            <v>12</v>
          </cell>
          <cell r="AG1541">
            <v>7</v>
          </cell>
          <cell r="AH1541">
            <v>12</v>
          </cell>
          <cell r="AI1541">
            <v>25</v>
          </cell>
          <cell r="AJ1541">
            <v>21</v>
          </cell>
        </row>
        <row r="1542">
          <cell r="E1542" t="str">
            <v>NE Transportation Hydrocarbon Gas Liquids</v>
          </cell>
          <cell r="F1542">
            <v>235</v>
          </cell>
          <cell r="G1542">
            <v>248</v>
          </cell>
          <cell r="H1542">
            <v>182</v>
          </cell>
          <cell r="I1542">
            <v>184</v>
          </cell>
          <cell r="J1542">
            <v>277</v>
          </cell>
          <cell r="K1542">
            <v>87</v>
          </cell>
          <cell r="L1542">
            <v>82</v>
          </cell>
          <cell r="M1542">
            <v>274</v>
          </cell>
          <cell r="N1542">
            <v>87</v>
          </cell>
          <cell r="O1542">
            <v>53</v>
          </cell>
          <cell r="P1542">
            <v>98</v>
          </cell>
          <cell r="Q1542">
            <v>118</v>
          </cell>
          <cell r="R1542">
            <v>158</v>
          </cell>
          <cell r="S1542">
            <v>171</v>
          </cell>
          <cell r="T1542">
            <v>205</v>
          </cell>
          <cell r="U1542">
            <v>88</v>
          </cell>
          <cell r="V1542">
            <v>131</v>
          </cell>
          <cell r="W1542">
            <v>148</v>
          </cell>
          <cell r="X1542">
            <v>110</v>
          </cell>
          <cell r="Y1542">
            <v>83</v>
          </cell>
          <cell r="Z1542">
            <v>19</v>
          </cell>
          <cell r="AA1542">
            <v>20</v>
          </cell>
          <cell r="AB1542">
            <v>17</v>
          </cell>
          <cell r="AC1542">
            <v>26</v>
          </cell>
          <cell r="AD1542">
            <v>27</v>
          </cell>
          <cell r="AE1542">
            <v>25</v>
          </cell>
          <cell r="AF1542">
            <v>28</v>
          </cell>
          <cell r="AG1542">
            <v>15</v>
          </cell>
          <cell r="AH1542">
            <v>89</v>
          </cell>
          <cell r="AI1542">
            <v>123</v>
          </cell>
          <cell r="AJ1542">
            <v>9</v>
          </cell>
        </row>
        <row r="1543">
          <cell r="E1543" t="str">
            <v>NH Transportation Hydrocarbon Gas Liquids</v>
          </cell>
          <cell r="F1543">
            <v>57</v>
          </cell>
          <cell r="G1543">
            <v>35</v>
          </cell>
          <cell r="H1543">
            <v>37</v>
          </cell>
          <cell r="I1543">
            <v>67</v>
          </cell>
          <cell r="J1543">
            <v>92</v>
          </cell>
          <cell r="K1543">
            <v>69</v>
          </cell>
          <cell r="L1543">
            <v>56</v>
          </cell>
          <cell r="M1543">
            <v>39</v>
          </cell>
          <cell r="N1543">
            <v>9</v>
          </cell>
          <cell r="O1543">
            <v>1</v>
          </cell>
          <cell r="P1543">
            <v>0</v>
          </cell>
          <cell r="Q1543">
            <v>0</v>
          </cell>
          <cell r="R1543">
            <v>158</v>
          </cell>
          <cell r="S1543">
            <v>29</v>
          </cell>
          <cell r="T1543">
            <v>29</v>
          </cell>
          <cell r="U1543">
            <v>38</v>
          </cell>
          <cell r="V1543">
            <v>42</v>
          </cell>
          <cell r="W1543">
            <v>30</v>
          </cell>
          <cell r="X1543">
            <v>162</v>
          </cell>
          <cell r="Y1543">
            <v>28</v>
          </cell>
          <cell r="Z1543">
            <v>17</v>
          </cell>
          <cell r="AA1543">
            <v>20</v>
          </cell>
          <cell r="AB1543">
            <v>23</v>
          </cell>
          <cell r="AC1543">
            <v>18</v>
          </cell>
          <cell r="AD1543">
            <v>22</v>
          </cell>
          <cell r="AE1543">
            <v>47</v>
          </cell>
          <cell r="AF1543">
            <v>82</v>
          </cell>
          <cell r="AG1543">
            <v>36</v>
          </cell>
          <cell r="AH1543">
            <v>4</v>
          </cell>
          <cell r="AI1543">
            <v>6</v>
          </cell>
          <cell r="AJ1543">
            <v>9</v>
          </cell>
        </row>
        <row r="1544">
          <cell r="E1544" t="str">
            <v>NJ Transportation Hydrocarbon Gas Liquids</v>
          </cell>
          <cell r="F1544">
            <v>287</v>
          </cell>
          <cell r="G1544">
            <v>267</v>
          </cell>
          <cell r="H1544">
            <v>292</v>
          </cell>
          <cell r="I1544">
            <v>309</v>
          </cell>
          <cell r="J1544">
            <v>520</v>
          </cell>
          <cell r="K1544">
            <v>263</v>
          </cell>
          <cell r="L1544">
            <v>224</v>
          </cell>
          <cell r="M1544">
            <v>408</v>
          </cell>
          <cell r="N1544">
            <v>203</v>
          </cell>
          <cell r="O1544">
            <v>37</v>
          </cell>
          <cell r="P1544">
            <v>85</v>
          </cell>
          <cell r="Q1544">
            <v>143</v>
          </cell>
          <cell r="R1544">
            <v>711</v>
          </cell>
          <cell r="S1544">
            <v>561</v>
          </cell>
          <cell r="T1544">
            <v>284</v>
          </cell>
          <cell r="U1544">
            <v>333</v>
          </cell>
          <cell r="V1544">
            <v>270</v>
          </cell>
          <cell r="W1544">
            <v>327</v>
          </cell>
          <cell r="X1544">
            <v>452</v>
          </cell>
          <cell r="Y1544">
            <v>253</v>
          </cell>
          <cell r="Z1544">
            <v>66</v>
          </cell>
          <cell r="AA1544">
            <v>65</v>
          </cell>
          <cell r="AB1544">
            <v>65</v>
          </cell>
          <cell r="AC1544">
            <v>69</v>
          </cell>
          <cell r="AD1544">
            <v>76</v>
          </cell>
          <cell r="AE1544">
            <v>98</v>
          </cell>
          <cell r="AF1544">
            <v>114</v>
          </cell>
          <cell r="AG1544">
            <v>42</v>
          </cell>
          <cell r="AH1544">
            <v>76</v>
          </cell>
          <cell r="AI1544">
            <v>109</v>
          </cell>
          <cell r="AJ1544">
            <v>98</v>
          </cell>
        </row>
        <row r="1545">
          <cell r="E1545" t="str">
            <v>NM Transportation Hydrocarbon Gas Liquids</v>
          </cell>
          <cell r="F1545">
            <v>452</v>
          </cell>
          <cell r="G1545">
            <v>308</v>
          </cell>
          <cell r="H1545">
            <v>383</v>
          </cell>
          <cell r="I1545">
            <v>374</v>
          </cell>
          <cell r="J1545">
            <v>550</v>
          </cell>
          <cell r="K1545">
            <v>360</v>
          </cell>
          <cell r="L1545">
            <v>328</v>
          </cell>
          <cell r="M1545">
            <v>286</v>
          </cell>
          <cell r="N1545">
            <v>3</v>
          </cell>
          <cell r="O1545">
            <v>66</v>
          </cell>
          <cell r="P1545">
            <v>68</v>
          </cell>
          <cell r="Q1545">
            <v>141</v>
          </cell>
          <cell r="R1545">
            <v>72</v>
          </cell>
          <cell r="S1545">
            <v>211</v>
          </cell>
          <cell r="T1545">
            <v>310</v>
          </cell>
          <cell r="U1545">
            <v>283</v>
          </cell>
          <cell r="V1545">
            <v>273</v>
          </cell>
          <cell r="W1545">
            <v>151</v>
          </cell>
          <cell r="X1545">
            <v>430</v>
          </cell>
          <cell r="Y1545">
            <v>173</v>
          </cell>
          <cell r="Z1545">
            <v>53</v>
          </cell>
          <cell r="AA1545">
            <v>55</v>
          </cell>
          <cell r="AB1545">
            <v>47</v>
          </cell>
          <cell r="AC1545">
            <v>55</v>
          </cell>
          <cell r="AD1545">
            <v>53</v>
          </cell>
          <cell r="AE1545">
            <v>63</v>
          </cell>
          <cell r="AF1545">
            <v>74</v>
          </cell>
          <cell r="AG1545">
            <v>26</v>
          </cell>
          <cell r="AH1545">
            <v>91</v>
          </cell>
          <cell r="AI1545">
            <v>8</v>
          </cell>
          <cell r="AJ1545">
            <v>37</v>
          </cell>
        </row>
        <row r="1546">
          <cell r="E1546" t="str">
            <v>NV Transportation Hydrocarbon Gas Liquids</v>
          </cell>
          <cell r="F1546">
            <v>86</v>
          </cell>
          <cell r="G1546">
            <v>80</v>
          </cell>
          <cell r="H1546">
            <v>93</v>
          </cell>
          <cell r="I1546">
            <v>101</v>
          </cell>
          <cell r="J1546">
            <v>165</v>
          </cell>
          <cell r="K1546">
            <v>74</v>
          </cell>
          <cell r="L1546">
            <v>85</v>
          </cell>
          <cell r="M1546">
            <v>72</v>
          </cell>
          <cell r="N1546">
            <v>28</v>
          </cell>
          <cell r="O1546">
            <v>0</v>
          </cell>
          <cell r="P1546">
            <v>5</v>
          </cell>
          <cell r="Q1546">
            <v>553</v>
          </cell>
          <cell r="R1546">
            <v>8</v>
          </cell>
          <cell r="S1546">
            <v>238</v>
          </cell>
          <cell r="T1546">
            <v>167</v>
          </cell>
          <cell r="U1546">
            <v>341</v>
          </cell>
          <cell r="V1546">
            <v>250</v>
          </cell>
          <cell r="W1546">
            <v>250</v>
          </cell>
          <cell r="X1546">
            <v>453</v>
          </cell>
          <cell r="Y1546">
            <v>280</v>
          </cell>
          <cell r="Z1546">
            <v>30</v>
          </cell>
          <cell r="AA1546">
            <v>31</v>
          </cell>
          <cell r="AB1546">
            <v>26</v>
          </cell>
          <cell r="AC1546">
            <v>34</v>
          </cell>
          <cell r="AD1546">
            <v>106</v>
          </cell>
          <cell r="AE1546">
            <v>93</v>
          </cell>
          <cell r="AF1546">
            <v>142</v>
          </cell>
          <cell r="AG1546">
            <v>154</v>
          </cell>
          <cell r="AH1546">
            <v>89</v>
          </cell>
          <cell r="AI1546">
            <v>25</v>
          </cell>
          <cell r="AJ1546">
            <v>8</v>
          </cell>
        </row>
        <row r="1547">
          <cell r="E1547" t="str">
            <v>NY Transportation Hydrocarbon Gas Liquids</v>
          </cell>
          <cell r="F1547">
            <v>577</v>
          </cell>
          <cell r="G1547">
            <v>606</v>
          </cell>
          <cell r="H1547">
            <v>551</v>
          </cell>
          <cell r="I1547">
            <v>488</v>
          </cell>
          <cell r="J1547">
            <v>1099</v>
          </cell>
          <cell r="K1547">
            <v>531</v>
          </cell>
          <cell r="L1547">
            <v>473</v>
          </cell>
          <cell r="M1547">
            <v>347</v>
          </cell>
          <cell r="N1547">
            <v>2047</v>
          </cell>
          <cell r="O1547">
            <v>97</v>
          </cell>
          <cell r="P1547">
            <v>901</v>
          </cell>
          <cell r="Q1547">
            <v>94</v>
          </cell>
          <cell r="R1547">
            <v>254</v>
          </cell>
          <cell r="S1547">
            <v>210</v>
          </cell>
          <cell r="T1547">
            <v>254</v>
          </cell>
          <cell r="U1547">
            <v>289</v>
          </cell>
          <cell r="V1547">
            <v>380</v>
          </cell>
          <cell r="W1547">
            <v>213</v>
          </cell>
          <cell r="X1547">
            <v>988</v>
          </cell>
          <cell r="Y1547">
            <v>372</v>
          </cell>
          <cell r="Z1547">
            <v>108</v>
          </cell>
          <cell r="AA1547">
            <v>103</v>
          </cell>
          <cell r="AB1547">
            <v>103</v>
          </cell>
          <cell r="AC1547">
            <v>123</v>
          </cell>
          <cell r="AD1547">
            <v>122</v>
          </cell>
          <cell r="AE1547">
            <v>150</v>
          </cell>
          <cell r="AF1547">
            <v>170</v>
          </cell>
          <cell r="AG1547">
            <v>371</v>
          </cell>
          <cell r="AH1547">
            <v>194</v>
          </cell>
          <cell r="AI1547">
            <v>181</v>
          </cell>
          <cell r="AJ1547">
            <v>95</v>
          </cell>
        </row>
        <row r="1548">
          <cell r="E1548" t="str">
            <v>OH Transportation Hydrocarbon Gas Liquids</v>
          </cell>
          <cell r="F1548">
            <v>1373</v>
          </cell>
          <cell r="G1548">
            <v>1120</v>
          </cell>
          <cell r="H1548">
            <v>965</v>
          </cell>
          <cell r="I1548">
            <v>946</v>
          </cell>
          <cell r="J1548">
            <v>1768</v>
          </cell>
          <cell r="K1548">
            <v>985</v>
          </cell>
          <cell r="L1548">
            <v>901</v>
          </cell>
          <cell r="M1548">
            <v>1065</v>
          </cell>
          <cell r="N1548">
            <v>417</v>
          </cell>
          <cell r="O1548">
            <v>728</v>
          </cell>
          <cell r="P1548">
            <v>558</v>
          </cell>
          <cell r="Q1548">
            <v>771</v>
          </cell>
          <cell r="R1548">
            <v>689</v>
          </cell>
          <cell r="S1548">
            <v>1107</v>
          </cell>
          <cell r="T1548">
            <v>857</v>
          </cell>
          <cell r="U1548">
            <v>1029</v>
          </cell>
          <cell r="V1548">
            <v>1006</v>
          </cell>
          <cell r="W1548">
            <v>761</v>
          </cell>
          <cell r="X1548">
            <v>1559</v>
          </cell>
          <cell r="Y1548">
            <v>973</v>
          </cell>
          <cell r="Z1548">
            <v>157</v>
          </cell>
          <cell r="AA1548">
            <v>155</v>
          </cell>
          <cell r="AB1548">
            <v>120</v>
          </cell>
          <cell r="AC1548">
            <v>143</v>
          </cell>
          <cell r="AD1548">
            <v>161</v>
          </cell>
          <cell r="AE1548">
            <v>214</v>
          </cell>
          <cell r="AF1548">
            <v>262</v>
          </cell>
          <cell r="AG1548">
            <v>97</v>
          </cell>
          <cell r="AH1548">
            <v>172</v>
          </cell>
          <cell r="AI1548">
            <v>435</v>
          </cell>
          <cell r="AJ1548">
            <v>129</v>
          </cell>
        </row>
        <row r="1549">
          <cell r="E1549" t="str">
            <v>OK Transportation Hydrocarbon Gas Liquids</v>
          </cell>
          <cell r="F1549">
            <v>372</v>
          </cell>
          <cell r="G1549">
            <v>418</v>
          </cell>
          <cell r="H1549">
            <v>307</v>
          </cell>
          <cell r="I1549">
            <v>362</v>
          </cell>
          <cell r="J1549">
            <v>554</v>
          </cell>
          <cell r="K1549">
            <v>228</v>
          </cell>
          <cell r="L1549">
            <v>158</v>
          </cell>
          <cell r="M1549">
            <v>224</v>
          </cell>
          <cell r="N1549">
            <v>275</v>
          </cell>
          <cell r="O1549">
            <v>185</v>
          </cell>
          <cell r="P1549">
            <v>168</v>
          </cell>
          <cell r="Q1549">
            <v>253</v>
          </cell>
          <cell r="R1549">
            <v>188</v>
          </cell>
          <cell r="S1549">
            <v>283</v>
          </cell>
          <cell r="T1549">
            <v>196</v>
          </cell>
          <cell r="U1549">
            <v>240</v>
          </cell>
          <cell r="V1549">
            <v>246</v>
          </cell>
          <cell r="W1549">
            <v>187</v>
          </cell>
          <cell r="X1549">
            <v>302</v>
          </cell>
          <cell r="Y1549">
            <v>269</v>
          </cell>
          <cell r="Z1549">
            <v>75</v>
          </cell>
          <cell r="AA1549">
            <v>83</v>
          </cell>
          <cell r="AB1549">
            <v>96</v>
          </cell>
          <cell r="AC1549">
            <v>119</v>
          </cell>
          <cell r="AD1549">
            <v>129</v>
          </cell>
          <cell r="AE1549">
            <v>165</v>
          </cell>
          <cell r="AF1549">
            <v>203</v>
          </cell>
          <cell r="AG1549">
            <v>743</v>
          </cell>
          <cell r="AH1549">
            <v>450</v>
          </cell>
          <cell r="AI1549">
            <v>307</v>
          </cell>
          <cell r="AJ1549">
            <v>253</v>
          </cell>
        </row>
        <row r="1550">
          <cell r="E1550" t="str">
            <v>OR Transportation Hydrocarbon Gas Liquids</v>
          </cell>
          <cell r="F1550">
            <v>702</v>
          </cell>
          <cell r="G1550">
            <v>607</v>
          </cell>
          <cell r="H1550">
            <v>561</v>
          </cell>
          <cell r="I1550">
            <v>552</v>
          </cell>
          <cell r="J1550">
            <v>844</v>
          </cell>
          <cell r="K1550">
            <v>424</v>
          </cell>
          <cell r="L1550">
            <v>381</v>
          </cell>
          <cell r="M1550">
            <v>253</v>
          </cell>
          <cell r="N1550">
            <v>3</v>
          </cell>
          <cell r="O1550">
            <v>90</v>
          </cell>
          <cell r="P1550">
            <v>241</v>
          </cell>
          <cell r="Q1550">
            <v>81</v>
          </cell>
          <cell r="R1550">
            <v>89</v>
          </cell>
          <cell r="S1550">
            <v>353</v>
          </cell>
          <cell r="T1550">
            <v>313</v>
          </cell>
          <cell r="U1550">
            <v>659</v>
          </cell>
          <cell r="V1550">
            <v>552</v>
          </cell>
          <cell r="W1550">
            <v>400</v>
          </cell>
          <cell r="X1550">
            <v>825</v>
          </cell>
          <cell r="Y1550">
            <v>616</v>
          </cell>
          <cell r="Z1550">
            <v>27</v>
          </cell>
          <cell r="AA1550">
            <v>27</v>
          </cell>
          <cell r="AB1550">
            <v>23</v>
          </cell>
          <cell r="AC1550">
            <v>26</v>
          </cell>
          <cell r="AD1550">
            <v>29</v>
          </cell>
          <cell r="AE1550">
            <v>38</v>
          </cell>
          <cell r="AF1550">
            <v>44</v>
          </cell>
          <cell r="AG1550">
            <v>240</v>
          </cell>
          <cell r="AH1550">
            <v>86</v>
          </cell>
          <cell r="AI1550">
            <v>162</v>
          </cell>
          <cell r="AJ1550">
            <v>31</v>
          </cell>
        </row>
        <row r="1551">
          <cell r="E1551" t="str">
            <v>PA Transportation Hydrocarbon Gas Liquids</v>
          </cell>
          <cell r="F1551">
            <v>602</v>
          </cell>
          <cell r="G1551">
            <v>720</v>
          </cell>
          <cell r="H1551">
            <v>725</v>
          </cell>
          <cell r="I1551">
            <v>752</v>
          </cell>
          <cell r="J1551">
            <v>1383</v>
          </cell>
          <cell r="K1551">
            <v>724</v>
          </cell>
          <cell r="L1551">
            <v>567</v>
          </cell>
          <cell r="M1551">
            <v>448</v>
          </cell>
          <cell r="N1551">
            <v>488</v>
          </cell>
          <cell r="O1551">
            <v>371</v>
          </cell>
          <cell r="P1551">
            <v>260</v>
          </cell>
          <cell r="Q1551">
            <v>337</v>
          </cell>
          <cell r="R1551">
            <v>375</v>
          </cell>
          <cell r="S1551">
            <v>636</v>
          </cell>
          <cell r="T1551">
            <v>596</v>
          </cell>
          <cell r="U1551">
            <v>755</v>
          </cell>
          <cell r="V1551">
            <v>688</v>
          </cell>
          <cell r="W1551">
            <v>497</v>
          </cell>
          <cell r="X1551">
            <v>1109</v>
          </cell>
          <cell r="Y1551">
            <v>805</v>
          </cell>
          <cell r="Z1551">
            <v>94</v>
          </cell>
          <cell r="AA1551">
            <v>95</v>
          </cell>
          <cell r="AB1551">
            <v>99</v>
          </cell>
          <cell r="AC1551">
            <v>101</v>
          </cell>
          <cell r="AD1551">
            <v>108</v>
          </cell>
          <cell r="AE1551">
            <v>222</v>
          </cell>
          <cell r="AF1551">
            <v>240</v>
          </cell>
          <cell r="AG1551">
            <v>575</v>
          </cell>
          <cell r="AH1551">
            <v>345</v>
          </cell>
          <cell r="AI1551">
            <v>257</v>
          </cell>
          <cell r="AJ1551">
            <v>92</v>
          </cell>
        </row>
        <row r="1552">
          <cell r="E1552" t="str">
            <v>RI Transportation Hydrocarbon Gas Liquids</v>
          </cell>
          <cell r="F1552">
            <v>74</v>
          </cell>
          <cell r="G1552">
            <v>56</v>
          </cell>
          <cell r="H1552">
            <v>53</v>
          </cell>
          <cell r="I1552">
            <v>34</v>
          </cell>
          <cell r="J1552">
            <v>61</v>
          </cell>
          <cell r="K1552">
            <v>33</v>
          </cell>
          <cell r="L1552">
            <v>28</v>
          </cell>
          <cell r="M1552">
            <v>35</v>
          </cell>
          <cell r="N1552">
            <v>2</v>
          </cell>
          <cell r="O1552">
            <v>10</v>
          </cell>
          <cell r="P1552">
            <v>6</v>
          </cell>
          <cell r="Q1552">
            <v>5</v>
          </cell>
          <cell r="R1552">
            <v>6</v>
          </cell>
          <cell r="S1552">
            <v>36</v>
          </cell>
          <cell r="T1552">
            <v>25</v>
          </cell>
          <cell r="U1552">
            <v>22</v>
          </cell>
          <cell r="V1552">
            <v>18</v>
          </cell>
          <cell r="W1552">
            <v>11</v>
          </cell>
          <cell r="X1552">
            <v>26</v>
          </cell>
          <cell r="Y1552">
            <v>23</v>
          </cell>
          <cell r="Z1552">
            <v>5</v>
          </cell>
          <cell r="AA1552">
            <v>4</v>
          </cell>
          <cell r="AB1552">
            <v>4</v>
          </cell>
          <cell r="AC1552">
            <v>5</v>
          </cell>
          <cell r="AD1552">
            <v>5</v>
          </cell>
          <cell r="AE1552">
            <v>7</v>
          </cell>
          <cell r="AF1552">
            <v>8</v>
          </cell>
          <cell r="AG1552">
            <v>0</v>
          </cell>
          <cell r="AH1552">
            <v>32</v>
          </cell>
          <cell r="AI1552">
            <v>26</v>
          </cell>
          <cell r="AJ1552">
            <v>0</v>
          </cell>
        </row>
        <row r="1553">
          <cell r="E1553" t="str">
            <v>SC Transportation Hydrocarbon Gas Liquids</v>
          </cell>
          <cell r="F1553">
            <v>333</v>
          </cell>
          <cell r="G1553">
            <v>366</v>
          </cell>
          <cell r="H1553">
            <v>332</v>
          </cell>
          <cell r="I1553">
            <v>318</v>
          </cell>
          <cell r="J1553">
            <v>546</v>
          </cell>
          <cell r="K1553">
            <v>297</v>
          </cell>
          <cell r="L1553">
            <v>170</v>
          </cell>
          <cell r="M1553">
            <v>240</v>
          </cell>
          <cell r="N1553">
            <v>191</v>
          </cell>
          <cell r="O1553">
            <v>101</v>
          </cell>
          <cell r="P1553">
            <v>213</v>
          </cell>
          <cell r="Q1553">
            <v>143</v>
          </cell>
          <cell r="R1553">
            <v>120</v>
          </cell>
          <cell r="S1553">
            <v>248</v>
          </cell>
          <cell r="T1553">
            <v>284</v>
          </cell>
          <cell r="U1553">
            <v>424</v>
          </cell>
          <cell r="V1553">
            <v>461</v>
          </cell>
          <cell r="W1553">
            <v>339</v>
          </cell>
          <cell r="X1553">
            <v>635</v>
          </cell>
          <cell r="Y1553">
            <v>422</v>
          </cell>
          <cell r="Z1553">
            <v>87</v>
          </cell>
          <cell r="AA1553">
            <v>96</v>
          </cell>
          <cell r="AB1553">
            <v>89</v>
          </cell>
          <cell r="AC1553">
            <v>94</v>
          </cell>
          <cell r="AD1553">
            <v>65</v>
          </cell>
          <cell r="AE1553">
            <v>85</v>
          </cell>
          <cell r="AF1553">
            <v>116</v>
          </cell>
          <cell r="AG1553">
            <v>175</v>
          </cell>
          <cell r="AH1553">
            <v>166</v>
          </cell>
          <cell r="AI1553">
            <v>135</v>
          </cell>
          <cell r="AJ1553">
            <v>115</v>
          </cell>
        </row>
        <row r="1554">
          <cell r="E1554" t="str">
            <v>SD Transportation Hydrocarbon Gas Liquids</v>
          </cell>
          <cell r="F1554">
            <v>87</v>
          </cell>
          <cell r="G1554">
            <v>52</v>
          </cell>
          <cell r="H1554">
            <v>71</v>
          </cell>
          <cell r="I1554">
            <v>99</v>
          </cell>
          <cell r="J1554">
            <v>151</v>
          </cell>
          <cell r="K1554">
            <v>56</v>
          </cell>
          <cell r="L1554">
            <v>54</v>
          </cell>
          <cell r="M1554">
            <v>36</v>
          </cell>
          <cell r="N1554">
            <v>45</v>
          </cell>
          <cell r="O1554">
            <v>20</v>
          </cell>
          <cell r="P1554">
            <v>55</v>
          </cell>
          <cell r="Q1554">
            <v>48</v>
          </cell>
          <cell r="R1554">
            <v>95</v>
          </cell>
          <cell r="S1554">
            <v>62</v>
          </cell>
          <cell r="T1554">
            <v>38</v>
          </cell>
          <cell r="U1554">
            <v>52</v>
          </cell>
          <cell r="V1554">
            <v>47</v>
          </cell>
          <cell r="W1554">
            <v>62</v>
          </cell>
          <cell r="X1554">
            <v>156</v>
          </cell>
          <cell r="Y1554">
            <v>93</v>
          </cell>
          <cell r="Z1554">
            <v>12</v>
          </cell>
          <cell r="AA1554">
            <v>23</v>
          </cell>
          <cell r="AB1554">
            <v>23</v>
          </cell>
          <cell r="AC1554">
            <v>28</v>
          </cell>
          <cell r="AD1554">
            <v>28</v>
          </cell>
          <cell r="AE1554">
            <v>40</v>
          </cell>
          <cell r="AF1554">
            <v>37</v>
          </cell>
          <cell r="AG1554">
            <v>12</v>
          </cell>
          <cell r="AH1554">
            <v>52</v>
          </cell>
          <cell r="AI1554">
            <v>84</v>
          </cell>
          <cell r="AJ1554">
            <v>15</v>
          </cell>
        </row>
        <row r="1555">
          <cell r="E1555" t="str">
            <v>TN Transportation Hydrocarbon Gas Liquids</v>
          </cell>
          <cell r="F1555">
            <v>484</v>
          </cell>
          <cell r="G1555">
            <v>519</v>
          </cell>
          <cell r="H1555">
            <v>460</v>
          </cell>
          <cell r="I1555">
            <v>564</v>
          </cell>
          <cell r="J1555">
            <v>922</v>
          </cell>
          <cell r="K1555">
            <v>517</v>
          </cell>
          <cell r="L1555">
            <v>509</v>
          </cell>
          <cell r="M1555">
            <v>461</v>
          </cell>
          <cell r="N1555">
            <v>11</v>
          </cell>
          <cell r="O1555">
            <v>222</v>
          </cell>
          <cell r="P1555">
            <v>289</v>
          </cell>
          <cell r="Q1555">
            <v>53</v>
          </cell>
          <cell r="R1555">
            <v>439</v>
          </cell>
          <cell r="S1555">
            <v>389</v>
          </cell>
          <cell r="T1555">
            <v>623</v>
          </cell>
          <cell r="U1555">
            <v>848</v>
          </cell>
          <cell r="V1555">
            <v>886</v>
          </cell>
          <cell r="W1555">
            <v>622</v>
          </cell>
          <cell r="X1555">
            <v>954</v>
          </cell>
          <cell r="Y1555">
            <v>505</v>
          </cell>
          <cell r="Z1555">
            <v>86</v>
          </cell>
          <cell r="AA1555">
            <v>96</v>
          </cell>
          <cell r="AB1555">
            <v>92</v>
          </cell>
          <cell r="AC1555">
            <v>105</v>
          </cell>
          <cell r="AD1555">
            <v>81</v>
          </cell>
          <cell r="AE1555">
            <v>112</v>
          </cell>
          <cell r="AF1555">
            <v>135</v>
          </cell>
          <cell r="AG1555">
            <v>96</v>
          </cell>
          <cell r="AH1555">
            <v>39</v>
          </cell>
          <cell r="AI1555">
            <v>45</v>
          </cell>
          <cell r="AJ1555">
            <v>39</v>
          </cell>
        </row>
        <row r="1556">
          <cell r="E1556" t="str">
            <v>TX Transportation Hydrocarbon Gas Liquids</v>
          </cell>
          <cell r="F1556">
            <v>1841</v>
          </cell>
          <cell r="G1556">
            <v>1325</v>
          </cell>
          <cell r="H1556">
            <v>1189</v>
          </cell>
          <cell r="I1556">
            <v>1336</v>
          </cell>
          <cell r="J1556">
            <v>2358</v>
          </cell>
          <cell r="K1556">
            <v>1238</v>
          </cell>
          <cell r="L1556">
            <v>1052</v>
          </cell>
          <cell r="M1556">
            <v>945</v>
          </cell>
          <cell r="N1556">
            <v>2824</v>
          </cell>
          <cell r="O1556">
            <v>1404</v>
          </cell>
          <cell r="P1556">
            <v>897</v>
          </cell>
          <cell r="Q1556">
            <v>2250</v>
          </cell>
          <cell r="R1556">
            <v>1846</v>
          </cell>
          <cell r="S1556">
            <v>2012</v>
          </cell>
          <cell r="T1556">
            <v>2202</v>
          </cell>
          <cell r="U1556">
            <v>1798</v>
          </cell>
          <cell r="V1556">
            <v>1997</v>
          </cell>
          <cell r="W1556">
            <v>1391</v>
          </cell>
          <cell r="X1556">
            <v>2545</v>
          </cell>
          <cell r="Y1556">
            <v>1928</v>
          </cell>
          <cell r="Z1556">
            <v>571</v>
          </cell>
          <cell r="AA1556">
            <v>444</v>
          </cell>
          <cell r="AB1556">
            <v>458</v>
          </cell>
          <cell r="AC1556">
            <v>585</v>
          </cell>
          <cell r="AD1556">
            <v>1188</v>
          </cell>
          <cell r="AE1556">
            <v>1247</v>
          </cell>
          <cell r="AF1556">
            <v>1363</v>
          </cell>
          <cell r="AG1556">
            <v>1177</v>
          </cell>
          <cell r="AH1556">
            <v>629</v>
          </cell>
          <cell r="AI1556">
            <v>648</v>
          </cell>
          <cell r="AJ1556">
            <v>242</v>
          </cell>
        </row>
        <row r="1557">
          <cell r="E1557" t="str">
            <v>US Transportation Hydrocarbon Gas Liquids</v>
          </cell>
          <cell r="F1557">
            <v>22915</v>
          </cell>
          <cell r="G1557">
            <v>21159</v>
          </cell>
          <cell r="H1557">
            <v>19437</v>
          </cell>
          <cell r="I1557">
            <v>20270</v>
          </cell>
          <cell r="J1557">
            <v>34046</v>
          </cell>
          <cell r="K1557">
            <v>17753</v>
          </cell>
          <cell r="L1557">
            <v>15656</v>
          </cell>
          <cell r="M1557">
            <v>14241</v>
          </cell>
          <cell r="N1557">
            <v>17667</v>
          </cell>
          <cell r="O1557">
            <v>14290</v>
          </cell>
          <cell r="P1557">
            <v>11899</v>
          </cell>
          <cell r="Q1557">
            <v>13738</v>
          </cell>
          <cell r="R1557">
            <v>14300</v>
          </cell>
          <cell r="S1557">
            <v>17894</v>
          </cell>
          <cell r="T1557">
            <v>19129</v>
          </cell>
          <cell r="U1557">
            <v>28235</v>
          </cell>
          <cell r="V1557">
            <v>27502</v>
          </cell>
          <cell r="W1557">
            <v>21973</v>
          </cell>
          <cell r="X1557">
            <v>40197</v>
          </cell>
          <cell r="Y1557">
            <v>28070</v>
          </cell>
          <cell r="Z1557">
            <v>4484</v>
          </cell>
          <cell r="AA1557">
            <v>4511</v>
          </cell>
          <cell r="AB1557">
            <v>4369</v>
          </cell>
          <cell r="AC1557">
            <v>5195</v>
          </cell>
          <cell r="AD1557">
            <v>5982</v>
          </cell>
          <cell r="AE1557">
            <v>7669</v>
          </cell>
          <cell r="AF1557">
            <v>8833</v>
          </cell>
          <cell r="AG1557">
            <v>9142</v>
          </cell>
          <cell r="AH1557">
            <v>8929</v>
          </cell>
          <cell r="AI1557">
            <v>8693</v>
          </cell>
          <cell r="AJ1557">
            <v>4568</v>
          </cell>
        </row>
        <row r="1558">
          <cell r="E1558" t="str">
            <v>UT Transportation Hydrocarbon Gas Liquids</v>
          </cell>
          <cell r="F1558">
            <v>195</v>
          </cell>
          <cell r="G1558">
            <v>169</v>
          </cell>
          <cell r="H1558">
            <v>151</v>
          </cell>
          <cell r="I1558">
            <v>164</v>
          </cell>
          <cell r="J1558">
            <v>218</v>
          </cell>
          <cell r="K1558">
            <v>124</v>
          </cell>
          <cell r="L1558">
            <v>97</v>
          </cell>
          <cell r="M1558">
            <v>60</v>
          </cell>
          <cell r="N1558">
            <v>6</v>
          </cell>
          <cell r="O1558">
            <v>132</v>
          </cell>
          <cell r="P1558">
            <v>164</v>
          </cell>
          <cell r="Q1558">
            <v>216</v>
          </cell>
          <cell r="R1558">
            <v>180</v>
          </cell>
          <cell r="S1558">
            <v>100</v>
          </cell>
          <cell r="T1558">
            <v>186</v>
          </cell>
          <cell r="U1558">
            <v>179</v>
          </cell>
          <cell r="V1558">
            <v>245</v>
          </cell>
          <cell r="W1558">
            <v>151</v>
          </cell>
          <cell r="X1558">
            <v>243</v>
          </cell>
          <cell r="Y1558">
            <v>140</v>
          </cell>
          <cell r="Z1558">
            <v>56</v>
          </cell>
          <cell r="AA1558">
            <v>56</v>
          </cell>
          <cell r="AB1558">
            <v>56</v>
          </cell>
          <cell r="AC1558">
            <v>78</v>
          </cell>
          <cell r="AD1558">
            <v>74</v>
          </cell>
          <cell r="AE1558">
            <v>71</v>
          </cell>
          <cell r="AF1558">
            <v>125</v>
          </cell>
          <cell r="AG1558">
            <v>24</v>
          </cell>
          <cell r="AH1558">
            <v>13</v>
          </cell>
          <cell r="AI1558">
            <v>32</v>
          </cell>
          <cell r="AJ1558">
            <v>28</v>
          </cell>
        </row>
        <row r="1559">
          <cell r="E1559" t="str">
            <v>VA Transportation Hydrocarbon Gas Liquids</v>
          </cell>
          <cell r="F1559">
            <v>244</v>
          </cell>
          <cell r="G1559">
            <v>388</v>
          </cell>
          <cell r="H1559">
            <v>393</v>
          </cell>
          <cell r="I1559">
            <v>419</v>
          </cell>
          <cell r="J1559">
            <v>697</v>
          </cell>
          <cell r="K1559">
            <v>246</v>
          </cell>
          <cell r="L1559">
            <v>216</v>
          </cell>
          <cell r="M1559">
            <v>183</v>
          </cell>
          <cell r="N1559">
            <v>136</v>
          </cell>
          <cell r="O1559">
            <v>53</v>
          </cell>
          <cell r="P1559">
            <v>134</v>
          </cell>
          <cell r="Q1559">
            <v>31</v>
          </cell>
          <cell r="R1559">
            <v>70</v>
          </cell>
          <cell r="S1559">
            <v>210</v>
          </cell>
          <cell r="T1559">
            <v>176</v>
          </cell>
          <cell r="U1559">
            <v>258</v>
          </cell>
          <cell r="V1559">
            <v>278</v>
          </cell>
          <cell r="W1559">
            <v>241</v>
          </cell>
          <cell r="X1559">
            <v>494</v>
          </cell>
          <cell r="Y1559">
            <v>320</v>
          </cell>
          <cell r="Z1559">
            <v>113</v>
          </cell>
          <cell r="AA1559">
            <v>112</v>
          </cell>
          <cell r="AB1559">
            <v>118</v>
          </cell>
          <cell r="AC1559">
            <v>123</v>
          </cell>
          <cell r="AD1559">
            <v>81</v>
          </cell>
          <cell r="AE1559">
            <v>97</v>
          </cell>
          <cell r="AF1559">
            <v>116</v>
          </cell>
          <cell r="AG1559">
            <v>111</v>
          </cell>
          <cell r="AH1559">
            <v>124</v>
          </cell>
          <cell r="AI1559">
            <v>113</v>
          </cell>
          <cell r="AJ1559">
            <v>55</v>
          </cell>
        </row>
        <row r="1560">
          <cell r="E1560" t="str">
            <v>VT Transportation Hydrocarbon Gas Liquids</v>
          </cell>
          <cell r="F1560">
            <v>41</v>
          </cell>
          <cell r="G1560">
            <v>42</v>
          </cell>
          <cell r="H1560">
            <v>41</v>
          </cell>
          <cell r="I1560">
            <v>30</v>
          </cell>
          <cell r="J1560">
            <v>80</v>
          </cell>
          <cell r="K1560">
            <v>57</v>
          </cell>
          <cell r="L1560">
            <v>62</v>
          </cell>
          <cell r="M1560">
            <v>67</v>
          </cell>
          <cell r="N1560">
            <v>2</v>
          </cell>
          <cell r="O1560">
            <v>7</v>
          </cell>
          <cell r="P1560">
            <v>0</v>
          </cell>
          <cell r="Q1560">
            <v>1</v>
          </cell>
          <cell r="R1560">
            <v>1</v>
          </cell>
          <cell r="S1560">
            <v>15</v>
          </cell>
          <cell r="T1560">
            <v>19</v>
          </cell>
          <cell r="U1560">
            <v>30</v>
          </cell>
          <cell r="V1560">
            <v>30</v>
          </cell>
          <cell r="W1560">
            <v>16</v>
          </cell>
          <cell r="X1560">
            <v>111</v>
          </cell>
          <cell r="Y1560">
            <v>20</v>
          </cell>
          <cell r="Z1560">
            <v>9</v>
          </cell>
          <cell r="AA1560">
            <v>8</v>
          </cell>
          <cell r="AB1560">
            <v>13</v>
          </cell>
          <cell r="AC1560">
            <v>7</v>
          </cell>
          <cell r="AD1560">
            <v>12</v>
          </cell>
          <cell r="AE1560">
            <v>15</v>
          </cell>
          <cell r="AF1560">
            <v>14</v>
          </cell>
          <cell r="AG1560">
            <v>7</v>
          </cell>
          <cell r="AH1560">
            <v>5</v>
          </cell>
          <cell r="AI1560">
            <v>9</v>
          </cell>
          <cell r="AJ1560">
            <v>5</v>
          </cell>
        </row>
        <row r="1561">
          <cell r="E1561" t="str">
            <v>WA Transportation Hydrocarbon Gas Liquids</v>
          </cell>
          <cell r="F1561">
            <v>1118</v>
          </cell>
          <cell r="G1561">
            <v>943</v>
          </cell>
          <cell r="H1561">
            <v>795</v>
          </cell>
          <cell r="I1561">
            <v>823</v>
          </cell>
          <cell r="J1561">
            <v>1197</v>
          </cell>
          <cell r="K1561">
            <v>689</v>
          </cell>
          <cell r="L1561">
            <v>568</v>
          </cell>
          <cell r="M1561">
            <v>373</v>
          </cell>
          <cell r="N1561">
            <v>384</v>
          </cell>
          <cell r="O1561">
            <v>51</v>
          </cell>
          <cell r="P1561">
            <v>68</v>
          </cell>
          <cell r="Q1561">
            <v>95</v>
          </cell>
          <cell r="R1561">
            <v>105</v>
          </cell>
          <cell r="S1561">
            <v>418</v>
          </cell>
          <cell r="T1561">
            <v>398</v>
          </cell>
          <cell r="U1561">
            <v>917</v>
          </cell>
          <cell r="V1561">
            <v>937</v>
          </cell>
          <cell r="W1561">
            <v>643</v>
          </cell>
          <cell r="X1561">
            <v>1598</v>
          </cell>
          <cell r="Y1561">
            <v>880</v>
          </cell>
          <cell r="Z1561">
            <v>75</v>
          </cell>
          <cell r="AA1561">
            <v>78</v>
          </cell>
          <cell r="AB1561">
            <v>69</v>
          </cell>
          <cell r="AC1561">
            <v>74</v>
          </cell>
          <cell r="AD1561">
            <v>78</v>
          </cell>
          <cell r="AE1561">
            <v>99</v>
          </cell>
          <cell r="AF1561">
            <v>156</v>
          </cell>
          <cell r="AG1561">
            <v>175</v>
          </cell>
          <cell r="AH1561">
            <v>137</v>
          </cell>
          <cell r="AI1561">
            <v>327</v>
          </cell>
          <cell r="AJ1561">
            <v>200</v>
          </cell>
        </row>
        <row r="1562">
          <cell r="E1562" t="str">
            <v>WI Transportation Hydrocarbon Gas Liquids</v>
          </cell>
          <cell r="F1562">
            <v>454</v>
          </cell>
          <cell r="G1562">
            <v>536</v>
          </cell>
          <cell r="H1562">
            <v>462</v>
          </cell>
          <cell r="I1562">
            <v>580</v>
          </cell>
          <cell r="J1562">
            <v>1130</v>
          </cell>
          <cell r="K1562">
            <v>471</v>
          </cell>
          <cell r="L1562">
            <v>409</v>
          </cell>
          <cell r="M1562">
            <v>380</v>
          </cell>
          <cell r="N1562">
            <v>677</v>
          </cell>
          <cell r="O1562">
            <v>200</v>
          </cell>
          <cell r="P1562">
            <v>172</v>
          </cell>
          <cell r="Q1562">
            <v>377</v>
          </cell>
          <cell r="R1562">
            <v>310</v>
          </cell>
          <cell r="S1562">
            <v>522</v>
          </cell>
          <cell r="T1562">
            <v>455</v>
          </cell>
          <cell r="U1562">
            <v>662</v>
          </cell>
          <cell r="V1562">
            <v>674</v>
          </cell>
          <cell r="W1562">
            <v>614</v>
          </cell>
          <cell r="X1562">
            <v>911</v>
          </cell>
          <cell r="Y1562">
            <v>640</v>
          </cell>
          <cell r="Z1562">
            <v>96</v>
          </cell>
          <cell r="AA1562">
            <v>106</v>
          </cell>
          <cell r="AB1562">
            <v>91</v>
          </cell>
          <cell r="AC1562">
            <v>106</v>
          </cell>
          <cell r="AD1562">
            <v>105</v>
          </cell>
          <cell r="AE1562">
            <v>143</v>
          </cell>
          <cell r="AF1562">
            <v>172</v>
          </cell>
          <cell r="AG1562">
            <v>440</v>
          </cell>
          <cell r="AH1562">
            <v>391</v>
          </cell>
          <cell r="AI1562">
            <v>318</v>
          </cell>
          <cell r="AJ1562">
            <v>212</v>
          </cell>
        </row>
        <row r="1563">
          <cell r="E1563" t="str">
            <v>WV Transportation Hydrocarbon Gas Liquids</v>
          </cell>
          <cell r="F1563">
            <v>72</v>
          </cell>
          <cell r="G1563">
            <v>66</v>
          </cell>
          <cell r="H1563">
            <v>82</v>
          </cell>
          <cell r="I1563">
            <v>80</v>
          </cell>
          <cell r="J1563">
            <v>101</v>
          </cell>
          <cell r="K1563">
            <v>45</v>
          </cell>
          <cell r="L1563">
            <v>38</v>
          </cell>
          <cell r="M1563">
            <v>0</v>
          </cell>
          <cell r="N1563">
            <v>0</v>
          </cell>
          <cell r="O1563">
            <v>3</v>
          </cell>
          <cell r="P1563">
            <v>8</v>
          </cell>
          <cell r="Q1563">
            <v>1</v>
          </cell>
          <cell r="R1563">
            <v>8</v>
          </cell>
          <cell r="S1563">
            <v>63</v>
          </cell>
          <cell r="T1563">
            <v>49</v>
          </cell>
          <cell r="U1563">
            <v>50</v>
          </cell>
          <cell r="V1563">
            <v>67</v>
          </cell>
          <cell r="W1563">
            <v>43</v>
          </cell>
          <cell r="X1563">
            <v>87</v>
          </cell>
          <cell r="Y1563">
            <v>57</v>
          </cell>
          <cell r="Z1563">
            <v>21</v>
          </cell>
          <cell r="AA1563">
            <v>21</v>
          </cell>
          <cell r="AB1563">
            <v>16</v>
          </cell>
          <cell r="AC1563">
            <v>17</v>
          </cell>
          <cell r="AD1563">
            <v>15</v>
          </cell>
          <cell r="AE1563">
            <v>20</v>
          </cell>
          <cell r="AF1563">
            <v>20</v>
          </cell>
          <cell r="AG1563">
            <v>38</v>
          </cell>
          <cell r="AH1563">
            <v>49</v>
          </cell>
          <cell r="AI1563">
            <v>55</v>
          </cell>
          <cell r="AJ1563">
            <v>18</v>
          </cell>
        </row>
        <row r="1564">
          <cell r="E1564" t="str">
            <v>WY Transportation Hydrocarbon Gas Liquids</v>
          </cell>
          <cell r="F1564">
            <v>103</v>
          </cell>
          <cell r="G1564">
            <v>188</v>
          </cell>
          <cell r="H1564">
            <v>104</v>
          </cell>
          <cell r="I1564">
            <v>110</v>
          </cell>
          <cell r="J1564">
            <v>147</v>
          </cell>
          <cell r="K1564">
            <v>66</v>
          </cell>
          <cell r="L1564">
            <v>62</v>
          </cell>
          <cell r="M1564">
            <v>32</v>
          </cell>
          <cell r="N1564">
            <v>95</v>
          </cell>
          <cell r="O1564">
            <v>16</v>
          </cell>
          <cell r="P1564">
            <v>38</v>
          </cell>
          <cell r="Q1564">
            <v>17</v>
          </cell>
          <cell r="R1564">
            <v>10</v>
          </cell>
          <cell r="S1564">
            <v>27</v>
          </cell>
          <cell r="T1564">
            <v>81</v>
          </cell>
          <cell r="U1564">
            <v>28</v>
          </cell>
          <cell r="V1564">
            <v>24</v>
          </cell>
          <cell r="W1564">
            <v>27</v>
          </cell>
          <cell r="X1564">
            <v>141</v>
          </cell>
          <cell r="Y1564">
            <v>24</v>
          </cell>
          <cell r="Z1564">
            <v>17</v>
          </cell>
          <cell r="AA1564">
            <v>16</v>
          </cell>
          <cell r="AB1564">
            <v>13</v>
          </cell>
          <cell r="AC1564">
            <v>15</v>
          </cell>
          <cell r="AD1564">
            <v>12</v>
          </cell>
          <cell r="AE1564">
            <v>16</v>
          </cell>
          <cell r="AF1564">
            <v>13</v>
          </cell>
          <cell r="AG1564">
            <v>17</v>
          </cell>
          <cell r="AH1564">
            <v>7</v>
          </cell>
          <cell r="AI1564">
            <v>20</v>
          </cell>
          <cell r="AJ1564">
            <v>8</v>
          </cell>
        </row>
        <row r="1565">
          <cell r="E1565" t="str">
            <v>AK Industrial Hydrocarbon Gas Liquids</v>
          </cell>
          <cell r="F1565">
            <v>87</v>
          </cell>
          <cell r="G1565">
            <v>59</v>
          </cell>
          <cell r="H1565">
            <v>48</v>
          </cell>
          <cell r="I1565">
            <v>34</v>
          </cell>
          <cell r="J1565">
            <v>244</v>
          </cell>
          <cell r="K1565">
            <v>295</v>
          </cell>
          <cell r="L1565">
            <v>30</v>
          </cell>
          <cell r="M1565">
            <v>620</v>
          </cell>
          <cell r="N1565">
            <v>705</v>
          </cell>
          <cell r="O1565">
            <v>54</v>
          </cell>
          <cell r="P1565">
            <v>1</v>
          </cell>
          <cell r="Q1565">
            <v>24</v>
          </cell>
          <cell r="R1565">
            <v>161</v>
          </cell>
          <cell r="S1565">
            <v>118</v>
          </cell>
          <cell r="T1565">
            <v>114</v>
          </cell>
          <cell r="U1565">
            <v>21</v>
          </cell>
          <cell r="V1565">
            <v>85</v>
          </cell>
          <cell r="W1565">
            <v>56</v>
          </cell>
          <cell r="X1565">
            <v>31</v>
          </cell>
          <cell r="Y1565">
            <v>143</v>
          </cell>
          <cell r="Z1565">
            <v>200</v>
          </cell>
          <cell r="AA1565">
            <v>147</v>
          </cell>
          <cell r="AB1565">
            <v>82</v>
          </cell>
          <cell r="AC1565">
            <v>113</v>
          </cell>
          <cell r="AD1565">
            <v>123</v>
          </cell>
          <cell r="AE1565">
            <v>95</v>
          </cell>
          <cell r="AF1565">
            <v>152</v>
          </cell>
          <cell r="AG1565">
            <v>97</v>
          </cell>
          <cell r="AH1565">
            <v>79</v>
          </cell>
          <cell r="AI1565">
            <v>134</v>
          </cell>
          <cell r="AJ1565">
            <v>118</v>
          </cell>
        </row>
        <row r="1566">
          <cell r="E1566" t="str">
            <v>AL Industrial Hydrocarbon Gas Liquids</v>
          </cell>
          <cell r="F1566">
            <v>3106</v>
          </cell>
          <cell r="G1566">
            <v>3414</v>
          </cell>
          <cell r="H1566">
            <v>4423</v>
          </cell>
          <cell r="I1566">
            <v>5309</v>
          </cell>
          <cell r="J1566">
            <v>5728</v>
          </cell>
          <cell r="K1566">
            <v>5781</v>
          </cell>
          <cell r="L1566">
            <v>4571</v>
          </cell>
          <cell r="M1566">
            <v>2281</v>
          </cell>
          <cell r="N1566">
            <v>645</v>
          </cell>
          <cell r="O1566">
            <v>5217</v>
          </cell>
          <cell r="P1566">
            <v>5294</v>
          </cell>
          <cell r="Q1566">
            <v>8502</v>
          </cell>
          <cell r="R1566">
            <v>4424</v>
          </cell>
          <cell r="S1566">
            <v>3551</v>
          </cell>
          <cell r="T1566">
            <v>3424</v>
          </cell>
          <cell r="U1566">
            <v>2726</v>
          </cell>
          <cell r="V1566">
            <v>3274</v>
          </cell>
          <cell r="W1566">
            <v>4948</v>
          </cell>
          <cell r="X1566">
            <v>2433</v>
          </cell>
          <cell r="Y1566">
            <v>1761</v>
          </cell>
          <cell r="Z1566">
            <v>2114</v>
          </cell>
          <cell r="AA1566">
            <v>2009</v>
          </cell>
          <cell r="AB1566">
            <v>2294</v>
          </cell>
          <cell r="AC1566">
            <v>2042</v>
          </cell>
          <cell r="AD1566">
            <v>1846</v>
          </cell>
          <cell r="AE1566">
            <v>1720</v>
          </cell>
          <cell r="AF1566">
            <v>1614</v>
          </cell>
          <cell r="AG1566">
            <v>1782</v>
          </cell>
          <cell r="AH1566">
            <v>1571</v>
          </cell>
          <cell r="AI1566">
            <v>1962</v>
          </cell>
          <cell r="AJ1566">
            <v>2020</v>
          </cell>
        </row>
        <row r="1567">
          <cell r="E1567" t="str">
            <v>AR Industrial Hydrocarbon Gas Liquids</v>
          </cell>
          <cell r="F1567">
            <v>4146</v>
          </cell>
          <cell r="G1567">
            <v>4334</v>
          </cell>
          <cell r="H1567">
            <v>4106</v>
          </cell>
          <cell r="I1567">
            <v>4794</v>
          </cell>
          <cell r="J1567">
            <v>4490</v>
          </cell>
          <cell r="K1567">
            <v>4903</v>
          </cell>
          <cell r="L1567">
            <v>4528</v>
          </cell>
          <cell r="M1567">
            <v>4037</v>
          </cell>
          <cell r="N1567">
            <v>3153</v>
          </cell>
          <cell r="O1567">
            <v>6724</v>
          </cell>
          <cell r="P1567">
            <v>11182</v>
          </cell>
          <cell r="Q1567">
            <v>9393</v>
          </cell>
          <cell r="R1567">
            <v>5171</v>
          </cell>
          <cell r="S1567">
            <v>3823</v>
          </cell>
          <cell r="T1567">
            <v>3925</v>
          </cell>
          <cell r="U1567">
            <v>3005</v>
          </cell>
          <cell r="V1567">
            <v>3305</v>
          </cell>
          <cell r="W1567">
            <v>3626</v>
          </cell>
          <cell r="X1567">
            <v>2850</v>
          </cell>
          <cell r="Y1567">
            <v>2604</v>
          </cell>
          <cell r="Z1567">
            <v>3043</v>
          </cell>
          <cell r="AA1567">
            <v>3085</v>
          </cell>
          <cell r="AB1567">
            <v>2805</v>
          </cell>
          <cell r="AC1567">
            <v>2684</v>
          </cell>
          <cell r="AD1567">
            <v>3523</v>
          </cell>
          <cell r="AE1567">
            <v>2877</v>
          </cell>
          <cell r="AF1567">
            <v>2613</v>
          </cell>
          <cell r="AG1567">
            <v>2485</v>
          </cell>
          <cell r="AH1567">
            <v>3132</v>
          </cell>
          <cell r="AI1567">
            <v>3667</v>
          </cell>
          <cell r="AJ1567">
            <v>2510</v>
          </cell>
        </row>
        <row r="1568">
          <cell r="E1568" t="str">
            <v>AZ Industrial Hydrocarbon Gas Liquids</v>
          </cell>
          <cell r="F1568">
            <v>1878</v>
          </cell>
          <cell r="G1568">
            <v>2120</v>
          </cell>
          <cell r="H1568">
            <v>3230</v>
          </cell>
          <cell r="I1568">
            <v>2782</v>
          </cell>
          <cell r="J1568">
            <v>2746</v>
          </cell>
          <cell r="K1568">
            <v>2578</v>
          </cell>
          <cell r="L1568">
            <v>2291</v>
          </cell>
          <cell r="M1568">
            <v>1140</v>
          </cell>
          <cell r="N1568">
            <v>442</v>
          </cell>
          <cell r="O1568">
            <v>400</v>
          </cell>
          <cell r="P1568">
            <v>570</v>
          </cell>
          <cell r="Q1568">
            <v>853</v>
          </cell>
          <cell r="R1568">
            <v>270</v>
          </cell>
          <cell r="S1568">
            <v>1611</v>
          </cell>
          <cell r="T1568">
            <v>1498</v>
          </cell>
          <cell r="U1568">
            <v>661</v>
          </cell>
          <cell r="V1568">
            <v>998</v>
          </cell>
          <cell r="W1568">
            <v>1331</v>
          </cell>
          <cell r="X1568">
            <v>1621</v>
          </cell>
          <cell r="Y1568">
            <v>1222</v>
          </cell>
          <cell r="Z1568">
            <v>2073</v>
          </cell>
          <cell r="AA1568">
            <v>2142</v>
          </cell>
          <cell r="AB1568">
            <v>1949</v>
          </cell>
          <cell r="AC1568">
            <v>1957</v>
          </cell>
          <cell r="AD1568">
            <v>1838</v>
          </cell>
          <cell r="AE1568">
            <v>2028</v>
          </cell>
          <cell r="AF1568">
            <v>1795</v>
          </cell>
          <cell r="AG1568">
            <v>1687</v>
          </cell>
          <cell r="AH1568">
            <v>1611</v>
          </cell>
          <cell r="AI1568">
            <v>1501</v>
          </cell>
          <cell r="AJ1568">
            <v>1348</v>
          </cell>
        </row>
        <row r="1569">
          <cell r="E1569" t="str">
            <v>CA Industrial Hydrocarbon Gas Liquids</v>
          </cell>
          <cell r="F1569">
            <v>42424</v>
          </cell>
          <cell r="G1569">
            <v>33171</v>
          </cell>
          <cell r="H1569">
            <v>51137</v>
          </cell>
          <cell r="I1569">
            <v>34493</v>
          </cell>
          <cell r="J1569">
            <v>39201</v>
          </cell>
          <cell r="K1569">
            <v>29385</v>
          </cell>
          <cell r="L1569">
            <v>19362</v>
          </cell>
          <cell r="M1569">
            <v>14376</v>
          </cell>
          <cell r="N1569">
            <v>10686</v>
          </cell>
          <cell r="O1569">
            <v>17433</v>
          </cell>
          <cell r="P1569">
            <v>20344</v>
          </cell>
          <cell r="Q1569">
            <v>21817</v>
          </cell>
          <cell r="R1569">
            <v>31516</v>
          </cell>
          <cell r="S1569">
            <v>22977</v>
          </cell>
          <cell r="T1569">
            <v>16480</v>
          </cell>
          <cell r="U1569">
            <v>6014</v>
          </cell>
          <cell r="V1569">
            <v>10259</v>
          </cell>
          <cell r="W1569">
            <v>6488</v>
          </cell>
          <cell r="X1569">
            <v>13643</v>
          </cell>
          <cell r="Y1569">
            <v>18994</v>
          </cell>
          <cell r="Z1569">
            <v>22597</v>
          </cell>
          <cell r="AA1569">
            <v>24444</v>
          </cell>
          <cell r="AB1569">
            <v>23621</v>
          </cell>
          <cell r="AC1569">
            <v>23301</v>
          </cell>
          <cell r="AD1569">
            <v>24435</v>
          </cell>
          <cell r="AE1569">
            <v>23602</v>
          </cell>
          <cell r="AF1569">
            <v>22840</v>
          </cell>
          <cell r="AG1569">
            <v>21836</v>
          </cell>
          <cell r="AH1569">
            <v>20969</v>
          </cell>
          <cell r="AI1569">
            <v>21639</v>
          </cell>
          <cell r="AJ1569">
            <v>21659</v>
          </cell>
        </row>
        <row r="1570">
          <cell r="E1570" t="str">
            <v>CO Industrial Hydrocarbon Gas Liquids</v>
          </cell>
          <cell r="F1570">
            <v>3360</v>
          </cell>
          <cell r="G1570">
            <v>4130</v>
          </cell>
          <cell r="H1570">
            <v>3891</v>
          </cell>
          <cell r="I1570">
            <v>4396</v>
          </cell>
          <cell r="J1570">
            <v>4121</v>
          </cell>
          <cell r="K1570">
            <v>4478</v>
          </cell>
          <cell r="L1570">
            <v>4665</v>
          </cell>
          <cell r="M1570">
            <v>5296</v>
          </cell>
          <cell r="N1570">
            <v>4090</v>
          </cell>
          <cell r="O1570">
            <v>1849</v>
          </cell>
          <cell r="P1570">
            <v>10630</v>
          </cell>
          <cell r="Q1570">
            <v>11462</v>
          </cell>
          <cell r="R1570">
            <v>8194</v>
          </cell>
          <cell r="S1570">
            <v>8104</v>
          </cell>
          <cell r="T1570">
            <v>10700</v>
          </cell>
          <cell r="U1570">
            <v>5498</v>
          </cell>
          <cell r="V1570">
            <v>12393</v>
          </cell>
          <cell r="W1570">
            <v>8355</v>
          </cell>
          <cell r="X1570">
            <v>1816</v>
          </cell>
          <cell r="Y1570">
            <v>1085</v>
          </cell>
          <cell r="Z1570">
            <v>1393</v>
          </cell>
          <cell r="AA1570">
            <v>1460</v>
          </cell>
          <cell r="AB1570">
            <v>1800</v>
          </cell>
          <cell r="AC1570">
            <v>2547</v>
          </cell>
          <cell r="AD1570">
            <v>2870</v>
          </cell>
          <cell r="AE1570">
            <v>2627</v>
          </cell>
          <cell r="AF1570">
            <v>2444</v>
          </cell>
          <cell r="AG1570">
            <v>2043</v>
          </cell>
          <cell r="AH1570">
            <v>2626</v>
          </cell>
          <cell r="AI1570">
            <v>2743</v>
          </cell>
          <cell r="AJ1570">
            <v>2287</v>
          </cell>
        </row>
        <row r="1571">
          <cell r="E1571" t="str">
            <v>CT Industrial Hydrocarbon Gas Liquids</v>
          </cell>
          <cell r="F1571">
            <v>1889</v>
          </cell>
          <cell r="G1571">
            <v>1124</v>
          </cell>
          <cell r="H1571">
            <v>1442</v>
          </cell>
          <cell r="I1571">
            <v>1419</v>
          </cell>
          <cell r="J1571">
            <v>1150</v>
          </cell>
          <cell r="K1571">
            <v>1228</v>
          </cell>
          <cell r="L1571">
            <v>848</v>
          </cell>
          <cell r="M1571">
            <v>1018</v>
          </cell>
          <cell r="N1571">
            <v>1348</v>
          </cell>
          <cell r="O1571">
            <v>858</v>
          </cell>
          <cell r="P1571">
            <v>1800</v>
          </cell>
          <cell r="Q1571">
            <v>2389</v>
          </cell>
          <cell r="R1571">
            <v>928</v>
          </cell>
          <cell r="S1571">
            <v>2654</v>
          </cell>
          <cell r="T1571">
            <v>3423</v>
          </cell>
          <cell r="U1571">
            <v>7140</v>
          </cell>
          <cell r="V1571">
            <v>7304</v>
          </cell>
          <cell r="W1571">
            <v>5244</v>
          </cell>
          <cell r="X1571">
            <v>180</v>
          </cell>
          <cell r="Y1571">
            <v>273</v>
          </cell>
          <cell r="Z1571">
            <v>554</v>
          </cell>
          <cell r="AA1571">
            <v>590</v>
          </cell>
          <cell r="AB1571">
            <v>246</v>
          </cell>
          <cell r="AC1571">
            <v>324</v>
          </cell>
          <cell r="AD1571">
            <v>613</v>
          </cell>
          <cell r="AE1571">
            <v>849</v>
          </cell>
          <cell r="AF1571">
            <v>541</v>
          </cell>
          <cell r="AG1571">
            <v>289</v>
          </cell>
          <cell r="AH1571">
            <v>460</v>
          </cell>
          <cell r="AI1571">
            <v>665</v>
          </cell>
          <cell r="AJ1571">
            <v>443</v>
          </cell>
        </row>
        <row r="1572">
          <cell r="E1572" t="str">
            <v>DC Industrial Hydrocarbon Gas Liquids</v>
          </cell>
          <cell r="F1572">
            <v>9</v>
          </cell>
          <cell r="G1572">
            <v>8</v>
          </cell>
          <cell r="H1572">
            <v>16</v>
          </cell>
          <cell r="I1572">
            <v>11</v>
          </cell>
          <cell r="J1572">
            <v>10</v>
          </cell>
          <cell r="K1572">
            <v>10</v>
          </cell>
          <cell r="L1572">
            <v>10</v>
          </cell>
          <cell r="M1572">
            <v>13</v>
          </cell>
          <cell r="N1572">
            <v>2</v>
          </cell>
          <cell r="O1572">
            <v>4</v>
          </cell>
          <cell r="P1572">
            <v>17</v>
          </cell>
          <cell r="Q1572">
            <v>9</v>
          </cell>
          <cell r="R1572">
            <v>3</v>
          </cell>
          <cell r="S1572">
            <v>6</v>
          </cell>
          <cell r="T1572">
            <v>5</v>
          </cell>
          <cell r="U1572">
            <v>5</v>
          </cell>
          <cell r="V1572">
            <v>4</v>
          </cell>
          <cell r="W1572">
            <v>7</v>
          </cell>
          <cell r="X1572">
            <v>4</v>
          </cell>
          <cell r="Y1572">
            <v>4</v>
          </cell>
          <cell r="Z1572">
            <v>7</v>
          </cell>
          <cell r="AA1572">
            <v>17</v>
          </cell>
          <cell r="AB1572">
            <v>14</v>
          </cell>
          <cell r="AC1572">
            <v>13</v>
          </cell>
          <cell r="AD1572">
            <v>11</v>
          </cell>
          <cell r="AE1572">
            <v>0</v>
          </cell>
          <cell r="AF1572">
            <v>0</v>
          </cell>
          <cell r="AG1572">
            <v>8</v>
          </cell>
          <cell r="AH1572">
            <v>10</v>
          </cell>
          <cell r="AI1572">
            <v>7</v>
          </cell>
          <cell r="AJ1572">
            <v>6</v>
          </cell>
        </row>
        <row r="1573">
          <cell r="E1573" t="str">
            <v>DE Industrial Hydrocarbon Gas Liquids</v>
          </cell>
          <cell r="F1573">
            <v>1252</v>
          </cell>
          <cell r="G1573">
            <v>1201</v>
          </cell>
          <cell r="H1573">
            <v>663</v>
          </cell>
          <cell r="I1573">
            <v>748</v>
          </cell>
          <cell r="J1573">
            <v>1510</v>
          </cell>
          <cell r="K1573">
            <v>1197</v>
          </cell>
          <cell r="L1573">
            <v>2160</v>
          </cell>
          <cell r="M1573">
            <v>190</v>
          </cell>
          <cell r="N1573">
            <v>685</v>
          </cell>
          <cell r="O1573">
            <v>70</v>
          </cell>
          <cell r="P1573">
            <v>480</v>
          </cell>
          <cell r="Q1573">
            <v>862</v>
          </cell>
          <cell r="R1573">
            <v>393</v>
          </cell>
          <cell r="S1573">
            <v>850</v>
          </cell>
          <cell r="T1573">
            <v>659</v>
          </cell>
          <cell r="U1573">
            <v>1175</v>
          </cell>
          <cell r="V1573">
            <v>1278</v>
          </cell>
          <cell r="W1573">
            <v>740</v>
          </cell>
          <cell r="X1573">
            <v>585</v>
          </cell>
          <cell r="Y1573">
            <v>580</v>
          </cell>
          <cell r="Z1573">
            <v>398</v>
          </cell>
          <cell r="AA1573">
            <v>649</v>
          </cell>
          <cell r="AB1573">
            <v>628</v>
          </cell>
          <cell r="AC1573">
            <v>678</v>
          </cell>
          <cell r="AD1573">
            <v>696</v>
          </cell>
          <cell r="AE1573">
            <v>742</v>
          </cell>
          <cell r="AF1573">
            <v>898</v>
          </cell>
          <cell r="AG1573">
            <v>418</v>
          </cell>
          <cell r="AH1573">
            <v>854</v>
          </cell>
          <cell r="AI1573">
            <v>985</v>
          </cell>
          <cell r="AJ1573">
            <v>1227</v>
          </cell>
        </row>
        <row r="1574">
          <cell r="E1574" t="str">
            <v>FL Industrial Hydrocarbon Gas Liquids</v>
          </cell>
          <cell r="F1574">
            <v>5731</v>
          </cell>
          <cell r="G1574">
            <v>5864</v>
          </cell>
          <cell r="H1574">
            <v>5949</v>
          </cell>
          <cell r="I1574">
            <v>6716</v>
          </cell>
          <cell r="J1574">
            <v>5908</v>
          </cell>
          <cell r="K1574">
            <v>10412</v>
          </cell>
          <cell r="L1574">
            <v>11069</v>
          </cell>
          <cell r="M1574">
            <v>3582</v>
          </cell>
          <cell r="N1574">
            <v>3225</v>
          </cell>
          <cell r="O1574">
            <v>6268</v>
          </cell>
          <cell r="P1574">
            <v>7138</v>
          </cell>
          <cell r="Q1574">
            <v>8728</v>
          </cell>
          <cell r="R1574">
            <v>4154</v>
          </cell>
          <cell r="S1574">
            <v>5230</v>
          </cell>
          <cell r="T1574">
            <v>3848</v>
          </cell>
          <cell r="U1574">
            <v>6074</v>
          </cell>
          <cell r="V1574">
            <v>7489</v>
          </cell>
          <cell r="W1574">
            <v>5272</v>
          </cell>
          <cell r="X1574">
            <v>3471</v>
          </cell>
          <cell r="Y1574">
            <v>2723</v>
          </cell>
          <cell r="Z1574">
            <v>3915</v>
          </cell>
          <cell r="AA1574">
            <v>5723</v>
          </cell>
          <cell r="AB1574">
            <v>3783</v>
          </cell>
          <cell r="AC1574">
            <v>3791</v>
          </cell>
          <cell r="AD1574">
            <v>3991</v>
          </cell>
          <cell r="AE1574">
            <v>4231</v>
          </cell>
          <cell r="AF1574">
            <v>4561</v>
          </cell>
          <cell r="AG1574">
            <v>4735</v>
          </cell>
          <cell r="AH1574">
            <v>4399</v>
          </cell>
          <cell r="AI1574">
            <v>4311</v>
          </cell>
          <cell r="AJ1574">
            <v>4712</v>
          </cell>
        </row>
        <row r="1575">
          <cell r="E1575" t="str">
            <v>GA Industrial Hydrocarbon Gas Liquids</v>
          </cell>
          <cell r="F1575">
            <v>6606</v>
          </cell>
          <cell r="G1575">
            <v>8036</v>
          </cell>
          <cell r="H1575">
            <v>8111</v>
          </cell>
          <cell r="I1575">
            <v>8765</v>
          </cell>
          <cell r="J1575">
            <v>8139</v>
          </cell>
          <cell r="K1575">
            <v>8451</v>
          </cell>
          <cell r="L1575">
            <v>8864</v>
          </cell>
          <cell r="M1575">
            <v>8631</v>
          </cell>
          <cell r="N1575">
            <v>5899</v>
          </cell>
          <cell r="O1575">
            <v>6702</v>
          </cell>
          <cell r="P1575">
            <v>11965</v>
          </cell>
          <cell r="Q1575">
            <v>9279</v>
          </cell>
          <cell r="R1575">
            <v>9682</v>
          </cell>
          <cell r="S1575">
            <v>6693</v>
          </cell>
          <cell r="T1575">
            <v>6141</v>
          </cell>
          <cell r="U1575">
            <v>8050</v>
          </cell>
          <cell r="V1575">
            <v>8299</v>
          </cell>
          <cell r="W1575">
            <v>7065</v>
          </cell>
          <cell r="X1575">
            <v>5407</v>
          </cell>
          <cell r="Y1575">
            <v>5065</v>
          </cell>
          <cell r="Z1575">
            <v>6856</v>
          </cell>
          <cell r="AA1575">
            <v>6415</v>
          </cell>
          <cell r="AB1575">
            <v>6204</v>
          </cell>
          <cell r="AC1575">
            <v>6283</v>
          </cell>
          <cell r="AD1575">
            <v>7439</v>
          </cell>
          <cell r="AE1575">
            <v>6722</v>
          </cell>
          <cell r="AF1575">
            <v>6481</v>
          </cell>
          <cell r="AG1575">
            <v>5366</v>
          </cell>
          <cell r="AH1575">
            <v>6936</v>
          </cell>
          <cell r="AI1575">
            <v>6478</v>
          </cell>
          <cell r="AJ1575">
            <v>6038</v>
          </cell>
        </row>
        <row r="1576">
          <cell r="E1576" t="str">
            <v>HI Industrial Hydrocarbon Gas Liquids</v>
          </cell>
          <cell r="F1576">
            <v>53</v>
          </cell>
          <cell r="G1576">
            <v>156</v>
          </cell>
          <cell r="H1576">
            <v>448</v>
          </cell>
          <cell r="I1576">
            <v>2642</v>
          </cell>
          <cell r="J1576">
            <v>5217</v>
          </cell>
          <cell r="K1576">
            <v>4179</v>
          </cell>
          <cell r="L1576">
            <v>4094</v>
          </cell>
          <cell r="M1576">
            <v>20</v>
          </cell>
          <cell r="N1576">
            <v>624</v>
          </cell>
          <cell r="O1576">
            <v>0</v>
          </cell>
          <cell r="P1576">
            <v>167</v>
          </cell>
          <cell r="Q1576">
            <v>209</v>
          </cell>
          <cell r="R1576">
            <v>848</v>
          </cell>
          <cell r="S1576">
            <v>322</v>
          </cell>
          <cell r="T1576">
            <v>231</v>
          </cell>
          <cell r="U1576">
            <v>48</v>
          </cell>
          <cell r="V1576">
            <v>141</v>
          </cell>
          <cell r="W1576">
            <v>198</v>
          </cell>
          <cell r="X1576">
            <v>16</v>
          </cell>
          <cell r="Y1576">
            <v>107</v>
          </cell>
          <cell r="Z1576">
            <v>200</v>
          </cell>
          <cell r="AA1576">
            <v>168</v>
          </cell>
          <cell r="AB1576">
            <v>0</v>
          </cell>
          <cell r="AC1576">
            <v>10</v>
          </cell>
          <cell r="AD1576">
            <v>22</v>
          </cell>
          <cell r="AE1576">
            <v>31</v>
          </cell>
          <cell r="AF1576">
            <v>37</v>
          </cell>
          <cell r="AG1576">
            <v>217</v>
          </cell>
          <cell r="AH1576">
            <v>408</v>
          </cell>
          <cell r="AI1576">
            <v>105</v>
          </cell>
          <cell r="AJ1576">
            <v>90</v>
          </cell>
        </row>
        <row r="1577">
          <cell r="E1577" t="str">
            <v>IA Industrial Hydrocarbon Gas Liquids</v>
          </cell>
          <cell r="F1577">
            <v>10643</v>
          </cell>
          <cell r="G1577">
            <v>11180</v>
          </cell>
          <cell r="H1577">
            <v>17053</v>
          </cell>
          <cell r="I1577">
            <v>37475</v>
          </cell>
          <cell r="J1577">
            <v>37909</v>
          </cell>
          <cell r="K1577">
            <v>42463</v>
          </cell>
          <cell r="L1577">
            <v>17138</v>
          </cell>
          <cell r="M1577">
            <v>15172</v>
          </cell>
          <cell r="N1577">
            <v>34290</v>
          </cell>
          <cell r="O1577">
            <v>43302</v>
          </cell>
          <cell r="P1577">
            <v>45719</v>
          </cell>
          <cell r="Q1577">
            <v>41224</v>
          </cell>
          <cell r="R1577">
            <v>44971</v>
          </cell>
          <cell r="S1577">
            <v>27094</v>
          </cell>
          <cell r="T1577">
            <v>48513</v>
          </cell>
          <cell r="U1577">
            <v>54284</v>
          </cell>
          <cell r="V1577">
            <v>55926</v>
          </cell>
          <cell r="W1577">
            <v>40518</v>
          </cell>
          <cell r="X1577">
            <v>47084</v>
          </cell>
          <cell r="Y1577">
            <v>48496</v>
          </cell>
          <cell r="Z1577">
            <v>46578</v>
          </cell>
          <cell r="AA1577">
            <v>43841</v>
          </cell>
          <cell r="AB1577">
            <v>36103</v>
          </cell>
          <cell r="AC1577">
            <v>49936</v>
          </cell>
          <cell r="AD1577">
            <v>50380</v>
          </cell>
          <cell r="AE1577">
            <v>46036</v>
          </cell>
          <cell r="AF1577">
            <v>46220</v>
          </cell>
          <cell r="AG1577">
            <v>47086</v>
          </cell>
          <cell r="AH1577">
            <v>47385</v>
          </cell>
          <cell r="AI1577">
            <v>51446</v>
          </cell>
          <cell r="AJ1577">
            <v>46538</v>
          </cell>
        </row>
        <row r="1578">
          <cell r="E1578" t="str">
            <v>ID Industrial Hydrocarbon Gas Liquids</v>
          </cell>
          <cell r="F1578">
            <v>645</v>
          </cell>
          <cell r="G1578">
            <v>1153</v>
          </cell>
          <cell r="H1578">
            <v>981</v>
          </cell>
          <cell r="I1578">
            <v>897</v>
          </cell>
          <cell r="J1578">
            <v>814</v>
          </cell>
          <cell r="K1578">
            <v>1006</v>
          </cell>
          <cell r="L1578">
            <v>7239</v>
          </cell>
          <cell r="M1578">
            <v>108</v>
          </cell>
          <cell r="N1578">
            <v>721</v>
          </cell>
          <cell r="O1578">
            <v>282</v>
          </cell>
          <cell r="P1578">
            <v>1048</v>
          </cell>
          <cell r="Q1578">
            <v>294</v>
          </cell>
          <cell r="R1578">
            <v>128</v>
          </cell>
          <cell r="S1578">
            <v>361</v>
          </cell>
          <cell r="T1578">
            <v>263</v>
          </cell>
          <cell r="U1578">
            <v>969</v>
          </cell>
          <cell r="V1578">
            <v>1080</v>
          </cell>
          <cell r="W1578">
            <v>1453</v>
          </cell>
          <cell r="X1578">
            <v>735</v>
          </cell>
          <cell r="Y1578">
            <v>329</v>
          </cell>
          <cell r="Z1578">
            <v>388</v>
          </cell>
          <cell r="AA1578">
            <v>856</v>
          </cell>
          <cell r="AB1578">
            <v>622</v>
          </cell>
          <cell r="AC1578">
            <v>601</v>
          </cell>
          <cell r="AD1578">
            <v>490</v>
          </cell>
          <cell r="AE1578">
            <v>508</v>
          </cell>
          <cell r="AF1578">
            <v>478</v>
          </cell>
          <cell r="AG1578">
            <v>591</v>
          </cell>
          <cell r="AH1578">
            <v>737</v>
          </cell>
          <cell r="AI1578">
            <v>544</v>
          </cell>
          <cell r="AJ1578">
            <v>830</v>
          </cell>
        </row>
        <row r="1579">
          <cell r="E1579" t="str">
            <v>IL Industrial Hydrocarbon Gas Liquids</v>
          </cell>
          <cell r="F1579">
            <v>28852</v>
          </cell>
          <cell r="G1579">
            <v>33527</v>
          </cell>
          <cell r="H1579">
            <v>27167</v>
          </cell>
          <cell r="I1579">
            <v>57526</v>
          </cell>
          <cell r="J1579">
            <v>68691</v>
          </cell>
          <cell r="K1579">
            <v>72629</v>
          </cell>
          <cell r="L1579">
            <v>64356</v>
          </cell>
          <cell r="M1579">
            <v>63363</v>
          </cell>
          <cell r="N1579">
            <v>35240</v>
          </cell>
          <cell r="O1579">
            <v>50174</v>
          </cell>
          <cell r="P1579">
            <v>46242</v>
          </cell>
          <cell r="Q1579">
            <v>46005</v>
          </cell>
          <cell r="R1579">
            <v>46561</v>
          </cell>
          <cell r="S1579">
            <v>33507</v>
          </cell>
          <cell r="T1579">
            <v>41781</v>
          </cell>
          <cell r="U1579">
            <v>51122</v>
          </cell>
          <cell r="V1579">
            <v>50576</v>
          </cell>
          <cell r="W1579">
            <v>49981</v>
          </cell>
          <cell r="X1579">
            <v>41455</v>
          </cell>
          <cell r="Y1579">
            <v>43191</v>
          </cell>
          <cell r="Z1579">
            <v>49031</v>
          </cell>
          <cell r="AA1579">
            <v>48335</v>
          </cell>
          <cell r="AB1579">
            <v>49197</v>
          </cell>
          <cell r="AC1579">
            <v>42060</v>
          </cell>
          <cell r="AD1579">
            <v>53497</v>
          </cell>
          <cell r="AE1579">
            <v>49302</v>
          </cell>
          <cell r="AF1579">
            <v>48287</v>
          </cell>
          <cell r="AG1579">
            <v>48190</v>
          </cell>
          <cell r="AH1579">
            <v>49182</v>
          </cell>
          <cell r="AI1579">
            <v>53803</v>
          </cell>
          <cell r="AJ1579">
            <v>52884</v>
          </cell>
        </row>
        <row r="1580">
          <cell r="E1580" t="str">
            <v>IN Industrial Hydrocarbon Gas Liquids</v>
          </cell>
          <cell r="F1580">
            <v>18274</v>
          </cell>
          <cell r="G1580">
            <v>18008</v>
          </cell>
          <cell r="H1580">
            <v>9880</v>
          </cell>
          <cell r="I1580">
            <v>11013</v>
          </cell>
          <cell r="J1580">
            <v>8869</v>
          </cell>
          <cell r="K1580">
            <v>7790</v>
          </cell>
          <cell r="L1580">
            <v>8539</v>
          </cell>
          <cell r="M1580">
            <v>4920</v>
          </cell>
          <cell r="N1580">
            <v>3317</v>
          </cell>
          <cell r="O1580">
            <v>4959</v>
          </cell>
          <cell r="P1580">
            <v>8321</v>
          </cell>
          <cell r="Q1580">
            <v>6162</v>
          </cell>
          <cell r="R1580">
            <v>8405</v>
          </cell>
          <cell r="S1580">
            <v>8574</v>
          </cell>
          <cell r="T1580">
            <v>9192</v>
          </cell>
          <cell r="U1580">
            <v>7691</v>
          </cell>
          <cell r="V1580">
            <v>8185</v>
          </cell>
          <cell r="W1580">
            <v>8568</v>
          </cell>
          <cell r="X1580">
            <v>4087</v>
          </cell>
          <cell r="Y1580">
            <v>6762</v>
          </cell>
          <cell r="Z1580">
            <v>6468</v>
          </cell>
          <cell r="AA1580">
            <v>6241</v>
          </cell>
          <cell r="AB1580">
            <v>6723</v>
          </cell>
          <cell r="AC1580">
            <v>8140</v>
          </cell>
          <cell r="AD1580">
            <v>7463</v>
          </cell>
          <cell r="AE1580">
            <v>5435</v>
          </cell>
          <cell r="AF1580">
            <v>4888</v>
          </cell>
          <cell r="AG1580">
            <v>4737</v>
          </cell>
          <cell r="AH1580">
            <v>4401</v>
          </cell>
          <cell r="AI1580">
            <v>5325</v>
          </cell>
          <cell r="AJ1580">
            <v>6231</v>
          </cell>
        </row>
        <row r="1581">
          <cell r="E1581" t="str">
            <v>KS Industrial Hydrocarbon Gas Liquids</v>
          </cell>
          <cell r="F1581">
            <v>48384</v>
          </cell>
          <cell r="G1581">
            <v>40013</v>
          </cell>
          <cell r="H1581">
            <v>53416</v>
          </cell>
          <cell r="I1581">
            <v>23575</v>
          </cell>
          <cell r="J1581">
            <v>22143</v>
          </cell>
          <cell r="K1581">
            <v>10868</v>
          </cell>
          <cell r="L1581">
            <v>27838</v>
          </cell>
          <cell r="M1581">
            <v>40201</v>
          </cell>
          <cell r="N1581">
            <v>38298</v>
          </cell>
          <cell r="O1581">
            <v>61180</v>
          </cell>
          <cell r="P1581">
            <v>48957</v>
          </cell>
          <cell r="Q1581">
            <v>30376</v>
          </cell>
          <cell r="R1581">
            <v>27311</v>
          </cell>
          <cell r="S1581">
            <v>48476</v>
          </cell>
          <cell r="T1581">
            <v>41693</v>
          </cell>
          <cell r="U1581">
            <v>526</v>
          </cell>
          <cell r="V1581">
            <v>227</v>
          </cell>
          <cell r="W1581">
            <v>51447</v>
          </cell>
          <cell r="X1581">
            <v>1264</v>
          </cell>
          <cell r="Y1581">
            <v>1579</v>
          </cell>
          <cell r="Z1581">
            <v>1547</v>
          </cell>
          <cell r="AA1581">
            <v>2481</v>
          </cell>
          <cell r="AB1581">
            <v>2066</v>
          </cell>
          <cell r="AC1581">
            <v>2303</v>
          </cell>
          <cell r="AD1581">
            <v>1668</v>
          </cell>
          <cell r="AE1581">
            <v>2078</v>
          </cell>
          <cell r="AF1581">
            <v>1456</v>
          </cell>
          <cell r="AG1581">
            <v>1741</v>
          </cell>
          <cell r="AH1581">
            <v>1661</v>
          </cell>
          <cell r="AI1581">
            <v>2106</v>
          </cell>
          <cell r="AJ1581">
            <v>1617</v>
          </cell>
        </row>
        <row r="1582">
          <cell r="E1582" t="str">
            <v>KY Industrial Hydrocarbon Gas Liquids</v>
          </cell>
          <cell r="F1582">
            <v>13589</v>
          </cell>
          <cell r="G1582">
            <v>14167</v>
          </cell>
          <cell r="H1582">
            <v>13784</v>
          </cell>
          <cell r="I1582">
            <v>10264</v>
          </cell>
          <cell r="J1582">
            <v>10122</v>
          </cell>
          <cell r="K1582">
            <v>10045</v>
          </cell>
          <cell r="L1582">
            <v>12336</v>
          </cell>
          <cell r="M1582">
            <v>17755</v>
          </cell>
          <cell r="N1582">
            <v>16564</v>
          </cell>
          <cell r="O1582">
            <v>20507</v>
          </cell>
          <cell r="P1582">
            <v>22704</v>
          </cell>
          <cell r="Q1582">
            <v>26375</v>
          </cell>
          <cell r="R1582">
            <v>28913</v>
          </cell>
          <cell r="S1582">
            <v>20815</v>
          </cell>
          <cell r="T1582">
            <v>23644</v>
          </cell>
          <cell r="U1582">
            <v>25495</v>
          </cell>
          <cell r="V1582">
            <v>25222</v>
          </cell>
          <cell r="W1582">
            <v>25079</v>
          </cell>
          <cell r="X1582">
            <v>23027</v>
          </cell>
          <cell r="Y1582">
            <v>18591</v>
          </cell>
          <cell r="Z1582">
            <v>45583</v>
          </cell>
          <cell r="AA1582">
            <v>45948</v>
          </cell>
          <cell r="AB1582">
            <v>46328</v>
          </cell>
          <cell r="AC1582">
            <v>28903</v>
          </cell>
          <cell r="AD1582">
            <v>24798</v>
          </cell>
          <cell r="AE1582">
            <v>26296</v>
          </cell>
          <cell r="AF1582">
            <v>23294</v>
          </cell>
          <cell r="AG1582">
            <v>25675</v>
          </cell>
          <cell r="AH1582">
            <v>28028</v>
          </cell>
          <cell r="AI1582">
            <v>28162</v>
          </cell>
          <cell r="AJ1582">
            <v>28317</v>
          </cell>
        </row>
        <row r="1583">
          <cell r="E1583" t="str">
            <v>LA Industrial Hydrocarbon Gas Liquids</v>
          </cell>
          <cell r="F1583">
            <v>258315</v>
          </cell>
          <cell r="G1583">
            <v>289886</v>
          </cell>
          <cell r="H1583">
            <v>309260</v>
          </cell>
          <cell r="I1583">
            <v>317406</v>
          </cell>
          <cell r="J1583">
            <v>364484</v>
          </cell>
          <cell r="K1583">
            <v>361267</v>
          </cell>
          <cell r="L1583">
            <v>364581</v>
          </cell>
          <cell r="M1583">
            <v>288096</v>
          </cell>
          <cell r="N1583">
            <v>268415</v>
          </cell>
          <cell r="O1583">
            <v>386297</v>
          </cell>
          <cell r="P1583">
            <v>478657</v>
          </cell>
          <cell r="Q1583">
            <v>320202</v>
          </cell>
          <cell r="R1583">
            <v>321278</v>
          </cell>
          <cell r="S1583">
            <v>199878</v>
          </cell>
          <cell r="T1583">
            <v>219762</v>
          </cell>
          <cell r="U1583">
            <v>202184</v>
          </cell>
          <cell r="V1583">
            <v>222900</v>
          </cell>
          <cell r="W1583">
            <v>220142</v>
          </cell>
          <cell r="X1583">
            <v>399355</v>
          </cell>
          <cell r="Y1583">
            <v>463028</v>
          </cell>
          <cell r="Z1583">
            <v>337731</v>
          </cell>
          <cell r="AA1583">
            <v>350422</v>
          </cell>
          <cell r="AB1583">
            <v>408680</v>
          </cell>
          <cell r="AC1583">
            <v>436131</v>
          </cell>
          <cell r="AD1583">
            <v>407772</v>
          </cell>
          <cell r="AE1583">
            <v>447644</v>
          </cell>
          <cell r="AF1583">
            <v>428365</v>
          </cell>
          <cell r="AG1583">
            <v>460370</v>
          </cell>
          <cell r="AH1583">
            <v>467468</v>
          </cell>
          <cell r="AI1583">
            <v>498124</v>
          </cell>
          <cell r="AJ1583">
            <v>649096</v>
          </cell>
        </row>
        <row r="1584">
          <cell r="E1584" t="str">
            <v>MA Industrial Hydrocarbon Gas Liquids</v>
          </cell>
          <cell r="F1584">
            <v>3356</v>
          </cell>
          <cell r="G1584">
            <v>1387</v>
          </cell>
          <cell r="H1584">
            <v>1285</v>
          </cell>
          <cell r="I1584">
            <v>1574</v>
          </cell>
          <cell r="J1584">
            <v>1160</v>
          </cell>
          <cell r="K1584">
            <v>1339</v>
          </cell>
          <cell r="L1584">
            <v>1700</v>
          </cell>
          <cell r="M1584">
            <v>563</v>
          </cell>
          <cell r="N1584">
            <v>637</v>
          </cell>
          <cell r="O1584">
            <v>1197</v>
          </cell>
          <cell r="P1584">
            <v>2228</v>
          </cell>
          <cell r="Q1584">
            <v>2943</v>
          </cell>
          <cell r="R1584">
            <v>2226</v>
          </cell>
          <cell r="S1584">
            <v>657</v>
          </cell>
          <cell r="T1584">
            <v>230</v>
          </cell>
          <cell r="U1584">
            <v>1274</v>
          </cell>
          <cell r="V1584">
            <v>4055</v>
          </cell>
          <cell r="W1584">
            <v>3024</v>
          </cell>
          <cell r="X1584">
            <v>516</v>
          </cell>
          <cell r="Y1584">
            <v>355</v>
          </cell>
          <cell r="Z1584">
            <v>426</v>
          </cell>
          <cell r="AA1584">
            <v>729</v>
          </cell>
          <cell r="AB1584">
            <v>889</v>
          </cell>
          <cell r="AC1584">
            <v>977</v>
          </cell>
          <cell r="AD1584">
            <v>1014</v>
          </cell>
          <cell r="AE1584">
            <v>838</v>
          </cell>
          <cell r="AF1584">
            <v>768</v>
          </cell>
          <cell r="AG1584">
            <v>729</v>
          </cell>
          <cell r="AH1584">
            <v>631</v>
          </cell>
          <cell r="AI1584">
            <v>674</v>
          </cell>
          <cell r="AJ1584">
            <v>729</v>
          </cell>
        </row>
        <row r="1585">
          <cell r="E1585" t="str">
            <v>MD Industrial Hydrocarbon Gas Liquids</v>
          </cell>
          <cell r="F1585">
            <v>2182</v>
          </cell>
          <cell r="G1585">
            <v>1878</v>
          </cell>
          <cell r="H1585">
            <v>3209</v>
          </cell>
          <cell r="I1585">
            <v>2440</v>
          </cell>
          <cell r="J1585">
            <v>3670</v>
          </cell>
          <cell r="K1585">
            <v>2428</v>
          </cell>
          <cell r="L1585">
            <v>2636</v>
          </cell>
          <cell r="M1585">
            <v>1427</v>
          </cell>
          <cell r="N1585">
            <v>907</v>
          </cell>
          <cell r="O1585">
            <v>605</v>
          </cell>
          <cell r="P1585">
            <v>2555</v>
          </cell>
          <cell r="Q1585">
            <v>2169</v>
          </cell>
          <cell r="R1585">
            <v>1274</v>
          </cell>
          <cell r="S1585">
            <v>2418</v>
          </cell>
          <cell r="T1585">
            <v>1564</v>
          </cell>
          <cell r="U1585">
            <v>2704</v>
          </cell>
          <cell r="V1585">
            <v>3074</v>
          </cell>
          <cell r="W1585">
            <v>2196</v>
          </cell>
          <cell r="X1585">
            <v>1400</v>
          </cell>
          <cell r="Y1585">
            <v>1391</v>
          </cell>
          <cell r="Z1585">
            <v>2052</v>
          </cell>
          <cell r="AA1585">
            <v>1949</v>
          </cell>
          <cell r="AB1585">
            <v>1661</v>
          </cell>
          <cell r="AC1585">
            <v>1942</v>
          </cell>
          <cell r="AD1585">
            <v>1917</v>
          </cell>
          <cell r="AE1585">
            <v>2006</v>
          </cell>
          <cell r="AF1585">
            <v>1895</v>
          </cell>
          <cell r="AG1585">
            <v>1460</v>
          </cell>
          <cell r="AH1585">
            <v>1733</v>
          </cell>
          <cell r="AI1585">
            <v>1764</v>
          </cell>
          <cell r="AJ1585">
            <v>2046</v>
          </cell>
        </row>
        <row r="1586">
          <cell r="E1586" t="str">
            <v>ME Industrial Hydrocarbon Gas Liquids</v>
          </cell>
          <cell r="F1586">
            <v>1235</v>
          </cell>
          <cell r="G1586">
            <v>1213</v>
          </cell>
          <cell r="H1586">
            <v>1093</v>
          </cell>
          <cell r="I1586">
            <v>806</v>
          </cell>
          <cell r="J1586">
            <v>703</v>
          </cell>
          <cell r="K1586">
            <v>747</v>
          </cell>
          <cell r="L1586">
            <v>956</v>
          </cell>
          <cell r="M1586">
            <v>299</v>
          </cell>
          <cell r="N1586">
            <v>459</v>
          </cell>
          <cell r="O1586">
            <v>39</v>
          </cell>
          <cell r="P1586">
            <v>306</v>
          </cell>
          <cell r="Q1586">
            <v>680</v>
          </cell>
          <cell r="R1586">
            <v>1054</v>
          </cell>
          <cell r="S1586">
            <v>296</v>
          </cell>
          <cell r="T1586">
            <v>97</v>
          </cell>
          <cell r="U1586">
            <v>956</v>
          </cell>
          <cell r="V1586">
            <v>1315</v>
          </cell>
          <cell r="W1586">
            <v>972</v>
          </cell>
          <cell r="X1586">
            <v>193</v>
          </cell>
          <cell r="Y1586">
            <v>322</v>
          </cell>
          <cell r="Z1586">
            <v>206</v>
          </cell>
          <cell r="AA1586">
            <v>421</v>
          </cell>
          <cell r="AB1586">
            <v>143</v>
          </cell>
          <cell r="AC1586">
            <v>140</v>
          </cell>
          <cell r="AD1586">
            <v>192</v>
          </cell>
          <cell r="AE1586">
            <v>386</v>
          </cell>
          <cell r="AF1586">
            <v>326</v>
          </cell>
          <cell r="AG1586">
            <v>450</v>
          </cell>
          <cell r="AH1586">
            <v>359</v>
          </cell>
          <cell r="AI1586">
            <v>355</v>
          </cell>
          <cell r="AJ1586">
            <v>292</v>
          </cell>
        </row>
        <row r="1587">
          <cell r="E1587" t="str">
            <v>MI Industrial Hydrocarbon Gas Liquids</v>
          </cell>
          <cell r="F1587">
            <v>23881</v>
          </cell>
          <cell r="G1587">
            <v>24825</v>
          </cell>
          <cell r="H1587">
            <v>26940</v>
          </cell>
          <cell r="I1587">
            <v>11709</v>
          </cell>
          <cell r="J1587">
            <v>15755</v>
          </cell>
          <cell r="K1587">
            <v>16707</v>
          </cell>
          <cell r="L1587">
            <v>18646</v>
          </cell>
          <cell r="M1587">
            <v>8142</v>
          </cell>
          <cell r="N1587">
            <v>3887</v>
          </cell>
          <cell r="O1587">
            <v>7991</v>
          </cell>
          <cell r="P1587">
            <v>10281</v>
          </cell>
          <cell r="Q1587">
            <v>8341</v>
          </cell>
          <cell r="R1587">
            <v>11859</v>
          </cell>
          <cell r="S1587">
            <v>10285</v>
          </cell>
          <cell r="T1587">
            <v>17546</v>
          </cell>
          <cell r="U1587">
            <v>21552</v>
          </cell>
          <cell r="V1587">
            <v>15070</v>
          </cell>
          <cell r="W1587">
            <v>13949</v>
          </cell>
          <cell r="X1587">
            <v>3381</v>
          </cell>
          <cell r="Y1587">
            <v>3272</v>
          </cell>
          <cell r="Z1587">
            <v>4104</v>
          </cell>
          <cell r="AA1587">
            <v>5045</v>
          </cell>
          <cell r="AB1587">
            <v>5302</v>
          </cell>
          <cell r="AC1587">
            <v>6176</v>
          </cell>
          <cell r="AD1587">
            <v>5999</v>
          </cell>
          <cell r="AE1587">
            <v>6062</v>
          </cell>
          <cell r="AF1587">
            <v>6083</v>
          </cell>
          <cell r="AG1587">
            <v>5240</v>
          </cell>
          <cell r="AH1587">
            <v>4596</v>
          </cell>
          <cell r="AI1587">
            <v>5582</v>
          </cell>
          <cell r="AJ1587">
            <v>5526</v>
          </cell>
        </row>
        <row r="1588">
          <cell r="E1588" t="str">
            <v>MN Industrial Hydrocarbon Gas Liquids</v>
          </cell>
          <cell r="F1588">
            <v>8478</v>
          </cell>
          <cell r="G1588">
            <v>9599</v>
          </cell>
          <cell r="H1588">
            <v>13019</v>
          </cell>
          <cell r="I1588">
            <v>12580</v>
          </cell>
          <cell r="J1588">
            <v>14802</v>
          </cell>
          <cell r="K1588">
            <v>15203</v>
          </cell>
          <cell r="L1588">
            <v>16687</v>
          </cell>
          <cell r="M1588">
            <v>12019</v>
          </cell>
          <cell r="N1588">
            <v>9573</v>
          </cell>
          <cell r="O1588">
            <v>10281</v>
          </cell>
          <cell r="P1588">
            <v>11770</v>
          </cell>
          <cell r="Q1588">
            <v>11511</v>
          </cell>
          <cell r="R1588">
            <v>20234</v>
          </cell>
          <cell r="S1588">
            <v>13534</v>
          </cell>
          <cell r="T1588">
            <v>18709</v>
          </cell>
          <cell r="U1588">
            <v>17698</v>
          </cell>
          <cell r="V1588">
            <v>16079</v>
          </cell>
          <cell r="W1588">
            <v>15665</v>
          </cell>
          <cell r="X1588">
            <v>11003</v>
          </cell>
          <cell r="Y1588">
            <v>14268</v>
          </cell>
          <cell r="Z1588">
            <v>9160</v>
          </cell>
          <cell r="AA1588">
            <v>8001</v>
          </cell>
          <cell r="AB1588">
            <v>8613</v>
          </cell>
          <cell r="AC1588">
            <v>13771</v>
          </cell>
          <cell r="AD1588">
            <v>15705</v>
          </cell>
          <cell r="AE1588">
            <v>10438</v>
          </cell>
          <cell r="AF1588">
            <v>9956</v>
          </cell>
          <cell r="AG1588">
            <v>10417</v>
          </cell>
          <cell r="AH1588">
            <v>11149</v>
          </cell>
          <cell r="AI1588">
            <v>14440</v>
          </cell>
          <cell r="AJ1588">
            <v>12815</v>
          </cell>
        </row>
        <row r="1589">
          <cell r="E1589" t="str">
            <v>MO Industrial Hydrocarbon Gas Liquids</v>
          </cell>
          <cell r="F1589">
            <v>6286</v>
          </cell>
          <cell r="G1589">
            <v>7026</v>
          </cell>
          <cell r="H1589">
            <v>6427</v>
          </cell>
          <cell r="I1589">
            <v>8892</v>
          </cell>
          <cell r="J1589">
            <v>8405</v>
          </cell>
          <cell r="K1589">
            <v>14201</v>
          </cell>
          <cell r="L1589">
            <v>12525</v>
          </cell>
          <cell r="M1589">
            <v>9425</v>
          </cell>
          <cell r="N1589">
            <v>7266</v>
          </cell>
          <cell r="O1589">
            <v>15668</v>
          </cell>
          <cell r="P1589">
            <v>12695</v>
          </cell>
          <cell r="Q1589">
            <v>7034</v>
          </cell>
          <cell r="R1589">
            <v>15978</v>
          </cell>
          <cell r="S1589">
            <v>15611</v>
          </cell>
          <cell r="T1589">
            <v>19039</v>
          </cell>
          <cell r="U1589">
            <v>18115</v>
          </cell>
          <cell r="V1589">
            <v>12463</v>
          </cell>
          <cell r="W1589">
            <v>16316</v>
          </cell>
          <cell r="X1589">
            <v>5469</v>
          </cell>
          <cell r="Y1589">
            <v>5527</v>
          </cell>
          <cell r="Z1589">
            <v>6945</v>
          </cell>
          <cell r="AA1589">
            <v>6931</v>
          </cell>
          <cell r="AB1589">
            <v>6673</v>
          </cell>
          <cell r="AC1589">
            <v>6602</v>
          </cell>
          <cell r="AD1589">
            <v>7391</v>
          </cell>
          <cell r="AE1589">
            <v>5690</v>
          </cell>
          <cell r="AF1589">
            <v>4665</v>
          </cell>
          <cell r="AG1589">
            <v>6051</v>
          </cell>
          <cell r="AH1589">
            <v>4488</v>
          </cell>
          <cell r="AI1589">
            <v>4143</v>
          </cell>
          <cell r="AJ1589">
            <v>4805</v>
          </cell>
        </row>
        <row r="1590">
          <cell r="E1590" t="str">
            <v>MS Industrial Hydrocarbon Gas Liquids</v>
          </cell>
          <cell r="F1590">
            <v>15250</v>
          </cell>
          <cell r="G1590">
            <v>13061</v>
          </cell>
          <cell r="H1590">
            <v>14038</v>
          </cell>
          <cell r="I1590">
            <v>12055</v>
          </cell>
          <cell r="J1590">
            <v>13246</v>
          </cell>
          <cell r="K1590">
            <v>15399</v>
          </cell>
          <cell r="L1590">
            <v>20833</v>
          </cell>
          <cell r="M1590">
            <v>1371</v>
          </cell>
          <cell r="N1590">
            <v>967</v>
          </cell>
          <cell r="O1590">
            <v>7676</v>
          </cell>
          <cell r="P1590">
            <v>5906</v>
          </cell>
          <cell r="Q1590">
            <v>9015</v>
          </cell>
          <cell r="R1590">
            <v>7249</v>
          </cell>
          <cell r="S1590">
            <v>13237</v>
          </cell>
          <cell r="T1590">
            <v>4295</v>
          </cell>
          <cell r="U1590">
            <v>3295</v>
          </cell>
          <cell r="V1590">
            <v>4680</v>
          </cell>
          <cell r="W1590">
            <v>3021</v>
          </cell>
          <cell r="X1590">
            <v>1835</v>
          </cell>
          <cell r="Y1590">
            <v>1721</v>
          </cell>
          <cell r="Z1590">
            <v>2023</v>
          </cell>
          <cell r="AA1590">
            <v>1970</v>
          </cell>
          <cell r="AB1590">
            <v>1877</v>
          </cell>
          <cell r="AC1590">
            <v>2145</v>
          </cell>
          <cell r="AD1590">
            <v>2439</v>
          </cell>
          <cell r="AE1590">
            <v>2137</v>
          </cell>
          <cell r="AF1590">
            <v>2319</v>
          </cell>
          <cell r="AG1590">
            <v>2121</v>
          </cell>
          <cell r="AH1590">
            <v>2918</v>
          </cell>
          <cell r="AI1590">
            <v>2934</v>
          </cell>
          <cell r="AJ1590">
            <v>2478</v>
          </cell>
        </row>
        <row r="1591">
          <cell r="E1591" t="str">
            <v>MT Industrial Hydrocarbon Gas Liquids</v>
          </cell>
          <cell r="F1591">
            <v>2472</v>
          </cell>
          <cell r="G1591">
            <v>612</v>
          </cell>
          <cell r="H1591">
            <v>964</v>
          </cell>
          <cell r="I1591">
            <v>5180</v>
          </cell>
          <cell r="J1591">
            <v>1254</v>
          </cell>
          <cell r="K1591">
            <v>1154</v>
          </cell>
          <cell r="L1591">
            <v>3406</v>
          </cell>
          <cell r="M1591">
            <v>312</v>
          </cell>
          <cell r="N1591">
            <v>372</v>
          </cell>
          <cell r="O1591">
            <v>387</v>
          </cell>
          <cell r="P1591">
            <v>777</v>
          </cell>
          <cell r="Q1591">
            <v>941</v>
          </cell>
          <cell r="R1591">
            <v>1228</v>
          </cell>
          <cell r="S1591">
            <v>732</v>
          </cell>
          <cell r="T1591">
            <v>564</v>
          </cell>
          <cell r="U1591">
            <v>986</v>
          </cell>
          <cell r="V1591">
            <v>1100</v>
          </cell>
          <cell r="W1591">
            <v>2292</v>
          </cell>
          <cell r="X1591">
            <v>995</v>
          </cell>
          <cell r="Y1591">
            <v>104</v>
          </cell>
          <cell r="Z1591">
            <v>330</v>
          </cell>
          <cell r="AA1591">
            <v>507</v>
          </cell>
          <cell r="AB1591">
            <v>205</v>
          </cell>
          <cell r="AC1591">
            <v>323</v>
          </cell>
          <cell r="AD1591">
            <v>350</v>
          </cell>
          <cell r="AE1591">
            <v>485</v>
          </cell>
          <cell r="AF1591">
            <v>247</v>
          </cell>
          <cell r="AG1591">
            <v>345</v>
          </cell>
          <cell r="AH1591">
            <v>386</v>
          </cell>
          <cell r="AI1591">
            <v>577</v>
          </cell>
          <cell r="AJ1591">
            <v>317</v>
          </cell>
        </row>
        <row r="1592">
          <cell r="E1592" t="str">
            <v>NC Industrial Hydrocarbon Gas Liquids</v>
          </cell>
          <cell r="F1592">
            <v>12756</v>
          </cell>
          <cell r="G1592">
            <v>15413</v>
          </cell>
          <cell r="H1592">
            <v>15984</v>
          </cell>
          <cell r="I1592">
            <v>17752</v>
          </cell>
          <cell r="J1592">
            <v>19147</v>
          </cell>
          <cell r="K1592">
            <v>17705</v>
          </cell>
          <cell r="L1592">
            <v>20304</v>
          </cell>
          <cell r="M1592">
            <v>26993</v>
          </cell>
          <cell r="N1592">
            <v>18648</v>
          </cell>
          <cell r="O1592">
            <v>14519</v>
          </cell>
          <cell r="P1592">
            <v>19904</v>
          </cell>
          <cell r="Q1592">
            <v>18393</v>
          </cell>
          <cell r="R1592">
            <v>15711</v>
          </cell>
          <cell r="S1592">
            <v>10631</v>
          </cell>
          <cell r="T1592">
            <v>9717</v>
          </cell>
          <cell r="U1592">
            <v>14637</v>
          </cell>
          <cell r="V1592">
            <v>17276</v>
          </cell>
          <cell r="W1592">
            <v>15060</v>
          </cell>
          <cell r="X1592">
            <v>9459</v>
          </cell>
          <cell r="Y1592">
            <v>10194</v>
          </cell>
          <cell r="Z1592">
            <v>16199</v>
          </cell>
          <cell r="AA1592">
            <v>15788</v>
          </cell>
          <cell r="AB1592">
            <v>15274</v>
          </cell>
          <cell r="AC1592">
            <v>10225</v>
          </cell>
          <cell r="AD1592">
            <v>12177</v>
          </cell>
          <cell r="AE1592">
            <v>10732</v>
          </cell>
          <cell r="AF1592">
            <v>8627</v>
          </cell>
          <cell r="AG1592">
            <v>8314</v>
          </cell>
          <cell r="AH1592">
            <v>9388</v>
          </cell>
          <cell r="AI1592">
            <v>8682</v>
          </cell>
          <cell r="AJ1592">
            <v>9307</v>
          </cell>
        </row>
        <row r="1593">
          <cell r="E1593" t="str">
            <v>ND Industrial Hydrocarbon Gas Liquids</v>
          </cell>
          <cell r="F1593">
            <v>2220</v>
          </cell>
          <cell r="G1593">
            <v>2962</v>
          </cell>
          <cell r="H1593">
            <v>1671</v>
          </cell>
          <cell r="I1593">
            <v>1557</v>
          </cell>
          <cell r="J1593">
            <v>1672</v>
          </cell>
          <cell r="K1593">
            <v>2872</v>
          </cell>
          <cell r="L1593">
            <v>3757</v>
          </cell>
          <cell r="M1593">
            <v>2532</v>
          </cell>
          <cell r="N1593">
            <v>2384</v>
          </cell>
          <cell r="O1593">
            <v>3345</v>
          </cell>
          <cell r="P1593">
            <v>4389</v>
          </cell>
          <cell r="Q1593">
            <v>10474</v>
          </cell>
          <cell r="R1593">
            <v>4386</v>
          </cell>
          <cell r="S1593">
            <v>2478</v>
          </cell>
          <cell r="T1593">
            <v>4417</v>
          </cell>
          <cell r="U1593">
            <v>4049</v>
          </cell>
          <cell r="V1593">
            <v>3524</v>
          </cell>
          <cell r="W1593">
            <v>4174</v>
          </cell>
          <cell r="X1593">
            <v>2273</v>
          </cell>
          <cell r="Y1593">
            <v>2963</v>
          </cell>
          <cell r="Z1593">
            <v>2928</v>
          </cell>
          <cell r="AA1593">
            <v>1780</v>
          </cell>
          <cell r="AB1593">
            <v>2202</v>
          </cell>
          <cell r="AC1593">
            <v>3867</v>
          </cell>
          <cell r="AD1593">
            <v>3460</v>
          </cell>
          <cell r="AE1593">
            <v>2944</v>
          </cell>
          <cell r="AF1593">
            <v>2653</v>
          </cell>
          <cell r="AG1593">
            <v>4031</v>
          </cell>
          <cell r="AH1593">
            <v>3297</v>
          </cell>
          <cell r="AI1593">
            <v>4623</v>
          </cell>
          <cell r="AJ1593">
            <v>2943</v>
          </cell>
        </row>
        <row r="1594">
          <cell r="E1594" t="str">
            <v>NE Industrial Hydrocarbon Gas Liquids</v>
          </cell>
          <cell r="F1594">
            <v>5862</v>
          </cell>
          <cell r="G1594">
            <v>5700</v>
          </cell>
          <cell r="H1594">
            <v>5922</v>
          </cell>
          <cell r="I1594">
            <v>5339</v>
          </cell>
          <cell r="J1594">
            <v>6006</v>
          </cell>
          <cell r="K1594">
            <v>5599</v>
          </cell>
          <cell r="L1594">
            <v>6726</v>
          </cell>
          <cell r="M1594">
            <v>5418</v>
          </cell>
          <cell r="N1594">
            <v>4509</v>
          </cell>
          <cell r="O1594">
            <v>5627</v>
          </cell>
          <cell r="P1594">
            <v>5996</v>
          </cell>
          <cell r="Q1594">
            <v>5716</v>
          </cell>
          <cell r="R1594">
            <v>8844</v>
          </cell>
          <cell r="S1594">
            <v>7149</v>
          </cell>
          <cell r="T1594">
            <v>7323</v>
          </cell>
          <cell r="U1594">
            <v>5989</v>
          </cell>
          <cell r="V1594">
            <v>7142</v>
          </cell>
          <cell r="W1594">
            <v>5214</v>
          </cell>
          <cell r="X1594">
            <v>3039</v>
          </cell>
          <cell r="Y1594">
            <v>4750</v>
          </cell>
          <cell r="Z1594">
            <v>3327</v>
          </cell>
          <cell r="AA1594">
            <v>2933</v>
          </cell>
          <cell r="AB1594">
            <v>3582</v>
          </cell>
          <cell r="AC1594">
            <v>4418</v>
          </cell>
          <cell r="AD1594">
            <v>3523</v>
          </cell>
          <cell r="AE1594">
            <v>2668</v>
          </cell>
          <cell r="AF1594">
            <v>2897</v>
          </cell>
          <cell r="AG1594">
            <v>3144</v>
          </cell>
          <cell r="AH1594">
            <v>2362</v>
          </cell>
          <cell r="AI1594">
            <v>2409</v>
          </cell>
          <cell r="AJ1594">
            <v>2137</v>
          </cell>
        </row>
        <row r="1595">
          <cell r="E1595" t="str">
            <v>NH Industrial Hydrocarbon Gas Liquids</v>
          </cell>
          <cell r="F1595">
            <v>1386</v>
          </cell>
          <cell r="G1595">
            <v>678</v>
          </cell>
          <cell r="H1595">
            <v>828</v>
          </cell>
          <cell r="I1595">
            <v>1386</v>
          </cell>
          <cell r="J1595">
            <v>1368</v>
          </cell>
          <cell r="K1595">
            <v>1079</v>
          </cell>
          <cell r="L1595">
            <v>1010</v>
          </cell>
          <cell r="M1595">
            <v>973</v>
          </cell>
          <cell r="N1595">
            <v>1115</v>
          </cell>
          <cell r="O1595">
            <v>667</v>
          </cell>
          <cell r="P1595">
            <v>2245</v>
          </cell>
          <cell r="Q1595">
            <v>1260</v>
          </cell>
          <cell r="R1595">
            <v>741</v>
          </cell>
          <cell r="S1595">
            <v>825</v>
          </cell>
          <cell r="T1595">
            <v>740</v>
          </cell>
          <cell r="U1595">
            <v>1403</v>
          </cell>
          <cell r="V1595">
            <v>2114</v>
          </cell>
          <cell r="W1595">
            <v>1324</v>
          </cell>
          <cell r="X1595">
            <v>848</v>
          </cell>
          <cell r="Y1595">
            <v>771</v>
          </cell>
          <cell r="Z1595">
            <v>406</v>
          </cell>
          <cell r="AA1595">
            <v>862</v>
          </cell>
          <cell r="AB1595">
            <v>538</v>
          </cell>
          <cell r="AC1595">
            <v>637</v>
          </cell>
          <cell r="AD1595">
            <v>574</v>
          </cell>
          <cell r="AE1595">
            <v>511</v>
          </cell>
          <cell r="AF1595">
            <v>309</v>
          </cell>
          <cell r="AG1595">
            <v>1364</v>
          </cell>
          <cell r="AH1595">
            <v>544</v>
          </cell>
          <cell r="AI1595">
            <v>395</v>
          </cell>
          <cell r="AJ1595">
            <v>402</v>
          </cell>
        </row>
        <row r="1596">
          <cell r="E1596" t="str">
            <v>NJ Industrial Hydrocarbon Gas Liquids</v>
          </cell>
          <cell r="F1596">
            <v>10906</v>
          </cell>
          <cell r="G1596">
            <v>16121</v>
          </cell>
          <cell r="H1596">
            <v>17180</v>
          </cell>
          <cell r="I1596">
            <v>6865</v>
          </cell>
          <cell r="J1596">
            <v>7507</v>
          </cell>
          <cell r="K1596">
            <v>7518</v>
          </cell>
          <cell r="L1596">
            <v>6093</v>
          </cell>
          <cell r="M1596">
            <v>8700</v>
          </cell>
          <cell r="N1596">
            <v>5514</v>
          </cell>
          <cell r="O1596">
            <v>18411</v>
          </cell>
          <cell r="P1596">
            <v>15244</v>
          </cell>
          <cell r="Q1596">
            <v>17989</v>
          </cell>
          <cell r="R1596">
            <v>18792</v>
          </cell>
          <cell r="S1596">
            <v>3204</v>
          </cell>
          <cell r="T1596">
            <v>3378</v>
          </cell>
          <cell r="U1596">
            <v>2298</v>
          </cell>
          <cell r="V1596">
            <v>1866</v>
          </cell>
          <cell r="W1596">
            <v>2611</v>
          </cell>
          <cell r="X1596">
            <v>1263</v>
          </cell>
          <cell r="Y1596">
            <v>799</v>
          </cell>
          <cell r="Z1596">
            <v>19985</v>
          </cell>
          <cell r="AA1596">
            <v>20267</v>
          </cell>
          <cell r="AB1596">
            <v>17723</v>
          </cell>
          <cell r="AC1596">
            <v>17821</v>
          </cell>
          <cell r="AD1596">
            <v>17905</v>
          </cell>
          <cell r="AE1596">
            <v>18059</v>
          </cell>
          <cell r="AF1596">
            <v>17975</v>
          </cell>
          <cell r="AG1596">
            <v>17596</v>
          </cell>
          <cell r="AH1596">
            <v>17384</v>
          </cell>
          <cell r="AI1596">
            <v>17632</v>
          </cell>
          <cell r="AJ1596">
            <v>17764</v>
          </cell>
        </row>
        <row r="1597">
          <cell r="E1597" t="str">
            <v>NM Industrial Hydrocarbon Gas Liquids</v>
          </cell>
          <cell r="F1597">
            <v>20063</v>
          </cell>
          <cell r="G1597">
            <v>34577</v>
          </cell>
          <cell r="H1597">
            <v>31355</v>
          </cell>
          <cell r="I1597">
            <v>29338</v>
          </cell>
          <cell r="J1597">
            <v>26845</v>
          </cell>
          <cell r="K1597">
            <v>24525</v>
          </cell>
          <cell r="L1597">
            <v>3184</v>
          </cell>
          <cell r="M1597">
            <v>4537</v>
          </cell>
          <cell r="N1597">
            <v>3194</v>
          </cell>
          <cell r="O1597">
            <v>5819</v>
          </cell>
          <cell r="P1597">
            <v>1498</v>
          </cell>
          <cell r="Q1597">
            <v>1097</v>
          </cell>
          <cell r="R1597">
            <v>1165</v>
          </cell>
          <cell r="S1597">
            <v>1150</v>
          </cell>
          <cell r="T1597">
            <v>1390</v>
          </cell>
          <cell r="U1597">
            <v>1443</v>
          </cell>
          <cell r="V1597">
            <v>1696</v>
          </cell>
          <cell r="W1597">
            <v>17439</v>
          </cell>
          <cell r="X1597">
            <v>1026</v>
          </cell>
          <cell r="Y1597">
            <v>505</v>
          </cell>
          <cell r="Z1597">
            <v>739</v>
          </cell>
          <cell r="AA1597">
            <v>984</v>
          </cell>
          <cell r="AB1597">
            <v>1156</v>
          </cell>
          <cell r="AC1597">
            <v>1238</v>
          </cell>
          <cell r="AD1597">
            <v>1281</v>
          </cell>
          <cell r="AE1597">
            <v>1457</v>
          </cell>
          <cell r="AF1597">
            <v>929</v>
          </cell>
          <cell r="AG1597">
            <v>1187</v>
          </cell>
          <cell r="AH1597">
            <v>1219</v>
          </cell>
          <cell r="AI1597">
            <v>482</v>
          </cell>
          <cell r="AJ1597">
            <v>583</v>
          </cell>
        </row>
        <row r="1598">
          <cell r="E1598" t="str">
            <v>NV Industrial Hydrocarbon Gas Liquids</v>
          </cell>
          <cell r="F1598">
            <v>1539</v>
          </cell>
          <cell r="G1598">
            <v>938</v>
          </cell>
          <cell r="H1598">
            <v>833</v>
          </cell>
          <cell r="I1598">
            <v>516</v>
          </cell>
          <cell r="J1598">
            <v>2252</v>
          </cell>
          <cell r="K1598">
            <v>681</v>
          </cell>
          <cell r="L1598">
            <v>1036</v>
          </cell>
          <cell r="M1598">
            <v>507</v>
          </cell>
          <cell r="N1598">
            <v>622</v>
          </cell>
          <cell r="O1598">
            <v>1120</v>
          </cell>
          <cell r="P1598">
            <v>2297</v>
          </cell>
          <cell r="Q1598">
            <v>2654</v>
          </cell>
          <cell r="R1598">
            <v>754</v>
          </cell>
          <cell r="S1598">
            <v>825</v>
          </cell>
          <cell r="T1598">
            <v>457</v>
          </cell>
          <cell r="U1598">
            <v>290</v>
          </cell>
          <cell r="V1598">
            <v>390</v>
          </cell>
          <cell r="W1598">
            <v>402</v>
          </cell>
          <cell r="X1598">
            <v>896</v>
          </cell>
          <cell r="Y1598">
            <v>858</v>
          </cell>
          <cell r="Z1598">
            <v>1343</v>
          </cell>
          <cell r="AA1598">
            <v>1193</v>
          </cell>
          <cell r="AB1598">
            <v>1244</v>
          </cell>
          <cell r="AC1598">
            <v>727</v>
          </cell>
          <cell r="AD1598">
            <v>1285</v>
          </cell>
          <cell r="AE1598">
            <v>655</v>
          </cell>
          <cell r="AF1598">
            <v>779</v>
          </cell>
          <cell r="AG1598">
            <v>1030</v>
          </cell>
          <cell r="AH1598">
            <v>1209</v>
          </cell>
          <cell r="AI1598">
            <v>1358</v>
          </cell>
          <cell r="AJ1598">
            <v>1012</v>
          </cell>
        </row>
        <row r="1599">
          <cell r="E1599" t="str">
            <v>NY Industrial Hydrocarbon Gas Liquids</v>
          </cell>
          <cell r="F1599">
            <v>2264</v>
          </cell>
          <cell r="G1599">
            <v>3801</v>
          </cell>
          <cell r="H1599">
            <v>3776</v>
          </cell>
          <cell r="I1599">
            <v>3291</v>
          </cell>
          <cell r="J1599">
            <v>3299</v>
          </cell>
          <cell r="K1599">
            <v>3050</v>
          </cell>
          <cell r="L1599">
            <v>3925</v>
          </cell>
          <cell r="M1599">
            <v>4982</v>
          </cell>
          <cell r="N1599">
            <v>5816</v>
          </cell>
          <cell r="O1599">
            <v>6096</v>
          </cell>
          <cell r="P1599">
            <v>7895</v>
          </cell>
          <cell r="Q1599">
            <v>5342</v>
          </cell>
          <cell r="R1599">
            <v>3929</v>
          </cell>
          <cell r="S1599">
            <v>4740</v>
          </cell>
          <cell r="T1599">
            <v>5359</v>
          </cell>
          <cell r="U1599">
            <v>8298</v>
          </cell>
          <cell r="V1599">
            <v>5997</v>
          </cell>
          <cell r="W1599">
            <v>4216</v>
          </cell>
          <cell r="X1599">
            <v>2537</v>
          </cell>
          <cell r="Y1599">
            <v>1931</v>
          </cell>
          <cell r="Z1599">
            <v>2348</v>
          </cell>
          <cell r="AA1599">
            <v>2761</v>
          </cell>
          <cell r="AB1599">
            <v>3473</v>
          </cell>
          <cell r="AC1599">
            <v>3383</v>
          </cell>
          <cell r="AD1599">
            <v>3681</v>
          </cell>
          <cell r="AE1599">
            <v>3183</v>
          </cell>
          <cell r="AF1599">
            <v>3390</v>
          </cell>
          <cell r="AG1599">
            <v>2466</v>
          </cell>
          <cell r="AH1599">
            <v>2634</v>
          </cell>
          <cell r="AI1599">
            <v>2566</v>
          </cell>
          <cell r="AJ1599">
            <v>3004</v>
          </cell>
        </row>
        <row r="1600">
          <cell r="E1600" t="str">
            <v>OH Industrial Hydrocarbon Gas Liquids</v>
          </cell>
          <cell r="F1600">
            <v>19616</v>
          </cell>
          <cell r="G1600">
            <v>19207</v>
          </cell>
          <cell r="H1600">
            <v>33528</v>
          </cell>
          <cell r="I1600">
            <v>31725</v>
          </cell>
          <cell r="J1600">
            <v>32480</v>
          </cell>
          <cell r="K1600">
            <v>28245</v>
          </cell>
          <cell r="L1600">
            <v>27229</v>
          </cell>
          <cell r="M1600">
            <v>11100</v>
          </cell>
          <cell r="N1600">
            <v>6887</v>
          </cell>
          <cell r="O1600">
            <v>13538</v>
          </cell>
          <cell r="P1600">
            <v>14384</v>
          </cell>
          <cell r="Q1600">
            <v>15442</v>
          </cell>
          <cell r="R1600">
            <v>24082</v>
          </cell>
          <cell r="S1600">
            <v>44618</v>
          </cell>
          <cell r="T1600">
            <v>16399</v>
          </cell>
          <cell r="U1600">
            <v>24360</v>
          </cell>
          <cell r="V1600">
            <v>22446</v>
          </cell>
          <cell r="W1600">
            <v>9594</v>
          </cell>
          <cell r="X1600">
            <v>4299</v>
          </cell>
          <cell r="Y1600">
            <v>5587</v>
          </cell>
          <cell r="Z1600">
            <v>12674</v>
          </cell>
          <cell r="AA1600">
            <v>13708</v>
          </cell>
          <cell r="AB1600">
            <v>12830</v>
          </cell>
          <cell r="AC1600">
            <v>13559</v>
          </cell>
          <cell r="AD1600">
            <v>14477</v>
          </cell>
          <cell r="AE1600">
            <v>13246</v>
          </cell>
          <cell r="AF1600">
            <v>13027</v>
          </cell>
          <cell r="AG1600">
            <v>12861</v>
          </cell>
          <cell r="AH1600">
            <v>12134</v>
          </cell>
          <cell r="AI1600">
            <v>12529</v>
          </cell>
          <cell r="AJ1600">
            <v>13017</v>
          </cell>
        </row>
        <row r="1601">
          <cell r="E1601" t="str">
            <v>OK Industrial Hydrocarbon Gas Liquids</v>
          </cell>
          <cell r="F1601">
            <v>5838</v>
          </cell>
          <cell r="G1601">
            <v>10833</v>
          </cell>
          <cell r="H1601">
            <v>10768</v>
          </cell>
          <cell r="I1601">
            <v>13971</v>
          </cell>
          <cell r="J1601">
            <v>14172</v>
          </cell>
          <cell r="K1601">
            <v>7400</v>
          </cell>
          <cell r="L1601">
            <v>7277</v>
          </cell>
          <cell r="M1601">
            <v>9766</v>
          </cell>
          <cell r="N1601">
            <v>6363</v>
          </cell>
          <cell r="O1601">
            <v>22199</v>
          </cell>
          <cell r="P1601">
            <v>9409</v>
          </cell>
          <cell r="Q1601">
            <v>7948</v>
          </cell>
          <cell r="R1601">
            <v>12787</v>
          </cell>
          <cell r="S1601">
            <v>8729</v>
          </cell>
          <cell r="T1601">
            <v>16903</v>
          </cell>
          <cell r="U1601">
            <v>29289</v>
          </cell>
          <cell r="V1601">
            <v>42614</v>
          </cell>
          <cell r="W1601">
            <v>2634</v>
          </cell>
          <cell r="X1601">
            <v>1741</v>
          </cell>
          <cell r="Y1601">
            <v>1148</v>
          </cell>
          <cell r="Z1601">
            <v>1462</v>
          </cell>
          <cell r="AA1601">
            <v>1991</v>
          </cell>
          <cell r="AB1601">
            <v>1745</v>
          </cell>
          <cell r="AC1601">
            <v>1443</v>
          </cell>
          <cell r="AD1601">
            <v>1936</v>
          </cell>
          <cell r="AE1601">
            <v>1916</v>
          </cell>
          <cell r="AF1601">
            <v>1477</v>
          </cell>
          <cell r="AG1601">
            <v>1533</v>
          </cell>
          <cell r="AH1601">
            <v>1989</v>
          </cell>
          <cell r="AI1601">
            <v>2474</v>
          </cell>
          <cell r="AJ1601">
            <v>2062</v>
          </cell>
        </row>
        <row r="1602">
          <cell r="E1602" t="str">
            <v>OR Industrial Hydrocarbon Gas Liquids</v>
          </cell>
          <cell r="F1602">
            <v>2602</v>
          </cell>
          <cell r="G1602">
            <v>2838</v>
          </cell>
          <cell r="H1602">
            <v>2683</v>
          </cell>
          <cell r="I1602">
            <v>2908</v>
          </cell>
          <cell r="J1602">
            <v>2100</v>
          </cell>
          <cell r="K1602">
            <v>2942</v>
          </cell>
          <cell r="L1602">
            <v>3379</v>
          </cell>
          <cell r="M1602">
            <v>1276</v>
          </cell>
          <cell r="N1602">
            <v>700</v>
          </cell>
          <cell r="O1602">
            <v>1774</v>
          </cell>
          <cell r="P1602">
            <v>1789</v>
          </cell>
          <cell r="Q1602">
            <v>589</v>
          </cell>
          <cell r="R1602">
            <v>1091</v>
          </cell>
          <cell r="S1602">
            <v>525</v>
          </cell>
          <cell r="T1602">
            <v>1638</v>
          </cell>
          <cell r="U1602">
            <v>559</v>
          </cell>
          <cell r="V1602">
            <v>591</v>
          </cell>
          <cell r="W1602">
            <v>723</v>
          </cell>
          <cell r="X1602">
            <v>1821</v>
          </cell>
          <cell r="Y1602">
            <v>1653</v>
          </cell>
          <cell r="Z1602">
            <v>2378</v>
          </cell>
          <cell r="AA1602">
            <v>2661</v>
          </cell>
          <cell r="AB1602">
            <v>2556</v>
          </cell>
          <cell r="AC1602">
            <v>2599</v>
          </cell>
          <cell r="AD1602">
            <v>2794</v>
          </cell>
          <cell r="AE1602">
            <v>2804</v>
          </cell>
          <cell r="AF1602">
            <v>2724</v>
          </cell>
          <cell r="AG1602">
            <v>2164</v>
          </cell>
          <cell r="AH1602">
            <v>2018</v>
          </cell>
          <cell r="AI1602">
            <v>1695</v>
          </cell>
          <cell r="AJ1602">
            <v>1789</v>
          </cell>
        </row>
        <row r="1603">
          <cell r="E1603" t="str">
            <v>PA Industrial Hydrocarbon Gas Liquids</v>
          </cell>
          <cell r="F1603">
            <v>10955</v>
          </cell>
          <cell r="G1603">
            <v>13527</v>
          </cell>
          <cell r="H1603">
            <v>18431</v>
          </cell>
          <cell r="I1603">
            <v>7609</v>
          </cell>
          <cell r="J1603">
            <v>6519</v>
          </cell>
          <cell r="K1603">
            <v>5838</v>
          </cell>
          <cell r="L1603">
            <v>6796</v>
          </cell>
          <cell r="M1603">
            <v>4386</v>
          </cell>
          <cell r="N1603">
            <v>4219</v>
          </cell>
          <cell r="O1603">
            <v>4087</v>
          </cell>
          <cell r="P1603">
            <v>6041</v>
          </cell>
          <cell r="Q1603">
            <v>8194</v>
          </cell>
          <cell r="R1603">
            <v>7384</v>
          </cell>
          <cell r="S1603">
            <v>17800</v>
          </cell>
          <cell r="T1603">
            <v>17202</v>
          </cell>
          <cell r="U1603">
            <v>22823</v>
          </cell>
          <cell r="V1603">
            <v>25210</v>
          </cell>
          <cell r="W1603">
            <v>23515</v>
          </cell>
          <cell r="X1603">
            <v>28702</v>
          </cell>
          <cell r="Y1603">
            <v>26011</v>
          </cell>
          <cell r="Z1603">
            <v>29624</v>
          </cell>
          <cell r="AA1603">
            <v>30940</v>
          </cell>
          <cell r="AB1603">
            <v>21793</v>
          </cell>
          <cell r="AC1603">
            <v>21031</v>
          </cell>
          <cell r="AD1603">
            <v>21494</v>
          </cell>
          <cell r="AE1603">
            <v>20722</v>
          </cell>
          <cell r="AF1603">
            <v>21166</v>
          </cell>
          <cell r="AG1603">
            <v>20819</v>
          </cell>
          <cell r="AH1603">
            <v>21164</v>
          </cell>
          <cell r="AI1603">
            <v>20711</v>
          </cell>
          <cell r="AJ1603">
            <v>21922</v>
          </cell>
        </row>
        <row r="1604">
          <cell r="E1604" t="str">
            <v>RI Industrial Hydrocarbon Gas Liquids</v>
          </cell>
          <cell r="F1604">
            <v>538</v>
          </cell>
          <cell r="G1604">
            <v>420</v>
          </cell>
          <cell r="H1604">
            <v>441</v>
          </cell>
          <cell r="I1604">
            <v>441</v>
          </cell>
          <cell r="J1604">
            <v>409</v>
          </cell>
          <cell r="K1604">
            <v>413</v>
          </cell>
          <cell r="L1604">
            <v>384</v>
          </cell>
          <cell r="M1604">
            <v>132</v>
          </cell>
          <cell r="N1604">
            <v>148</v>
          </cell>
          <cell r="O1604">
            <v>676</v>
          </cell>
          <cell r="P1604">
            <v>405</v>
          </cell>
          <cell r="Q1604">
            <v>492</v>
          </cell>
          <cell r="R1604">
            <v>711</v>
          </cell>
          <cell r="S1604">
            <v>357</v>
          </cell>
          <cell r="T1604">
            <v>259</v>
          </cell>
          <cell r="U1604">
            <v>481</v>
          </cell>
          <cell r="V1604">
            <v>538</v>
          </cell>
          <cell r="W1604">
            <v>395</v>
          </cell>
          <cell r="X1604">
            <v>287</v>
          </cell>
          <cell r="Y1604">
            <v>282</v>
          </cell>
          <cell r="Z1604">
            <v>315</v>
          </cell>
          <cell r="AA1604">
            <v>339</v>
          </cell>
          <cell r="AB1604">
            <v>425</v>
          </cell>
          <cell r="AC1604">
            <v>527</v>
          </cell>
          <cell r="AD1604">
            <v>547</v>
          </cell>
          <cell r="AE1604">
            <v>531</v>
          </cell>
          <cell r="AF1604">
            <v>525</v>
          </cell>
          <cell r="AG1604">
            <v>668</v>
          </cell>
          <cell r="AH1604">
            <v>348</v>
          </cell>
          <cell r="AI1604">
            <v>113</v>
          </cell>
          <cell r="AJ1604">
            <v>89</v>
          </cell>
        </row>
        <row r="1605">
          <cell r="E1605" t="str">
            <v>SC Industrial Hydrocarbon Gas Liquids</v>
          </cell>
          <cell r="F1605">
            <v>2927</v>
          </cell>
          <cell r="G1605">
            <v>4101</v>
          </cell>
          <cell r="H1605">
            <v>3527</v>
          </cell>
          <cell r="I1605">
            <v>3623</v>
          </cell>
          <cell r="J1605">
            <v>4033</v>
          </cell>
          <cell r="K1605">
            <v>4403</v>
          </cell>
          <cell r="L1605">
            <v>4558</v>
          </cell>
          <cell r="M1605">
            <v>12927</v>
          </cell>
          <cell r="N1605">
            <v>8863</v>
          </cell>
          <cell r="O1605">
            <v>5167</v>
          </cell>
          <cell r="P1605">
            <v>7880</v>
          </cell>
          <cell r="Q1605">
            <v>6028</v>
          </cell>
          <cell r="R1605">
            <v>3668</v>
          </cell>
          <cell r="S1605">
            <v>2807</v>
          </cell>
          <cell r="T1605">
            <v>1936</v>
          </cell>
          <cell r="U1605">
            <v>3761</v>
          </cell>
          <cell r="V1605">
            <v>3651</v>
          </cell>
          <cell r="W1605">
            <v>2565</v>
          </cell>
          <cell r="X1605">
            <v>1953</v>
          </cell>
          <cell r="Y1605">
            <v>2042</v>
          </cell>
          <cell r="Z1605">
            <v>2395</v>
          </cell>
          <cell r="AA1605">
            <v>2477</v>
          </cell>
          <cell r="AB1605">
            <v>1962</v>
          </cell>
          <cell r="AC1605">
            <v>2091</v>
          </cell>
          <cell r="AD1605">
            <v>2627</v>
          </cell>
          <cell r="AE1605">
            <v>2505</v>
          </cell>
          <cell r="AF1605">
            <v>2690</v>
          </cell>
          <cell r="AG1605">
            <v>2221</v>
          </cell>
          <cell r="AH1605">
            <v>2513</v>
          </cell>
          <cell r="AI1605">
            <v>2115</v>
          </cell>
          <cell r="AJ1605">
            <v>2176</v>
          </cell>
        </row>
        <row r="1606">
          <cell r="E1606" t="str">
            <v>SD Industrial Hydrocarbon Gas Liquids</v>
          </cell>
          <cell r="F1606">
            <v>5626</v>
          </cell>
          <cell r="G1606">
            <v>1827</v>
          </cell>
          <cell r="H1606">
            <v>2517</v>
          </cell>
          <cell r="I1606">
            <v>3327</v>
          </cell>
          <cell r="J1606">
            <v>2629</v>
          </cell>
          <cell r="K1606">
            <v>2257</v>
          </cell>
          <cell r="L1606">
            <v>2437</v>
          </cell>
          <cell r="M1606">
            <v>1735</v>
          </cell>
          <cell r="N1606">
            <v>1493</v>
          </cell>
          <cell r="O1606">
            <v>1172</v>
          </cell>
          <cell r="P1606">
            <v>2138</v>
          </cell>
          <cell r="Q1606">
            <v>1508</v>
          </cell>
          <cell r="R1606">
            <v>3832</v>
          </cell>
          <cell r="S1606">
            <v>2355</v>
          </cell>
          <cell r="T1606">
            <v>3395</v>
          </cell>
          <cell r="U1606">
            <v>2653</v>
          </cell>
          <cell r="V1606">
            <v>2799</v>
          </cell>
          <cell r="W1606">
            <v>2815</v>
          </cell>
          <cell r="X1606">
            <v>1995</v>
          </cell>
          <cell r="Y1606">
            <v>2370</v>
          </cell>
          <cell r="Z1606">
            <v>1390</v>
          </cell>
          <cell r="AA1606">
            <v>1147</v>
          </cell>
          <cell r="AB1606">
            <v>1357</v>
          </cell>
          <cell r="AC1606">
            <v>2030</v>
          </cell>
          <cell r="AD1606">
            <v>1543</v>
          </cell>
          <cell r="AE1606">
            <v>1617</v>
          </cell>
          <cell r="AF1606">
            <v>1791</v>
          </cell>
          <cell r="AG1606">
            <v>1555</v>
          </cell>
          <cell r="AH1606">
            <v>1893</v>
          </cell>
          <cell r="AI1606">
            <v>2192</v>
          </cell>
          <cell r="AJ1606">
            <v>2171</v>
          </cell>
        </row>
        <row r="1607">
          <cell r="E1607" t="str">
            <v>TN Industrial Hydrocarbon Gas Liquids</v>
          </cell>
          <cell r="F1607">
            <v>2623</v>
          </cell>
          <cell r="G1607">
            <v>2735</v>
          </cell>
          <cell r="H1607">
            <v>7620</v>
          </cell>
          <cell r="I1607">
            <v>2840</v>
          </cell>
          <cell r="J1607">
            <v>2637</v>
          </cell>
          <cell r="K1607">
            <v>2690</v>
          </cell>
          <cell r="L1607">
            <v>2782</v>
          </cell>
          <cell r="M1607">
            <v>3003</v>
          </cell>
          <cell r="N1607">
            <v>1378</v>
          </cell>
          <cell r="O1607">
            <v>3667</v>
          </cell>
          <cell r="P1607">
            <v>4734</v>
          </cell>
          <cell r="Q1607">
            <v>4377</v>
          </cell>
          <cell r="R1607">
            <v>6677</v>
          </cell>
          <cell r="S1607">
            <v>2879</v>
          </cell>
          <cell r="T1607">
            <v>4010</v>
          </cell>
          <cell r="U1607">
            <v>4542</v>
          </cell>
          <cell r="V1607">
            <v>5196</v>
          </cell>
          <cell r="W1607">
            <v>3957</v>
          </cell>
          <cell r="X1607">
            <v>1865</v>
          </cell>
          <cell r="Y1607">
            <v>874</v>
          </cell>
          <cell r="Z1607">
            <v>1532</v>
          </cell>
          <cell r="AA1607">
            <v>1977</v>
          </cell>
          <cell r="AB1607">
            <v>3013</v>
          </cell>
          <cell r="AC1607">
            <v>2631</v>
          </cell>
          <cell r="AD1607">
            <v>2169</v>
          </cell>
          <cell r="AE1607">
            <v>2041</v>
          </cell>
          <cell r="AF1607">
            <v>1690</v>
          </cell>
          <cell r="AG1607">
            <v>1788</v>
          </cell>
          <cell r="AH1607">
            <v>1757</v>
          </cell>
          <cell r="AI1607">
            <v>2063</v>
          </cell>
          <cell r="AJ1607">
            <v>2598</v>
          </cell>
        </row>
        <row r="1608">
          <cell r="E1608" t="str">
            <v>TX Industrial Hydrocarbon Gas Liquids</v>
          </cell>
          <cell r="F1608">
            <v>1137245</v>
          </cell>
          <cell r="G1608">
            <v>1264976</v>
          </cell>
          <cell r="H1608">
            <v>1334803</v>
          </cell>
          <cell r="I1608">
            <v>1291229</v>
          </cell>
          <cell r="J1608">
            <v>1438362</v>
          </cell>
          <cell r="K1608">
            <v>1474585</v>
          </cell>
          <cell r="L1608">
            <v>1565028</v>
          </cell>
          <cell r="M1608">
            <v>1735148</v>
          </cell>
          <cell r="N1608">
            <v>1702932</v>
          </cell>
          <cell r="O1608">
            <v>1723978</v>
          </cell>
          <cell r="P1608">
            <v>1582933</v>
          </cell>
          <cell r="Q1608">
            <v>1483716</v>
          </cell>
          <cell r="R1608">
            <v>1568026</v>
          </cell>
          <cell r="S1608">
            <v>1606260</v>
          </cell>
          <cell r="T1608">
            <v>1681130</v>
          </cell>
          <cell r="U1608">
            <v>1541131</v>
          </cell>
          <cell r="V1608">
            <v>1527873</v>
          </cell>
          <cell r="W1608">
            <v>1592387</v>
          </cell>
          <cell r="X1608">
            <v>1252761</v>
          </cell>
          <cell r="Y1608">
            <v>1274172</v>
          </cell>
          <cell r="Z1608">
            <v>1527717</v>
          </cell>
          <cell r="AA1608">
            <v>1473398</v>
          </cell>
          <cell r="AB1608">
            <v>1615624</v>
          </cell>
          <cell r="AC1608">
            <v>1784927</v>
          </cell>
          <cell r="AD1608">
            <v>1660520</v>
          </cell>
          <cell r="AE1608">
            <v>1854029</v>
          </cell>
          <cell r="AF1608">
            <v>1861631</v>
          </cell>
          <cell r="AG1608">
            <v>1914512</v>
          </cell>
          <cell r="AH1608">
            <v>2251832</v>
          </cell>
          <cell r="AI1608">
            <v>2323005</v>
          </cell>
          <cell r="AJ1608">
            <v>2292933</v>
          </cell>
        </row>
        <row r="1609">
          <cell r="E1609" t="str">
            <v>US Industrial Hydrocarbon Gas Liquids</v>
          </cell>
          <cell r="F1609">
            <v>1780618</v>
          </cell>
          <cell r="G1609">
            <v>1957705</v>
          </cell>
          <cell r="H1609">
            <v>2098387</v>
          </cell>
          <cell r="I1609">
            <v>2037449</v>
          </cell>
          <cell r="J1609">
            <v>2251232</v>
          </cell>
          <cell r="K1609">
            <v>2268702</v>
          </cell>
          <cell r="L1609">
            <v>2343507</v>
          </cell>
          <cell r="M1609">
            <v>2365615</v>
          </cell>
          <cell r="N1609">
            <v>2249100</v>
          </cell>
          <cell r="O1609">
            <v>2512078</v>
          </cell>
          <cell r="P1609">
            <v>2497543</v>
          </cell>
          <cell r="Q1609">
            <v>2211674</v>
          </cell>
          <cell r="R1609">
            <v>2313210</v>
          </cell>
          <cell r="S1609">
            <v>2185128</v>
          </cell>
          <cell r="T1609">
            <v>2292125</v>
          </cell>
          <cell r="U1609">
            <v>2138338</v>
          </cell>
          <cell r="V1609">
            <v>2170897</v>
          </cell>
          <cell r="W1609">
            <v>2206958</v>
          </cell>
          <cell r="X1609">
            <v>1903982</v>
          </cell>
          <cell r="Y1609">
            <v>1992002</v>
          </cell>
          <cell r="Z1609">
            <v>2206896</v>
          </cell>
          <cell r="AA1609">
            <v>2171662</v>
          </cell>
          <cell r="AB1609">
            <v>2351282</v>
          </cell>
          <cell r="AC1609">
            <v>2545486</v>
          </cell>
          <cell r="AD1609">
            <v>2410576</v>
          </cell>
          <cell r="AE1609">
            <v>2620021</v>
          </cell>
          <cell r="AF1609">
            <v>2595425</v>
          </cell>
          <cell r="AG1609">
            <v>2676726</v>
          </cell>
          <cell r="AH1609">
            <v>3028074</v>
          </cell>
          <cell r="AI1609">
            <v>3142607</v>
          </cell>
          <cell r="AJ1609">
            <v>3255712</v>
          </cell>
        </row>
        <row r="1610">
          <cell r="E1610" t="str">
            <v>UT Industrial Hydrocarbon Gas Liquids</v>
          </cell>
          <cell r="F1610">
            <v>1806</v>
          </cell>
          <cell r="G1610">
            <v>737</v>
          </cell>
          <cell r="H1610">
            <v>910</v>
          </cell>
          <cell r="I1610">
            <v>1706</v>
          </cell>
          <cell r="J1610">
            <v>1866</v>
          </cell>
          <cell r="K1610">
            <v>4334</v>
          </cell>
          <cell r="L1610">
            <v>7907</v>
          </cell>
          <cell r="M1610">
            <v>551</v>
          </cell>
          <cell r="N1610">
            <v>876</v>
          </cell>
          <cell r="O1610">
            <v>2103</v>
          </cell>
          <cell r="P1610">
            <v>3651</v>
          </cell>
          <cell r="Q1610">
            <v>2576</v>
          </cell>
          <cell r="R1610">
            <v>1725</v>
          </cell>
          <cell r="S1610">
            <v>156</v>
          </cell>
          <cell r="T1610">
            <v>302</v>
          </cell>
          <cell r="U1610">
            <v>1087</v>
          </cell>
          <cell r="V1610">
            <v>1359</v>
          </cell>
          <cell r="W1610">
            <v>1538</v>
          </cell>
          <cell r="X1610">
            <v>561</v>
          </cell>
          <cell r="Y1610">
            <v>367</v>
          </cell>
          <cell r="Z1610">
            <v>1125</v>
          </cell>
          <cell r="AA1610">
            <v>813</v>
          </cell>
          <cell r="AB1610">
            <v>1570</v>
          </cell>
          <cell r="AC1610">
            <v>1003</v>
          </cell>
          <cell r="AD1610">
            <v>1133</v>
          </cell>
          <cell r="AE1610">
            <v>717</v>
          </cell>
          <cell r="AF1610">
            <v>1358</v>
          </cell>
          <cell r="AG1610">
            <v>849</v>
          </cell>
          <cell r="AH1610">
            <v>983</v>
          </cell>
          <cell r="AI1610">
            <v>1075</v>
          </cell>
          <cell r="AJ1610">
            <v>1162</v>
          </cell>
        </row>
        <row r="1611">
          <cell r="E1611" t="str">
            <v>VA Industrial Hydrocarbon Gas Liquids</v>
          </cell>
          <cell r="F1611">
            <v>5261</v>
          </cell>
          <cell r="G1611">
            <v>6224</v>
          </cell>
          <cell r="H1611">
            <v>6109</v>
          </cell>
          <cell r="I1611">
            <v>6527</v>
          </cell>
          <cell r="J1611">
            <v>6529</v>
          </cell>
          <cell r="K1611">
            <v>4632</v>
          </cell>
          <cell r="L1611">
            <v>4635</v>
          </cell>
          <cell r="M1611">
            <v>3876</v>
          </cell>
          <cell r="N1611">
            <v>3047</v>
          </cell>
          <cell r="O1611">
            <v>3886</v>
          </cell>
          <cell r="P1611">
            <v>6653</v>
          </cell>
          <cell r="Q1611">
            <v>3693</v>
          </cell>
          <cell r="R1611">
            <v>5925</v>
          </cell>
          <cell r="S1611">
            <v>3723</v>
          </cell>
          <cell r="T1611">
            <v>2631</v>
          </cell>
          <cell r="U1611">
            <v>4270</v>
          </cell>
          <cell r="V1611">
            <v>4975</v>
          </cell>
          <cell r="W1611">
            <v>3667</v>
          </cell>
          <cell r="X1611">
            <v>2248</v>
          </cell>
          <cell r="Y1611">
            <v>2215</v>
          </cell>
          <cell r="Z1611">
            <v>2598</v>
          </cell>
          <cell r="AA1611">
            <v>2613</v>
          </cell>
          <cell r="AB1611">
            <v>2584</v>
          </cell>
          <cell r="AC1611">
            <v>3126</v>
          </cell>
          <cell r="AD1611">
            <v>3564</v>
          </cell>
          <cell r="AE1611">
            <v>3821</v>
          </cell>
          <cell r="AF1611">
            <v>3455</v>
          </cell>
          <cell r="AG1611">
            <v>3260</v>
          </cell>
          <cell r="AH1611">
            <v>3162</v>
          </cell>
          <cell r="AI1611">
            <v>2561</v>
          </cell>
          <cell r="AJ1611">
            <v>2399</v>
          </cell>
        </row>
        <row r="1612">
          <cell r="E1612" t="str">
            <v>VT Industrial Hydrocarbon Gas Liquids</v>
          </cell>
          <cell r="F1612">
            <v>294</v>
          </cell>
          <cell r="G1612">
            <v>776</v>
          </cell>
          <cell r="H1612">
            <v>782</v>
          </cell>
          <cell r="I1612">
            <v>743</v>
          </cell>
          <cell r="J1612">
            <v>691</v>
          </cell>
          <cell r="K1612">
            <v>760</v>
          </cell>
          <cell r="L1612">
            <v>673</v>
          </cell>
          <cell r="M1612">
            <v>264</v>
          </cell>
          <cell r="N1612">
            <v>498</v>
          </cell>
          <cell r="O1612">
            <v>67</v>
          </cell>
          <cell r="P1612">
            <v>762</v>
          </cell>
          <cell r="Q1612">
            <v>1037</v>
          </cell>
          <cell r="R1612">
            <v>785</v>
          </cell>
          <cell r="S1612">
            <v>480</v>
          </cell>
          <cell r="T1612">
            <v>499</v>
          </cell>
          <cell r="U1612">
            <v>888</v>
          </cell>
          <cell r="V1612">
            <v>1404</v>
          </cell>
          <cell r="W1612">
            <v>747</v>
          </cell>
          <cell r="X1612">
            <v>556</v>
          </cell>
          <cell r="Y1612">
            <v>301</v>
          </cell>
          <cell r="Z1612">
            <v>283</v>
          </cell>
          <cell r="AA1612">
            <v>284</v>
          </cell>
          <cell r="AB1612">
            <v>269</v>
          </cell>
          <cell r="AC1612">
            <v>412</v>
          </cell>
          <cell r="AD1612">
            <v>332</v>
          </cell>
          <cell r="AE1612">
            <v>292</v>
          </cell>
          <cell r="AF1612">
            <v>205</v>
          </cell>
          <cell r="AG1612">
            <v>479</v>
          </cell>
          <cell r="AH1612">
            <v>298</v>
          </cell>
          <cell r="AI1612">
            <v>162</v>
          </cell>
          <cell r="AJ1612">
            <v>252</v>
          </cell>
        </row>
        <row r="1613">
          <cell r="E1613" t="str">
            <v>WA Industrial Hydrocarbon Gas Liquids</v>
          </cell>
          <cell r="F1613">
            <v>4235</v>
          </cell>
          <cell r="G1613">
            <v>4470</v>
          </cell>
          <cell r="H1613">
            <v>4520</v>
          </cell>
          <cell r="I1613">
            <v>4396</v>
          </cell>
          <cell r="J1613">
            <v>4077</v>
          </cell>
          <cell r="K1613">
            <v>4425</v>
          </cell>
          <cell r="L1613">
            <v>5388</v>
          </cell>
          <cell r="M1613">
            <v>7554</v>
          </cell>
          <cell r="N1613">
            <v>7063</v>
          </cell>
          <cell r="O1613">
            <v>7173</v>
          </cell>
          <cell r="P1613">
            <v>13691</v>
          </cell>
          <cell r="Q1613">
            <v>15095</v>
          </cell>
          <cell r="R1613">
            <v>4055</v>
          </cell>
          <cell r="S1613">
            <v>1851</v>
          </cell>
          <cell r="T1613">
            <v>1954</v>
          </cell>
          <cell r="U1613">
            <v>815</v>
          </cell>
          <cell r="V1613">
            <v>971</v>
          </cell>
          <cell r="W1613">
            <v>1139</v>
          </cell>
          <cell r="X1613">
            <v>4321</v>
          </cell>
          <cell r="Y1613">
            <v>3118</v>
          </cell>
          <cell r="Z1613">
            <v>4269</v>
          </cell>
          <cell r="AA1613">
            <v>5504</v>
          </cell>
          <cell r="AB1613">
            <v>5229</v>
          </cell>
          <cell r="AC1613">
            <v>5701</v>
          </cell>
          <cell r="AD1613">
            <v>5614</v>
          </cell>
          <cell r="AE1613">
            <v>5699</v>
          </cell>
          <cell r="AF1613">
            <v>5728</v>
          </cell>
          <cell r="AG1613">
            <v>3203</v>
          </cell>
          <cell r="AH1613">
            <v>3983</v>
          </cell>
          <cell r="AI1613">
            <v>2459</v>
          </cell>
          <cell r="AJ1613">
            <v>2939</v>
          </cell>
        </row>
        <row r="1614">
          <cell r="E1614" t="str">
            <v>WI Industrial Hydrocarbon Gas Liquids</v>
          </cell>
          <cell r="F1614">
            <v>5583</v>
          </cell>
          <cell r="G1614">
            <v>7439</v>
          </cell>
          <cell r="H1614">
            <v>6349</v>
          </cell>
          <cell r="I1614">
            <v>6561</v>
          </cell>
          <cell r="J1614">
            <v>7715</v>
          </cell>
          <cell r="K1614">
            <v>7231</v>
          </cell>
          <cell r="L1614">
            <v>7743</v>
          </cell>
          <cell r="M1614">
            <v>7162</v>
          </cell>
          <cell r="N1614">
            <v>4524</v>
          </cell>
          <cell r="O1614">
            <v>9381</v>
          </cell>
          <cell r="P1614">
            <v>11396</v>
          </cell>
          <cell r="Q1614">
            <v>9120</v>
          </cell>
          <cell r="R1614">
            <v>11874</v>
          </cell>
          <cell r="S1614">
            <v>8371</v>
          </cell>
          <cell r="T1614">
            <v>12290</v>
          </cell>
          <cell r="U1614">
            <v>12183</v>
          </cell>
          <cell r="V1614">
            <v>11553</v>
          </cell>
          <cell r="W1614">
            <v>10969</v>
          </cell>
          <cell r="X1614">
            <v>4102</v>
          </cell>
          <cell r="Y1614">
            <v>4834</v>
          </cell>
          <cell r="Z1614">
            <v>5136</v>
          </cell>
          <cell r="AA1614">
            <v>5876</v>
          </cell>
          <cell r="AB1614">
            <v>5846</v>
          </cell>
          <cell r="AC1614">
            <v>7176</v>
          </cell>
          <cell r="AD1614">
            <v>8317</v>
          </cell>
          <cell r="AE1614">
            <v>8292</v>
          </cell>
          <cell r="AF1614">
            <v>6589</v>
          </cell>
          <cell r="AG1614">
            <v>5041</v>
          </cell>
          <cell r="AH1614">
            <v>6712</v>
          </cell>
          <cell r="AI1614">
            <v>6496</v>
          </cell>
          <cell r="AJ1614">
            <v>5343</v>
          </cell>
        </row>
        <row r="1615">
          <cell r="E1615" t="str">
            <v>WV Industrial Hydrocarbon Gas Liquids</v>
          </cell>
          <cell r="F1615">
            <v>3803</v>
          </cell>
          <cell r="G1615">
            <v>4604</v>
          </cell>
          <cell r="H1615">
            <v>3927</v>
          </cell>
          <cell r="I1615">
            <v>4217</v>
          </cell>
          <cell r="J1615">
            <v>4777</v>
          </cell>
          <cell r="K1615">
            <v>4996</v>
          </cell>
          <cell r="L1615">
            <v>5585</v>
          </cell>
          <cell r="M1615">
            <v>7164</v>
          </cell>
          <cell r="N1615">
            <v>5361</v>
          </cell>
          <cell r="O1615">
            <v>814</v>
          </cell>
          <cell r="P1615">
            <v>2367</v>
          </cell>
          <cell r="Q1615">
            <v>763</v>
          </cell>
          <cell r="R1615">
            <v>851</v>
          </cell>
          <cell r="S1615">
            <v>863</v>
          </cell>
          <cell r="T1615">
            <v>942</v>
          </cell>
          <cell r="U1615">
            <v>820</v>
          </cell>
          <cell r="V1615">
            <v>1431</v>
          </cell>
          <cell r="W1615">
            <v>887</v>
          </cell>
          <cell r="X1615">
            <v>769</v>
          </cell>
          <cell r="Y1615">
            <v>449</v>
          </cell>
          <cell r="Z1615">
            <v>10318</v>
          </cell>
          <cell r="AA1615">
            <v>10301</v>
          </cell>
          <cell r="AB1615">
            <v>10355</v>
          </cell>
          <cell r="AC1615">
            <v>10451</v>
          </cell>
          <cell r="AD1615">
            <v>10598</v>
          </cell>
          <cell r="AE1615">
            <v>10262</v>
          </cell>
          <cell r="AF1615">
            <v>10225</v>
          </cell>
          <cell r="AG1615">
            <v>10171</v>
          </cell>
          <cell r="AH1615">
            <v>9973</v>
          </cell>
          <cell r="AI1615">
            <v>10095</v>
          </cell>
          <cell r="AJ1615">
            <v>10052</v>
          </cell>
        </row>
        <row r="1616">
          <cell r="E1616" t="str">
            <v>WY Industrial Hydrocarbon Gas Liquids</v>
          </cell>
          <cell r="F1616">
            <v>2286</v>
          </cell>
          <cell r="G1616">
            <v>1646</v>
          </cell>
          <cell r="H1616">
            <v>1941</v>
          </cell>
          <cell r="I1616">
            <v>4080</v>
          </cell>
          <cell r="J1616">
            <v>3644</v>
          </cell>
          <cell r="K1616">
            <v>4378</v>
          </cell>
          <cell r="L1616">
            <v>3764</v>
          </cell>
          <cell r="M1616">
            <v>552</v>
          </cell>
          <cell r="N1616">
            <v>530</v>
          </cell>
          <cell r="O1616">
            <v>669</v>
          </cell>
          <cell r="P1616">
            <v>2089</v>
          </cell>
          <cell r="Q1616">
            <v>1370</v>
          </cell>
          <cell r="R1616">
            <v>999</v>
          </cell>
          <cell r="S1616">
            <v>936</v>
          </cell>
          <cell r="T1616">
            <v>512</v>
          </cell>
          <cell r="U1616">
            <v>999</v>
          </cell>
          <cell r="V1616">
            <v>1499</v>
          </cell>
          <cell r="W1616">
            <v>1035</v>
          </cell>
          <cell r="X1616">
            <v>802</v>
          </cell>
          <cell r="Y1616">
            <v>312</v>
          </cell>
          <cell r="Z1616">
            <v>483</v>
          </cell>
          <cell r="AA1616">
            <v>539</v>
          </cell>
          <cell r="AB1616">
            <v>425</v>
          </cell>
          <cell r="AC1616">
            <v>569</v>
          </cell>
          <cell r="AD1616">
            <v>542</v>
          </cell>
          <cell r="AE1616">
            <v>453</v>
          </cell>
          <cell r="AF1616">
            <v>364</v>
          </cell>
          <cell r="AG1616">
            <v>305</v>
          </cell>
          <cell r="AH1616">
            <v>1101</v>
          </cell>
          <cell r="AI1616">
            <v>536</v>
          </cell>
          <cell r="AJ1616">
            <v>678</v>
          </cell>
        </row>
        <row r="1617">
          <cell r="E1617" t="str">
            <v>AK Residential Hydrocarbon Gas Liquids</v>
          </cell>
          <cell r="F1617">
            <v>767</v>
          </cell>
          <cell r="G1617">
            <v>826</v>
          </cell>
          <cell r="H1617">
            <v>816</v>
          </cell>
          <cell r="I1617">
            <v>492</v>
          </cell>
          <cell r="J1617">
            <v>387</v>
          </cell>
          <cell r="K1617">
            <v>400</v>
          </cell>
          <cell r="L1617">
            <v>498</v>
          </cell>
          <cell r="M1617">
            <v>314</v>
          </cell>
          <cell r="N1617">
            <v>251</v>
          </cell>
          <cell r="O1617">
            <v>545</v>
          </cell>
          <cell r="P1617">
            <v>481</v>
          </cell>
          <cell r="Q1617">
            <v>548</v>
          </cell>
          <cell r="R1617">
            <v>540</v>
          </cell>
          <cell r="S1617">
            <v>573</v>
          </cell>
          <cell r="T1617">
            <v>348</v>
          </cell>
          <cell r="U1617">
            <v>607</v>
          </cell>
          <cell r="V1617">
            <v>532</v>
          </cell>
          <cell r="W1617">
            <v>406</v>
          </cell>
          <cell r="X1617">
            <v>740</v>
          </cell>
          <cell r="Y1617">
            <v>704</v>
          </cell>
          <cell r="Z1617">
            <v>589</v>
          </cell>
          <cell r="AA1617">
            <v>500</v>
          </cell>
          <cell r="AB1617">
            <v>502</v>
          </cell>
          <cell r="AC1617">
            <v>368</v>
          </cell>
          <cell r="AD1617">
            <v>388</v>
          </cell>
          <cell r="AE1617">
            <v>355</v>
          </cell>
          <cell r="AF1617">
            <v>348</v>
          </cell>
          <cell r="AG1617">
            <v>447</v>
          </cell>
          <cell r="AH1617">
            <v>459</v>
          </cell>
          <cell r="AI1617">
            <v>398</v>
          </cell>
          <cell r="AJ1617">
            <v>436</v>
          </cell>
        </row>
        <row r="1618">
          <cell r="E1618" t="str">
            <v>AL Residential Hydrocarbon Gas Liquids</v>
          </cell>
          <cell r="F1618">
            <v>8782</v>
          </cell>
          <cell r="G1618">
            <v>7552</v>
          </cell>
          <cell r="H1618">
            <v>7231</v>
          </cell>
          <cell r="I1618">
            <v>9347</v>
          </cell>
          <cell r="J1618">
            <v>9143</v>
          </cell>
          <cell r="K1618">
            <v>9308</v>
          </cell>
          <cell r="L1618">
            <v>9547</v>
          </cell>
          <cell r="M1618">
            <v>9829</v>
          </cell>
          <cell r="N1618">
            <v>8466</v>
          </cell>
          <cell r="O1618">
            <v>15255</v>
          </cell>
          <cell r="P1618">
            <v>16090</v>
          </cell>
          <cell r="Q1618">
            <v>12970</v>
          </cell>
          <cell r="R1618">
            <v>11016</v>
          </cell>
          <cell r="S1618">
            <v>8366</v>
          </cell>
          <cell r="T1618">
            <v>9068</v>
          </cell>
          <cell r="U1618">
            <v>6202</v>
          </cell>
          <cell r="V1618">
            <v>6391</v>
          </cell>
          <cell r="W1618">
            <v>6846</v>
          </cell>
          <cell r="X1618">
            <v>7569</v>
          </cell>
          <cell r="Y1618">
            <v>7798</v>
          </cell>
          <cell r="Z1618">
            <v>8504</v>
          </cell>
          <cell r="AA1618">
            <v>5876</v>
          </cell>
          <cell r="AB1618">
            <v>4208</v>
          </cell>
          <cell r="AC1618">
            <v>4688</v>
          </cell>
          <cell r="AD1618">
            <v>4942</v>
          </cell>
          <cell r="AE1618">
            <v>5395</v>
          </cell>
          <cell r="AF1618">
            <v>5041</v>
          </cell>
          <cell r="AG1618">
            <v>4760</v>
          </cell>
          <cell r="AH1618">
            <v>5741</v>
          </cell>
          <cell r="AI1618">
            <v>6034</v>
          </cell>
          <cell r="AJ1618">
            <v>5802</v>
          </cell>
        </row>
        <row r="1619">
          <cell r="E1619" t="str">
            <v>AR Residential Hydrocarbon Gas Liquids</v>
          </cell>
          <cell r="F1619">
            <v>6807</v>
          </cell>
          <cell r="G1619">
            <v>6156</v>
          </cell>
          <cell r="H1619">
            <v>5512</v>
          </cell>
          <cell r="I1619">
            <v>6282</v>
          </cell>
          <cell r="J1619">
            <v>6138</v>
          </cell>
          <cell r="K1619">
            <v>5507</v>
          </cell>
          <cell r="L1619">
            <v>5482</v>
          </cell>
          <cell r="M1619">
            <v>5800</v>
          </cell>
          <cell r="N1619">
            <v>4299</v>
          </cell>
          <cell r="O1619">
            <v>11135</v>
          </cell>
          <cell r="P1619">
            <v>9879</v>
          </cell>
          <cell r="Q1619">
            <v>10386</v>
          </cell>
          <cell r="R1619">
            <v>7769</v>
          </cell>
          <cell r="S1619">
            <v>6459</v>
          </cell>
          <cell r="T1619">
            <v>6180</v>
          </cell>
          <cell r="U1619">
            <v>5610</v>
          </cell>
          <cell r="V1619">
            <v>5535</v>
          </cell>
          <cell r="W1619">
            <v>5440</v>
          </cell>
          <cell r="X1619">
            <v>6901</v>
          </cell>
          <cell r="Y1619">
            <v>6797</v>
          </cell>
          <cell r="Z1619">
            <v>6049</v>
          </cell>
          <cell r="AA1619">
            <v>5063</v>
          </cell>
          <cell r="AB1619">
            <v>3819</v>
          </cell>
          <cell r="AC1619">
            <v>5092</v>
          </cell>
          <cell r="AD1619">
            <v>4964</v>
          </cell>
          <cell r="AE1619">
            <v>4198</v>
          </cell>
          <cell r="AF1619">
            <v>3198</v>
          </cell>
          <cell r="AG1619">
            <v>2949</v>
          </cell>
          <cell r="AH1619">
            <v>3993</v>
          </cell>
          <cell r="AI1619">
            <v>4095</v>
          </cell>
          <cell r="AJ1619">
            <v>4191</v>
          </cell>
        </row>
        <row r="1620">
          <cell r="E1620" t="str">
            <v>AZ Residential Hydrocarbon Gas Liquids</v>
          </cell>
          <cell r="F1620">
            <v>2644</v>
          </cell>
          <cell r="G1620">
            <v>2987</v>
          </cell>
          <cell r="H1620">
            <v>3214</v>
          </cell>
          <cell r="I1620">
            <v>2832</v>
          </cell>
          <cell r="J1620">
            <v>2891</v>
          </cell>
          <cell r="K1620">
            <v>3326</v>
          </cell>
          <cell r="L1620">
            <v>2687</v>
          </cell>
          <cell r="M1620">
            <v>2466</v>
          </cell>
          <cell r="N1620">
            <v>3523</v>
          </cell>
          <cell r="O1620">
            <v>4875</v>
          </cell>
          <cell r="P1620">
            <v>4281</v>
          </cell>
          <cell r="Q1620">
            <v>4045</v>
          </cell>
          <cell r="R1620">
            <v>4110</v>
          </cell>
          <cell r="S1620">
            <v>3270</v>
          </cell>
          <cell r="T1620">
            <v>2840</v>
          </cell>
          <cell r="U1620">
            <v>2959</v>
          </cell>
          <cell r="V1620">
            <v>3211</v>
          </cell>
          <cell r="W1620">
            <v>3008</v>
          </cell>
          <cell r="X1620">
            <v>5172</v>
          </cell>
          <cell r="Y1620">
            <v>4879</v>
          </cell>
          <cell r="Z1620">
            <v>4574</v>
          </cell>
          <cell r="AA1620">
            <v>5306</v>
          </cell>
          <cell r="AB1620">
            <v>3118</v>
          </cell>
          <cell r="AC1620">
            <v>3967</v>
          </cell>
          <cell r="AD1620">
            <v>4084</v>
          </cell>
          <cell r="AE1620">
            <v>3508</v>
          </cell>
          <cell r="AF1620">
            <v>4014</v>
          </cell>
          <cell r="AG1620">
            <v>3934</v>
          </cell>
          <cell r="AH1620">
            <v>4986</v>
          </cell>
          <cell r="AI1620">
            <v>5545</v>
          </cell>
          <cell r="AJ1620">
            <v>5029</v>
          </cell>
        </row>
        <row r="1621">
          <cell r="E1621" t="str">
            <v>CA Residential Hydrocarbon Gas Liquids</v>
          </cell>
          <cell r="F1621">
            <v>19305</v>
          </cell>
          <cell r="G1621">
            <v>23342</v>
          </cell>
          <cell r="H1621">
            <v>16124</v>
          </cell>
          <cell r="I1621">
            <v>16905</v>
          </cell>
          <cell r="J1621">
            <v>16630</v>
          </cell>
          <cell r="K1621">
            <v>16398</v>
          </cell>
          <cell r="L1621">
            <v>13697</v>
          </cell>
          <cell r="M1621">
            <v>12374</v>
          </cell>
          <cell r="N1621">
            <v>20453</v>
          </cell>
          <cell r="O1621">
            <v>19176</v>
          </cell>
          <cell r="P1621">
            <v>17889</v>
          </cell>
          <cell r="Q1621">
            <v>12279</v>
          </cell>
          <cell r="R1621">
            <v>14290</v>
          </cell>
          <cell r="S1621">
            <v>20489</v>
          </cell>
          <cell r="T1621">
            <v>24878</v>
          </cell>
          <cell r="U1621">
            <v>28288</v>
          </cell>
          <cell r="V1621">
            <v>24696</v>
          </cell>
          <cell r="W1621">
            <v>26190</v>
          </cell>
          <cell r="X1621">
            <v>32156</v>
          </cell>
          <cell r="Y1621">
            <v>30186</v>
          </cell>
          <cell r="Z1621">
            <v>31725</v>
          </cell>
          <cell r="AA1621">
            <v>30067</v>
          </cell>
          <cell r="AB1621">
            <v>22728</v>
          </cell>
          <cell r="AC1621">
            <v>22821</v>
          </cell>
          <cell r="AD1621">
            <v>18804</v>
          </cell>
          <cell r="AE1621">
            <v>21125</v>
          </cell>
          <cell r="AF1621">
            <v>23006</v>
          </cell>
          <cell r="AG1621">
            <v>22096</v>
          </cell>
          <cell r="AH1621">
            <v>24078</v>
          </cell>
          <cell r="AI1621">
            <v>25947</v>
          </cell>
          <cell r="AJ1621">
            <v>23715</v>
          </cell>
        </row>
        <row r="1622">
          <cell r="E1622" t="str">
            <v>CO Residential Hydrocarbon Gas Liquids</v>
          </cell>
          <cell r="F1622">
            <v>6502</v>
          </cell>
          <cell r="G1622">
            <v>7279</v>
          </cell>
          <cell r="H1622">
            <v>6485</v>
          </cell>
          <cell r="I1622">
            <v>6775</v>
          </cell>
          <cell r="J1622">
            <v>6733</v>
          </cell>
          <cell r="K1622">
            <v>8385</v>
          </cell>
          <cell r="L1622">
            <v>8046</v>
          </cell>
          <cell r="M1622">
            <v>1263</v>
          </cell>
          <cell r="N1622">
            <v>656</v>
          </cell>
          <cell r="O1622">
            <v>7707</v>
          </cell>
          <cell r="P1622">
            <v>10812</v>
          </cell>
          <cell r="Q1622">
            <v>10112</v>
          </cell>
          <cell r="R1622">
            <v>10279</v>
          </cell>
          <cell r="S1622">
            <v>14552</v>
          </cell>
          <cell r="T1622">
            <v>12370</v>
          </cell>
          <cell r="U1622">
            <v>12950</v>
          </cell>
          <cell r="V1622">
            <v>10263</v>
          </cell>
          <cell r="W1622">
            <v>11661</v>
          </cell>
          <cell r="X1622">
            <v>13846</v>
          </cell>
          <cell r="Y1622">
            <v>12365</v>
          </cell>
          <cell r="Z1622">
            <v>12360</v>
          </cell>
          <cell r="AA1622">
            <v>11982</v>
          </cell>
          <cell r="AB1622">
            <v>11150</v>
          </cell>
          <cell r="AC1622">
            <v>13170</v>
          </cell>
          <cell r="AD1622">
            <v>12021</v>
          </cell>
          <cell r="AE1622">
            <v>10751</v>
          </cell>
          <cell r="AF1622">
            <v>11098</v>
          </cell>
          <cell r="AG1622">
            <v>10341</v>
          </cell>
          <cell r="AH1622">
            <v>11606</v>
          </cell>
          <cell r="AI1622">
            <v>13185</v>
          </cell>
          <cell r="AJ1622">
            <v>11885</v>
          </cell>
        </row>
        <row r="1623">
          <cell r="E1623" t="str">
            <v>CT Residential Hydrocarbon Gas Liquids</v>
          </cell>
          <cell r="F1623">
            <v>2555</v>
          </cell>
          <cell r="G1623">
            <v>2834</v>
          </cell>
          <cell r="H1623">
            <v>3638</v>
          </cell>
          <cell r="I1623">
            <v>3135</v>
          </cell>
          <cell r="J1623">
            <v>2805</v>
          </cell>
          <cell r="K1623">
            <v>2609</v>
          </cell>
          <cell r="L1623">
            <v>3165</v>
          </cell>
          <cell r="M1623">
            <v>3602</v>
          </cell>
          <cell r="N1623">
            <v>4564</v>
          </cell>
          <cell r="O1623">
            <v>3525</v>
          </cell>
          <cell r="P1623">
            <v>3981</v>
          </cell>
          <cell r="Q1623">
            <v>4137</v>
          </cell>
          <cell r="R1623">
            <v>4461</v>
          </cell>
          <cell r="S1623">
            <v>5094</v>
          </cell>
          <cell r="T1623">
            <v>5024</v>
          </cell>
          <cell r="U1623">
            <v>4945</v>
          </cell>
          <cell r="V1623">
            <v>4107</v>
          </cell>
          <cell r="W1623">
            <v>4516</v>
          </cell>
          <cell r="X1623">
            <v>5729</v>
          </cell>
          <cell r="Y1623">
            <v>6285</v>
          </cell>
          <cell r="Z1623">
            <v>5824</v>
          </cell>
          <cell r="AA1623">
            <v>6233</v>
          </cell>
          <cell r="AB1623">
            <v>5842</v>
          </cell>
          <cell r="AC1623">
            <v>7109</v>
          </cell>
          <cell r="AD1623">
            <v>6959</v>
          </cell>
          <cell r="AE1623">
            <v>7458</v>
          </cell>
          <cell r="AF1623">
            <v>6992</v>
          </cell>
          <cell r="AG1623">
            <v>9005</v>
          </cell>
          <cell r="AH1623">
            <v>8864</v>
          </cell>
          <cell r="AI1623">
            <v>8413</v>
          </cell>
          <cell r="AJ1623">
            <v>7852</v>
          </cell>
        </row>
        <row r="1624">
          <cell r="E1624" t="str">
            <v>DC Residential Hydrocarbon Gas Liquids</v>
          </cell>
          <cell r="F1624">
            <v>3</v>
          </cell>
          <cell r="G1624">
            <v>4</v>
          </cell>
          <cell r="H1624">
            <v>4</v>
          </cell>
          <cell r="I1624">
            <v>4</v>
          </cell>
          <cell r="J1624">
            <v>4</v>
          </cell>
          <cell r="K1624">
            <v>5</v>
          </cell>
          <cell r="L1624">
            <v>6</v>
          </cell>
          <cell r="M1624">
            <v>6</v>
          </cell>
          <cell r="N1624">
            <v>6</v>
          </cell>
          <cell r="O1624">
            <v>5</v>
          </cell>
          <cell r="P1624">
            <v>4</v>
          </cell>
          <cell r="Q1624">
            <v>5</v>
          </cell>
          <cell r="R1624">
            <v>5</v>
          </cell>
          <cell r="S1624">
            <v>7</v>
          </cell>
          <cell r="T1624">
            <v>6</v>
          </cell>
          <cell r="U1624">
            <v>6</v>
          </cell>
          <cell r="V1624">
            <v>5</v>
          </cell>
          <cell r="W1624">
            <v>6</v>
          </cell>
          <cell r="X1624">
            <v>7</v>
          </cell>
          <cell r="Y1624">
            <v>8</v>
          </cell>
          <cell r="Z1624">
            <v>9</v>
          </cell>
          <cell r="AA1624">
            <v>0</v>
          </cell>
          <cell r="AB1624">
            <v>1</v>
          </cell>
          <cell r="AC1624">
            <v>5</v>
          </cell>
          <cell r="AD1624">
            <v>10</v>
          </cell>
          <cell r="AE1624">
            <v>6</v>
          </cell>
          <cell r="AF1624">
            <v>5</v>
          </cell>
          <cell r="AG1624">
            <v>5</v>
          </cell>
          <cell r="AH1624">
            <v>4</v>
          </cell>
          <cell r="AI1624">
            <v>9</v>
          </cell>
          <cell r="AJ1624">
            <v>9</v>
          </cell>
        </row>
        <row r="1625">
          <cell r="E1625" t="str">
            <v>DE Residential Hydrocarbon Gas Liquids</v>
          </cell>
          <cell r="F1625">
            <v>1869</v>
          </cell>
          <cell r="G1625">
            <v>2058</v>
          </cell>
          <cell r="H1625">
            <v>2016</v>
          </cell>
          <cell r="I1625">
            <v>2194</v>
          </cell>
          <cell r="J1625">
            <v>2284</v>
          </cell>
          <cell r="K1625">
            <v>2803</v>
          </cell>
          <cell r="L1625">
            <v>2980</v>
          </cell>
          <cell r="M1625">
            <v>3205</v>
          </cell>
          <cell r="N1625">
            <v>3397</v>
          </cell>
          <cell r="O1625">
            <v>3039</v>
          </cell>
          <cell r="P1625">
            <v>2396</v>
          </cell>
          <cell r="Q1625">
            <v>3051</v>
          </cell>
          <cell r="R1625">
            <v>3251</v>
          </cell>
          <cell r="S1625">
            <v>3363</v>
          </cell>
          <cell r="T1625">
            <v>2910</v>
          </cell>
          <cell r="U1625">
            <v>2914</v>
          </cell>
          <cell r="V1625">
            <v>2302</v>
          </cell>
          <cell r="W1625">
            <v>2695</v>
          </cell>
          <cell r="X1625">
            <v>2834</v>
          </cell>
          <cell r="Y1625">
            <v>3340</v>
          </cell>
          <cell r="Z1625">
            <v>3843</v>
          </cell>
          <cell r="AA1625">
            <v>3171</v>
          </cell>
          <cell r="AB1625">
            <v>2593</v>
          </cell>
          <cell r="AC1625">
            <v>2902</v>
          </cell>
          <cell r="AD1625">
            <v>3308</v>
          </cell>
          <cell r="AE1625">
            <v>3228</v>
          </cell>
          <cell r="AF1625">
            <v>2308</v>
          </cell>
          <cell r="AG1625">
            <v>2294</v>
          </cell>
          <cell r="AH1625">
            <v>2873</v>
          </cell>
          <cell r="AI1625">
            <v>2608</v>
          </cell>
          <cell r="AJ1625">
            <v>2183</v>
          </cell>
        </row>
        <row r="1626">
          <cell r="E1626" t="str">
            <v>FL Residential Hydrocarbon Gas Liquids</v>
          </cell>
          <cell r="F1626">
            <v>9694</v>
          </cell>
          <cell r="G1626">
            <v>10030</v>
          </cell>
          <cell r="H1626">
            <v>10082</v>
          </cell>
          <cell r="I1626">
            <v>9819</v>
          </cell>
          <cell r="J1626">
            <v>9006</v>
          </cell>
          <cell r="K1626">
            <v>7663</v>
          </cell>
          <cell r="L1626">
            <v>7831</v>
          </cell>
          <cell r="M1626">
            <v>7758</v>
          </cell>
          <cell r="N1626">
            <v>8657</v>
          </cell>
          <cell r="O1626">
            <v>8614</v>
          </cell>
          <cell r="P1626">
            <v>8525</v>
          </cell>
          <cell r="Q1626">
            <v>7117</v>
          </cell>
          <cell r="R1626">
            <v>7704</v>
          </cell>
          <cell r="S1626">
            <v>7069</v>
          </cell>
          <cell r="T1626">
            <v>9268</v>
          </cell>
          <cell r="U1626">
            <v>8489</v>
          </cell>
          <cell r="V1626">
            <v>8141</v>
          </cell>
          <cell r="W1626">
            <v>7333</v>
          </cell>
          <cell r="X1626">
            <v>7317</v>
          </cell>
          <cell r="Y1626">
            <v>9216</v>
          </cell>
          <cell r="Z1626">
            <v>9028</v>
          </cell>
          <cell r="AA1626">
            <v>7108</v>
          </cell>
          <cell r="AB1626">
            <v>5204</v>
          </cell>
          <cell r="AC1626">
            <v>4974</v>
          </cell>
          <cell r="AD1626">
            <v>5413</v>
          </cell>
          <cell r="AE1626">
            <v>5193</v>
          </cell>
          <cell r="AF1626">
            <v>5560</v>
          </cell>
          <cell r="AG1626">
            <v>6254</v>
          </cell>
          <cell r="AH1626">
            <v>6773</v>
          </cell>
          <cell r="AI1626">
            <v>6349</v>
          </cell>
          <cell r="AJ1626">
            <v>6510</v>
          </cell>
        </row>
        <row r="1627">
          <cell r="E1627" t="str">
            <v>GA Residential Hydrocarbon Gas Liquids</v>
          </cell>
          <cell r="F1627">
            <v>11645</v>
          </cell>
          <cell r="G1627">
            <v>12505</v>
          </cell>
          <cell r="H1627">
            <v>13768</v>
          </cell>
          <cell r="I1627">
            <v>14373</v>
          </cell>
          <cell r="J1627">
            <v>14440</v>
          </cell>
          <cell r="K1627">
            <v>13704</v>
          </cell>
          <cell r="L1627">
            <v>13948</v>
          </cell>
          <cell r="M1627">
            <v>15027</v>
          </cell>
          <cell r="N1627">
            <v>12913</v>
          </cell>
          <cell r="O1627">
            <v>14063</v>
          </cell>
          <cell r="P1627">
            <v>16000</v>
          </cell>
          <cell r="Q1627">
            <v>11251</v>
          </cell>
          <cell r="R1627">
            <v>11266</v>
          </cell>
          <cell r="S1627">
            <v>12356</v>
          </cell>
          <cell r="T1627">
            <v>13008</v>
          </cell>
          <cell r="U1627">
            <v>10904</v>
          </cell>
          <cell r="V1627">
            <v>9835</v>
          </cell>
          <cell r="W1627">
            <v>9952</v>
          </cell>
          <cell r="X1627">
            <v>11133</v>
          </cell>
          <cell r="Y1627">
            <v>10813</v>
          </cell>
          <cell r="Z1627">
            <v>12671</v>
          </cell>
          <cell r="AA1627">
            <v>9562</v>
          </cell>
          <cell r="AB1627">
            <v>11471</v>
          </cell>
          <cell r="AC1627">
            <v>7929</v>
          </cell>
          <cell r="AD1627">
            <v>9603</v>
          </cell>
          <cell r="AE1627">
            <v>8550</v>
          </cell>
          <cell r="AF1627">
            <v>8312</v>
          </cell>
          <cell r="AG1627">
            <v>7002</v>
          </cell>
          <cell r="AH1627">
            <v>8733</v>
          </cell>
          <cell r="AI1627">
            <v>8750</v>
          </cell>
          <cell r="AJ1627">
            <v>8505</v>
          </cell>
        </row>
        <row r="1628">
          <cell r="E1628" t="str">
            <v>HI Residential Hydrocarbon Gas Liquids</v>
          </cell>
          <cell r="F1628">
            <v>217</v>
          </cell>
          <cell r="G1628">
            <v>223</v>
          </cell>
          <cell r="H1628">
            <v>704</v>
          </cell>
          <cell r="I1628">
            <v>149</v>
          </cell>
          <cell r="J1628">
            <v>153</v>
          </cell>
          <cell r="K1628">
            <v>147</v>
          </cell>
          <cell r="L1628">
            <v>182</v>
          </cell>
          <cell r="M1628">
            <v>337</v>
          </cell>
          <cell r="N1628">
            <v>959</v>
          </cell>
          <cell r="O1628">
            <v>544</v>
          </cell>
          <cell r="P1628">
            <v>743</v>
          </cell>
          <cell r="Q1628">
            <v>754</v>
          </cell>
          <cell r="R1628">
            <v>757</v>
          </cell>
          <cell r="S1628">
            <v>561</v>
          </cell>
          <cell r="T1628">
            <v>572</v>
          </cell>
          <cell r="U1628">
            <v>584</v>
          </cell>
          <cell r="V1628">
            <v>598</v>
          </cell>
          <cell r="W1628">
            <v>480</v>
          </cell>
          <cell r="X1628">
            <v>1007</v>
          </cell>
          <cell r="Y1628">
            <v>920</v>
          </cell>
          <cell r="Z1628">
            <v>919</v>
          </cell>
          <cell r="AA1628">
            <v>854</v>
          </cell>
          <cell r="AB1628">
            <v>1254</v>
          </cell>
          <cell r="AC1628">
            <v>838</v>
          </cell>
          <cell r="AD1628">
            <v>847</v>
          </cell>
          <cell r="AE1628">
            <v>505</v>
          </cell>
          <cell r="AF1628">
            <v>691</v>
          </cell>
          <cell r="AG1628">
            <v>580</v>
          </cell>
          <cell r="AH1628">
            <v>455</v>
          </cell>
          <cell r="AI1628">
            <v>495</v>
          </cell>
          <cell r="AJ1628">
            <v>472</v>
          </cell>
        </row>
        <row r="1629">
          <cell r="E1629" t="str">
            <v>IA Residential Hydrocarbon Gas Liquids</v>
          </cell>
          <cell r="F1629">
            <v>11154</v>
          </cell>
          <cell r="G1629">
            <v>13660</v>
          </cell>
          <cell r="H1629">
            <v>13830</v>
          </cell>
          <cell r="I1629">
            <v>16085</v>
          </cell>
          <cell r="J1629">
            <v>15962</v>
          </cell>
          <cell r="K1629">
            <v>16122</v>
          </cell>
          <cell r="L1629">
            <v>21640</v>
          </cell>
          <cell r="M1629">
            <v>20069</v>
          </cell>
          <cell r="N1629">
            <v>16990</v>
          </cell>
          <cell r="O1629">
            <v>21272</v>
          </cell>
          <cell r="P1629">
            <v>21586</v>
          </cell>
          <cell r="Q1629">
            <v>13876</v>
          </cell>
          <cell r="R1629">
            <v>17961</v>
          </cell>
          <cell r="S1629">
            <v>18944</v>
          </cell>
          <cell r="T1629">
            <v>16619</v>
          </cell>
          <cell r="U1629">
            <v>17649</v>
          </cell>
          <cell r="V1629">
            <v>16345</v>
          </cell>
          <cell r="W1629">
            <v>16671</v>
          </cell>
          <cell r="X1629">
            <v>21962</v>
          </cell>
          <cell r="Y1629">
            <v>21414</v>
          </cell>
          <cell r="Z1629">
            <v>17662</v>
          </cell>
          <cell r="AA1629">
            <v>17845</v>
          </cell>
          <cell r="AB1629">
            <v>14326</v>
          </cell>
          <cell r="AC1629">
            <v>17452</v>
          </cell>
          <cell r="AD1629">
            <v>17799</v>
          </cell>
          <cell r="AE1629">
            <v>15032</v>
          </cell>
          <cell r="AF1629">
            <v>15397</v>
          </cell>
          <cell r="AG1629">
            <v>14582</v>
          </cell>
          <cell r="AH1629">
            <v>22644</v>
          </cell>
          <cell r="AI1629">
            <v>25162</v>
          </cell>
          <cell r="AJ1629">
            <v>23762</v>
          </cell>
        </row>
        <row r="1630">
          <cell r="E1630" t="str">
            <v>ID Residential Hydrocarbon Gas Liquids</v>
          </cell>
          <cell r="F1630">
            <v>1049</v>
          </cell>
          <cell r="G1630">
            <v>1227</v>
          </cell>
          <cell r="H1630">
            <v>980</v>
          </cell>
          <cell r="I1630">
            <v>1080</v>
          </cell>
          <cell r="J1630">
            <v>1011</v>
          </cell>
          <cell r="K1630">
            <v>1233</v>
          </cell>
          <cell r="L1630">
            <v>1480</v>
          </cell>
          <cell r="M1630">
            <v>1424</v>
          </cell>
          <cell r="N1630">
            <v>584</v>
          </cell>
          <cell r="O1630">
            <v>2414</v>
          </cell>
          <cell r="P1630">
            <v>4810</v>
          </cell>
          <cell r="Q1630">
            <v>3937</v>
          </cell>
          <cell r="R1630">
            <v>2483</v>
          </cell>
          <cell r="S1630">
            <v>2086</v>
          </cell>
          <cell r="T1630">
            <v>3827</v>
          </cell>
          <cell r="U1630">
            <v>3264</v>
          </cell>
          <cell r="V1630">
            <v>3435</v>
          </cell>
          <cell r="W1630">
            <v>3359</v>
          </cell>
          <cell r="X1630">
            <v>3695</v>
          </cell>
          <cell r="Y1630">
            <v>4086</v>
          </cell>
          <cell r="Z1630">
            <v>3917</v>
          </cell>
          <cell r="AA1630">
            <v>3991</v>
          </cell>
          <cell r="AB1630">
            <v>3205</v>
          </cell>
          <cell r="AC1630">
            <v>4852</v>
          </cell>
          <cell r="AD1630">
            <v>3537</v>
          </cell>
          <cell r="AE1630">
            <v>3063</v>
          </cell>
          <cell r="AF1630">
            <v>3219</v>
          </cell>
          <cell r="AG1630">
            <v>4201</v>
          </cell>
          <cell r="AH1630">
            <v>3848</v>
          </cell>
          <cell r="AI1630">
            <v>5317</v>
          </cell>
          <cell r="AJ1630">
            <v>4288</v>
          </cell>
        </row>
        <row r="1631">
          <cell r="E1631" t="str">
            <v>IL Residential Hydrocarbon Gas Liquids</v>
          </cell>
          <cell r="F1631">
            <v>12369</v>
          </cell>
          <cell r="G1631">
            <v>14634</v>
          </cell>
          <cell r="H1631">
            <v>14110</v>
          </cell>
          <cell r="I1631">
            <v>14966</v>
          </cell>
          <cell r="J1631">
            <v>14535</v>
          </cell>
          <cell r="K1631">
            <v>14920</v>
          </cell>
          <cell r="L1631">
            <v>20107</v>
          </cell>
          <cell r="M1631">
            <v>20410</v>
          </cell>
          <cell r="N1631">
            <v>17339</v>
          </cell>
          <cell r="O1631">
            <v>25110</v>
          </cell>
          <cell r="P1631">
            <v>20946</v>
          </cell>
          <cell r="Q1631">
            <v>15750</v>
          </cell>
          <cell r="R1631">
            <v>20926</v>
          </cell>
          <cell r="S1631">
            <v>17501</v>
          </cell>
          <cell r="T1631">
            <v>16481</v>
          </cell>
          <cell r="U1631">
            <v>16728</v>
          </cell>
          <cell r="V1631">
            <v>18045</v>
          </cell>
          <cell r="W1631">
            <v>20472</v>
          </cell>
          <cell r="X1631">
            <v>27646</v>
          </cell>
          <cell r="Y1631">
            <v>25078</v>
          </cell>
          <cell r="Z1631">
            <v>25390</v>
          </cell>
          <cell r="AA1631">
            <v>22357</v>
          </cell>
          <cell r="AB1631">
            <v>18429</v>
          </cell>
          <cell r="AC1631">
            <v>25409</v>
          </cell>
          <cell r="AD1631">
            <v>20909</v>
          </cell>
          <cell r="AE1631">
            <v>19242</v>
          </cell>
          <cell r="AF1631">
            <v>18300</v>
          </cell>
          <cell r="AG1631">
            <v>18122</v>
          </cell>
          <cell r="AH1631">
            <v>22286</v>
          </cell>
          <cell r="AI1631">
            <v>27805</v>
          </cell>
          <cell r="AJ1631">
            <v>26733</v>
          </cell>
        </row>
        <row r="1632">
          <cell r="E1632" t="str">
            <v>IN Residential Hydrocarbon Gas Liquids</v>
          </cell>
          <cell r="F1632">
            <v>13768</v>
          </cell>
          <cell r="G1632">
            <v>13751</v>
          </cell>
          <cell r="H1632">
            <v>13485</v>
          </cell>
          <cell r="I1632">
            <v>14850</v>
          </cell>
          <cell r="J1632">
            <v>14572</v>
          </cell>
          <cell r="K1632">
            <v>14849</v>
          </cell>
          <cell r="L1632">
            <v>19932</v>
          </cell>
          <cell r="M1632">
            <v>19713</v>
          </cell>
          <cell r="N1632">
            <v>14517</v>
          </cell>
          <cell r="O1632">
            <v>17596</v>
          </cell>
          <cell r="P1632">
            <v>19880</v>
          </cell>
          <cell r="Q1632">
            <v>14600</v>
          </cell>
          <cell r="R1632">
            <v>20248</v>
          </cell>
          <cell r="S1632">
            <v>21442</v>
          </cell>
          <cell r="T1632">
            <v>17460</v>
          </cell>
          <cell r="U1632">
            <v>15014</v>
          </cell>
          <cell r="V1632">
            <v>13180</v>
          </cell>
          <cell r="W1632">
            <v>16605</v>
          </cell>
          <cell r="X1632">
            <v>20158</v>
          </cell>
          <cell r="Y1632">
            <v>19216</v>
          </cell>
          <cell r="Z1632">
            <v>17305</v>
          </cell>
          <cell r="AA1632">
            <v>16631</v>
          </cell>
          <cell r="AB1632">
            <v>11899</v>
          </cell>
          <cell r="AC1632">
            <v>14078</v>
          </cell>
          <cell r="AD1632">
            <v>14261</v>
          </cell>
          <cell r="AE1632">
            <v>11647</v>
          </cell>
          <cell r="AF1632">
            <v>11136</v>
          </cell>
          <cell r="AG1632">
            <v>10762</v>
          </cell>
          <cell r="AH1632">
            <v>13521</v>
          </cell>
          <cell r="AI1632">
            <v>14382</v>
          </cell>
          <cell r="AJ1632">
            <v>12747</v>
          </cell>
        </row>
        <row r="1633">
          <cell r="E1633" t="str">
            <v>KS Residential Hydrocarbon Gas Liquids</v>
          </cell>
          <cell r="F1633">
            <v>4755</v>
          </cell>
          <cell r="G1633">
            <v>5248</v>
          </cell>
          <cell r="H1633">
            <v>4338</v>
          </cell>
          <cell r="I1633">
            <v>4390</v>
          </cell>
          <cell r="J1633">
            <v>4239</v>
          </cell>
          <cell r="K1633">
            <v>5906</v>
          </cell>
          <cell r="L1633">
            <v>7928</v>
          </cell>
          <cell r="M1633">
            <v>9580</v>
          </cell>
          <cell r="N1633">
            <v>10206</v>
          </cell>
          <cell r="O1633">
            <v>13439</v>
          </cell>
          <cell r="P1633">
            <v>10449</v>
          </cell>
          <cell r="Q1633">
            <v>7523</v>
          </cell>
          <cell r="R1633">
            <v>9048</v>
          </cell>
          <cell r="S1633">
            <v>9806</v>
          </cell>
          <cell r="T1633">
            <v>8957</v>
          </cell>
          <cell r="U1633">
            <v>8618</v>
          </cell>
          <cell r="V1633">
            <v>6262</v>
          </cell>
          <cell r="W1633">
            <v>8131</v>
          </cell>
          <cell r="X1633">
            <v>10539</v>
          </cell>
          <cell r="Y1633">
            <v>9965</v>
          </cell>
          <cell r="Z1633">
            <v>8940</v>
          </cell>
          <cell r="AA1633">
            <v>8248</v>
          </cell>
          <cell r="AB1633">
            <v>6684</v>
          </cell>
          <cell r="AC1633">
            <v>7769</v>
          </cell>
          <cell r="AD1633">
            <v>8660</v>
          </cell>
          <cell r="AE1633">
            <v>8170</v>
          </cell>
          <cell r="AF1633">
            <v>6406</v>
          </cell>
          <cell r="AG1633">
            <v>6116</v>
          </cell>
          <cell r="AH1633">
            <v>8421</v>
          </cell>
          <cell r="AI1633">
            <v>9375</v>
          </cell>
          <cell r="AJ1633">
            <v>8556</v>
          </cell>
        </row>
        <row r="1634">
          <cell r="E1634" t="str">
            <v>KY Residential Hydrocarbon Gas Liquids</v>
          </cell>
          <cell r="F1634">
            <v>7111</v>
          </cell>
          <cell r="G1634">
            <v>8382</v>
          </cell>
          <cell r="H1634">
            <v>7894</v>
          </cell>
          <cell r="I1634">
            <v>9142</v>
          </cell>
          <cell r="J1634">
            <v>8843</v>
          </cell>
          <cell r="K1634">
            <v>8801</v>
          </cell>
          <cell r="L1634">
            <v>11814</v>
          </cell>
          <cell r="M1634">
            <v>11757</v>
          </cell>
          <cell r="N1634">
            <v>8916</v>
          </cell>
          <cell r="O1634">
            <v>10895</v>
          </cell>
          <cell r="P1634">
            <v>10807</v>
          </cell>
          <cell r="Q1634">
            <v>7171</v>
          </cell>
          <cell r="R1634">
            <v>7777</v>
          </cell>
          <cell r="S1634">
            <v>9020</v>
          </cell>
          <cell r="T1634">
            <v>8625</v>
          </cell>
          <cell r="U1634">
            <v>8250</v>
          </cell>
          <cell r="V1634">
            <v>7508</v>
          </cell>
          <cell r="W1634">
            <v>8116</v>
          </cell>
          <cell r="X1634">
            <v>9330</v>
          </cell>
          <cell r="Y1634">
            <v>9741</v>
          </cell>
          <cell r="Z1634">
            <v>10177</v>
          </cell>
          <cell r="AA1634">
            <v>9068</v>
          </cell>
          <cell r="AB1634">
            <v>6241</v>
          </cell>
          <cell r="AC1634">
            <v>6956</v>
          </cell>
          <cell r="AD1634">
            <v>8378</v>
          </cell>
          <cell r="AE1634">
            <v>7984</v>
          </cell>
          <cell r="AF1634">
            <v>5816</v>
          </cell>
          <cell r="AG1634">
            <v>4474</v>
          </cell>
          <cell r="AH1634">
            <v>5925</v>
          </cell>
          <cell r="AI1634">
            <v>8194</v>
          </cell>
          <cell r="AJ1634">
            <v>5980</v>
          </cell>
        </row>
        <row r="1635">
          <cell r="E1635" t="str">
            <v>LA Residential Hydrocarbon Gas Liquids</v>
          </cell>
          <cell r="F1635">
            <v>2516</v>
          </cell>
          <cell r="G1635">
            <v>2680</v>
          </cell>
          <cell r="H1635">
            <v>3436</v>
          </cell>
          <cell r="I1635">
            <v>2313</v>
          </cell>
          <cell r="J1635">
            <v>2220</v>
          </cell>
          <cell r="K1635">
            <v>2034</v>
          </cell>
          <cell r="L1635">
            <v>2571</v>
          </cell>
          <cell r="M1635">
            <v>2829</v>
          </cell>
          <cell r="N1635">
            <v>4127</v>
          </cell>
          <cell r="O1635">
            <v>6137</v>
          </cell>
          <cell r="P1635">
            <v>7298</v>
          </cell>
          <cell r="Q1635">
            <v>6822</v>
          </cell>
          <cell r="R1635">
            <v>3612</v>
          </cell>
          <cell r="S1635">
            <v>2896</v>
          </cell>
          <cell r="T1635">
            <v>2643</v>
          </cell>
          <cell r="U1635">
            <v>3183</v>
          </cell>
          <cell r="V1635">
            <v>3264</v>
          </cell>
          <cell r="W1635">
            <v>2054</v>
          </cell>
          <cell r="X1635">
            <v>2411</v>
          </cell>
          <cell r="Y1635">
            <v>3140</v>
          </cell>
          <cell r="Z1635">
            <v>2798</v>
          </cell>
          <cell r="AA1635">
            <v>2671</v>
          </cell>
          <cell r="AB1635">
            <v>1712</v>
          </cell>
          <cell r="AC1635">
            <v>1779</v>
          </cell>
          <cell r="AD1635">
            <v>2095</v>
          </cell>
          <cell r="AE1635">
            <v>1785</v>
          </cell>
          <cell r="AF1635">
            <v>1679</v>
          </cell>
          <cell r="AG1635">
            <v>1699</v>
          </cell>
          <cell r="AH1635">
            <v>1748</v>
          </cell>
          <cell r="AI1635">
            <v>1933</v>
          </cell>
          <cell r="AJ1635">
            <v>1988</v>
          </cell>
        </row>
        <row r="1636">
          <cell r="E1636" t="str">
            <v>MA Residential Hydrocarbon Gas Liquids</v>
          </cell>
          <cell r="F1636">
            <v>4382</v>
          </cell>
          <cell r="G1636">
            <v>3965</v>
          </cell>
          <cell r="H1636">
            <v>3933</v>
          </cell>
          <cell r="I1636">
            <v>4335</v>
          </cell>
          <cell r="J1636">
            <v>4482</v>
          </cell>
          <cell r="K1636">
            <v>4680</v>
          </cell>
          <cell r="L1636">
            <v>5549</v>
          </cell>
          <cell r="M1636">
            <v>5209</v>
          </cell>
          <cell r="N1636">
            <v>4769</v>
          </cell>
          <cell r="O1636">
            <v>4911</v>
          </cell>
          <cell r="P1636">
            <v>6076</v>
          </cell>
          <cell r="Q1636">
            <v>5513</v>
          </cell>
          <cell r="R1636">
            <v>4462</v>
          </cell>
          <cell r="S1636">
            <v>6313</v>
          </cell>
          <cell r="T1636">
            <v>5344</v>
          </cell>
          <cell r="U1636">
            <v>6521</v>
          </cell>
          <cell r="V1636">
            <v>6665</v>
          </cell>
          <cell r="W1636">
            <v>6891</v>
          </cell>
          <cell r="X1636">
            <v>7375</v>
          </cell>
          <cell r="Y1636">
            <v>6893</v>
          </cell>
          <cell r="Z1636">
            <v>6470</v>
          </cell>
          <cell r="AA1636">
            <v>7641</v>
          </cell>
          <cell r="AB1636">
            <v>5978</v>
          </cell>
          <cell r="AC1636">
            <v>7160</v>
          </cell>
          <cell r="AD1636">
            <v>8130</v>
          </cell>
          <cell r="AE1636">
            <v>7602</v>
          </cell>
          <cell r="AF1636">
            <v>7551</v>
          </cell>
          <cell r="AG1636">
            <v>8136</v>
          </cell>
          <cell r="AH1636">
            <v>8643</v>
          </cell>
          <cell r="AI1636">
            <v>10349</v>
          </cell>
          <cell r="AJ1636">
            <v>8637</v>
          </cell>
        </row>
        <row r="1637">
          <cell r="E1637" t="str">
            <v>MD Residential Hydrocarbon Gas Liquids</v>
          </cell>
          <cell r="F1637">
            <v>3379</v>
          </cell>
          <cell r="G1637">
            <v>3772</v>
          </cell>
          <cell r="H1637">
            <v>4239</v>
          </cell>
          <cell r="I1637">
            <v>4359</v>
          </cell>
          <cell r="J1637">
            <v>4444</v>
          </cell>
          <cell r="K1637">
            <v>5113</v>
          </cell>
          <cell r="L1637">
            <v>5751</v>
          </cell>
          <cell r="M1637">
            <v>6175</v>
          </cell>
          <cell r="N1637">
            <v>5632</v>
          </cell>
          <cell r="O1637">
            <v>5157</v>
          </cell>
          <cell r="P1637">
            <v>4178</v>
          </cell>
          <cell r="Q1637">
            <v>5025</v>
          </cell>
          <cell r="R1637">
            <v>5234</v>
          </cell>
          <cell r="S1637">
            <v>7274</v>
          </cell>
          <cell r="T1637">
            <v>6241</v>
          </cell>
          <cell r="U1637">
            <v>6258</v>
          </cell>
          <cell r="V1637">
            <v>5406</v>
          </cell>
          <cell r="W1637">
            <v>5985</v>
          </cell>
          <cell r="X1637">
            <v>7125</v>
          </cell>
          <cell r="Y1637">
            <v>7556</v>
          </cell>
          <cell r="Z1637">
            <v>7754</v>
          </cell>
          <cell r="AA1637">
            <v>7923</v>
          </cell>
          <cell r="AB1637">
            <v>5681</v>
          </cell>
          <cell r="AC1637">
            <v>6654</v>
          </cell>
          <cell r="AD1637">
            <v>8297</v>
          </cell>
          <cell r="AE1637">
            <v>7606</v>
          </cell>
          <cell r="AF1637">
            <v>6354</v>
          </cell>
          <cell r="AG1637">
            <v>6277</v>
          </cell>
          <cell r="AH1637">
            <v>7137</v>
          </cell>
          <cell r="AI1637">
            <v>7303</v>
          </cell>
          <cell r="AJ1637">
            <v>7274</v>
          </cell>
        </row>
        <row r="1638">
          <cell r="E1638" t="str">
            <v>ME Residential Hydrocarbon Gas Liquids</v>
          </cell>
          <cell r="F1638">
            <v>1942</v>
          </cell>
          <cell r="G1638">
            <v>2113</v>
          </cell>
          <cell r="H1638">
            <v>1726</v>
          </cell>
          <cell r="I1638">
            <v>2142</v>
          </cell>
          <cell r="J1638">
            <v>2216</v>
          </cell>
          <cell r="K1638">
            <v>2521</v>
          </cell>
          <cell r="L1638">
            <v>2959</v>
          </cell>
          <cell r="M1638">
            <v>2186</v>
          </cell>
          <cell r="N1638">
            <v>2418</v>
          </cell>
          <cell r="O1638">
            <v>2134</v>
          </cell>
          <cell r="P1638">
            <v>2354</v>
          </cell>
          <cell r="Q1638">
            <v>2890</v>
          </cell>
          <cell r="R1638">
            <v>1776</v>
          </cell>
          <cell r="S1638">
            <v>3555</v>
          </cell>
          <cell r="T1638">
            <v>2514</v>
          </cell>
          <cell r="U1638">
            <v>3772</v>
          </cell>
          <cell r="V1638">
            <v>3157</v>
          </cell>
          <cell r="W1638">
            <v>4421</v>
          </cell>
          <cell r="X1638">
            <v>5026</v>
          </cell>
          <cell r="Y1638">
            <v>5225</v>
          </cell>
          <cell r="Z1638">
            <v>6013</v>
          </cell>
          <cell r="AA1638">
            <v>5223</v>
          </cell>
          <cell r="AB1638">
            <v>4915</v>
          </cell>
          <cell r="AC1638">
            <v>5713</v>
          </cell>
          <cell r="AD1638">
            <v>6562</v>
          </cell>
          <cell r="AE1638">
            <v>6454</v>
          </cell>
          <cell r="AF1638">
            <v>6549</v>
          </cell>
          <cell r="AG1638">
            <v>6561</v>
          </cell>
          <cell r="AH1638">
            <v>7827</v>
          </cell>
          <cell r="AI1638">
            <v>8124</v>
          </cell>
          <cell r="AJ1638">
            <v>7195</v>
          </cell>
        </row>
        <row r="1639">
          <cell r="E1639" t="str">
            <v>MI Residential Hydrocarbon Gas Liquids</v>
          </cell>
          <cell r="F1639">
            <v>27061</v>
          </cell>
          <cell r="G1639">
            <v>30003</v>
          </cell>
          <cell r="H1639">
            <v>30343</v>
          </cell>
          <cell r="I1639">
            <v>33014</v>
          </cell>
          <cell r="J1639">
            <v>32682</v>
          </cell>
          <cell r="K1639">
            <v>33176</v>
          </cell>
          <cell r="L1639">
            <v>44532</v>
          </cell>
          <cell r="M1639">
            <v>42079</v>
          </cell>
          <cell r="N1639">
            <v>39323</v>
          </cell>
          <cell r="O1639">
            <v>44553</v>
          </cell>
          <cell r="P1639">
            <v>45862</v>
          </cell>
          <cell r="Q1639">
            <v>57318</v>
          </cell>
          <cell r="R1639">
            <v>61214</v>
          </cell>
          <cell r="S1639">
            <v>60693</v>
          </cell>
          <cell r="T1639">
            <v>52899</v>
          </cell>
          <cell r="U1639">
            <v>59294</v>
          </cell>
          <cell r="V1639">
            <v>36426</v>
          </cell>
          <cell r="W1639">
            <v>41927</v>
          </cell>
          <cell r="X1639">
            <v>39237</v>
          </cell>
          <cell r="Y1639">
            <v>38121</v>
          </cell>
          <cell r="Z1639">
            <v>35102</v>
          </cell>
          <cell r="AA1639">
            <v>33289</v>
          </cell>
          <cell r="AB1639">
            <v>27103</v>
          </cell>
          <cell r="AC1639">
            <v>36867</v>
          </cell>
          <cell r="AD1639">
            <v>39531</v>
          </cell>
          <cell r="AE1639">
            <v>32965</v>
          </cell>
          <cell r="AF1639">
            <v>34706</v>
          </cell>
          <cell r="AG1639">
            <v>34882</v>
          </cell>
          <cell r="AH1639">
            <v>42671</v>
          </cell>
          <cell r="AI1639">
            <v>43330</v>
          </cell>
          <cell r="AJ1639">
            <v>36341</v>
          </cell>
        </row>
        <row r="1640">
          <cell r="E1640" t="str">
            <v>MN Residential Hydrocarbon Gas Liquids</v>
          </cell>
          <cell r="F1640">
            <v>11569</v>
          </cell>
          <cell r="G1640">
            <v>12569</v>
          </cell>
          <cell r="H1640">
            <v>14045</v>
          </cell>
          <cell r="I1640">
            <v>17276</v>
          </cell>
          <cell r="J1640">
            <v>16984</v>
          </cell>
          <cell r="K1640">
            <v>17543</v>
          </cell>
          <cell r="L1640">
            <v>23547</v>
          </cell>
          <cell r="M1640">
            <v>22290</v>
          </cell>
          <cell r="N1640">
            <v>15493</v>
          </cell>
          <cell r="O1640">
            <v>19145</v>
          </cell>
          <cell r="P1640">
            <v>21446</v>
          </cell>
          <cell r="Q1640">
            <v>18783</v>
          </cell>
          <cell r="R1640">
            <v>18073</v>
          </cell>
          <cell r="S1640">
            <v>22602</v>
          </cell>
          <cell r="T1640">
            <v>20626</v>
          </cell>
          <cell r="U1640">
            <v>19962</v>
          </cell>
          <cell r="V1640">
            <v>18798</v>
          </cell>
          <cell r="W1640">
            <v>19631</v>
          </cell>
          <cell r="X1640">
            <v>20385</v>
          </cell>
          <cell r="Y1640">
            <v>20651</v>
          </cell>
          <cell r="Z1640">
            <v>19428</v>
          </cell>
          <cell r="AA1640">
            <v>19493</v>
          </cell>
          <cell r="AB1640">
            <v>16933</v>
          </cell>
          <cell r="AC1640">
            <v>19728</v>
          </cell>
          <cell r="AD1640">
            <v>23479</v>
          </cell>
          <cell r="AE1640">
            <v>20422</v>
          </cell>
          <cell r="AF1640">
            <v>20280</v>
          </cell>
          <cell r="AG1640">
            <v>24956</v>
          </cell>
          <cell r="AH1640">
            <v>28094</v>
          </cell>
          <cell r="AI1640">
            <v>30922</v>
          </cell>
          <cell r="AJ1640">
            <v>28133</v>
          </cell>
        </row>
        <row r="1641">
          <cell r="E1641" t="str">
            <v>MO Residential Hydrocarbon Gas Liquids</v>
          </cell>
          <cell r="F1641">
            <v>15121</v>
          </cell>
          <cell r="G1641">
            <v>19793</v>
          </cell>
          <cell r="H1641">
            <v>19994</v>
          </cell>
          <cell r="I1641">
            <v>21142</v>
          </cell>
          <cell r="J1641">
            <v>20810</v>
          </cell>
          <cell r="K1641">
            <v>21061</v>
          </cell>
          <cell r="L1641">
            <v>28270</v>
          </cell>
          <cell r="M1641">
            <v>25777</v>
          </cell>
          <cell r="N1641">
            <v>18410</v>
          </cell>
          <cell r="O1641">
            <v>24696</v>
          </cell>
          <cell r="P1641">
            <v>21584</v>
          </cell>
          <cell r="Q1641">
            <v>32432</v>
          </cell>
          <cell r="R1641">
            <v>24477</v>
          </cell>
          <cell r="S1641">
            <v>23650</v>
          </cell>
          <cell r="T1641">
            <v>19379</v>
          </cell>
          <cell r="U1641">
            <v>17519</v>
          </cell>
          <cell r="V1641">
            <v>15449</v>
          </cell>
          <cell r="W1641">
            <v>17543</v>
          </cell>
          <cell r="X1641">
            <v>22679</v>
          </cell>
          <cell r="Y1641">
            <v>19513</v>
          </cell>
          <cell r="Z1641">
            <v>18676</v>
          </cell>
          <cell r="AA1641">
            <v>16512</v>
          </cell>
          <cell r="AB1641">
            <v>12726</v>
          </cell>
          <cell r="AC1641">
            <v>15101</v>
          </cell>
          <cell r="AD1641">
            <v>17048</v>
          </cell>
          <cell r="AE1641">
            <v>14312</v>
          </cell>
          <cell r="AF1641">
            <v>13903</v>
          </cell>
          <cell r="AG1641">
            <v>12111</v>
          </cell>
          <cell r="AH1641">
            <v>16521</v>
          </cell>
          <cell r="AI1641">
            <v>19709</v>
          </cell>
          <cell r="AJ1641">
            <v>15328</v>
          </cell>
        </row>
        <row r="1642">
          <cell r="E1642" t="str">
            <v>MS Residential Hydrocarbon Gas Liquids</v>
          </cell>
          <cell r="F1642">
            <v>7401</v>
          </cell>
          <cell r="G1642">
            <v>6387</v>
          </cell>
          <cell r="H1642">
            <v>5981</v>
          </cell>
          <cell r="I1642">
            <v>7545</v>
          </cell>
          <cell r="J1642">
            <v>7406</v>
          </cell>
          <cell r="K1642">
            <v>6673</v>
          </cell>
          <cell r="L1642">
            <v>8221</v>
          </cell>
          <cell r="M1642">
            <v>7681</v>
          </cell>
          <cell r="N1642">
            <v>7286</v>
          </cell>
          <cell r="O1642">
            <v>7985</v>
          </cell>
          <cell r="P1642">
            <v>13714</v>
          </cell>
          <cell r="Q1642">
            <v>14201</v>
          </cell>
          <cell r="R1642">
            <v>10091</v>
          </cell>
          <cell r="S1642">
            <v>7843</v>
          </cell>
          <cell r="T1642">
            <v>7455</v>
          </cell>
          <cell r="U1642">
            <v>6620</v>
          </cell>
          <cell r="V1642">
            <v>6289</v>
          </cell>
          <cell r="W1642">
            <v>6321</v>
          </cell>
          <cell r="X1642">
            <v>7619</v>
          </cell>
          <cell r="Y1642">
            <v>7865</v>
          </cell>
          <cell r="Z1642">
            <v>7743</v>
          </cell>
          <cell r="AA1642">
            <v>6679</v>
          </cell>
          <cell r="AB1642">
            <v>4800</v>
          </cell>
          <cell r="AC1642">
            <v>5578</v>
          </cell>
          <cell r="AD1642">
            <v>6768</v>
          </cell>
          <cell r="AE1642">
            <v>5447</v>
          </cell>
          <cell r="AF1642">
            <v>5235</v>
          </cell>
          <cell r="AG1642">
            <v>4819</v>
          </cell>
          <cell r="AH1642">
            <v>5540</v>
          </cell>
          <cell r="AI1642">
            <v>5878</v>
          </cell>
          <cell r="AJ1642">
            <v>5000</v>
          </cell>
        </row>
        <row r="1643">
          <cell r="E1643" t="str">
            <v>MT Residential Hydrocarbon Gas Liquids</v>
          </cell>
          <cell r="F1643">
            <v>3013</v>
          </cell>
          <cell r="G1643">
            <v>2606</v>
          </cell>
          <cell r="H1643">
            <v>2216</v>
          </cell>
          <cell r="I1643">
            <v>2030</v>
          </cell>
          <cell r="J1643">
            <v>2004</v>
          </cell>
          <cell r="K1643">
            <v>1753</v>
          </cell>
          <cell r="L1643">
            <v>1925</v>
          </cell>
          <cell r="M1643">
            <v>562</v>
          </cell>
          <cell r="N1643">
            <v>317</v>
          </cell>
          <cell r="O1643">
            <v>1269</v>
          </cell>
          <cell r="P1643">
            <v>3418</v>
          </cell>
          <cell r="Q1643">
            <v>3482</v>
          </cell>
          <cell r="R1643">
            <v>3569</v>
          </cell>
          <cell r="S1643">
            <v>5371</v>
          </cell>
          <cell r="T1643">
            <v>7154</v>
          </cell>
          <cell r="U1643">
            <v>6651</v>
          </cell>
          <cell r="V1643">
            <v>6630</v>
          </cell>
          <cell r="W1643">
            <v>7643</v>
          </cell>
          <cell r="X1643">
            <v>8565</v>
          </cell>
          <cell r="Y1643">
            <v>9072</v>
          </cell>
          <cell r="Z1643">
            <v>7550</v>
          </cell>
          <cell r="AA1643">
            <v>8025</v>
          </cell>
          <cell r="AB1643">
            <v>6290</v>
          </cell>
          <cell r="AC1643">
            <v>6168</v>
          </cell>
          <cell r="AD1643">
            <v>6948</v>
          </cell>
          <cell r="AE1643">
            <v>6997</v>
          </cell>
          <cell r="AF1643">
            <v>6182</v>
          </cell>
          <cell r="AG1643">
            <v>7241</v>
          </cell>
          <cell r="AH1643">
            <v>6894</v>
          </cell>
          <cell r="AI1643">
            <v>9538</v>
          </cell>
          <cell r="AJ1643">
            <v>8469</v>
          </cell>
        </row>
        <row r="1644">
          <cell r="E1644" t="str">
            <v>NC Residential Hydrocarbon Gas Liquids</v>
          </cell>
          <cell r="F1644">
            <v>14013</v>
          </cell>
          <cell r="G1644">
            <v>15692</v>
          </cell>
          <cell r="H1644">
            <v>17615</v>
          </cell>
          <cell r="I1644">
            <v>18188</v>
          </cell>
          <cell r="J1644">
            <v>18241</v>
          </cell>
          <cell r="K1644">
            <v>19165</v>
          </cell>
          <cell r="L1644">
            <v>21938</v>
          </cell>
          <cell r="M1644">
            <v>21833</v>
          </cell>
          <cell r="N1644">
            <v>20830</v>
          </cell>
          <cell r="O1644">
            <v>21066</v>
          </cell>
          <cell r="P1644">
            <v>22787</v>
          </cell>
          <cell r="Q1644">
            <v>23449</v>
          </cell>
          <cell r="R1644">
            <v>21852</v>
          </cell>
          <cell r="S1644">
            <v>24359</v>
          </cell>
          <cell r="T1644">
            <v>25702</v>
          </cell>
          <cell r="U1644">
            <v>22038</v>
          </cell>
          <cell r="V1644">
            <v>18960</v>
          </cell>
          <cell r="W1644">
            <v>18419</v>
          </cell>
          <cell r="X1644">
            <v>24214</v>
          </cell>
          <cell r="Y1644">
            <v>23207</v>
          </cell>
          <cell r="Z1644">
            <v>24476</v>
          </cell>
          <cell r="AA1644">
            <v>20440</v>
          </cell>
          <cell r="AB1644">
            <v>14762</v>
          </cell>
          <cell r="AC1644">
            <v>16176</v>
          </cell>
          <cell r="AD1644">
            <v>18800</v>
          </cell>
          <cell r="AE1644">
            <v>17309</v>
          </cell>
          <cell r="AF1644">
            <v>14836</v>
          </cell>
          <cell r="AG1644">
            <v>14227</v>
          </cell>
          <cell r="AH1644">
            <v>18709</v>
          </cell>
          <cell r="AI1644">
            <v>17644</v>
          </cell>
          <cell r="AJ1644">
            <v>15634</v>
          </cell>
        </row>
        <row r="1645">
          <cell r="E1645" t="str">
            <v>ND Residential Hydrocarbon Gas Liquids</v>
          </cell>
          <cell r="F1645">
            <v>2466</v>
          </cell>
          <cell r="G1645">
            <v>3686</v>
          </cell>
          <cell r="H1645">
            <v>4084</v>
          </cell>
          <cell r="I1645">
            <v>2879</v>
          </cell>
          <cell r="J1645">
            <v>2618</v>
          </cell>
          <cell r="K1645">
            <v>2927</v>
          </cell>
          <cell r="L1645">
            <v>3569</v>
          </cell>
          <cell r="M1645">
            <v>5739</v>
          </cell>
          <cell r="N1645">
            <v>4111</v>
          </cell>
          <cell r="O1645">
            <v>5437</v>
          </cell>
          <cell r="P1645">
            <v>6633</v>
          </cell>
          <cell r="Q1645">
            <v>7580</v>
          </cell>
          <cell r="R1645">
            <v>6800</v>
          </cell>
          <cell r="S1645">
            <v>6992</v>
          </cell>
          <cell r="T1645">
            <v>6918</v>
          </cell>
          <cell r="U1645">
            <v>7011</v>
          </cell>
          <cell r="V1645">
            <v>5326</v>
          </cell>
          <cell r="W1645">
            <v>5407</v>
          </cell>
          <cell r="X1645">
            <v>6344</v>
          </cell>
          <cell r="Y1645">
            <v>6081</v>
          </cell>
          <cell r="Z1645">
            <v>5794</v>
          </cell>
          <cell r="AA1645">
            <v>6358</v>
          </cell>
          <cell r="AB1645">
            <v>5130</v>
          </cell>
          <cell r="AC1645">
            <v>5739</v>
          </cell>
          <cell r="AD1645">
            <v>6437</v>
          </cell>
          <cell r="AE1645">
            <v>5464</v>
          </cell>
          <cell r="AF1645">
            <v>5193</v>
          </cell>
          <cell r="AG1645">
            <v>5192</v>
          </cell>
          <cell r="AH1645">
            <v>6362</v>
          </cell>
          <cell r="AI1645">
            <v>8217</v>
          </cell>
          <cell r="AJ1645">
            <v>4593</v>
          </cell>
        </row>
        <row r="1646">
          <cell r="E1646" t="str">
            <v>NE Residential Hydrocarbon Gas Liquids</v>
          </cell>
          <cell r="F1646">
            <v>4101</v>
          </cell>
          <cell r="G1646">
            <v>5146</v>
          </cell>
          <cell r="H1646">
            <v>5221</v>
          </cell>
          <cell r="I1646">
            <v>4909</v>
          </cell>
          <cell r="J1646">
            <v>4569</v>
          </cell>
          <cell r="K1646">
            <v>4919</v>
          </cell>
          <cell r="L1646">
            <v>6603</v>
          </cell>
          <cell r="M1646">
            <v>5304</v>
          </cell>
          <cell r="N1646">
            <v>7021</v>
          </cell>
          <cell r="O1646">
            <v>7184</v>
          </cell>
          <cell r="P1646">
            <v>7314</v>
          </cell>
          <cell r="Q1646">
            <v>6830</v>
          </cell>
          <cell r="R1646">
            <v>8280</v>
          </cell>
          <cell r="S1646">
            <v>7477</v>
          </cell>
          <cell r="T1646">
            <v>6568</v>
          </cell>
          <cell r="U1646">
            <v>7100</v>
          </cell>
          <cell r="V1646">
            <v>6038</v>
          </cell>
          <cell r="W1646">
            <v>7029</v>
          </cell>
          <cell r="X1646">
            <v>9376</v>
          </cell>
          <cell r="Y1646">
            <v>8297</v>
          </cell>
          <cell r="Z1646">
            <v>8368</v>
          </cell>
          <cell r="AA1646">
            <v>7825</v>
          </cell>
          <cell r="AB1646">
            <v>5810</v>
          </cell>
          <cell r="AC1646">
            <v>7143</v>
          </cell>
          <cell r="AD1646">
            <v>6980</v>
          </cell>
          <cell r="AE1646">
            <v>6256</v>
          </cell>
          <cell r="AF1646">
            <v>5529</v>
          </cell>
          <cell r="AG1646">
            <v>4569</v>
          </cell>
          <cell r="AH1646">
            <v>6543</v>
          </cell>
          <cell r="AI1646">
            <v>7815</v>
          </cell>
          <cell r="AJ1646">
            <v>6469</v>
          </cell>
        </row>
        <row r="1647">
          <cell r="E1647" t="str">
            <v>NH Residential Hydrocarbon Gas Liquids</v>
          </cell>
          <cell r="F1647">
            <v>4604</v>
          </cell>
          <cell r="G1647">
            <v>3903</v>
          </cell>
          <cell r="H1647">
            <v>4084</v>
          </cell>
          <cell r="I1647">
            <v>4701</v>
          </cell>
          <cell r="J1647">
            <v>4870</v>
          </cell>
          <cell r="K1647">
            <v>5281</v>
          </cell>
          <cell r="L1647">
            <v>5827</v>
          </cell>
          <cell r="M1647">
            <v>5105</v>
          </cell>
          <cell r="N1647">
            <v>5729</v>
          </cell>
          <cell r="O1647">
            <v>5974</v>
          </cell>
          <cell r="P1647">
            <v>5714</v>
          </cell>
          <cell r="Q1647">
            <v>5621</v>
          </cell>
          <cell r="R1647">
            <v>5634</v>
          </cell>
          <cell r="S1647">
            <v>7358</v>
          </cell>
          <cell r="T1647">
            <v>7304</v>
          </cell>
          <cell r="U1647">
            <v>6923</v>
          </cell>
          <cell r="V1647">
            <v>6517</v>
          </cell>
          <cell r="W1647">
            <v>8003</v>
          </cell>
          <cell r="X1647">
            <v>9357</v>
          </cell>
          <cell r="Y1647">
            <v>9807</v>
          </cell>
          <cell r="Z1647">
            <v>8324</v>
          </cell>
          <cell r="AA1647">
            <v>8549</v>
          </cell>
          <cell r="AB1647">
            <v>8617</v>
          </cell>
          <cell r="AC1647">
            <v>9745</v>
          </cell>
          <cell r="AD1647">
            <v>12661</v>
          </cell>
          <cell r="AE1647">
            <v>11511</v>
          </cell>
          <cell r="AF1647">
            <v>10085</v>
          </cell>
          <cell r="AG1647">
            <v>9603</v>
          </cell>
          <cell r="AH1647">
            <v>10780</v>
          </cell>
          <cell r="AI1647">
            <v>10712</v>
          </cell>
          <cell r="AJ1647">
            <v>9577</v>
          </cell>
        </row>
        <row r="1648">
          <cell r="E1648" t="str">
            <v>NJ Residential Hydrocarbon Gas Liquids</v>
          </cell>
          <cell r="F1648">
            <v>3088</v>
          </cell>
          <cell r="G1648">
            <v>3804</v>
          </cell>
          <cell r="H1648">
            <v>4523</v>
          </cell>
          <cell r="I1648">
            <v>4777</v>
          </cell>
          <cell r="J1648">
            <v>4479</v>
          </cell>
          <cell r="K1648">
            <v>5317</v>
          </cell>
          <cell r="L1648">
            <v>5786</v>
          </cell>
          <cell r="M1648">
            <v>4786</v>
          </cell>
          <cell r="N1648">
            <v>6028</v>
          </cell>
          <cell r="O1648">
            <v>6442</v>
          </cell>
          <cell r="P1648">
            <v>6776</v>
          </cell>
          <cell r="Q1648">
            <v>6846</v>
          </cell>
          <cell r="R1648">
            <v>5436</v>
          </cell>
          <cell r="S1648">
            <v>6993</v>
          </cell>
          <cell r="T1648">
            <v>5528</v>
          </cell>
          <cell r="U1648">
            <v>4882</v>
          </cell>
          <cell r="V1648">
            <v>3980</v>
          </cell>
          <cell r="W1648">
            <v>5656</v>
          </cell>
          <cell r="X1648">
            <v>6038</v>
          </cell>
          <cell r="Y1648">
            <v>5925</v>
          </cell>
          <cell r="Z1648">
            <v>5719</v>
          </cell>
          <cell r="AA1648">
            <v>5727</v>
          </cell>
          <cell r="AB1648">
            <v>4033</v>
          </cell>
          <cell r="AC1648">
            <v>4405</v>
          </cell>
          <cell r="AD1648">
            <v>5198</v>
          </cell>
          <cell r="AE1648">
            <v>4341</v>
          </cell>
          <cell r="AF1648">
            <v>3982</v>
          </cell>
          <cell r="AG1648">
            <v>4303</v>
          </cell>
          <cell r="AH1648">
            <v>4925</v>
          </cell>
          <cell r="AI1648">
            <v>4808</v>
          </cell>
          <cell r="AJ1648">
            <v>3866</v>
          </cell>
        </row>
        <row r="1649">
          <cell r="E1649" t="str">
            <v>NM Residential Hydrocarbon Gas Liquids</v>
          </cell>
          <cell r="F1649">
            <v>6234</v>
          </cell>
          <cell r="G1649">
            <v>4933</v>
          </cell>
          <cell r="H1649">
            <v>4007</v>
          </cell>
          <cell r="I1649">
            <v>2955</v>
          </cell>
          <cell r="J1649">
            <v>2824</v>
          </cell>
          <cell r="K1649">
            <v>3145</v>
          </cell>
          <cell r="L1649">
            <v>3117</v>
          </cell>
          <cell r="M1649">
            <v>3968</v>
          </cell>
          <cell r="N1649">
            <v>5822</v>
          </cell>
          <cell r="O1649">
            <v>7477</v>
          </cell>
          <cell r="P1649">
            <v>7459</v>
          </cell>
          <cell r="Q1649">
            <v>12597</v>
          </cell>
          <cell r="R1649">
            <v>10033</v>
          </cell>
          <cell r="S1649">
            <v>7775</v>
          </cell>
          <cell r="T1649">
            <v>6929</v>
          </cell>
          <cell r="U1649">
            <v>7494</v>
          </cell>
          <cell r="V1649">
            <v>7794</v>
          </cell>
          <cell r="W1649">
            <v>6616</v>
          </cell>
          <cell r="X1649">
            <v>6944</v>
          </cell>
          <cell r="Y1649">
            <v>6966</v>
          </cell>
          <cell r="Z1649">
            <v>6274</v>
          </cell>
          <cell r="AA1649">
            <v>5681</v>
          </cell>
          <cell r="AB1649">
            <v>4878</v>
          </cell>
          <cell r="AC1649">
            <v>5746</v>
          </cell>
          <cell r="AD1649">
            <v>4895</v>
          </cell>
          <cell r="AE1649">
            <v>4365</v>
          </cell>
          <cell r="AF1649">
            <v>4831</v>
          </cell>
          <cell r="AG1649">
            <v>4020</v>
          </cell>
          <cell r="AH1649">
            <v>4438</v>
          </cell>
          <cell r="AI1649">
            <v>4804</v>
          </cell>
          <cell r="AJ1649">
            <v>4870</v>
          </cell>
        </row>
        <row r="1650">
          <cell r="E1650" t="str">
            <v>NV Residential Hydrocarbon Gas Liquids</v>
          </cell>
          <cell r="F1650">
            <v>2566</v>
          </cell>
          <cell r="G1650">
            <v>2303</v>
          </cell>
          <cell r="H1650">
            <v>1986</v>
          </cell>
          <cell r="I1650">
            <v>1956</v>
          </cell>
          <cell r="J1650">
            <v>2016</v>
          </cell>
          <cell r="K1650">
            <v>1598</v>
          </cell>
          <cell r="L1650">
            <v>1725</v>
          </cell>
          <cell r="M1650">
            <v>1833</v>
          </cell>
          <cell r="N1650">
            <v>1931</v>
          </cell>
          <cell r="O1650">
            <v>2808</v>
          </cell>
          <cell r="P1650">
            <v>1709</v>
          </cell>
          <cell r="Q1650">
            <v>1628</v>
          </cell>
          <cell r="R1650">
            <v>2373</v>
          </cell>
          <cell r="S1650">
            <v>1454</v>
          </cell>
          <cell r="T1650">
            <v>1338</v>
          </cell>
          <cell r="U1650">
            <v>1756</v>
          </cell>
          <cell r="V1650">
            <v>1882</v>
          </cell>
          <cell r="W1650">
            <v>1854</v>
          </cell>
          <cell r="X1650">
            <v>2116</v>
          </cell>
          <cell r="Y1650">
            <v>2594</v>
          </cell>
          <cell r="Z1650">
            <v>2390</v>
          </cell>
          <cell r="AA1650">
            <v>2469</v>
          </cell>
          <cell r="AB1650">
            <v>1731</v>
          </cell>
          <cell r="AC1650">
            <v>2499</v>
          </cell>
          <cell r="AD1650">
            <v>1973</v>
          </cell>
          <cell r="AE1650">
            <v>1985</v>
          </cell>
          <cell r="AF1650">
            <v>2037</v>
          </cell>
          <cell r="AG1650">
            <v>2199</v>
          </cell>
          <cell r="AH1650">
            <v>1857</v>
          </cell>
          <cell r="AI1650">
            <v>2006</v>
          </cell>
          <cell r="AJ1650">
            <v>2339</v>
          </cell>
        </row>
        <row r="1651">
          <cell r="E1651" t="str">
            <v>NY Residential Hydrocarbon Gas Liquids</v>
          </cell>
          <cell r="F1651">
            <v>14360</v>
          </cell>
          <cell r="G1651">
            <v>17779</v>
          </cell>
          <cell r="H1651">
            <v>17476</v>
          </cell>
          <cell r="I1651">
            <v>15112</v>
          </cell>
          <cell r="J1651">
            <v>15311</v>
          </cell>
          <cell r="K1651">
            <v>15897</v>
          </cell>
          <cell r="L1651">
            <v>17379</v>
          </cell>
          <cell r="M1651">
            <v>15413</v>
          </cell>
          <cell r="N1651">
            <v>15219</v>
          </cell>
          <cell r="O1651">
            <v>16512</v>
          </cell>
          <cell r="P1651">
            <v>21865</v>
          </cell>
          <cell r="Q1651">
            <v>16538</v>
          </cell>
          <cell r="R1651">
            <v>19155</v>
          </cell>
          <cell r="S1651">
            <v>18949</v>
          </cell>
          <cell r="T1651">
            <v>19662</v>
          </cell>
          <cell r="U1651">
            <v>17903</v>
          </cell>
          <cell r="V1651">
            <v>15958</v>
          </cell>
          <cell r="W1651">
            <v>18326</v>
          </cell>
          <cell r="X1651">
            <v>22605</v>
          </cell>
          <cell r="Y1651">
            <v>22815</v>
          </cell>
          <cell r="Z1651">
            <v>22205</v>
          </cell>
          <cell r="AA1651">
            <v>19767</v>
          </cell>
          <cell r="AB1651">
            <v>16826</v>
          </cell>
          <cell r="AC1651">
            <v>19400</v>
          </cell>
          <cell r="AD1651">
            <v>24824</v>
          </cell>
          <cell r="AE1651">
            <v>22466</v>
          </cell>
          <cell r="AF1651">
            <v>21238</v>
          </cell>
          <cell r="AG1651">
            <v>21885</v>
          </cell>
          <cell r="AH1651">
            <v>27265</v>
          </cell>
          <cell r="AI1651">
            <v>28275</v>
          </cell>
          <cell r="AJ1651">
            <v>25552</v>
          </cell>
        </row>
        <row r="1652">
          <cell r="E1652" t="str">
            <v>OH Residential Hydrocarbon Gas Liquids</v>
          </cell>
          <cell r="F1652">
            <v>15924</v>
          </cell>
          <cell r="G1652">
            <v>16855</v>
          </cell>
          <cell r="H1652">
            <v>15097</v>
          </cell>
          <cell r="I1652">
            <v>17876</v>
          </cell>
          <cell r="J1652">
            <v>17507</v>
          </cell>
          <cell r="K1652">
            <v>18853</v>
          </cell>
          <cell r="L1652">
            <v>25306</v>
          </cell>
          <cell r="M1652">
            <v>24491</v>
          </cell>
          <cell r="N1652">
            <v>21181</v>
          </cell>
          <cell r="O1652">
            <v>28337</v>
          </cell>
          <cell r="P1652">
            <v>24494</v>
          </cell>
          <cell r="Q1652">
            <v>16323</v>
          </cell>
          <cell r="R1652">
            <v>19930</v>
          </cell>
          <cell r="S1652">
            <v>23821</v>
          </cell>
          <cell r="T1652">
            <v>18904</v>
          </cell>
          <cell r="U1652">
            <v>18698</v>
          </cell>
          <cell r="V1652">
            <v>17748</v>
          </cell>
          <cell r="W1652">
            <v>19344</v>
          </cell>
          <cell r="X1652">
            <v>20342</v>
          </cell>
          <cell r="Y1652">
            <v>22773</v>
          </cell>
          <cell r="Z1652">
            <v>20117</v>
          </cell>
          <cell r="AA1652">
            <v>19536</v>
          </cell>
          <cell r="AB1652">
            <v>15161</v>
          </cell>
          <cell r="AC1652">
            <v>16739</v>
          </cell>
          <cell r="AD1652">
            <v>18258</v>
          </cell>
          <cell r="AE1652">
            <v>16563</v>
          </cell>
          <cell r="AF1652">
            <v>16879</v>
          </cell>
          <cell r="AG1652">
            <v>17187</v>
          </cell>
          <cell r="AH1652">
            <v>18907</v>
          </cell>
          <cell r="AI1652">
            <v>21522</v>
          </cell>
          <cell r="AJ1652">
            <v>18412</v>
          </cell>
        </row>
        <row r="1653">
          <cell r="E1653" t="str">
            <v>OK Residential Hydrocarbon Gas Liquids</v>
          </cell>
          <cell r="F1653">
            <v>4847</v>
          </cell>
          <cell r="G1653">
            <v>5225</v>
          </cell>
          <cell r="H1653">
            <v>4229</v>
          </cell>
          <cell r="I1653">
            <v>4894</v>
          </cell>
          <cell r="J1653">
            <v>4557</v>
          </cell>
          <cell r="K1653">
            <v>4619</v>
          </cell>
          <cell r="L1653">
            <v>6202</v>
          </cell>
          <cell r="M1653">
            <v>5831</v>
          </cell>
          <cell r="N1653">
            <v>6158</v>
          </cell>
          <cell r="O1653">
            <v>8719</v>
          </cell>
          <cell r="P1653">
            <v>9919</v>
          </cell>
          <cell r="Q1653">
            <v>9443</v>
          </cell>
          <cell r="R1653">
            <v>11533</v>
          </cell>
          <cell r="S1653">
            <v>8686</v>
          </cell>
          <cell r="T1653">
            <v>7814</v>
          </cell>
          <cell r="U1653">
            <v>7200</v>
          </cell>
          <cell r="V1653">
            <v>7572</v>
          </cell>
          <cell r="W1653">
            <v>9472</v>
          </cell>
          <cell r="X1653">
            <v>8187</v>
          </cell>
          <cell r="Y1653">
            <v>7669</v>
          </cell>
          <cell r="Z1653">
            <v>8219</v>
          </cell>
          <cell r="AA1653">
            <v>7105</v>
          </cell>
          <cell r="AB1653">
            <v>5682</v>
          </cell>
          <cell r="AC1653">
            <v>7474</v>
          </cell>
          <cell r="AD1653">
            <v>7460</v>
          </cell>
          <cell r="AE1653">
            <v>6949</v>
          </cell>
          <cell r="AF1653">
            <v>6414</v>
          </cell>
          <cell r="AG1653">
            <v>6989</v>
          </cell>
          <cell r="AH1653">
            <v>7907</v>
          </cell>
          <cell r="AI1653">
            <v>8375</v>
          </cell>
          <cell r="AJ1653">
            <v>7974</v>
          </cell>
        </row>
        <row r="1654">
          <cell r="E1654" t="str">
            <v>OR Residential Hydrocarbon Gas Liquids</v>
          </cell>
          <cell r="F1654">
            <v>1150</v>
          </cell>
          <cell r="G1654">
            <v>1478</v>
          </cell>
          <cell r="H1654">
            <v>1308</v>
          </cell>
          <cell r="I1654">
            <v>1462</v>
          </cell>
          <cell r="J1654">
            <v>1543</v>
          </cell>
          <cell r="K1654">
            <v>1479</v>
          </cell>
          <cell r="L1654">
            <v>1401</v>
          </cell>
          <cell r="M1654">
            <v>1189</v>
          </cell>
          <cell r="N1654">
            <v>1464</v>
          </cell>
          <cell r="O1654">
            <v>1646</v>
          </cell>
          <cell r="P1654">
            <v>1890</v>
          </cell>
          <cell r="Q1654">
            <v>2102</v>
          </cell>
          <cell r="R1654">
            <v>2486</v>
          </cell>
          <cell r="S1654">
            <v>2660</v>
          </cell>
          <cell r="T1654">
            <v>1204</v>
          </cell>
          <cell r="U1654">
            <v>2629</v>
          </cell>
          <cell r="V1654">
            <v>2017</v>
          </cell>
          <cell r="W1654">
            <v>1940</v>
          </cell>
          <cell r="X1654">
            <v>2473</v>
          </cell>
          <cell r="Y1654">
            <v>2976</v>
          </cell>
          <cell r="Z1654">
            <v>2392</v>
          </cell>
          <cell r="AA1654">
            <v>2425</v>
          </cell>
          <cell r="AB1654">
            <v>1843</v>
          </cell>
          <cell r="AC1654">
            <v>2292</v>
          </cell>
          <cell r="AD1654">
            <v>2570</v>
          </cell>
          <cell r="AE1654">
            <v>1929</v>
          </cell>
          <cell r="AF1654">
            <v>1881</v>
          </cell>
          <cell r="AG1654">
            <v>2217</v>
          </cell>
          <cell r="AH1654">
            <v>2854</v>
          </cell>
          <cell r="AI1654">
            <v>3296</v>
          </cell>
          <cell r="AJ1654">
            <v>2598</v>
          </cell>
        </row>
        <row r="1655">
          <cell r="E1655" t="str">
            <v>PA Residential Hydrocarbon Gas Liquids</v>
          </cell>
          <cell r="F1655">
            <v>8297</v>
          </cell>
          <cell r="G1655">
            <v>9633</v>
          </cell>
          <cell r="H1655">
            <v>10184</v>
          </cell>
          <cell r="I1655">
            <v>9304</v>
          </cell>
          <cell r="J1655">
            <v>9468</v>
          </cell>
          <cell r="K1655">
            <v>10120</v>
          </cell>
          <cell r="L1655">
            <v>11013</v>
          </cell>
          <cell r="M1655">
            <v>10846</v>
          </cell>
          <cell r="N1655">
            <v>11420</v>
          </cell>
          <cell r="O1655">
            <v>12230</v>
          </cell>
          <cell r="P1655">
            <v>14706</v>
          </cell>
          <cell r="Q1655">
            <v>11401</v>
          </cell>
          <cell r="R1655">
            <v>13152</v>
          </cell>
          <cell r="S1655">
            <v>16458</v>
          </cell>
          <cell r="T1655">
            <v>15857</v>
          </cell>
          <cell r="U1655">
            <v>15122</v>
          </cell>
          <cell r="V1655">
            <v>14969</v>
          </cell>
          <cell r="W1655">
            <v>17318</v>
          </cell>
          <cell r="X1655">
            <v>19899</v>
          </cell>
          <cell r="Y1655">
            <v>21575</v>
          </cell>
          <cell r="Z1655">
            <v>20812</v>
          </cell>
          <cell r="AA1655">
            <v>19531</v>
          </cell>
          <cell r="AB1655">
            <v>16645</v>
          </cell>
          <cell r="AC1655">
            <v>18686</v>
          </cell>
          <cell r="AD1655">
            <v>19958</v>
          </cell>
          <cell r="AE1655">
            <v>18230</v>
          </cell>
          <cell r="AF1655">
            <v>16909</v>
          </cell>
          <cell r="AG1655">
            <v>17668</v>
          </cell>
          <cell r="AH1655">
            <v>20768</v>
          </cell>
          <cell r="AI1655">
            <v>23752</v>
          </cell>
          <cell r="AJ1655">
            <v>18625</v>
          </cell>
        </row>
        <row r="1656">
          <cell r="E1656" t="str">
            <v>RI Residential Hydrocarbon Gas Liquids</v>
          </cell>
          <cell r="F1656">
            <v>834</v>
          </cell>
          <cell r="G1656">
            <v>843</v>
          </cell>
          <cell r="H1656">
            <v>806</v>
          </cell>
          <cell r="I1656">
            <v>962</v>
          </cell>
          <cell r="J1656">
            <v>942</v>
          </cell>
          <cell r="K1656">
            <v>853</v>
          </cell>
          <cell r="L1656">
            <v>1068</v>
          </cell>
          <cell r="M1656">
            <v>958</v>
          </cell>
          <cell r="N1656">
            <v>1121</v>
          </cell>
          <cell r="O1656">
            <v>786</v>
          </cell>
          <cell r="P1656">
            <v>837</v>
          </cell>
          <cell r="Q1656">
            <v>733</v>
          </cell>
          <cell r="R1656">
            <v>898</v>
          </cell>
          <cell r="S1656">
            <v>871</v>
          </cell>
          <cell r="T1656">
            <v>663</v>
          </cell>
          <cell r="U1656">
            <v>699</v>
          </cell>
          <cell r="V1656">
            <v>687</v>
          </cell>
          <cell r="W1656">
            <v>803</v>
          </cell>
          <cell r="X1656">
            <v>864</v>
          </cell>
          <cell r="Y1656">
            <v>846</v>
          </cell>
          <cell r="Z1656">
            <v>726</v>
          </cell>
          <cell r="AA1656">
            <v>804</v>
          </cell>
          <cell r="AB1656">
            <v>720</v>
          </cell>
          <cell r="AC1656">
            <v>801</v>
          </cell>
          <cell r="AD1656">
            <v>1135</v>
          </cell>
          <cell r="AE1656">
            <v>1061</v>
          </cell>
          <cell r="AF1656">
            <v>1182</v>
          </cell>
          <cell r="AG1656">
            <v>1216</v>
          </cell>
          <cell r="AH1656">
            <v>1845</v>
          </cell>
          <cell r="AI1656">
            <v>1621</v>
          </cell>
          <cell r="AJ1656">
            <v>1553</v>
          </cell>
        </row>
        <row r="1657">
          <cell r="E1657" t="str">
            <v>SC Residential Hydrocarbon Gas Liquids</v>
          </cell>
          <cell r="F1657">
            <v>5100</v>
          </cell>
          <cell r="G1657">
            <v>5972</v>
          </cell>
          <cell r="H1657">
            <v>6418</v>
          </cell>
          <cell r="I1657">
            <v>6492</v>
          </cell>
          <cell r="J1657">
            <v>6624</v>
          </cell>
          <cell r="K1657">
            <v>6384</v>
          </cell>
          <cell r="L1657">
            <v>5917</v>
          </cell>
          <cell r="M1657">
            <v>6029</v>
          </cell>
          <cell r="N1657">
            <v>5103</v>
          </cell>
          <cell r="O1657">
            <v>6003</v>
          </cell>
          <cell r="P1657">
            <v>6904</v>
          </cell>
          <cell r="Q1657">
            <v>4552</v>
          </cell>
          <cell r="R1657">
            <v>5828</v>
          </cell>
          <cell r="S1657">
            <v>6120</v>
          </cell>
          <cell r="T1657">
            <v>6427</v>
          </cell>
          <cell r="U1657">
            <v>6401</v>
          </cell>
          <cell r="V1657">
            <v>5116</v>
          </cell>
          <cell r="W1657">
            <v>5135</v>
          </cell>
          <cell r="X1657">
            <v>5770</v>
          </cell>
          <cell r="Y1657">
            <v>5472</v>
          </cell>
          <cell r="Z1657">
            <v>6204</v>
          </cell>
          <cell r="AA1657">
            <v>4946</v>
          </cell>
          <cell r="AB1657">
            <v>3649</v>
          </cell>
          <cell r="AC1657">
            <v>4081</v>
          </cell>
          <cell r="AD1657">
            <v>4817</v>
          </cell>
          <cell r="AE1657">
            <v>3972</v>
          </cell>
          <cell r="AF1657">
            <v>3805</v>
          </cell>
          <cell r="AG1657">
            <v>4065</v>
          </cell>
          <cell r="AH1657">
            <v>4485</v>
          </cell>
          <cell r="AI1657">
            <v>3918</v>
          </cell>
          <cell r="AJ1657">
            <v>4135</v>
          </cell>
        </row>
        <row r="1658">
          <cell r="E1658" t="str">
            <v>SD Residential Hydrocarbon Gas Liquids</v>
          </cell>
          <cell r="F1658">
            <v>6563</v>
          </cell>
          <cell r="G1658">
            <v>4024</v>
          </cell>
          <cell r="H1658">
            <v>3816</v>
          </cell>
          <cell r="I1658">
            <v>5136</v>
          </cell>
          <cell r="J1658">
            <v>4846</v>
          </cell>
          <cell r="K1658">
            <v>5246</v>
          </cell>
          <cell r="L1658">
            <v>7041</v>
          </cell>
          <cell r="M1658">
            <v>6815</v>
          </cell>
          <cell r="N1658">
            <v>5497</v>
          </cell>
          <cell r="O1658">
            <v>5291</v>
          </cell>
          <cell r="P1658">
            <v>6310</v>
          </cell>
          <cell r="Q1658">
            <v>5216</v>
          </cell>
          <cell r="R1658">
            <v>6057</v>
          </cell>
          <cell r="S1658">
            <v>5880</v>
          </cell>
          <cell r="T1658">
            <v>4809</v>
          </cell>
          <cell r="U1658">
            <v>4724</v>
          </cell>
          <cell r="V1658">
            <v>4365</v>
          </cell>
          <cell r="W1658">
            <v>4891</v>
          </cell>
          <cell r="X1658">
            <v>6546</v>
          </cell>
          <cell r="Y1658">
            <v>6025</v>
          </cell>
          <cell r="Z1658">
            <v>5043</v>
          </cell>
          <cell r="AA1658">
            <v>4838</v>
          </cell>
          <cell r="AB1658">
            <v>4031</v>
          </cell>
          <cell r="AC1658">
            <v>4658</v>
          </cell>
          <cell r="AD1658">
            <v>4439</v>
          </cell>
          <cell r="AE1658">
            <v>3929</v>
          </cell>
          <cell r="AF1658">
            <v>4289</v>
          </cell>
          <cell r="AG1658">
            <v>4049</v>
          </cell>
          <cell r="AH1658">
            <v>4752</v>
          </cell>
          <cell r="AI1658">
            <v>5868</v>
          </cell>
          <cell r="AJ1658">
            <v>4327</v>
          </cell>
        </row>
        <row r="1659">
          <cell r="E1659" t="str">
            <v>TN Residential Hydrocarbon Gas Liquids</v>
          </cell>
          <cell r="F1659">
            <v>6221</v>
          </cell>
          <cell r="G1659">
            <v>7015</v>
          </cell>
          <cell r="H1659">
            <v>7590</v>
          </cell>
          <cell r="I1659">
            <v>7977</v>
          </cell>
          <cell r="J1659">
            <v>7652</v>
          </cell>
          <cell r="K1659">
            <v>7714</v>
          </cell>
          <cell r="L1659">
            <v>10354</v>
          </cell>
          <cell r="M1659">
            <v>9357</v>
          </cell>
          <cell r="N1659">
            <v>8814</v>
          </cell>
          <cell r="O1659">
            <v>11043</v>
          </cell>
          <cell r="P1659">
            <v>12491</v>
          </cell>
          <cell r="Q1659">
            <v>9790</v>
          </cell>
          <cell r="R1659">
            <v>11633</v>
          </cell>
          <cell r="S1659">
            <v>9960</v>
          </cell>
          <cell r="T1659">
            <v>10078</v>
          </cell>
          <cell r="U1659">
            <v>9700</v>
          </cell>
          <cell r="V1659">
            <v>8696</v>
          </cell>
          <cell r="W1659">
            <v>8799</v>
          </cell>
          <cell r="X1659">
            <v>7817</v>
          </cell>
          <cell r="Y1659">
            <v>9786</v>
          </cell>
          <cell r="Z1659">
            <v>10822</v>
          </cell>
          <cell r="AA1659">
            <v>7620</v>
          </cell>
          <cell r="AB1659">
            <v>4424</v>
          </cell>
          <cell r="AC1659">
            <v>5378</v>
          </cell>
          <cell r="AD1659">
            <v>7217</v>
          </cell>
          <cell r="AE1659">
            <v>6427</v>
          </cell>
          <cell r="AF1659">
            <v>5776</v>
          </cell>
          <cell r="AG1659">
            <v>5441</v>
          </cell>
          <cell r="AH1659">
            <v>6632</v>
          </cell>
          <cell r="AI1659">
            <v>7306</v>
          </cell>
          <cell r="AJ1659">
            <v>5857</v>
          </cell>
        </row>
        <row r="1660">
          <cell r="E1660" t="str">
            <v>TX Residential Hydrocarbon Gas Liquids</v>
          </cell>
          <cell r="F1660">
            <v>21256</v>
          </cell>
          <cell r="G1660">
            <v>14003</v>
          </cell>
          <cell r="H1660">
            <v>11952</v>
          </cell>
          <cell r="I1660">
            <v>12733</v>
          </cell>
          <cell r="J1660">
            <v>12572</v>
          </cell>
          <cell r="K1660">
            <v>11503</v>
          </cell>
          <cell r="L1660">
            <v>8013</v>
          </cell>
          <cell r="M1660">
            <v>12143</v>
          </cell>
          <cell r="N1660">
            <v>15778</v>
          </cell>
          <cell r="O1660">
            <v>31510</v>
          </cell>
          <cell r="P1660">
            <v>37277</v>
          </cell>
          <cell r="Q1660">
            <v>42343</v>
          </cell>
          <cell r="R1660">
            <v>37928</v>
          </cell>
          <cell r="S1660">
            <v>32583</v>
          </cell>
          <cell r="T1660">
            <v>25700</v>
          </cell>
          <cell r="U1660">
            <v>30569</v>
          </cell>
          <cell r="V1660">
            <v>23257</v>
          </cell>
          <cell r="W1660">
            <v>25399</v>
          </cell>
          <cell r="X1660">
            <v>24057</v>
          </cell>
          <cell r="Y1660">
            <v>20585</v>
          </cell>
          <cell r="Z1660">
            <v>20501</v>
          </cell>
          <cell r="AA1660">
            <v>18387</v>
          </cell>
          <cell r="AB1660">
            <v>14675</v>
          </cell>
          <cell r="AC1660">
            <v>17513</v>
          </cell>
          <cell r="AD1660">
            <v>18546</v>
          </cell>
          <cell r="AE1660">
            <v>19076</v>
          </cell>
          <cell r="AF1660">
            <v>19585</v>
          </cell>
          <cell r="AG1660">
            <v>15960</v>
          </cell>
          <cell r="AH1660">
            <v>16682</v>
          </cell>
          <cell r="AI1660">
            <v>21603</v>
          </cell>
          <cell r="AJ1660">
            <v>16085</v>
          </cell>
        </row>
        <row r="1661">
          <cell r="E1661" t="str">
            <v>US Residential Hydrocarbon Gas Liquids</v>
          </cell>
          <cell r="F1661">
            <v>352597</v>
          </cell>
          <cell r="G1661">
            <v>378638</v>
          </cell>
          <cell r="H1661">
            <v>369891</v>
          </cell>
          <cell r="I1661">
            <v>390080</v>
          </cell>
          <cell r="J1661">
            <v>384176</v>
          </cell>
          <cell r="K1661">
            <v>395322</v>
          </cell>
          <cell r="L1661">
            <v>469345</v>
          </cell>
          <cell r="M1661">
            <v>455390</v>
          </cell>
          <cell r="N1661">
            <v>424439</v>
          </cell>
          <cell r="O1661">
            <v>526669</v>
          </cell>
          <cell r="P1661">
            <v>555615</v>
          </cell>
          <cell r="Q1661">
            <v>526367</v>
          </cell>
          <cell r="R1661">
            <v>537848</v>
          </cell>
          <cell r="S1661">
            <v>545189</v>
          </cell>
          <cell r="T1661">
            <v>512412</v>
          </cell>
          <cell r="U1661">
            <v>513520</v>
          </cell>
          <cell r="V1661">
            <v>446105</v>
          </cell>
          <cell r="W1661">
            <v>484280</v>
          </cell>
          <cell r="X1661">
            <v>553444</v>
          </cell>
          <cell r="Y1661">
            <v>547781</v>
          </cell>
          <cell r="Z1661">
            <v>529835</v>
          </cell>
          <cell r="AA1661">
            <v>492612</v>
          </cell>
          <cell r="AB1661">
            <v>395556</v>
          </cell>
          <cell r="AC1661">
            <v>463473</v>
          </cell>
          <cell r="AD1661">
            <v>489523</v>
          </cell>
          <cell r="AE1661">
            <v>445710</v>
          </cell>
          <cell r="AF1661">
            <v>429888</v>
          </cell>
          <cell r="AG1661">
            <v>430702</v>
          </cell>
          <cell r="AH1661">
            <v>506546</v>
          </cell>
          <cell r="AI1661">
            <v>563405</v>
          </cell>
          <cell r="AJ1661">
            <v>494934</v>
          </cell>
        </row>
        <row r="1662">
          <cell r="E1662" t="str">
            <v>UT Residential Hydrocarbon Gas Liquids</v>
          </cell>
          <cell r="F1662">
            <v>1149</v>
          </cell>
          <cell r="G1662">
            <v>1123</v>
          </cell>
          <cell r="H1662">
            <v>904</v>
          </cell>
          <cell r="I1662">
            <v>548</v>
          </cell>
          <cell r="J1662">
            <v>439</v>
          </cell>
          <cell r="K1662">
            <v>568</v>
          </cell>
          <cell r="L1662">
            <v>679</v>
          </cell>
          <cell r="M1662">
            <v>1323</v>
          </cell>
          <cell r="N1662">
            <v>402</v>
          </cell>
          <cell r="O1662">
            <v>845</v>
          </cell>
          <cell r="P1662">
            <v>1596</v>
          </cell>
          <cell r="Q1662">
            <v>2716</v>
          </cell>
          <cell r="R1662">
            <v>1680</v>
          </cell>
          <cell r="S1662">
            <v>1444</v>
          </cell>
          <cell r="T1662">
            <v>1619</v>
          </cell>
          <cell r="U1662">
            <v>2118</v>
          </cell>
          <cell r="V1662">
            <v>2475</v>
          </cell>
          <cell r="W1662">
            <v>2220</v>
          </cell>
          <cell r="X1662">
            <v>2559</v>
          </cell>
          <cell r="Y1662">
            <v>2470</v>
          </cell>
          <cell r="Z1662">
            <v>1697</v>
          </cell>
          <cell r="AA1662">
            <v>2054</v>
          </cell>
          <cell r="AB1662">
            <v>1598</v>
          </cell>
          <cell r="AC1662">
            <v>2100</v>
          </cell>
          <cell r="AD1662">
            <v>1746</v>
          </cell>
          <cell r="AE1662">
            <v>1516</v>
          </cell>
          <cell r="AF1662">
            <v>1546</v>
          </cell>
          <cell r="AG1662">
            <v>2488</v>
          </cell>
          <cell r="AH1662">
            <v>2519</v>
          </cell>
          <cell r="AI1662">
            <v>3054</v>
          </cell>
          <cell r="AJ1662">
            <v>1841</v>
          </cell>
        </row>
        <row r="1663">
          <cell r="E1663" t="str">
            <v>VA Residential Hydrocarbon Gas Liquids</v>
          </cell>
          <cell r="F1663">
            <v>6757</v>
          </cell>
          <cell r="G1663">
            <v>7381</v>
          </cell>
          <cell r="H1663">
            <v>7729</v>
          </cell>
          <cell r="I1663">
            <v>7608</v>
          </cell>
          <cell r="J1663">
            <v>7761</v>
          </cell>
          <cell r="K1663">
            <v>9143</v>
          </cell>
          <cell r="L1663">
            <v>10142</v>
          </cell>
          <cell r="M1663">
            <v>10937</v>
          </cell>
          <cell r="N1663">
            <v>8347</v>
          </cell>
          <cell r="O1663">
            <v>9311</v>
          </cell>
          <cell r="P1663">
            <v>11133</v>
          </cell>
          <cell r="Q1663">
            <v>10112</v>
          </cell>
          <cell r="R1663">
            <v>9732</v>
          </cell>
          <cell r="S1663">
            <v>12098</v>
          </cell>
          <cell r="T1663">
            <v>12777</v>
          </cell>
          <cell r="U1663">
            <v>12271</v>
          </cell>
          <cell r="V1663">
            <v>9797</v>
          </cell>
          <cell r="W1663">
            <v>11193</v>
          </cell>
          <cell r="X1663">
            <v>11900</v>
          </cell>
          <cell r="Y1663">
            <v>13484</v>
          </cell>
          <cell r="Z1663">
            <v>13270</v>
          </cell>
          <cell r="AA1663">
            <v>12632</v>
          </cell>
          <cell r="AB1663">
            <v>10149</v>
          </cell>
          <cell r="AC1663">
            <v>12139</v>
          </cell>
          <cell r="AD1663">
            <v>11732</v>
          </cell>
          <cell r="AE1663">
            <v>12295</v>
          </cell>
          <cell r="AF1663">
            <v>10505</v>
          </cell>
          <cell r="AG1663">
            <v>9852</v>
          </cell>
          <cell r="AH1663">
            <v>12123</v>
          </cell>
          <cell r="AI1663">
            <v>12726</v>
          </cell>
          <cell r="AJ1663">
            <v>13188</v>
          </cell>
        </row>
        <row r="1664">
          <cell r="E1664" t="str">
            <v>VT Residential Hydrocarbon Gas Liquids</v>
          </cell>
          <cell r="F1664">
            <v>3434</v>
          </cell>
          <cell r="G1664">
            <v>3677</v>
          </cell>
          <cell r="H1664">
            <v>4408</v>
          </cell>
          <cell r="I1664">
            <v>3726</v>
          </cell>
          <cell r="J1664">
            <v>3798</v>
          </cell>
          <cell r="K1664">
            <v>3785</v>
          </cell>
          <cell r="L1664">
            <v>4267</v>
          </cell>
          <cell r="M1664">
            <v>3804</v>
          </cell>
          <cell r="N1664">
            <v>4295</v>
          </cell>
          <cell r="O1664">
            <v>4198</v>
          </cell>
          <cell r="P1664">
            <v>4069</v>
          </cell>
          <cell r="Q1664">
            <v>5583</v>
          </cell>
          <cell r="R1664">
            <v>5584</v>
          </cell>
          <cell r="S1664">
            <v>4608</v>
          </cell>
          <cell r="T1664">
            <v>4656</v>
          </cell>
          <cell r="U1664">
            <v>5592</v>
          </cell>
          <cell r="V1664">
            <v>5201</v>
          </cell>
          <cell r="W1664">
            <v>4940</v>
          </cell>
          <cell r="X1664">
            <v>4960</v>
          </cell>
          <cell r="Y1664">
            <v>5998</v>
          </cell>
          <cell r="Z1664">
            <v>5919</v>
          </cell>
          <cell r="AA1664">
            <v>4951</v>
          </cell>
          <cell r="AB1664">
            <v>5026</v>
          </cell>
          <cell r="AC1664">
            <v>6022</v>
          </cell>
          <cell r="AD1664">
            <v>6378</v>
          </cell>
          <cell r="AE1664">
            <v>6180</v>
          </cell>
          <cell r="AF1664">
            <v>5557</v>
          </cell>
          <cell r="AG1664">
            <v>6427</v>
          </cell>
          <cell r="AH1664">
            <v>7101</v>
          </cell>
          <cell r="AI1664">
            <v>7063</v>
          </cell>
          <cell r="AJ1664">
            <v>6054</v>
          </cell>
        </row>
        <row r="1665">
          <cell r="E1665" t="str">
            <v>WA Residential Hydrocarbon Gas Liquids</v>
          </cell>
          <cell r="F1665">
            <v>2342</v>
          </cell>
          <cell r="G1665">
            <v>3177</v>
          </cell>
          <cell r="H1665">
            <v>3137</v>
          </cell>
          <cell r="I1665">
            <v>3284</v>
          </cell>
          <cell r="J1665">
            <v>3364</v>
          </cell>
          <cell r="K1665">
            <v>4412</v>
          </cell>
          <cell r="L1665">
            <v>4484</v>
          </cell>
          <cell r="M1665">
            <v>8572</v>
          </cell>
          <cell r="N1665">
            <v>7780</v>
          </cell>
          <cell r="O1665">
            <v>7149</v>
          </cell>
          <cell r="P1665">
            <v>7381</v>
          </cell>
          <cell r="Q1665">
            <v>8039</v>
          </cell>
          <cell r="R1665">
            <v>10973</v>
          </cell>
          <cell r="S1665">
            <v>6163</v>
          </cell>
          <cell r="T1665">
            <v>6566</v>
          </cell>
          <cell r="U1665">
            <v>7307</v>
          </cell>
          <cell r="V1665">
            <v>6812</v>
          </cell>
          <cell r="W1665">
            <v>6492</v>
          </cell>
          <cell r="X1665">
            <v>8568</v>
          </cell>
          <cell r="Y1665">
            <v>9562</v>
          </cell>
          <cell r="Z1665">
            <v>9039</v>
          </cell>
          <cell r="AA1665">
            <v>9093</v>
          </cell>
          <cell r="AB1665">
            <v>6938</v>
          </cell>
          <cell r="AC1665">
            <v>6991</v>
          </cell>
          <cell r="AD1665">
            <v>6736</v>
          </cell>
          <cell r="AE1665">
            <v>5866</v>
          </cell>
          <cell r="AF1665">
            <v>7294</v>
          </cell>
          <cell r="AG1665">
            <v>8797</v>
          </cell>
          <cell r="AH1665">
            <v>8658</v>
          </cell>
          <cell r="AI1665">
            <v>10895</v>
          </cell>
          <cell r="AJ1665">
            <v>9196</v>
          </cell>
        </row>
        <row r="1666">
          <cell r="E1666" t="str">
            <v>WI Residential Hydrocarbon Gas Liquids</v>
          </cell>
          <cell r="F1666">
            <v>16841</v>
          </cell>
          <cell r="G1666">
            <v>21076</v>
          </cell>
          <cell r="H1666">
            <v>19907</v>
          </cell>
          <cell r="I1666">
            <v>22421</v>
          </cell>
          <cell r="J1666">
            <v>22035</v>
          </cell>
          <cell r="K1666">
            <v>22360</v>
          </cell>
          <cell r="L1666">
            <v>30014</v>
          </cell>
          <cell r="M1666">
            <v>26526</v>
          </cell>
          <cell r="N1666">
            <v>23835</v>
          </cell>
          <cell r="O1666">
            <v>28131</v>
          </cell>
          <cell r="P1666">
            <v>26499</v>
          </cell>
          <cell r="Q1666">
            <v>25073</v>
          </cell>
          <cell r="R1666">
            <v>29952</v>
          </cell>
          <cell r="S1666">
            <v>26643</v>
          </cell>
          <cell r="T1666">
            <v>26261</v>
          </cell>
          <cell r="U1666">
            <v>26706</v>
          </cell>
          <cell r="V1666">
            <v>23023</v>
          </cell>
          <cell r="W1666">
            <v>24254</v>
          </cell>
          <cell r="X1666">
            <v>27509</v>
          </cell>
          <cell r="Y1666">
            <v>24957</v>
          </cell>
          <cell r="Z1666">
            <v>23928</v>
          </cell>
          <cell r="AA1666">
            <v>23911</v>
          </cell>
          <cell r="AB1666">
            <v>19185</v>
          </cell>
          <cell r="AC1666">
            <v>25828</v>
          </cell>
          <cell r="AD1666">
            <v>27212</v>
          </cell>
          <cell r="AE1666">
            <v>23810</v>
          </cell>
          <cell r="AF1666">
            <v>22411</v>
          </cell>
          <cell r="AG1666">
            <v>22276</v>
          </cell>
          <cell r="AH1666">
            <v>24405</v>
          </cell>
          <cell r="AI1666">
            <v>32568</v>
          </cell>
          <cell r="AJ1666">
            <v>28564</v>
          </cell>
        </row>
        <row r="1667">
          <cell r="E1667" t="str">
            <v>WV Residential Hydrocarbon Gas Liquids</v>
          </cell>
          <cell r="F1667">
            <v>1531</v>
          </cell>
          <cell r="G1667">
            <v>1449</v>
          </cell>
          <cell r="H1667">
            <v>1671</v>
          </cell>
          <cell r="I1667">
            <v>1777</v>
          </cell>
          <cell r="J1667">
            <v>1792</v>
          </cell>
          <cell r="K1667">
            <v>1529</v>
          </cell>
          <cell r="L1667">
            <v>1763</v>
          </cell>
          <cell r="M1667">
            <v>2491</v>
          </cell>
          <cell r="N1667">
            <v>1883</v>
          </cell>
          <cell r="O1667">
            <v>2621</v>
          </cell>
          <cell r="P1667">
            <v>2764</v>
          </cell>
          <cell r="Q1667">
            <v>3635</v>
          </cell>
          <cell r="R1667">
            <v>2319</v>
          </cell>
          <cell r="S1667">
            <v>2651</v>
          </cell>
          <cell r="T1667">
            <v>4329</v>
          </cell>
          <cell r="U1667">
            <v>2599</v>
          </cell>
          <cell r="V1667">
            <v>3351</v>
          </cell>
          <cell r="W1667">
            <v>2855</v>
          </cell>
          <cell r="X1667">
            <v>3252</v>
          </cell>
          <cell r="Y1667">
            <v>3119</v>
          </cell>
          <cell r="Z1667">
            <v>3242</v>
          </cell>
          <cell r="AA1667">
            <v>3049</v>
          </cell>
          <cell r="AB1667">
            <v>2580</v>
          </cell>
          <cell r="AC1667">
            <v>3919</v>
          </cell>
          <cell r="AD1667">
            <v>2739</v>
          </cell>
          <cell r="AE1667">
            <v>3034</v>
          </cell>
          <cell r="AF1667">
            <v>2242</v>
          </cell>
          <cell r="AG1667">
            <v>1961</v>
          </cell>
          <cell r="AH1667">
            <v>2469</v>
          </cell>
          <cell r="AI1667">
            <v>2892</v>
          </cell>
          <cell r="AJ1667">
            <v>3612</v>
          </cell>
        </row>
        <row r="1668">
          <cell r="E1668" t="str">
            <v>WY Residential Hydrocarbon Gas Liquids</v>
          </cell>
          <cell r="F1668">
            <v>1536</v>
          </cell>
          <cell r="G1668">
            <v>1877</v>
          </cell>
          <cell r="H1668">
            <v>1597</v>
          </cell>
          <cell r="I1668">
            <v>1427</v>
          </cell>
          <cell r="J1668">
            <v>1325</v>
          </cell>
          <cell r="K1668">
            <v>1868</v>
          </cell>
          <cell r="L1668">
            <v>1446</v>
          </cell>
          <cell r="M1668">
            <v>375</v>
          </cell>
          <cell r="N1668">
            <v>201</v>
          </cell>
          <cell r="O1668">
            <v>753</v>
          </cell>
          <cell r="P1668">
            <v>1599</v>
          </cell>
          <cell r="Q1668">
            <v>2236</v>
          </cell>
          <cell r="R1668">
            <v>2200</v>
          </cell>
          <cell r="S1668">
            <v>2030</v>
          </cell>
          <cell r="T1668">
            <v>2103</v>
          </cell>
          <cell r="U1668">
            <v>2320</v>
          </cell>
          <cell r="V1668">
            <v>2092</v>
          </cell>
          <cell r="W1668">
            <v>3613</v>
          </cell>
          <cell r="X1668">
            <v>3585</v>
          </cell>
          <cell r="Y1668">
            <v>3944</v>
          </cell>
          <cell r="Z1668">
            <v>3339</v>
          </cell>
          <cell r="AA1668">
            <v>3597</v>
          </cell>
          <cell r="AB1668">
            <v>2651</v>
          </cell>
          <cell r="AC1668">
            <v>2870</v>
          </cell>
          <cell r="AD1668">
            <v>3067</v>
          </cell>
          <cell r="AE1668">
            <v>2176</v>
          </cell>
          <cell r="AF1668">
            <v>2597</v>
          </cell>
          <cell r="AG1668">
            <v>3505</v>
          </cell>
          <cell r="AH1668">
            <v>3275</v>
          </cell>
          <cell r="AI1668">
            <v>3513</v>
          </cell>
          <cell r="AJ1668">
            <v>2994</v>
          </cell>
        </row>
        <row r="1669">
          <cell r="E1669" t="str">
            <v>AK Transportation Lubricants</v>
          </cell>
          <cell r="F1669">
            <v>585</v>
          </cell>
          <cell r="G1669">
            <v>523</v>
          </cell>
          <cell r="H1669">
            <v>533</v>
          </cell>
          <cell r="I1669">
            <v>543</v>
          </cell>
          <cell r="J1669">
            <v>567</v>
          </cell>
          <cell r="K1669">
            <v>558</v>
          </cell>
          <cell r="L1669">
            <v>541</v>
          </cell>
          <cell r="M1669">
            <v>572</v>
          </cell>
          <cell r="N1669">
            <v>599</v>
          </cell>
          <cell r="O1669">
            <v>605</v>
          </cell>
          <cell r="P1669">
            <v>596</v>
          </cell>
          <cell r="Q1669">
            <v>546</v>
          </cell>
          <cell r="R1669">
            <v>539</v>
          </cell>
          <cell r="S1669">
            <v>499</v>
          </cell>
          <cell r="T1669">
            <v>505</v>
          </cell>
          <cell r="U1669">
            <v>503</v>
          </cell>
          <cell r="V1669">
            <v>490</v>
          </cell>
          <cell r="W1669">
            <v>506</v>
          </cell>
          <cell r="X1669">
            <v>469</v>
          </cell>
          <cell r="Y1669">
            <v>422</v>
          </cell>
          <cell r="Z1669">
            <v>616</v>
          </cell>
          <cell r="AA1669">
            <v>607</v>
          </cell>
          <cell r="AB1669">
            <v>480</v>
          </cell>
          <cell r="AC1669">
            <v>464</v>
          </cell>
          <cell r="AD1669">
            <v>511</v>
          </cell>
          <cell r="AE1669">
            <v>562</v>
          </cell>
          <cell r="AF1669">
            <v>473</v>
          </cell>
          <cell r="AG1669">
            <v>465</v>
          </cell>
          <cell r="AH1669">
            <v>493</v>
          </cell>
          <cell r="AI1669">
            <v>543</v>
          </cell>
          <cell r="AJ1669">
            <v>507</v>
          </cell>
        </row>
        <row r="1670">
          <cell r="E1670" t="str">
            <v>AL Transportation Lubricants</v>
          </cell>
          <cell r="F1670">
            <v>3017</v>
          </cell>
          <cell r="G1670">
            <v>2699</v>
          </cell>
          <cell r="H1670">
            <v>2752</v>
          </cell>
          <cell r="I1670">
            <v>2802</v>
          </cell>
          <cell r="J1670">
            <v>2929</v>
          </cell>
          <cell r="K1670">
            <v>2879</v>
          </cell>
          <cell r="L1670">
            <v>2794</v>
          </cell>
          <cell r="M1670">
            <v>2951</v>
          </cell>
          <cell r="N1670">
            <v>3089</v>
          </cell>
          <cell r="O1670">
            <v>3122</v>
          </cell>
          <cell r="P1670">
            <v>3075</v>
          </cell>
          <cell r="Q1670">
            <v>2817</v>
          </cell>
          <cell r="R1670">
            <v>2784</v>
          </cell>
          <cell r="S1670">
            <v>2574</v>
          </cell>
          <cell r="T1670">
            <v>2607</v>
          </cell>
          <cell r="U1670">
            <v>2594</v>
          </cell>
          <cell r="V1670">
            <v>2527</v>
          </cell>
          <cell r="W1670">
            <v>2610</v>
          </cell>
          <cell r="X1670">
            <v>2423</v>
          </cell>
          <cell r="Y1670">
            <v>2178</v>
          </cell>
          <cell r="Z1670">
            <v>2972</v>
          </cell>
          <cell r="AA1670">
            <v>2874</v>
          </cell>
          <cell r="AB1670">
            <v>2619</v>
          </cell>
          <cell r="AC1670">
            <v>2733</v>
          </cell>
          <cell r="AD1670">
            <v>2823</v>
          </cell>
          <cell r="AE1670">
            <v>3150</v>
          </cell>
          <cell r="AF1670">
            <v>3188</v>
          </cell>
          <cell r="AG1670">
            <v>2872</v>
          </cell>
          <cell r="AH1670">
            <v>2591</v>
          </cell>
          <cell r="AI1670">
            <v>2554</v>
          </cell>
          <cell r="AJ1670">
            <v>2481</v>
          </cell>
        </row>
        <row r="1671">
          <cell r="E1671" t="str">
            <v>AR Transportation Lubricants</v>
          </cell>
          <cell r="F1671">
            <v>2683</v>
          </cell>
          <cell r="G1671">
            <v>2400</v>
          </cell>
          <cell r="H1671">
            <v>2447</v>
          </cell>
          <cell r="I1671">
            <v>2492</v>
          </cell>
          <cell r="J1671">
            <v>2605</v>
          </cell>
          <cell r="K1671">
            <v>2560</v>
          </cell>
          <cell r="L1671">
            <v>2484</v>
          </cell>
          <cell r="M1671">
            <v>2624</v>
          </cell>
          <cell r="N1671">
            <v>2747</v>
          </cell>
          <cell r="O1671">
            <v>2776</v>
          </cell>
          <cell r="P1671">
            <v>2735</v>
          </cell>
          <cell r="Q1671">
            <v>2505</v>
          </cell>
          <cell r="R1671">
            <v>2476</v>
          </cell>
          <cell r="S1671">
            <v>2289</v>
          </cell>
          <cell r="T1671">
            <v>2319</v>
          </cell>
          <cell r="U1671">
            <v>2307</v>
          </cell>
          <cell r="V1671">
            <v>2247</v>
          </cell>
          <cell r="W1671">
            <v>2321</v>
          </cell>
          <cell r="X1671">
            <v>2155</v>
          </cell>
          <cell r="Y1671">
            <v>1937</v>
          </cell>
          <cell r="Z1671">
            <v>2019</v>
          </cell>
          <cell r="AA1671">
            <v>1911</v>
          </cell>
          <cell r="AB1671">
            <v>1701</v>
          </cell>
          <cell r="AC1671">
            <v>1745</v>
          </cell>
          <cell r="AD1671">
            <v>1789</v>
          </cell>
          <cell r="AE1671">
            <v>1945</v>
          </cell>
          <cell r="AF1671">
            <v>1871</v>
          </cell>
          <cell r="AG1671">
            <v>1740</v>
          </cell>
          <cell r="AH1671">
            <v>1672</v>
          </cell>
          <cell r="AI1671">
            <v>1600</v>
          </cell>
          <cell r="AJ1671">
            <v>1484</v>
          </cell>
        </row>
        <row r="1672">
          <cell r="E1672" t="str">
            <v>AZ Transportation Lubricants</v>
          </cell>
          <cell r="F1672">
            <v>2154</v>
          </cell>
          <cell r="G1672">
            <v>1927</v>
          </cell>
          <cell r="H1672">
            <v>1965</v>
          </cell>
          <cell r="I1672">
            <v>2001</v>
          </cell>
          <cell r="J1672">
            <v>2091</v>
          </cell>
          <cell r="K1672">
            <v>2055</v>
          </cell>
          <cell r="L1672">
            <v>1995</v>
          </cell>
          <cell r="M1672">
            <v>2107</v>
          </cell>
          <cell r="N1672">
            <v>2206</v>
          </cell>
          <cell r="O1672">
            <v>2229</v>
          </cell>
          <cell r="P1672">
            <v>2196</v>
          </cell>
          <cell r="Q1672">
            <v>2012</v>
          </cell>
          <cell r="R1672">
            <v>1988</v>
          </cell>
          <cell r="S1672">
            <v>1838</v>
          </cell>
          <cell r="T1672">
            <v>1862</v>
          </cell>
          <cell r="U1672">
            <v>1852</v>
          </cell>
          <cell r="V1672">
            <v>1804</v>
          </cell>
          <cell r="W1672">
            <v>1863</v>
          </cell>
          <cell r="X1672">
            <v>1730</v>
          </cell>
          <cell r="Y1672">
            <v>1555</v>
          </cell>
          <cell r="Z1672">
            <v>2849</v>
          </cell>
          <cell r="AA1672">
            <v>2751</v>
          </cell>
          <cell r="AB1672">
            <v>2494</v>
          </cell>
          <cell r="AC1672">
            <v>2618</v>
          </cell>
          <cell r="AD1672">
            <v>2680</v>
          </cell>
          <cell r="AE1672">
            <v>2968</v>
          </cell>
          <cell r="AF1672">
            <v>2876</v>
          </cell>
          <cell r="AG1672">
            <v>2645</v>
          </cell>
          <cell r="AH1672">
            <v>2594</v>
          </cell>
          <cell r="AI1672">
            <v>2552</v>
          </cell>
          <cell r="AJ1672">
            <v>2324</v>
          </cell>
        </row>
        <row r="1673">
          <cell r="E1673" t="str">
            <v>CA Transportation Lubricants</v>
          </cell>
          <cell r="F1673">
            <v>17413</v>
          </cell>
          <cell r="G1673">
            <v>15578</v>
          </cell>
          <cell r="H1673">
            <v>15882</v>
          </cell>
          <cell r="I1673">
            <v>16172</v>
          </cell>
          <cell r="J1673">
            <v>16903</v>
          </cell>
          <cell r="K1673">
            <v>16613</v>
          </cell>
          <cell r="L1673">
            <v>16123</v>
          </cell>
          <cell r="M1673">
            <v>17032</v>
          </cell>
          <cell r="N1673">
            <v>17830</v>
          </cell>
          <cell r="O1673">
            <v>18016</v>
          </cell>
          <cell r="P1673">
            <v>17746</v>
          </cell>
          <cell r="Q1673">
            <v>16259</v>
          </cell>
          <cell r="R1673">
            <v>16067</v>
          </cell>
          <cell r="S1673">
            <v>14854</v>
          </cell>
          <cell r="T1673">
            <v>15048</v>
          </cell>
          <cell r="U1673">
            <v>14970</v>
          </cell>
          <cell r="V1673">
            <v>14585</v>
          </cell>
          <cell r="W1673">
            <v>15061</v>
          </cell>
          <cell r="X1673">
            <v>13983</v>
          </cell>
          <cell r="Y1673">
            <v>12571</v>
          </cell>
          <cell r="Z1673">
            <v>15459</v>
          </cell>
          <cell r="AA1673">
            <v>14481</v>
          </cell>
          <cell r="AB1673">
            <v>13215</v>
          </cell>
          <cell r="AC1673">
            <v>13807</v>
          </cell>
          <cell r="AD1673">
            <v>14134</v>
          </cell>
          <cell r="AE1673">
            <v>15591</v>
          </cell>
          <cell r="AF1673">
            <v>14771</v>
          </cell>
          <cell r="AG1673">
            <v>13737</v>
          </cell>
          <cell r="AH1673">
            <v>13241</v>
          </cell>
          <cell r="AI1673">
            <v>12769</v>
          </cell>
          <cell r="AJ1673">
            <v>10558</v>
          </cell>
        </row>
        <row r="1674">
          <cell r="E1674" t="str">
            <v>CO Transportation Lubricants</v>
          </cell>
          <cell r="F1674">
            <v>2499</v>
          </cell>
          <cell r="G1674">
            <v>2236</v>
          </cell>
          <cell r="H1674">
            <v>2280</v>
          </cell>
          <cell r="I1674">
            <v>2321</v>
          </cell>
          <cell r="J1674">
            <v>2426</v>
          </cell>
          <cell r="K1674">
            <v>2385</v>
          </cell>
          <cell r="L1674">
            <v>2314</v>
          </cell>
          <cell r="M1674">
            <v>2445</v>
          </cell>
          <cell r="N1674">
            <v>2559</v>
          </cell>
          <cell r="O1674">
            <v>2586</v>
          </cell>
          <cell r="P1674">
            <v>2547</v>
          </cell>
          <cell r="Q1674">
            <v>2334</v>
          </cell>
          <cell r="R1674">
            <v>2306</v>
          </cell>
          <cell r="S1674">
            <v>2132</v>
          </cell>
          <cell r="T1674">
            <v>2160</v>
          </cell>
          <cell r="U1674">
            <v>2149</v>
          </cell>
          <cell r="V1674">
            <v>2094</v>
          </cell>
          <cell r="W1674">
            <v>2162</v>
          </cell>
          <cell r="X1674">
            <v>2007</v>
          </cell>
          <cell r="Y1674">
            <v>1805</v>
          </cell>
          <cell r="Z1674">
            <v>2231</v>
          </cell>
          <cell r="AA1674">
            <v>2103</v>
          </cell>
          <cell r="AB1674">
            <v>1961</v>
          </cell>
          <cell r="AC1674">
            <v>2033</v>
          </cell>
          <cell r="AD1674">
            <v>2158</v>
          </cell>
          <cell r="AE1674">
            <v>2317</v>
          </cell>
          <cell r="AF1674">
            <v>2194</v>
          </cell>
          <cell r="AG1674">
            <v>2018</v>
          </cell>
          <cell r="AH1674">
            <v>1981</v>
          </cell>
          <cell r="AI1674">
            <v>1920</v>
          </cell>
          <cell r="AJ1674">
            <v>1684</v>
          </cell>
        </row>
        <row r="1675">
          <cell r="E1675" t="str">
            <v>CT Transportation Lubricants</v>
          </cell>
          <cell r="F1675">
            <v>1536</v>
          </cell>
          <cell r="G1675">
            <v>1375</v>
          </cell>
          <cell r="H1675">
            <v>1401</v>
          </cell>
          <cell r="I1675">
            <v>1427</v>
          </cell>
          <cell r="J1675">
            <v>1491</v>
          </cell>
          <cell r="K1675">
            <v>1466</v>
          </cell>
          <cell r="L1675">
            <v>1423</v>
          </cell>
          <cell r="M1675">
            <v>1503</v>
          </cell>
          <cell r="N1675">
            <v>1573</v>
          </cell>
          <cell r="O1675">
            <v>1590</v>
          </cell>
          <cell r="P1675">
            <v>1566</v>
          </cell>
          <cell r="Q1675">
            <v>1435</v>
          </cell>
          <cell r="R1675">
            <v>1418</v>
          </cell>
          <cell r="S1675">
            <v>1311</v>
          </cell>
          <cell r="T1675">
            <v>1328</v>
          </cell>
          <cell r="U1675">
            <v>1321</v>
          </cell>
          <cell r="V1675">
            <v>1287</v>
          </cell>
          <cell r="W1675">
            <v>1329</v>
          </cell>
          <cell r="X1675">
            <v>1234</v>
          </cell>
          <cell r="Y1675">
            <v>1109</v>
          </cell>
          <cell r="Z1675">
            <v>1341</v>
          </cell>
          <cell r="AA1675">
            <v>1283</v>
          </cell>
          <cell r="AB1675">
            <v>1159</v>
          </cell>
          <cell r="AC1675">
            <v>1203</v>
          </cell>
          <cell r="AD1675">
            <v>1225</v>
          </cell>
          <cell r="AE1675">
            <v>1339</v>
          </cell>
          <cell r="AF1675">
            <v>1261</v>
          </cell>
          <cell r="AG1675">
            <v>1150</v>
          </cell>
          <cell r="AH1675">
            <v>1114</v>
          </cell>
          <cell r="AI1675">
            <v>1060</v>
          </cell>
          <cell r="AJ1675">
            <v>906</v>
          </cell>
        </row>
        <row r="1676">
          <cell r="E1676" t="str">
            <v>DC Transportation Lubricants</v>
          </cell>
          <cell r="F1676">
            <v>334</v>
          </cell>
          <cell r="G1676">
            <v>299</v>
          </cell>
          <cell r="H1676">
            <v>305</v>
          </cell>
          <cell r="I1676">
            <v>310</v>
          </cell>
          <cell r="J1676">
            <v>324</v>
          </cell>
          <cell r="K1676">
            <v>319</v>
          </cell>
          <cell r="L1676">
            <v>309</v>
          </cell>
          <cell r="M1676">
            <v>327</v>
          </cell>
          <cell r="N1676">
            <v>342</v>
          </cell>
          <cell r="O1676">
            <v>346</v>
          </cell>
          <cell r="P1676">
            <v>340</v>
          </cell>
          <cell r="Q1676">
            <v>312</v>
          </cell>
          <cell r="R1676">
            <v>308</v>
          </cell>
          <cell r="S1676">
            <v>285</v>
          </cell>
          <cell r="T1676">
            <v>289</v>
          </cell>
          <cell r="U1676">
            <v>287</v>
          </cell>
          <cell r="V1676">
            <v>280</v>
          </cell>
          <cell r="W1676">
            <v>289</v>
          </cell>
          <cell r="X1676">
            <v>268</v>
          </cell>
          <cell r="Y1676">
            <v>241</v>
          </cell>
          <cell r="Z1676">
            <v>83</v>
          </cell>
          <cell r="AA1676">
            <v>81</v>
          </cell>
          <cell r="AB1676">
            <v>69</v>
          </cell>
          <cell r="AC1676">
            <v>70</v>
          </cell>
          <cell r="AD1676">
            <v>78</v>
          </cell>
          <cell r="AE1676">
            <v>84</v>
          </cell>
          <cell r="AF1676">
            <v>82</v>
          </cell>
          <cell r="AG1676">
            <v>61</v>
          </cell>
          <cell r="AH1676">
            <v>64</v>
          </cell>
          <cell r="AI1676">
            <v>70</v>
          </cell>
          <cell r="AJ1676">
            <v>56</v>
          </cell>
        </row>
        <row r="1677">
          <cell r="E1677" t="str">
            <v>DE Transportation Lubricants</v>
          </cell>
          <cell r="F1677">
            <v>395</v>
          </cell>
          <cell r="G1677">
            <v>354</v>
          </cell>
          <cell r="H1677">
            <v>360</v>
          </cell>
          <cell r="I1677">
            <v>367</v>
          </cell>
          <cell r="J1677">
            <v>384</v>
          </cell>
          <cell r="K1677">
            <v>377</v>
          </cell>
          <cell r="L1677">
            <v>366</v>
          </cell>
          <cell r="M1677">
            <v>387</v>
          </cell>
          <cell r="N1677">
            <v>405</v>
          </cell>
          <cell r="O1677">
            <v>409</v>
          </cell>
          <cell r="P1677">
            <v>403</v>
          </cell>
          <cell r="Q1677">
            <v>369</v>
          </cell>
          <cell r="R1677">
            <v>365</v>
          </cell>
          <cell r="S1677">
            <v>337</v>
          </cell>
          <cell r="T1677">
            <v>342</v>
          </cell>
          <cell r="U1677">
            <v>340</v>
          </cell>
          <cell r="V1677">
            <v>331</v>
          </cell>
          <cell r="W1677">
            <v>342</v>
          </cell>
          <cell r="X1677">
            <v>317</v>
          </cell>
          <cell r="Y1677">
            <v>285</v>
          </cell>
          <cell r="Z1677">
            <v>369</v>
          </cell>
          <cell r="AA1677">
            <v>336</v>
          </cell>
          <cell r="AB1677">
            <v>321</v>
          </cell>
          <cell r="AC1677">
            <v>327</v>
          </cell>
          <cell r="AD1677">
            <v>343</v>
          </cell>
          <cell r="AE1677">
            <v>386</v>
          </cell>
          <cell r="AF1677">
            <v>380</v>
          </cell>
          <cell r="AG1677">
            <v>356</v>
          </cell>
          <cell r="AH1677">
            <v>359</v>
          </cell>
          <cell r="AI1677">
            <v>360</v>
          </cell>
          <cell r="AJ1677">
            <v>304</v>
          </cell>
        </row>
        <row r="1678">
          <cell r="E1678" t="str">
            <v>FL Transportation Lubricants</v>
          </cell>
          <cell r="F1678">
            <v>4999</v>
          </cell>
          <cell r="G1678">
            <v>4472</v>
          </cell>
          <cell r="H1678">
            <v>4560</v>
          </cell>
          <cell r="I1678">
            <v>4643</v>
          </cell>
          <cell r="J1678">
            <v>4853</v>
          </cell>
          <cell r="K1678">
            <v>4769</v>
          </cell>
          <cell r="L1678">
            <v>4629</v>
          </cell>
          <cell r="M1678">
            <v>4890</v>
          </cell>
          <cell r="N1678">
            <v>5119</v>
          </cell>
          <cell r="O1678">
            <v>5172</v>
          </cell>
          <cell r="P1678">
            <v>5095</v>
          </cell>
          <cell r="Q1678">
            <v>4668</v>
          </cell>
          <cell r="R1678">
            <v>4613</v>
          </cell>
          <cell r="S1678">
            <v>4264</v>
          </cell>
          <cell r="T1678">
            <v>4320</v>
          </cell>
          <cell r="U1678">
            <v>4298</v>
          </cell>
          <cell r="V1678">
            <v>4187</v>
          </cell>
          <cell r="W1678">
            <v>4324</v>
          </cell>
          <cell r="X1678">
            <v>4014</v>
          </cell>
          <cell r="Y1678">
            <v>3609</v>
          </cell>
          <cell r="Z1678">
            <v>7960</v>
          </cell>
          <cell r="AA1678">
            <v>7685</v>
          </cell>
          <cell r="AB1678">
            <v>7013</v>
          </cell>
          <cell r="AC1678">
            <v>7501</v>
          </cell>
          <cell r="AD1678">
            <v>7929</v>
          </cell>
          <cell r="AE1678">
            <v>8678</v>
          </cell>
          <cell r="AF1678">
            <v>8226</v>
          </cell>
          <cell r="AG1678">
            <v>7661</v>
          </cell>
          <cell r="AH1678">
            <v>7854</v>
          </cell>
          <cell r="AI1678">
            <v>7352</v>
          </cell>
          <cell r="AJ1678">
            <v>6212</v>
          </cell>
        </row>
        <row r="1679">
          <cell r="E1679" t="str">
            <v>GA Transportation Lubricants</v>
          </cell>
          <cell r="F1679">
            <v>3836</v>
          </cell>
          <cell r="G1679">
            <v>3431</v>
          </cell>
          <cell r="H1679">
            <v>3498</v>
          </cell>
          <cell r="I1679">
            <v>3562</v>
          </cell>
          <cell r="J1679">
            <v>3723</v>
          </cell>
          <cell r="K1679">
            <v>3659</v>
          </cell>
          <cell r="L1679">
            <v>3551</v>
          </cell>
          <cell r="M1679">
            <v>3752</v>
          </cell>
          <cell r="N1679">
            <v>3927</v>
          </cell>
          <cell r="O1679">
            <v>3968</v>
          </cell>
          <cell r="P1679">
            <v>3909</v>
          </cell>
          <cell r="Q1679">
            <v>3581</v>
          </cell>
          <cell r="R1679">
            <v>3539</v>
          </cell>
          <cell r="S1679">
            <v>3272</v>
          </cell>
          <cell r="T1679">
            <v>3315</v>
          </cell>
          <cell r="U1679">
            <v>3297</v>
          </cell>
          <cell r="V1679">
            <v>3213</v>
          </cell>
          <cell r="W1679">
            <v>3318</v>
          </cell>
          <cell r="X1679">
            <v>3080</v>
          </cell>
          <cell r="Y1679">
            <v>2769</v>
          </cell>
          <cell r="Z1679">
            <v>5550</v>
          </cell>
          <cell r="AA1679">
            <v>5268</v>
          </cell>
          <cell r="AB1679">
            <v>4538</v>
          </cell>
          <cell r="AC1679">
            <v>4895</v>
          </cell>
          <cell r="AD1679">
            <v>4812</v>
          </cell>
          <cell r="AE1679">
            <v>5491</v>
          </cell>
          <cell r="AF1679">
            <v>4833</v>
          </cell>
          <cell r="AG1679">
            <v>4823</v>
          </cell>
          <cell r="AH1679">
            <v>4254</v>
          </cell>
          <cell r="AI1679">
            <v>4102</v>
          </cell>
          <cell r="AJ1679">
            <v>3862</v>
          </cell>
        </row>
        <row r="1680">
          <cell r="E1680" t="str">
            <v>HI Transportation Lubricants</v>
          </cell>
          <cell r="F1680">
            <v>462</v>
          </cell>
          <cell r="G1680">
            <v>413</v>
          </cell>
          <cell r="H1680">
            <v>421</v>
          </cell>
          <cell r="I1680">
            <v>429</v>
          </cell>
          <cell r="J1680">
            <v>449</v>
          </cell>
          <cell r="K1680">
            <v>441</v>
          </cell>
          <cell r="L1680">
            <v>428</v>
          </cell>
          <cell r="M1680">
            <v>452</v>
          </cell>
          <cell r="N1680">
            <v>473</v>
          </cell>
          <cell r="O1680">
            <v>478</v>
          </cell>
          <cell r="P1680">
            <v>471</v>
          </cell>
          <cell r="Q1680">
            <v>431</v>
          </cell>
          <cell r="R1680">
            <v>426</v>
          </cell>
          <cell r="S1680">
            <v>394</v>
          </cell>
          <cell r="T1680">
            <v>399</v>
          </cell>
          <cell r="U1680">
            <v>397</v>
          </cell>
          <cell r="V1680">
            <v>387</v>
          </cell>
          <cell r="W1680">
            <v>400</v>
          </cell>
          <cell r="X1680">
            <v>371</v>
          </cell>
          <cell r="Y1680">
            <v>334</v>
          </cell>
          <cell r="Z1680">
            <v>464</v>
          </cell>
          <cell r="AA1680">
            <v>510</v>
          </cell>
          <cell r="AB1680">
            <v>453</v>
          </cell>
          <cell r="AC1680">
            <v>477</v>
          </cell>
          <cell r="AD1680">
            <v>425</v>
          </cell>
          <cell r="AE1680">
            <v>454</v>
          </cell>
          <cell r="AF1680">
            <v>420</v>
          </cell>
          <cell r="AG1680">
            <v>392</v>
          </cell>
          <cell r="AH1680">
            <v>379</v>
          </cell>
          <cell r="AI1680">
            <v>376</v>
          </cell>
          <cell r="AJ1680">
            <v>289</v>
          </cell>
        </row>
        <row r="1681">
          <cell r="E1681" t="str">
            <v>IA Transportation Lubricants</v>
          </cell>
          <cell r="F1681">
            <v>3240</v>
          </cell>
          <cell r="G1681">
            <v>2898</v>
          </cell>
          <cell r="H1681">
            <v>2955</v>
          </cell>
          <cell r="I1681">
            <v>3009</v>
          </cell>
          <cell r="J1681">
            <v>3145</v>
          </cell>
          <cell r="K1681">
            <v>3091</v>
          </cell>
          <cell r="L1681">
            <v>3000</v>
          </cell>
          <cell r="M1681">
            <v>3169</v>
          </cell>
          <cell r="N1681">
            <v>3317</v>
          </cell>
          <cell r="O1681">
            <v>3352</v>
          </cell>
          <cell r="P1681">
            <v>3302</v>
          </cell>
          <cell r="Q1681">
            <v>3025</v>
          </cell>
          <cell r="R1681">
            <v>2989</v>
          </cell>
          <cell r="S1681">
            <v>2764</v>
          </cell>
          <cell r="T1681">
            <v>2800</v>
          </cell>
          <cell r="U1681">
            <v>2785</v>
          </cell>
          <cell r="V1681">
            <v>2714</v>
          </cell>
          <cell r="W1681">
            <v>2802</v>
          </cell>
          <cell r="X1681">
            <v>2602</v>
          </cell>
          <cell r="Y1681">
            <v>2339</v>
          </cell>
          <cell r="Z1681">
            <v>2094</v>
          </cell>
          <cell r="AA1681">
            <v>2027</v>
          </cell>
          <cell r="AB1681">
            <v>1805</v>
          </cell>
          <cell r="AC1681">
            <v>1896</v>
          </cell>
          <cell r="AD1681">
            <v>1991</v>
          </cell>
          <cell r="AE1681">
            <v>2110</v>
          </cell>
          <cell r="AF1681">
            <v>2077</v>
          </cell>
          <cell r="AG1681">
            <v>1834</v>
          </cell>
          <cell r="AH1681">
            <v>1742</v>
          </cell>
          <cell r="AI1681">
            <v>1681</v>
          </cell>
          <cell r="AJ1681">
            <v>1544</v>
          </cell>
        </row>
        <row r="1682">
          <cell r="E1682" t="str">
            <v>ID Transportation Lubricants</v>
          </cell>
          <cell r="F1682">
            <v>857</v>
          </cell>
          <cell r="G1682">
            <v>767</v>
          </cell>
          <cell r="H1682">
            <v>782</v>
          </cell>
          <cell r="I1682">
            <v>796</v>
          </cell>
          <cell r="J1682">
            <v>832</v>
          </cell>
          <cell r="K1682">
            <v>818</v>
          </cell>
          <cell r="L1682">
            <v>794</v>
          </cell>
          <cell r="M1682">
            <v>839</v>
          </cell>
          <cell r="N1682">
            <v>878</v>
          </cell>
          <cell r="O1682">
            <v>887</v>
          </cell>
          <cell r="P1682">
            <v>874</v>
          </cell>
          <cell r="Q1682">
            <v>800</v>
          </cell>
          <cell r="R1682">
            <v>791</v>
          </cell>
          <cell r="S1682">
            <v>731</v>
          </cell>
          <cell r="T1682">
            <v>741</v>
          </cell>
          <cell r="U1682">
            <v>737</v>
          </cell>
          <cell r="V1682">
            <v>718</v>
          </cell>
          <cell r="W1682">
            <v>742</v>
          </cell>
          <cell r="X1682">
            <v>688</v>
          </cell>
          <cell r="Y1682">
            <v>619</v>
          </cell>
          <cell r="Z1682">
            <v>877</v>
          </cell>
          <cell r="AA1682">
            <v>830</v>
          </cell>
          <cell r="AB1682">
            <v>770</v>
          </cell>
          <cell r="AC1682">
            <v>821</v>
          </cell>
          <cell r="AD1682">
            <v>854</v>
          </cell>
          <cell r="AE1682">
            <v>1029</v>
          </cell>
          <cell r="AF1682">
            <v>1008</v>
          </cell>
          <cell r="AG1682">
            <v>925</v>
          </cell>
          <cell r="AH1682">
            <v>896</v>
          </cell>
          <cell r="AI1682">
            <v>887</v>
          </cell>
          <cell r="AJ1682">
            <v>837</v>
          </cell>
        </row>
        <row r="1683">
          <cell r="E1683" t="str">
            <v>IL Transportation Lubricants</v>
          </cell>
          <cell r="F1683">
            <v>9402</v>
          </cell>
          <cell r="G1683">
            <v>8411</v>
          </cell>
          <cell r="H1683">
            <v>8576</v>
          </cell>
          <cell r="I1683">
            <v>8732</v>
          </cell>
          <cell r="J1683">
            <v>9127</v>
          </cell>
          <cell r="K1683">
            <v>8970</v>
          </cell>
          <cell r="L1683">
            <v>8706</v>
          </cell>
          <cell r="M1683">
            <v>9196</v>
          </cell>
          <cell r="N1683">
            <v>9627</v>
          </cell>
          <cell r="O1683">
            <v>9728</v>
          </cell>
          <cell r="P1683">
            <v>9582</v>
          </cell>
          <cell r="Q1683">
            <v>8779</v>
          </cell>
          <cell r="R1683">
            <v>8676</v>
          </cell>
          <cell r="S1683">
            <v>8020</v>
          </cell>
          <cell r="T1683">
            <v>8125</v>
          </cell>
          <cell r="U1683">
            <v>8083</v>
          </cell>
          <cell r="V1683">
            <v>7875</v>
          </cell>
          <cell r="W1683">
            <v>8133</v>
          </cell>
          <cell r="X1683">
            <v>7550</v>
          </cell>
          <cell r="Y1683">
            <v>6788</v>
          </cell>
          <cell r="Z1683">
            <v>5336</v>
          </cell>
          <cell r="AA1683">
            <v>5207</v>
          </cell>
          <cell r="AB1683">
            <v>4631</v>
          </cell>
          <cell r="AC1683">
            <v>4919</v>
          </cell>
          <cell r="AD1683">
            <v>5123</v>
          </cell>
          <cell r="AE1683">
            <v>5889</v>
          </cell>
          <cell r="AF1683">
            <v>5413</v>
          </cell>
          <cell r="AG1683">
            <v>5032</v>
          </cell>
          <cell r="AH1683">
            <v>4763</v>
          </cell>
          <cell r="AI1683">
            <v>4326</v>
          </cell>
          <cell r="AJ1683">
            <v>3755</v>
          </cell>
        </row>
        <row r="1684">
          <cell r="E1684" t="str">
            <v>IN Transportation Lubricants</v>
          </cell>
          <cell r="F1684">
            <v>4298</v>
          </cell>
          <cell r="G1684">
            <v>3845</v>
          </cell>
          <cell r="H1684">
            <v>3920</v>
          </cell>
          <cell r="I1684">
            <v>3991</v>
          </cell>
          <cell r="J1684">
            <v>4172</v>
          </cell>
          <cell r="K1684">
            <v>4100</v>
          </cell>
          <cell r="L1684">
            <v>3979</v>
          </cell>
          <cell r="M1684">
            <v>4203</v>
          </cell>
          <cell r="N1684">
            <v>4400</v>
          </cell>
          <cell r="O1684">
            <v>4446</v>
          </cell>
          <cell r="P1684">
            <v>4380</v>
          </cell>
          <cell r="Q1684">
            <v>4013</v>
          </cell>
          <cell r="R1684">
            <v>3965</v>
          </cell>
          <cell r="S1684">
            <v>3666</v>
          </cell>
          <cell r="T1684">
            <v>3714</v>
          </cell>
          <cell r="U1684">
            <v>3695</v>
          </cell>
          <cell r="V1684">
            <v>3600</v>
          </cell>
          <cell r="W1684">
            <v>3717</v>
          </cell>
          <cell r="X1684">
            <v>3451</v>
          </cell>
          <cell r="Y1684">
            <v>3103</v>
          </cell>
          <cell r="Z1684">
            <v>4028</v>
          </cell>
          <cell r="AA1684">
            <v>3846</v>
          </cell>
          <cell r="AB1684">
            <v>3529</v>
          </cell>
          <cell r="AC1684">
            <v>3810</v>
          </cell>
          <cell r="AD1684">
            <v>3965</v>
          </cell>
          <cell r="AE1684">
            <v>4276</v>
          </cell>
          <cell r="AF1684">
            <v>3952</v>
          </cell>
          <cell r="AG1684">
            <v>3457</v>
          </cell>
          <cell r="AH1684">
            <v>3219</v>
          </cell>
          <cell r="AI1684">
            <v>3072</v>
          </cell>
          <cell r="AJ1684">
            <v>2796</v>
          </cell>
        </row>
        <row r="1685">
          <cell r="E1685" t="str">
            <v>KS Transportation Lubricants</v>
          </cell>
          <cell r="F1685">
            <v>3746</v>
          </cell>
          <cell r="G1685">
            <v>3352</v>
          </cell>
          <cell r="H1685">
            <v>3417</v>
          </cell>
          <cell r="I1685">
            <v>3479</v>
          </cell>
          <cell r="J1685">
            <v>3637</v>
          </cell>
          <cell r="K1685">
            <v>3574</v>
          </cell>
          <cell r="L1685">
            <v>3469</v>
          </cell>
          <cell r="M1685">
            <v>3664</v>
          </cell>
          <cell r="N1685">
            <v>3836</v>
          </cell>
          <cell r="O1685">
            <v>3876</v>
          </cell>
          <cell r="P1685">
            <v>3818</v>
          </cell>
          <cell r="Q1685">
            <v>3498</v>
          </cell>
          <cell r="R1685">
            <v>3457</v>
          </cell>
          <cell r="S1685">
            <v>3196</v>
          </cell>
          <cell r="T1685">
            <v>3238</v>
          </cell>
          <cell r="U1685">
            <v>3221</v>
          </cell>
          <cell r="V1685">
            <v>3138</v>
          </cell>
          <cell r="W1685">
            <v>3241</v>
          </cell>
          <cell r="X1685">
            <v>3008</v>
          </cell>
          <cell r="Y1685">
            <v>2705</v>
          </cell>
          <cell r="Z1685">
            <v>1697</v>
          </cell>
          <cell r="AA1685">
            <v>1592</v>
          </cell>
          <cell r="AB1685">
            <v>1490</v>
          </cell>
          <cell r="AC1685">
            <v>1672</v>
          </cell>
          <cell r="AD1685">
            <v>1795</v>
          </cell>
          <cell r="AE1685">
            <v>1849</v>
          </cell>
          <cell r="AF1685">
            <v>1664</v>
          </cell>
          <cell r="AG1685">
            <v>1478</v>
          </cell>
          <cell r="AH1685">
            <v>1450</v>
          </cell>
          <cell r="AI1685">
            <v>1448</v>
          </cell>
          <cell r="AJ1685">
            <v>1313</v>
          </cell>
        </row>
        <row r="1686">
          <cell r="E1686" t="str">
            <v>KY Transportation Lubricants</v>
          </cell>
          <cell r="F1686">
            <v>3218</v>
          </cell>
          <cell r="G1686">
            <v>2879</v>
          </cell>
          <cell r="H1686">
            <v>2935</v>
          </cell>
          <cell r="I1686">
            <v>2988</v>
          </cell>
          <cell r="J1686">
            <v>3123</v>
          </cell>
          <cell r="K1686">
            <v>3070</v>
          </cell>
          <cell r="L1686">
            <v>2979</v>
          </cell>
          <cell r="M1686">
            <v>3147</v>
          </cell>
          <cell r="N1686">
            <v>3295</v>
          </cell>
          <cell r="O1686">
            <v>3329</v>
          </cell>
          <cell r="P1686">
            <v>3279</v>
          </cell>
          <cell r="Q1686">
            <v>3004</v>
          </cell>
          <cell r="R1686">
            <v>2969</v>
          </cell>
          <cell r="S1686">
            <v>2745</v>
          </cell>
          <cell r="T1686">
            <v>2781</v>
          </cell>
          <cell r="U1686">
            <v>2766</v>
          </cell>
          <cell r="V1686">
            <v>2695</v>
          </cell>
          <cell r="W1686">
            <v>2783</v>
          </cell>
          <cell r="X1686">
            <v>2584</v>
          </cell>
          <cell r="Y1686">
            <v>2323</v>
          </cell>
          <cell r="Z1686">
            <v>2853</v>
          </cell>
          <cell r="AA1686">
            <v>2723</v>
          </cell>
          <cell r="AB1686">
            <v>2453</v>
          </cell>
          <cell r="AC1686">
            <v>2531</v>
          </cell>
          <cell r="AD1686">
            <v>2637</v>
          </cell>
          <cell r="AE1686">
            <v>2845</v>
          </cell>
          <cell r="AF1686">
            <v>2690</v>
          </cell>
          <cell r="AG1686">
            <v>2480</v>
          </cell>
          <cell r="AH1686">
            <v>2416</v>
          </cell>
          <cell r="AI1686">
            <v>2241</v>
          </cell>
          <cell r="AJ1686">
            <v>2036</v>
          </cell>
        </row>
        <row r="1687">
          <cell r="E1687" t="str">
            <v>LA Transportation Lubricants</v>
          </cell>
          <cell r="F1687">
            <v>4476</v>
          </cell>
          <cell r="G1687">
            <v>4004</v>
          </cell>
          <cell r="H1687">
            <v>4082</v>
          </cell>
          <cell r="I1687">
            <v>4157</v>
          </cell>
          <cell r="J1687">
            <v>4345</v>
          </cell>
          <cell r="K1687">
            <v>4270</v>
          </cell>
          <cell r="L1687">
            <v>4144</v>
          </cell>
          <cell r="M1687">
            <v>4378</v>
          </cell>
          <cell r="N1687">
            <v>4583</v>
          </cell>
          <cell r="O1687">
            <v>4631</v>
          </cell>
          <cell r="P1687">
            <v>4561</v>
          </cell>
          <cell r="Q1687">
            <v>4179</v>
          </cell>
          <cell r="R1687">
            <v>4130</v>
          </cell>
          <cell r="S1687">
            <v>3818</v>
          </cell>
          <cell r="T1687">
            <v>3868</v>
          </cell>
          <cell r="U1687">
            <v>3848</v>
          </cell>
          <cell r="V1687">
            <v>3749</v>
          </cell>
          <cell r="W1687">
            <v>3871</v>
          </cell>
          <cell r="X1687">
            <v>3594</v>
          </cell>
          <cell r="Y1687">
            <v>3231</v>
          </cell>
          <cell r="Z1687">
            <v>3950</v>
          </cell>
          <cell r="AA1687">
            <v>4001</v>
          </cell>
          <cell r="AB1687">
            <v>3332</v>
          </cell>
          <cell r="AC1687">
            <v>3592</v>
          </cell>
          <cell r="AD1687">
            <v>3438</v>
          </cell>
          <cell r="AE1687">
            <v>3769</v>
          </cell>
          <cell r="AF1687">
            <v>3425</v>
          </cell>
          <cell r="AG1687">
            <v>3364</v>
          </cell>
          <cell r="AH1687">
            <v>2727</v>
          </cell>
          <cell r="AI1687">
            <v>2779</v>
          </cell>
          <cell r="AJ1687">
            <v>2942</v>
          </cell>
        </row>
        <row r="1688">
          <cell r="E1688" t="str">
            <v>MA Transportation Lubricants</v>
          </cell>
          <cell r="F1688">
            <v>2878</v>
          </cell>
          <cell r="G1688">
            <v>2575</v>
          </cell>
          <cell r="H1688">
            <v>2625</v>
          </cell>
          <cell r="I1688">
            <v>2673</v>
          </cell>
          <cell r="J1688">
            <v>2794</v>
          </cell>
          <cell r="K1688">
            <v>2746</v>
          </cell>
          <cell r="L1688">
            <v>2665</v>
          </cell>
          <cell r="M1688">
            <v>2815</v>
          </cell>
          <cell r="N1688">
            <v>2947</v>
          </cell>
          <cell r="O1688">
            <v>2978</v>
          </cell>
          <cell r="P1688">
            <v>2933</v>
          </cell>
          <cell r="Q1688">
            <v>2687</v>
          </cell>
          <cell r="R1688">
            <v>2656</v>
          </cell>
          <cell r="S1688">
            <v>2455</v>
          </cell>
          <cell r="T1688">
            <v>2487</v>
          </cell>
          <cell r="U1688">
            <v>2474</v>
          </cell>
          <cell r="V1688">
            <v>2411</v>
          </cell>
          <cell r="W1688">
            <v>2489</v>
          </cell>
          <cell r="X1688">
            <v>2311</v>
          </cell>
          <cell r="Y1688">
            <v>2078</v>
          </cell>
          <cell r="Z1688">
            <v>2376</v>
          </cell>
          <cell r="AA1688">
            <v>2313</v>
          </cell>
          <cell r="AB1688">
            <v>2101</v>
          </cell>
          <cell r="AC1688">
            <v>2392</v>
          </cell>
          <cell r="AD1688">
            <v>2197</v>
          </cell>
          <cell r="AE1688">
            <v>2448</v>
          </cell>
          <cell r="AF1688">
            <v>2316</v>
          </cell>
          <cell r="AG1688">
            <v>2061</v>
          </cell>
          <cell r="AH1688">
            <v>1991</v>
          </cell>
          <cell r="AI1688">
            <v>1875</v>
          </cell>
          <cell r="AJ1688">
            <v>1550</v>
          </cell>
        </row>
        <row r="1689">
          <cell r="E1689" t="str">
            <v>MD Transportation Lubricants</v>
          </cell>
          <cell r="F1689">
            <v>1926</v>
          </cell>
          <cell r="G1689">
            <v>1723</v>
          </cell>
          <cell r="H1689">
            <v>1757</v>
          </cell>
          <cell r="I1689">
            <v>1789</v>
          </cell>
          <cell r="J1689">
            <v>1870</v>
          </cell>
          <cell r="K1689">
            <v>1838</v>
          </cell>
          <cell r="L1689">
            <v>1783</v>
          </cell>
          <cell r="M1689">
            <v>1884</v>
          </cell>
          <cell r="N1689">
            <v>1972</v>
          </cell>
          <cell r="O1689">
            <v>1993</v>
          </cell>
          <cell r="P1689">
            <v>1963</v>
          </cell>
          <cell r="Q1689">
            <v>1798</v>
          </cell>
          <cell r="R1689">
            <v>1777</v>
          </cell>
          <cell r="S1689">
            <v>1643</v>
          </cell>
          <cell r="T1689">
            <v>1665</v>
          </cell>
          <cell r="U1689">
            <v>1656</v>
          </cell>
          <cell r="V1689">
            <v>1613</v>
          </cell>
          <cell r="W1689">
            <v>1666</v>
          </cell>
          <cell r="X1689">
            <v>1547</v>
          </cell>
          <cell r="Y1689">
            <v>1391</v>
          </cell>
          <cell r="Z1689">
            <v>2569</v>
          </cell>
          <cell r="AA1689">
            <v>2380</v>
          </cell>
          <cell r="AB1689">
            <v>2196</v>
          </cell>
          <cell r="AC1689">
            <v>2281</v>
          </cell>
          <cell r="AD1689">
            <v>2333</v>
          </cell>
          <cell r="AE1689">
            <v>2588</v>
          </cell>
          <cell r="AF1689">
            <v>2348</v>
          </cell>
          <cell r="AG1689">
            <v>2135</v>
          </cell>
          <cell r="AH1689">
            <v>2039</v>
          </cell>
          <cell r="AI1689">
            <v>1959</v>
          </cell>
          <cell r="AJ1689">
            <v>1623</v>
          </cell>
        </row>
        <row r="1690">
          <cell r="E1690" t="str">
            <v>ME Transportation Lubricants</v>
          </cell>
          <cell r="F1690">
            <v>818</v>
          </cell>
          <cell r="G1690">
            <v>732</v>
          </cell>
          <cell r="H1690">
            <v>746</v>
          </cell>
          <cell r="I1690">
            <v>760</v>
          </cell>
          <cell r="J1690">
            <v>794</v>
          </cell>
          <cell r="K1690">
            <v>781</v>
          </cell>
          <cell r="L1690">
            <v>758</v>
          </cell>
          <cell r="M1690">
            <v>800</v>
          </cell>
          <cell r="N1690">
            <v>838</v>
          </cell>
          <cell r="O1690">
            <v>847</v>
          </cell>
          <cell r="P1690">
            <v>834</v>
          </cell>
          <cell r="Q1690">
            <v>764</v>
          </cell>
          <cell r="R1690">
            <v>755</v>
          </cell>
          <cell r="S1690">
            <v>698</v>
          </cell>
          <cell r="T1690">
            <v>707</v>
          </cell>
          <cell r="U1690">
            <v>704</v>
          </cell>
          <cell r="V1690">
            <v>685</v>
          </cell>
          <cell r="W1690">
            <v>708</v>
          </cell>
          <cell r="X1690">
            <v>657</v>
          </cell>
          <cell r="Y1690">
            <v>591</v>
          </cell>
          <cell r="Z1690">
            <v>740</v>
          </cell>
          <cell r="AA1690">
            <v>711</v>
          </cell>
          <cell r="AB1690">
            <v>648</v>
          </cell>
          <cell r="AC1690">
            <v>758</v>
          </cell>
          <cell r="AD1690">
            <v>761</v>
          </cell>
          <cell r="AE1690">
            <v>828</v>
          </cell>
          <cell r="AF1690">
            <v>778</v>
          </cell>
          <cell r="AG1690">
            <v>754</v>
          </cell>
          <cell r="AH1690">
            <v>583</v>
          </cell>
          <cell r="AI1690">
            <v>557</v>
          </cell>
          <cell r="AJ1690">
            <v>511</v>
          </cell>
        </row>
        <row r="1691">
          <cell r="E1691" t="str">
            <v>MI Transportation Lubricants</v>
          </cell>
          <cell r="F1691">
            <v>9174</v>
          </cell>
          <cell r="G1691">
            <v>8207</v>
          </cell>
          <cell r="H1691">
            <v>8368</v>
          </cell>
          <cell r="I1691">
            <v>8520</v>
          </cell>
          <cell r="J1691">
            <v>8905</v>
          </cell>
          <cell r="K1691">
            <v>8753</v>
          </cell>
          <cell r="L1691">
            <v>8494</v>
          </cell>
          <cell r="M1691">
            <v>8973</v>
          </cell>
          <cell r="N1691">
            <v>9394</v>
          </cell>
          <cell r="O1691">
            <v>9492</v>
          </cell>
          <cell r="P1691">
            <v>9350</v>
          </cell>
          <cell r="Q1691">
            <v>8566</v>
          </cell>
          <cell r="R1691">
            <v>8465</v>
          </cell>
          <cell r="S1691">
            <v>7826</v>
          </cell>
          <cell r="T1691">
            <v>7928</v>
          </cell>
          <cell r="U1691">
            <v>7887</v>
          </cell>
          <cell r="V1691">
            <v>7684</v>
          </cell>
          <cell r="W1691">
            <v>7935</v>
          </cell>
          <cell r="X1691">
            <v>7367</v>
          </cell>
          <cell r="Y1691">
            <v>6623</v>
          </cell>
          <cell r="Z1691">
            <v>4124</v>
          </cell>
          <cell r="AA1691">
            <v>3941</v>
          </cell>
          <cell r="AB1691">
            <v>3620</v>
          </cell>
          <cell r="AC1691">
            <v>3979</v>
          </cell>
          <cell r="AD1691">
            <v>4033</v>
          </cell>
          <cell r="AE1691">
            <v>4475</v>
          </cell>
          <cell r="AF1691">
            <v>4262</v>
          </cell>
          <cell r="AG1691">
            <v>3775</v>
          </cell>
          <cell r="AH1691">
            <v>3796</v>
          </cell>
          <cell r="AI1691">
            <v>3530</v>
          </cell>
          <cell r="AJ1691">
            <v>3005</v>
          </cell>
        </row>
        <row r="1692">
          <cell r="E1692" t="str">
            <v>MN Transportation Lubricants</v>
          </cell>
          <cell r="F1692">
            <v>4943</v>
          </cell>
          <cell r="G1692">
            <v>4422</v>
          </cell>
          <cell r="H1692">
            <v>4509</v>
          </cell>
          <cell r="I1692">
            <v>4591</v>
          </cell>
          <cell r="J1692">
            <v>4799</v>
          </cell>
          <cell r="K1692">
            <v>4716</v>
          </cell>
          <cell r="L1692">
            <v>4577</v>
          </cell>
          <cell r="M1692">
            <v>4835</v>
          </cell>
          <cell r="N1692">
            <v>5062</v>
          </cell>
          <cell r="O1692">
            <v>5115</v>
          </cell>
          <cell r="P1692">
            <v>5038</v>
          </cell>
          <cell r="Q1692">
            <v>4616</v>
          </cell>
          <cell r="R1692">
            <v>4561</v>
          </cell>
          <cell r="S1692">
            <v>4217</v>
          </cell>
          <cell r="T1692">
            <v>4272</v>
          </cell>
          <cell r="U1692">
            <v>4250</v>
          </cell>
          <cell r="V1692">
            <v>4140</v>
          </cell>
          <cell r="W1692">
            <v>4276</v>
          </cell>
          <cell r="X1692">
            <v>3969</v>
          </cell>
          <cell r="Y1692">
            <v>3569</v>
          </cell>
          <cell r="Z1692">
            <v>2615</v>
          </cell>
          <cell r="AA1692">
            <v>2515</v>
          </cell>
          <cell r="AB1692">
            <v>2394</v>
          </cell>
          <cell r="AC1692">
            <v>2464</v>
          </cell>
          <cell r="AD1692">
            <v>2538</v>
          </cell>
          <cell r="AE1692">
            <v>2742</v>
          </cell>
          <cell r="AF1692">
            <v>2777</v>
          </cell>
          <cell r="AG1692">
            <v>2539</v>
          </cell>
          <cell r="AH1692">
            <v>2457</v>
          </cell>
          <cell r="AI1692">
            <v>2387</v>
          </cell>
          <cell r="AJ1692">
            <v>1955</v>
          </cell>
        </row>
        <row r="1693">
          <cell r="E1693" t="str">
            <v>MO Transportation Lubricants</v>
          </cell>
          <cell r="F1693">
            <v>5789</v>
          </cell>
          <cell r="G1693">
            <v>5179</v>
          </cell>
          <cell r="H1693">
            <v>5280</v>
          </cell>
          <cell r="I1693">
            <v>5377</v>
          </cell>
          <cell r="J1693">
            <v>5620</v>
          </cell>
          <cell r="K1693">
            <v>5523</v>
          </cell>
          <cell r="L1693">
            <v>5360</v>
          </cell>
          <cell r="M1693">
            <v>5663</v>
          </cell>
          <cell r="N1693">
            <v>5928</v>
          </cell>
          <cell r="O1693">
            <v>5990</v>
          </cell>
          <cell r="P1693">
            <v>5900</v>
          </cell>
          <cell r="Q1693">
            <v>5406</v>
          </cell>
          <cell r="R1693">
            <v>5342</v>
          </cell>
          <cell r="S1693">
            <v>4939</v>
          </cell>
          <cell r="T1693">
            <v>5003</v>
          </cell>
          <cell r="U1693">
            <v>4977</v>
          </cell>
          <cell r="V1693">
            <v>4849</v>
          </cell>
          <cell r="W1693">
            <v>5008</v>
          </cell>
          <cell r="X1693">
            <v>4649</v>
          </cell>
          <cell r="Y1693">
            <v>4180</v>
          </cell>
          <cell r="Z1693">
            <v>3696</v>
          </cell>
          <cell r="AA1693">
            <v>3492</v>
          </cell>
          <cell r="AB1693">
            <v>3141</v>
          </cell>
          <cell r="AC1693">
            <v>3281</v>
          </cell>
          <cell r="AD1693">
            <v>3412</v>
          </cell>
          <cell r="AE1693">
            <v>3723</v>
          </cell>
          <cell r="AF1693">
            <v>3542</v>
          </cell>
          <cell r="AG1693">
            <v>3212</v>
          </cell>
          <cell r="AH1693">
            <v>3033</v>
          </cell>
          <cell r="AI1693">
            <v>2930</v>
          </cell>
          <cell r="AJ1693">
            <v>2695</v>
          </cell>
        </row>
        <row r="1694">
          <cell r="E1694" t="str">
            <v>MS Transportation Lubricants</v>
          </cell>
          <cell r="F1694">
            <v>1954</v>
          </cell>
          <cell r="G1694">
            <v>1748</v>
          </cell>
          <cell r="H1694">
            <v>1782</v>
          </cell>
          <cell r="I1694">
            <v>1815</v>
          </cell>
          <cell r="J1694">
            <v>1897</v>
          </cell>
          <cell r="K1694">
            <v>1864</v>
          </cell>
          <cell r="L1694">
            <v>1809</v>
          </cell>
          <cell r="M1694">
            <v>1911</v>
          </cell>
          <cell r="N1694">
            <v>2001</v>
          </cell>
          <cell r="O1694">
            <v>2022</v>
          </cell>
          <cell r="P1694">
            <v>1991</v>
          </cell>
          <cell r="Q1694">
            <v>1824</v>
          </cell>
          <cell r="R1694">
            <v>1803</v>
          </cell>
          <cell r="S1694">
            <v>1667</v>
          </cell>
          <cell r="T1694">
            <v>1689</v>
          </cell>
          <cell r="U1694">
            <v>1680</v>
          </cell>
          <cell r="V1694">
            <v>1637</v>
          </cell>
          <cell r="W1694">
            <v>1690</v>
          </cell>
          <cell r="X1694">
            <v>1569</v>
          </cell>
          <cell r="Y1694">
            <v>1411</v>
          </cell>
          <cell r="Z1694">
            <v>2130</v>
          </cell>
          <cell r="AA1694">
            <v>1985</v>
          </cell>
          <cell r="AB1694">
            <v>1889</v>
          </cell>
          <cell r="AC1694">
            <v>1893</v>
          </cell>
          <cell r="AD1694">
            <v>1963</v>
          </cell>
          <cell r="AE1694">
            <v>2282</v>
          </cell>
          <cell r="AF1694">
            <v>2219</v>
          </cell>
          <cell r="AG1694">
            <v>2002</v>
          </cell>
          <cell r="AH1694">
            <v>1880</v>
          </cell>
          <cell r="AI1694">
            <v>1838</v>
          </cell>
          <cell r="AJ1694">
            <v>1717</v>
          </cell>
        </row>
        <row r="1695">
          <cell r="E1695" t="str">
            <v>MT Transportation Lubricants</v>
          </cell>
          <cell r="F1695">
            <v>1219</v>
          </cell>
          <cell r="G1695">
            <v>1091</v>
          </cell>
          <cell r="H1695">
            <v>1112</v>
          </cell>
          <cell r="I1695">
            <v>1132</v>
          </cell>
          <cell r="J1695">
            <v>1183</v>
          </cell>
          <cell r="K1695">
            <v>1163</v>
          </cell>
          <cell r="L1695">
            <v>1129</v>
          </cell>
          <cell r="M1695">
            <v>1192</v>
          </cell>
          <cell r="N1695">
            <v>1248</v>
          </cell>
          <cell r="O1695">
            <v>1261</v>
          </cell>
          <cell r="P1695">
            <v>1242</v>
          </cell>
          <cell r="Q1695">
            <v>1138</v>
          </cell>
          <cell r="R1695">
            <v>1125</v>
          </cell>
          <cell r="S1695">
            <v>1040</v>
          </cell>
          <cell r="T1695">
            <v>1054</v>
          </cell>
          <cell r="U1695">
            <v>1048</v>
          </cell>
          <cell r="V1695">
            <v>1021</v>
          </cell>
          <cell r="W1695">
            <v>1054</v>
          </cell>
          <cell r="X1695">
            <v>979</v>
          </cell>
          <cell r="Y1695">
            <v>880</v>
          </cell>
          <cell r="Z1695">
            <v>785</v>
          </cell>
          <cell r="AA1695">
            <v>767</v>
          </cell>
          <cell r="AB1695">
            <v>696</v>
          </cell>
          <cell r="AC1695">
            <v>744</v>
          </cell>
          <cell r="AD1695">
            <v>738</v>
          </cell>
          <cell r="AE1695">
            <v>783</v>
          </cell>
          <cell r="AF1695">
            <v>753</v>
          </cell>
          <cell r="AG1695">
            <v>701</v>
          </cell>
          <cell r="AH1695">
            <v>664</v>
          </cell>
          <cell r="AI1695">
            <v>637</v>
          </cell>
          <cell r="AJ1695">
            <v>633</v>
          </cell>
        </row>
        <row r="1696">
          <cell r="E1696" t="str">
            <v>NC Transportation Lubricants</v>
          </cell>
          <cell r="F1696">
            <v>3941</v>
          </cell>
          <cell r="G1696">
            <v>3526</v>
          </cell>
          <cell r="H1696">
            <v>3595</v>
          </cell>
          <cell r="I1696">
            <v>3660</v>
          </cell>
          <cell r="J1696">
            <v>3826</v>
          </cell>
          <cell r="K1696">
            <v>3760</v>
          </cell>
          <cell r="L1696">
            <v>3649</v>
          </cell>
          <cell r="M1696">
            <v>3855</v>
          </cell>
          <cell r="N1696">
            <v>4036</v>
          </cell>
          <cell r="O1696">
            <v>4078</v>
          </cell>
          <cell r="P1696">
            <v>4017</v>
          </cell>
          <cell r="Q1696">
            <v>3680</v>
          </cell>
          <cell r="R1696">
            <v>3637</v>
          </cell>
          <cell r="S1696">
            <v>3362</v>
          </cell>
          <cell r="T1696">
            <v>3406</v>
          </cell>
          <cell r="U1696">
            <v>3388</v>
          </cell>
          <cell r="V1696">
            <v>3301</v>
          </cell>
          <cell r="W1696">
            <v>3409</v>
          </cell>
          <cell r="X1696">
            <v>3165</v>
          </cell>
          <cell r="Y1696">
            <v>2845</v>
          </cell>
          <cell r="Z1696">
            <v>4325</v>
          </cell>
          <cell r="AA1696">
            <v>4093</v>
          </cell>
          <cell r="AB1696">
            <v>3653</v>
          </cell>
          <cell r="AC1696">
            <v>3903</v>
          </cell>
          <cell r="AD1696">
            <v>4064</v>
          </cell>
          <cell r="AE1696">
            <v>4501</v>
          </cell>
          <cell r="AF1696">
            <v>4335</v>
          </cell>
          <cell r="AG1696">
            <v>4004</v>
          </cell>
          <cell r="AH1696">
            <v>3889</v>
          </cell>
          <cell r="AI1696">
            <v>3778</v>
          </cell>
          <cell r="AJ1696">
            <v>3431</v>
          </cell>
        </row>
        <row r="1697">
          <cell r="E1697" t="str">
            <v>ND Transportation Lubricants</v>
          </cell>
          <cell r="F1697">
            <v>941</v>
          </cell>
          <cell r="G1697">
            <v>842</v>
          </cell>
          <cell r="H1697">
            <v>858</v>
          </cell>
          <cell r="I1697">
            <v>874</v>
          </cell>
          <cell r="J1697">
            <v>913</v>
          </cell>
          <cell r="K1697">
            <v>898</v>
          </cell>
          <cell r="L1697">
            <v>871</v>
          </cell>
          <cell r="M1697">
            <v>920</v>
          </cell>
          <cell r="N1697">
            <v>963</v>
          </cell>
          <cell r="O1697">
            <v>973</v>
          </cell>
          <cell r="P1697">
            <v>959</v>
          </cell>
          <cell r="Q1697">
            <v>878</v>
          </cell>
          <cell r="R1697">
            <v>868</v>
          </cell>
          <cell r="S1697">
            <v>803</v>
          </cell>
          <cell r="T1697">
            <v>813</v>
          </cell>
          <cell r="U1697">
            <v>809</v>
          </cell>
          <cell r="V1697">
            <v>788</v>
          </cell>
          <cell r="W1697">
            <v>814</v>
          </cell>
          <cell r="X1697">
            <v>755</v>
          </cell>
          <cell r="Y1697">
            <v>679</v>
          </cell>
          <cell r="Z1697">
            <v>653</v>
          </cell>
          <cell r="AA1697">
            <v>773</v>
          </cell>
          <cell r="AB1697">
            <v>843</v>
          </cell>
          <cell r="AC1697">
            <v>910</v>
          </cell>
          <cell r="AD1697">
            <v>991</v>
          </cell>
          <cell r="AE1697">
            <v>959</v>
          </cell>
          <cell r="AF1697">
            <v>780</v>
          </cell>
          <cell r="AG1697">
            <v>755</v>
          </cell>
          <cell r="AH1697">
            <v>747</v>
          </cell>
          <cell r="AI1697">
            <v>705</v>
          </cell>
          <cell r="AJ1697">
            <v>596</v>
          </cell>
        </row>
        <row r="1698">
          <cell r="E1698" t="str">
            <v>NE Transportation Lubricants</v>
          </cell>
          <cell r="F1698">
            <v>2160</v>
          </cell>
          <cell r="G1698">
            <v>1932</v>
          </cell>
          <cell r="H1698">
            <v>1970</v>
          </cell>
          <cell r="I1698">
            <v>2006</v>
          </cell>
          <cell r="J1698">
            <v>2097</v>
          </cell>
          <cell r="K1698">
            <v>2061</v>
          </cell>
          <cell r="L1698">
            <v>2000</v>
          </cell>
          <cell r="M1698">
            <v>2113</v>
          </cell>
          <cell r="N1698">
            <v>2212</v>
          </cell>
          <cell r="O1698">
            <v>2235</v>
          </cell>
          <cell r="P1698">
            <v>2201</v>
          </cell>
          <cell r="Q1698">
            <v>2017</v>
          </cell>
          <cell r="R1698">
            <v>1993</v>
          </cell>
          <cell r="S1698">
            <v>1842</v>
          </cell>
          <cell r="T1698">
            <v>1867</v>
          </cell>
          <cell r="U1698">
            <v>1857</v>
          </cell>
          <cell r="V1698">
            <v>1809</v>
          </cell>
          <cell r="W1698">
            <v>1868</v>
          </cell>
          <cell r="X1698">
            <v>1734</v>
          </cell>
          <cell r="Y1698">
            <v>1559</v>
          </cell>
          <cell r="Z1698">
            <v>1486</v>
          </cell>
          <cell r="AA1698">
            <v>1357</v>
          </cell>
          <cell r="AB1698">
            <v>1230</v>
          </cell>
          <cell r="AC1698">
            <v>1268</v>
          </cell>
          <cell r="AD1698">
            <v>1327</v>
          </cell>
          <cell r="AE1698">
            <v>1440</v>
          </cell>
          <cell r="AF1698">
            <v>1364</v>
          </cell>
          <cell r="AG1698">
            <v>1249</v>
          </cell>
          <cell r="AH1698">
            <v>1214</v>
          </cell>
          <cell r="AI1698">
            <v>1187</v>
          </cell>
          <cell r="AJ1698">
            <v>1088</v>
          </cell>
        </row>
        <row r="1699">
          <cell r="E1699" t="str">
            <v>NH Transportation Lubricants</v>
          </cell>
          <cell r="F1699">
            <v>373</v>
          </cell>
          <cell r="G1699">
            <v>334</v>
          </cell>
          <cell r="H1699">
            <v>340</v>
          </cell>
          <cell r="I1699">
            <v>346</v>
          </cell>
          <cell r="J1699">
            <v>362</v>
          </cell>
          <cell r="K1699">
            <v>356</v>
          </cell>
          <cell r="L1699">
            <v>345</v>
          </cell>
          <cell r="M1699">
            <v>365</v>
          </cell>
          <cell r="N1699">
            <v>382</v>
          </cell>
          <cell r="O1699">
            <v>386</v>
          </cell>
          <cell r="P1699">
            <v>380</v>
          </cell>
          <cell r="Q1699">
            <v>348</v>
          </cell>
          <cell r="R1699">
            <v>344</v>
          </cell>
          <cell r="S1699">
            <v>318</v>
          </cell>
          <cell r="T1699">
            <v>322</v>
          </cell>
          <cell r="U1699">
            <v>321</v>
          </cell>
          <cell r="V1699">
            <v>312</v>
          </cell>
          <cell r="W1699">
            <v>323</v>
          </cell>
          <cell r="X1699">
            <v>300</v>
          </cell>
          <cell r="Y1699">
            <v>269</v>
          </cell>
          <cell r="Z1699">
            <v>579</v>
          </cell>
          <cell r="AA1699">
            <v>550</v>
          </cell>
          <cell r="AB1699">
            <v>500</v>
          </cell>
          <cell r="AC1699">
            <v>525</v>
          </cell>
          <cell r="AD1699">
            <v>546</v>
          </cell>
          <cell r="AE1699">
            <v>593</v>
          </cell>
          <cell r="AF1699">
            <v>550</v>
          </cell>
          <cell r="AG1699">
            <v>509</v>
          </cell>
          <cell r="AH1699">
            <v>492</v>
          </cell>
          <cell r="AI1699">
            <v>468</v>
          </cell>
          <cell r="AJ1699">
            <v>410</v>
          </cell>
        </row>
        <row r="1700">
          <cell r="E1700" t="str">
            <v>NJ Transportation Lubricants</v>
          </cell>
          <cell r="F1700">
            <v>4426</v>
          </cell>
          <cell r="G1700">
            <v>3959</v>
          </cell>
          <cell r="H1700">
            <v>4037</v>
          </cell>
          <cell r="I1700">
            <v>4110</v>
          </cell>
          <cell r="J1700">
            <v>4296</v>
          </cell>
          <cell r="K1700">
            <v>4222</v>
          </cell>
          <cell r="L1700">
            <v>4098</v>
          </cell>
          <cell r="M1700">
            <v>4329</v>
          </cell>
          <cell r="N1700">
            <v>4532</v>
          </cell>
          <cell r="O1700">
            <v>4579</v>
          </cell>
          <cell r="P1700">
            <v>4510</v>
          </cell>
          <cell r="Q1700">
            <v>4132</v>
          </cell>
          <cell r="R1700">
            <v>4083</v>
          </cell>
          <cell r="S1700">
            <v>3775</v>
          </cell>
          <cell r="T1700">
            <v>3825</v>
          </cell>
          <cell r="U1700">
            <v>3805</v>
          </cell>
          <cell r="V1700">
            <v>3707</v>
          </cell>
          <cell r="W1700">
            <v>3828</v>
          </cell>
          <cell r="X1700">
            <v>3554</v>
          </cell>
          <cell r="Y1700">
            <v>3195</v>
          </cell>
          <cell r="Z1700">
            <v>4243</v>
          </cell>
          <cell r="AA1700">
            <v>4232</v>
          </cell>
          <cell r="AB1700">
            <v>3699</v>
          </cell>
          <cell r="AC1700">
            <v>3878</v>
          </cell>
          <cell r="AD1700">
            <v>3846</v>
          </cell>
          <cell r="AE1700">
            <v>4153</v>
          </cell>
          <cell r="AF1700">
            <v>4093</v>
          </cell>
          <cell r="AG1700">
            <v>3472</v>
          </cell>
          <cell r="AH1700">
            <v>3517</v>
          </cell>
          <cell r="AI1700">
            <v>3048</v>
          </cell>
          <cell r="AJ1700">
            <v>2842</v>
          </cell>
        </row>
        <row r="1701">
          <cell r="E1701" t="str">
            <v>NM Transportation Lubricants</v>
          </cell>
          <cell r="F1701">
            <v>1325</v>
          </cell>
          <cell r="G1701">
            <v>1185</v>
          </cell>
          <cell r="H1701">
            <v>1208</v>
          </cell>
          <cell r="I1701">
            <v>1230</v>
          </cell>
          <cell r="J1701">
            <v>1286</v>
          </cell>
          <cell r="K1701">
            <v>1264</v>
          </cell>
          <cell r="L1701">
            <v>1227</v>
          </cell>
          <cell r="M1701">
            <v>1296</v>
          </cell>
          <cell r="N1701">
            <v>1357</v>
          </cell>
          <cell r="O1701">
            <v>1371</v>
          </cell>
          <cell r="P1701">
            <v>1350</v>
          </cell>
          <cell r="Q1701">
            <v>1237</v>
          </cell>
          <cell r="R1701">
            <v>1222</v>
          </cell>
          <cell r="S1701">
            <v>1130</v>
          </cell>
          <cell r="T1701">
            <v>1145</v>
          </cell>
          <cell r="U1701">
            <v>1139</v>
          </cell>
          <cell r="V1701">
            <v>1110</v>
          </cell>
          <cell r="W1701">
            <v>1146</v>
          </cell>
          <cell r="X1701">
            <v>1064</v>
          </cell>
          <cell r="Y1701">
            <v>957</v>
          </cell>
          <cell r="Z1701">
            <v>1367</v>
          </cell>
          <cell r="AA1701">
            <v>1368</v>
          </cell>
          <cell r="AB1701">
            <v>1270</v>
          </cell>
          <cell r="AC1701">
            <v>1308</v>
          </cell>
          <cell r="AD1701">
            <v>1381</v>
          </cell>
          <cell r="AE1701">
            <v>1520</v>
          </cell>
          <cell r="AF1701">
            <v>1402</v>
          </cell>
          <cell r="AG1701">
            <v>1372</v>
          </cell>
          <cell r="AH1701">
            <v>1356</v>
          </cell>
          <cell r="AI1701">
            <v>1316</v>
          </cell>
          <cell r="AJ1701">
            <v>1232</v>
          </cell>
        </row>
        <row r="1702">
          <cell r="E1702" t="str">
            <v>NV Transportation Lubricants</v>
          </cell>
          <cell r="F1702">
            <v>518</v>
          </cell>
          <cell r="G1702">
            <v>463</v>
          </cell>
          <cell r="H1702">
            <v>472</v>
          </cell>
          <cell r="I1702">
            <v>481</v>
          </cell>
          <cell r="J1702">
            <v>503</v>
          </cell>
          <cell r="K1702">
            <v>494</v>
          </cell>
          <cell r="L1702">
            <v>479</v>
          </cell>
          <cell r="M1702">
            <v>506</v>
          </cell>
          <cell r="N1702">
            <v>530</v>
          </cell>
          <cell r="O1702">
            <v>536</v>
          </cell>
          <cell r="P1702">
            <v>528</v>
          </cell>
          <cell r="Q1702">
            <v>483</v>
          </cell>
          <cell r="R1702">
            <v>478</v>
          </cell>
          <cell r="S1702">
            <v>442</v>
          </cell>
          <cell r="T1702">
            <v>447</v>
          </cell>
          <cell r="U1702">
            <v>445</v>
          </cell>
          <cell r="V1702">
            <v>434</v>
          </cell>
          <cell r="W1702">
            <v>448</v>
          </cell>
          <cell r="X1702">
            <v>416</v>
          </cell>
          <cell r="Y1702">
            <v>374</v>
          </cell>
          <cell r="Z1702">
            <v>1169</v>
          </cell>
          <cell r="AA1702">
            <v>1092</v>
          </cell>
          <cell r="AB1702">
            <v>1000</v>
          </cell>
          <cell r="AC1702">
            <v>1077</v>
          </cell>
          <cell r="AD1702">
            <v>1073</v>
          </cell>
          <cell r="AE1702">
            <v>1178</v>
          </cell>
          <cell r="AF1702">
            <v>1150</v>
          </cell>
          <cell r="AG1702">
            <v>1113</v>
          </cell>
          <cell r="AH1702">
            <v>1063</v>
          </cell>
          <cell r="AI1702">
            <v>1042</v>
          </cell>
          <cell r="AJ1702">
            <v>925</v>
          </cell>
        </row>
        <row r="1703">
          <cell r="E1703" t="str">
            <v>NY Transportation Lubricants</v>
          </cell>
          <cell r="F1703">
            <v>6608</v>
          </cell>
          <cell r="G1703">
            <v>5911</v>
          </cell>
          <cell r="H1703">
            <v>6027</v>
          </cell>
          <cell r="I1703">
            <v>6137</v>
          </cell>
          <cell r="J1703">
            <v>6414</v>
          </cell>
          <cell r="K1703">
            <v>6304</v>
          </cell>
          <cell r="L1703">
            <v>6118</v>
          </cell>
          <cell r="M1703">
            <v>6463</v>
          </cell>
          <cell r="N1703">
            <v>6766</v>
          </cell>
          <cell r="O1703">
            <v>6837</v>
          </cell>
          <cell r="P1703">
            <v>6734</v>
          </cell>
          <cell r="Q1703">
            <v>6170</v>
          </cell>
          <cell r="R1703">
            <v>6097</v>
          </cell>
          <cell r="S1703">
            <v>5637</v>
          </cell>
          <cell r="T1703">
            <v>5710</v>
          </cell>
          <cell r="U1703">
            <v>5681</v>
          </cell>
          <cell r="V1703">
            <v>5535</v>
          </cell>
          <cell r="W1703">
            <v>5715</v>
          </cell>
          <cell r="X1703">
            <v>5306</v>
          </cell>
          <cell r="Y1703">
            <v>4771</v>
          </cell>
          <cell r="Z1703">
            <v>5858</v>
          </cell>
          <cell r="AA1703">
            <v>5213</v>
          </cell>
          <cell r="AB1703">
            <v>4760</v>
          </cell>
          <cell r="AC1703">
            <v>4988</v>
          </cell>
          <cell r="AD1703">
            <v>5532</v>
          </cell>
          <cell r="AE1703">
            <v>5576</v>
          </cell>
          <cell r="AF1703">
            <v>5415</v>
          </cell>
          <cell r="AG1703">
            <v>4954</v>
          </cell>
          <cell r="AH1703">
            <v>4828</v>
          </cell>
          <cell r="AI1703">
            <v>4379</v>
          </cell>
          <cell r="AJ1703">
            <v>3738</v>
          </cell>
        </row>
        <row r="1704">
          <cell r="E1704" t="str">
            <v>OH Transportation Lubricants</v>
          </cell>
          <cell r="F1704">
            <v>8851</v>
          </cell>
          <cell r="G1704">
            <v>7918</v>
          </cell>
          <cell r="H1704">
            <v>8073</v>
          </cell>
          <cell r="I1704">
            <v>8220</v>
          </cell>
          <cell r="J1704">
            <v>8592</v>
          </cell>
          <cell r="K1704">
            <v>8444</v>
          </cell>
          <cell r="L1704">
            <v>8195</v>
          </cell>
          <cell r="M1704">
            <v>8657</v>
          </cell>
          <cell r="N1704">
            <v>9063</v>
          </cell>
          <cell r="O1704">
            <v>9158</v>
          </cell>
          <cell r="P1704">
            <v>9021</v>
          </cell>
          <cell r="Q1704">
            <v>8265</v>
          </cell>
          <cell r="R1704">
            <v>8167</v>
          </cell>
          <cell r="S1704">
            <v>7550</v>
          </cell>
          <cell r="T1704">
            <v>7649</v>
          </cell>
          <cell r="U1704">
            <v>7609</v>
          </cell>
          <cell r="V1704">
            <v>7414</v>
          </cell>
          <cell r="W1704">
            <v>7656</v>
          </cell>
          <cell r="X1704">
            <v>7108</v>
          </cell>
          <cell r="Y1704">
            <v>6390</v>
          </cell>
          <cell r="Z1704">
            <v>5713</v>
          </cell>
          <cell r="AA1704">
            <v>5486</v>
          </cell>
          <cell r="AB1704">
            <v>4973</v>
          </cell>
          <cell r="AC1704">
            <v>5248</v>
          </cell>
          <cell r="AD1704">
            <v>5448</v>
          </cell>
          <cell r="AE1704">
            <v>5888</v>
          </cell>
          <cell r="AF1704">
            <v>5465</v>
          </cell>
          <cell r="AG1704">
            <v>5032</v>
          </cell>
          <cell r="AH1704">
            <v>4793</v>
          </cell>
          <cell r="AI1704">
            <v>4565</v>
          </cell>
          <cell r="AJ1704">
            <v>4033</v>
          </cell>
        </row>
        <row r="1705">
          <cell r="E1705" t="str">
            <v>OK Transportation Lubricants</v>
          </cell>
          <cell r="F1705">
            <v>4826</v>
          </cell>
          <cell r="G1705">
            <v>4318</v>
          </cell>
          <cell r="H1705">
            <v>4402</v>
          </cell>
          <cell r="I1705">
            <v>4482</v>
          </cell>
          <cell r="J1705">
            <v>4685</v>
          </cell>
          <cell r="K1705">
            <v>4605</v>
          </cell>
          <cell r="L1705">
            <v>4469</v>
          </cell>
          <cell r="M1705">
            <v>4721</v>
          </cell>
          <cell r="N1705">
            <v>4942</v>
          </cell>
          <cell r="O1705">
            <v>4994</v>
          </cell>
          <cell r="P1705">
            <v>4919</v>
          </cell>
          <cell r="Q1705">
            <v>4507</v>
          </cell>
          <cell r="R1705">
            <v>4453</v>
          </cell>
          <cell r="S1705">
            <v>4117</v>
          </cell>
          <cell r="T1705">
            <v>4171</v>
          </cell>
          <cell r="U1705">
            <v>4149</v>
          </cell>
          <cell r="V1705">
            <v>4043</v>
          </cell>
          <cell r="W1705">
            <v>4175</v>
          </cell>
          <cell r="X1705">
            <v>3876</v>
          </cell>
          <cell r="Y1705">
            <v>3484</v>
          </cell>
          <cell r="Z1705">
            <v>2815</v>
          </cell>
          <cell r="AA1705">
            <v>2667</v>
          </cell>
          <cell r="AB1705">
            <v>2469</v>
          </cell>
          <cell r="AC1705">
            <v>2505</v>
          </cell>
          <cell r="AD1705">
            <v>2680</v>
          </cell>
          <cell r="AE1705">
            <v>2858</v>
          </cell>
          <cell r="AF1705">
            <v>2670</v>
          </cell>
          <cell r="AG1705">
            <v>2531</v>
          </cell>
          <cell r="AH1705">
            <v>2379</v>
          </cell>
          <cell r="AI1705">
            <v>2227</v>
          </cell>
          <cell r="AJ1705">
            <v>2016</v>
          </cell>
        </row>
        <row r="1706">
          <cell r="E1706" t="str">
            <v>OR Transportation Lubricants</v>
          </cell>
          <cell r="F1706">
            <v>3290</v>
          </cell>
          <cell r="G1706">
            <v>2943</v>
          </cell>
          <cell r="H1706">
            <v>3001</v>
          </cell>
          <cell r="I1706">
            <v>3056</v>
          </cell>
          <cell r="J1706">
            <v>3194</v>
          </cell>
          <cell r="K1706">
            <v>3139</v>
          </cell>
          <cell r="L1706">
            <v>3046</v>
          </cell>
          <cell r="M1706">
            <v>3218</v>
          </cell>
          <cell r="N1706">
            <v>3369</v>
          </cell>
          <cell r="O1706">
            <v>3404</v>
          </cell>
          <cell r="P1706">
            <v>3353</v>
          </cell>
          <cell r="Q1706">
            <v>3072</v>
          </cell>
          <cell r="R1706">
            <v>3036</v>
          </cell>
          <cell r="S1706">
            <v>2806</v>
          </cell>
          <cell r="T1706">
            <v>2843</v>
          </cell>
          <cell r="U1706">
            <v>2828</v>
          </cell>
          <cell r="V1706">
            <v>2756</v>
          </cell>
          <cell r="W1706">
            <v>2846</v>
          </cell>
          <cell r="X1706">
            <v>2642</v>
          </cell>
          <cell r="Y1706">
            <v>2375</v>
          </cell>
          <cell r="Z1706">
            <v>2012</v>
          </cell>
          <cell r="AA1706">
            <v>1855</v>
          </cell>
          <cell r="AB1706">
            <v>1705</v>
          </cell>
          <cell r="AC1706">
            <v>1774</v>
          </cell>
          <cell r="AD1706">
            <v>1815</v>
          </cell>
          <cell r="AE1706">
            <v>1934</v>
          </cell>
          <cell r="AF1706">
            <v>1801</v>
          </cell>
          <cell r="AG1706">
            <v>1697</v>
          </cell>
          <cell r="AH1706">
            <v>1638</v>
          </cell>
          <cell r="AI1706">
            <v>1539</v>
          </cell>
          <cell r="AJ1706">
            <v>1446</v>
          </cell>
        </row>
        <row r="1707">
          <cell r="E1707" t="str">
            <v>PA Transportation Lubricants</v>
          </cell>
          <cell r="F1707">
            <v>8150</v>
          </cell>
          <cell r="G1707">
            <v>7291</v>
          </cell>
          <cell r="H1707">
            <v>7433</v>
          </cell>
          <cell r="I1707">
            <v>7569</v>
          </cell>
          <cell r="J1707">
            <v>7911</v>
          </cell>
          <cell r="K1707">
            <v>7775</v>
          </cell>
          <cell r="L1707">
            <v>7546</v>
          </cell>
          <cell r="M1707">
            <v>7971</v>
          </cell>
          <cell r="N1707">
            <v>8345</v>
          </cell>
          <cell r="O1707">
            <v>8432</v>
          </cell>
          <cell r="P1707">
            <v>8306</v>
          </cell>
          <cell r="Q1707">
            <v>7610</v>
          </cell>
          <cell r="R1707">
            <v>7520</v>
          </cell>
          <cell r="S1707">
            <v>6952</v>
          </cell>
          <cell r="T1707">
            <v>7043</v>
          </cell>
          <cell r="U1707">
            <v>7006</v>
          </cell>
          <cell r="V1707">
            <v>6826</v>
          </cell>
          <cell r="W1707">
            <v>7049</v>
          </cell>
          <cell r="X1707">
            <v>6544</v>
          </cell>
          <cell r="Y1707">
            <v>5884</v>
          </cell>
          <cell r="Z1707">
            <v>5484</v>
          </cell>
          <cell r="AA1707">
            <v>5289</v>
          </cell>
          <cell r="AB1707">
            <v>4990</v>
          </cell>
          <cell r="AC1707">
            <v>5150</v>
          </cell>
          <cell r="AD1707">
            <v>5251</v>
          </cell>
          <cell r="AE1707">
            <v>5507</v>
          </cell>
          <cell r="AF1707">
            <v>5017</v>
          </cell>
          <cell r="AG1707">
            <v>4611</v>
          </cell>
          <cell r="AH1707">
            <v>4405</v>
          </cell>
          <cell r="AI1707">
            <v>4246</v>
          </cell>
          <cell r="AJ1707">
            <v>3698</v>
          </cell>
        </row>
        <row r="1708">
          <cell r="E1708" t="str">
            <v>RI Transportation Lubricants</v>
          </cell>
          <cell r="F1708">
            <v>434</v>
          </cell>
          <cell r="G1708">
            <v>388</v>
          </cell>
          <cell r="H1708">
            <v>396</v>
          </cell>
          <cell r="I1708">
            <v>403</v>
          </cell>
          <cell r="J1708">
            <v>421</v>
          </cell>
          <cell r="K1708">
            <v>414</v>
          </cell>
          <cell r="L1708">
            <v>402</v>
          </cell>
          <cell r="M1708">
            <v>425</v>
          </cell>
          <cell r="N1708">
            <v>445</v>
          </cell>
          <cell r="O1708">
            <v>449</v>
          </cell>
          <cell r="P1708">
            <v>443</v>
          </cell>
          <cell r="Q1708">
            <v>405</v>
          </cell>
          <cell r="R1708">
            <v>401</v>
          </cell>
          <cell r="S1708">
            <v>370</v>
          </cell>
          <cell r="T1708">
            <v>375</v>
          </cell>
          <cell r="U1708">
            <v>373</v>
          </cell>
          <cell r="V1708">
            <v>364</v>
          </cell>
          <cell r="W1708">
            <v>376</v>
          </cell>
          <cell r="X1708">
            <v>349</v>
          </cell>
          <cell r="Y1708">
            <v>313</v>
          </cell>
          <cell r="Z1708">
            <v>342</v>
          </cell>
          <cell r="AA1708">
            <v>318</v>
          </cell>
          <cell r="AB1708">
            <v>279</v>
          </cell>
          <cell r="AC1708">
            <v>295</v>
          </cell>
          <cell r="AD1708">
            <v>324</v>
          </cell>
          <cell r="AE1708">
            <v>339</v>
          </cell>
          <cell r="AF1708">
            <v>289</v>
          </cell>
          <cell r="AG1708">
            <v>276</v>
          </cell>
          <cell r="AH1708">
            <v>279</v>
          </cell>
          <cell r="AI1708">
            <v>267</v>
          </cell>
          <cell r="AJ1708">
            <v>231</v>
          </cell>
        </row>
        <row r="1709">
          <cell r="E1709" t="str">
            <v>SC Transportation Lubricants</v>
          </cell>
          <cell r="F1709">
            <v>1620</v>
          </cell>
          <cell r="G1709">
            <v>1449</v>
          </cell>
          <cell r="H1709">
            <v>1478</v>
          </cell>
          <cell r="I1709">
            <v>1505</v>
          </cell>
          <cell r="J1709">
            <v>1573</v>
          </cell>
          <cell r="K1709">
            <v>1546</v>
          </cell>
          <cell r="L1709">
            <v>1500</v>
          </cell>
          <cell r="M1709">
            <v>1584</v>
          </cell>
          <cell r="N1709">
            <v>1659</v>
          </cell>
          <cell r="O1709">
            <v>1676</v>
          </cell>
          <cell r="P1709">
            <v>1651</v>
          </cell>
          <cell r="Q1709">
            <v>1513</v>
          </cell>
          <cell r="R1709">
            <v>1495</v>
          </cell>
          <cell r="S1709">
            <v>1382</v>
          </cell>
          <cell r="T1709">
            <v>1400</v>
          </cell>
          <cell r="U1709">
            <v>1393</v>
          </cell>
          <cell r="V1709">
            <v>1357</v>
          </cell>
          <cell r="W1709">
            <v>1401</v>
          </cell>
          <cell r="X1709">
            <v>1301</v>
          </cell>
          <cell r="Y1709">
            <v>1170</v>
          </cell>
          <cell r="Z1709">
            <v>2918</v>
          </cell>
          <cell r="AA1709">
            <v>2805</v>
          </cell>
          <cell r="AB1709">
            <v>2478</v>
          </cell>
          <cell r="AC1709">
            <v>2759</v>
          </cell>
          <cell r="AD1709">
            <v>2723</v>
          </cell>
          <cell r="AE1709">
            <v>3110</v>
          </cell>
          <cell r="AF1709">
            <v>3006</v>
          </cell>
          <cell r="AG1709">
            <v>2791</v>
          </cell>
          <cell r="AH1709">
            <v>2662</v>
          </cell>
          <cell r="AI1709">
            <v>2508</v>
          </cell>
          <cell r="AJ1709">
            <v>2249</v>
          </cell>
        </row>
        <row r="1710">
          <cell r="E1710" t="str">
            <v>SD Transportation Lubricants</v>
          </cell>
          <cell r="F1710">
            <v>969</v>
          </cell>
          <cell r="G1710">
            <v>867</v>
          </cell>
          <cell r="H1710">
            <v>883</v>
          </cell>
          <cell r="I1710">
            <v>900</v>
          </cell>
          <cell r="J1710">
            <v>940</v>
          </cell>
          <cell r="K1710">
            <v>924</v>
          </cell>
          <cell r="L1710">
            <v>897</v>
          </cell>
          <cell r="M1710">
            <v>947</v>
          </cell>
          <cell r="N1710">
            <v>992</v>
          </cell>
          <cell r="O1710">
            <v>1002</v>
          </cell>
          <cell r="P1710">
            <v>987</v>
          </cell>
          <cell r="Q1710">
            <v>904</v>
          </cell>
          <cell r="R1710">
            <v>894</v>
          </cell>
          <cell r="S1710">
            <v>826</v>
          </cell>
          <cell r="T1710">
            <v>837</v>
          </cell>
          <cell r="U1710">
            <v>833</v>
          </cell>
          <cell r="V1710">
            <v>811</v>
          </cell>
          <cell r="W1710">
            <v>838</v>
          </cell>
          <cell r="X1710">
            <v>778</v>
          </cell>
          <cell r="Y1710">
            <v>699</v>
          </cell>
          <cell r="Z1710">
            <v>638</v>
          </cell>
          <cell r="AA1710">
            <v>603</v>
          </cell>
          <cell r="AB1710">
            <v>594</v>
          </cell>
          <cell r="AC1710">
            <v>592</v>
          </cell>
          <cell r="AD1710">
            <v>627</v>
          </cell>
          <cell r="AE1710">
            <v>690</v>
          </cell>
          <cell r="AF1710">
            <v>638</v>
          </cell>
          <cell r="AG1710">
            <v>581</v>
          </cell>
          <cell r="AH1710">
            <v>564</v>
          </cell>
          <cell r="AI1710">
            <v>535</v>
          </cell>
          <cell r="AJ1710">
            <v>517</v>
          </cell>
        </row>
        <row r="1711">
          <cell r="E1711" t="str">
            <v>TN Transportation Lubricants</v>
          </cell>
          <cell r="F1711">
            <v>4197</v>
          </cell>
          <cell r="G1711">
            <v>3755</v>
          </cell>
          <cell r="H1711">
            <v>3828</v>
          </cell>
          <cell r="I1711">
            <v>3898</v>
          </cell>
          <cell r="J1711">
            <v>4074</v>
          </cell>
          <cell r="K1711">
            <v>4004</v>
          </cell>
          <cell r="L1711">
            <v>3886</v>
          </cell>
          <cell r="M1711">
            <v>4105</v>
          </cell>
          <cell r="N1711">
            <v>4298</v>
          </cell>
          <cell r="O1711">
            <v>4343</v>
          </cell>
          <cell r="P1711">
            <v>4278</v>
          </cell>
          <cell r="Q1711">
            <v>3919</v>
          </cell>
          <cell r="R1711">
            <v>3873</v>
          </cell>
          <cell r="S1711">
            <v>3580</v>
          </cell>
          <cell r="T1711">
            <v>3627</v>
          </cell>
          <cell r="U1711">
            <v>3608</v>
          </cell>
          <cell r="V1711">
            <v>3516</v>
          </cell>
          <cell r="W1711">
            <v>3631</v>
          </cell>
          <cell r="X1711">
            <v>3370</v>
          </cell>
          <cell r="Y1711">
            <v>3030</v>
          </cell>
          <cell r="Z1711">
            <v>3611</v>
          </cell>
          <cell r="AA1711">
            <v>3495</v>
          </cell>
          <cell r="AB1711">
            <v>3147</v>
          </cell>
          <cell r="AC1711">
            <v>3299</v>
          </cell>
          <cell r="AD1711">
            <v>3471</v>
          </cell>
          <cell r="AE1711">
            <v>3808</v>
          </cell>
          <cell r="AF1711">
            <v>3609</v>
          </cell>
          <cell r="AG1711">
            <v>3361</v>
          </cell>
          <cell r="AH1711">
            <v>3255</v>
          </cell>
          <cell r="AI1711">
            <v>3142</v>
          </cell>
          <cell r="AJ1711">
            <v>2816</v>
          </cell>
        </row>
        <row r="1712">
          <cell r="E1712" t="str">
            <v>TX Transportation Lubricants</v>
          </cell>
          <cell r="F1712">
            <v>11857</v>
          </cell>
          <cell r="G1712">
            <v>10608</v>
          </cell>
          <cell r="H1712">
            <v>10815</v>
          </cell>
          <cell r="I1712">
            <v>11012</v>
          </cell>
          <cell r="J1712">
            <v>11510</v>
          </cell>
          <cell r="K1712">
            <v>11312</v>
          </cell>
          <cell r="L1712">
            <v>10979</v>
          </cell>
          <cell r="M1712">
            <v>11598</v>
          </cell>
          <cell r="N1712">
            <v>12141</v>
          </cell>
          <cell r="O1712">
            <v>12268</v>
          </cell>
          <cell r="P1712">
            <v>12084</v>
          </cell>
          <cell r="Q1712">
            <v>11072</v>
          </cell>
          <cell r="R1712">
            <v>10941</v>
          </cell>
          <cell r="S1712">
            <v>10115</v>
          </cell>
          <cell r="T1712">
            <v>10247</v>
          </cell>
          <cell r="U1712">
            <v>10194</v>
          </cell>
          <cell r="V1712">
            <v>9931</v>
          </cell>
          <cell r="W1712">
            <v>10256</v>
          </cell>
          <cell r="X1712">
            <v>9521</v>
          </cell>
          <cell r="Y1712">
            <v>8560</v>
          </cell>
          <cell r="Z1712">
            <v>16176</v>
          </cell>
          <cell r="AA1712">
            <v>15996</v>
          </cell>
          <cell r="AB1712">
            <v>14784</v>
          </cell>
          <cell r="AC1712">
            <v>16181</v>
          </cell>
          <cell r="AD1712">
            <v>18269</v>
          </cell>
          <cell r="AE1712">
            <v>19619</v>
          </cell>
          <cell r="AF1712">
            <v>18731</v>
          </cell>
          <cell r="AG1712">
            <v>17319</v>
          </cell>
          <cell r="AH1712">
            <v>17113</v>
          </cell>
          <cell r="AI1712">
            <v>16872</v>
          </cell>
          <cell r="AJ1712">
            <v>14348</v>
          </cell>
        </row>
        <row r="1713">
          <cell r="E1713" t="str">
            <v>US Transportation Lubricants</v>
          </cell>
          <cell r="F1713">
            <v>175999</v>
          </cell>
          <cell r="G1713">
            <v>157451</v>
          </cell>
          <cell r="H1713">
            <v>160527</v>
          </cell>
          <cell r="I1713">
            <v>163458</v>
          </cell>
          <cell r="J1713">
            <v>170847</v>
          </cell>
          <cell r="K1713">
            <v>167913</v>
          </cell>
          <cell r="L1713">
            <v>162957</v>
          </cell>
          <cell r="M1713">
            <v>172146</v>
          </cell>
          <cell r="N1713">
            <v>180212</v>
          </cell>
          <cell r="O1713">
            <v>182097</v>
          </cell>
          <cell r="P1713">
            <v>179366</v>
          </cell>
          <cell r="Q1713">
            <v>164339</v>
          </cell>
          <cell r="R1713">
            <v>162395</v>
          </cell>
          <cell r="S1713">
            <v>150134</v>
          </cell>
          <cell r="T1713">
            <v>152099</v>
          </cell>
          <cell r="U1713">
            <v>151306</v>
          </cell>
          <cell r="V1713">
            <v>147415</v>
          </cell>
          <cell r="W1713">
            <v>152231</v>
          </cell>
          <cell r="X1713">
            <v>141328</v>
          </cell>
          <cell r="Y1713">
            <v>127064</v>
          </cell>
          <cell r="Z1713">
            <v>154773</v>
          </cell>
          <cell r="AA1713">
            <v>148373</v>
          </cell>
          <cell r="AB1713">
            <v>135409</v>
          </cell>
          <cell r="AC1713">
            <v>143360</v>
          </cell>
          <cell r="AD1713">
            <v>149359</v>
          </cell>
          <cell r="AE1713">
            <v>162813</v>
          </cell>
          <cell r="AF1713">
            <v>154352</v>
          </cell>
          <cell r="AG1713">
            <v>141983</v>
          </cell>
          <cell r="AH1713">
            <v>136987</v>
          </cell>
          <cell r="AI1713">
            <v>131328</v>
          </cell>
          <cell r="AJ1713">
            <v>115615</v>
          </cell>
        </row>
        <row r="1714">
          <cell r="E1714" t="str">
            <v>UT Transportation Lubricants</v>
          </cell>
          <cell r="F1714">
            <v>1202</v>
          </cell>
          <cell r="G1714">
            <v>1076</v>
          </cell>
          <cell r="H1714">
            <v>1097</v>
          </cell>
          <cell r="I1714">
            <v>1117</v>
          </cell>
          <cell r="J1714">
            <v>1167</v>
          </cell>
          <cell r="K1714">
            <v>1147</v>
          </cell>
          <cell r="L1714">
            <v>1113</v>
          </cell>
          <cell r="M1714">
            <v>1176</v>
          </cell>
          <cell r="N1714">
            <v>1231</v>
          </cell>
          <cell r="O1714">
            <v>1244</v>
          </cell>
          <cell r="P1714">
            <v>1225</v>
          </cell>
          <cell r="Q1714">
            <v>1123</v>
          </cell>
          <cell r="R1714">
            <v>1109</v>
          </cell>
          <cell r="S1714">
            <v>1026</v>
          </cell>
          <cell r="T1714">
            <v>1039</v>
          </cell>
          <cell r="U1714">
            <v>1034</v>
          </cell>
          <cell r="V1714">
            <v>1007</v>
          </cell>
          <cell r="W1714">
            <v>1040</v>
          </cell>
          <cell r="X1714">
            <v>966</v>
          </cell>
          <cell r="Y1714">
            <v>868</v>
          </cell>
          <cell r="Z1714">
            <v>1340</v>
          </cell>
          <cell r="AA1714">
            <v>1439</v>
          </cell>
          <cell r="AB1714">
            <v>1281</v>
          </cell>
          <cell r="AC1714">
            <v>1348</v>
          </cell>
          <cell r="AD1714">
            <v>1345</v>
          </cell>
          <cell r="AE1714">
            <v>1495</v>
          </cell>
          <cell r="AF1714">
            <v>1417</v>
          </cell>
          <cell r="AG1714">
            <v>1329</v>
          </cell>
          <cell r="AH1714">
            <v>1274</v>
          </cell>
          <cell r="AI1714">
            <v>1215</v>
          </cell>
          <cell r="AJ1714">
            <v>1182</v>
          </cell>
        </row>
        <row r="1715">
          <cell r="E1715" t="str">
            <v>VA Transportation Lubricants</v>
          </cell>
          <cell r="F1715">
            <v>3290</v>
          </cell>
          <cell r="G1715">
            <v>2943</v>
          </cell>
          <cell r="H1715">
            <v>3001</v>
          </cell>
          <cell r="I1715">
            <v>3056</v>
          </cell>
          <cell r="J1715">
            <v>3194</v>
          </cell>
          <cell r="K1715">
            <v>3139</v>
          </cell>
          <cell r="L1715">
            <v>3046</v>
          </cell>
          <cell r="M1715">
            <v>3218</v>
          </cell>
          <cell r="N1715">
            <v>3369</v>
          </cell>
          <cell r="O1715">
            <v>3404</v>
          </cell>
          <cell r="P1715">
            <v>3353</v>
          </cell>
          <cell r="Q1715">
            <v>3072</v>
          </cell>
          <cell r="R1715">
            <v>3036</v>
          </cell>
          <cell r="S1715">
            <v>2806</v>
          </cell>
          <cell r="T1715">
            <v>2843</v>
          </cell>
          <cell r="U1715">
            <v>2828</v>
          </cell>
          <cell r="V1715">
            <v>2756</v>
          </cell>
          <cell r="W1715">
            <v>2846</v>
          </cell>
          <cell r="X1715">
            <v>2642</v>
          </cell>
          <cell r="Y1715">
            <v>2375</v>
          </cell>
          <cell r="Z1715">
            <v>4163</v>
          </cell>
          <cell r="AA1715">
            <v>3835</v>
          </cell>
          <cell r="AB1715">
            <v>3655</v>
          </cell>
          <cell r="AC1715">
            <v>3776</v>
          </cell>
          <cell r="AD1715">
            <v>3923</v>
          </cell>
          <cell r="AE1715">
            <v>4174</v>
          </cell>
          <cell r="AF1715">
            <v>3948</v>
          </cell>
          <cell r="AG1715">
            <v>3636</v>
          </cell>
          <cell r="AH1715">
            <v>3564</v>
          </cell>
          <cell r="AI1715">
            <v>3507</v>
          </cell>
          <cell r="AJ1715">
            <v>3160</v>
          </cell>
        </row>
        <row r="1716">
          <cell r="E1716" t="str">
            <v>VT Transportation Lubricants</v>
          </cell>
          <cell r="F1716">
            <v>323</v>
          </cell>
          <cell r="G1716">
            <v>289</v>
          </cell>
          <cell r="H1716">
            <v>294</v>
          </cell>
          <cell r="I1716">
            <v>300</v>
          </cell>
          <cell r="J1716">
            <v>313</v>
          </cell>
          <cell r="K1716">
            <v>308</v>
          </cell>
          <cell r="L1716">
            <v>299</v>
          </cell>
          <cell r="M1716">
            <v>316</v>
          </cell>
          <cell r="N1716">
            <v>331</v>
          </cell>
          <cell r="O1716">
            <v>334</v>
          </cell>
          <cell r="P1716">
            <v>329</v>
          </cell>
          <cell r="Q1716">
            <v>301</v>
          </cell>
          <cell r="R1716">
            <v>298</v>
          </cell>
          <cell r="S1716">
            <v>275</v>
          </cell>
          <cell r="T1716">
            <v>279</v>
          </cell>
          <cell r="U1716">
            <v>278</v>
          </cell>
          <cell r="V1716">
            <v>270</v>
          </cell>
          <cell r="W1716">
            <v>279</v>
          </cell>
          <cell r="X1716">
            <v>259</v>
          </cell>
          <cell r="Y1716">
            <v>233</v>
          </cell>
          <cell r="Z1716">
            <v>304</v>
          </cell>
          <cell r="AA1716">
            <v>287</v>
          </cell>
          <cell r="AB1716">
            <v>261</v>
          </cell>
          <cell r="AC1716">
            <v>274</v>
          </cell>
          <cell r="AD1716">
            <v>276</v>
          </cell>
          <cell r="AE1716">
            <v>308</v>
          </cell>
          <cell r="AF1716">
            <v>294</v>
          </cell>
          <cell r="AG1716">
            <v>264</v>
          </cell>
          <cell r="AH1716">
            <v>237</v>
          </cell>
          <cell r="AI1716">
            <v>231</v>
          </cell>
          <cell r="AJ1716">
            <v>192</v>
          </cell>
        </row>
        <row r="1717">
          <cell r="E1717" t="str">
            <v>WA Transportation Lubricants</v>
          </cell>
          <cell r="F1717">
            <v>3112</v>
          </cell>
          <cell r="G1717">
            <v>2784</v>
          </cell>
          <cell r="H1717">
            <v>2838</v>
          </cell>
          <cell r="I1717">
            <v>2890</v>
          </cell>
          <cell r="J1717">
            <v>3021</v>
          </cell>
          <cell r="K1717">
            <v>2969</v>
          </cell>
          <cell r="L1717">
            <v>2881</v>
          </cell>
          <cell r="M1717">
            <v>3044</v>
          </cell>
          <cell r="N1717">
            <v>3186</v>
          </cell>
          <cell r="O1717">
            <v>3220</v>
          </cell>
          <cell r="P1717">
            <v>3171</v>
          </cell>
          <cell r="Q1717">
            <v>2906</v>
          </cell>
          <cell r="R1717">
            <v>2871</v>
          </cell>
          <cell r="S1717">
            <v>2655</v>
          </cell>
          <cell r="T1717">
            <v>2689</v>
          </cell>
          <cell r="U1717">
            <v>2675</v>
          </cell>
          <cell r="V1717">
            <v>2606</v>
          </cell>
          <cell r="W1717">
            <v>2692</v>
          </cell>
          <cell r="X1717">
            <v>2499</v>
          </cell>
          <cell r="Y1717">
            <v>2247</v>
          </cell>
          <cell r="Z1717">
            <v>3119</v>
          </cell>
          <cell r="AA1717">
            <v>3083</v>
          </cell>
          <cell r="AB1717">
            <v>3004</v>
          </cell>
          <cell r="AC1717">
            <v>3235</v>
          </cell>
          <cell r="AD1717">
            <v>3295</v>
          </cell>
          <cell r="AE1717">
            <v>3724</v>
          </cell>
          <cell r="AF1717">
            <v>3875</v>
          </cell>
          <cell r="AG1717">
            <v>3295</v>
          </cell>
          <cell r="AH1717">
            <v>3155</v>
          </cell>
          <cell r="AI1717">
            <v>3152</v>
          </cell>
          <cell r="AJ1717">
            <v>2353</v>
          </cell>
        </row>
        <row r="1718">
          <cell r="E1718" t="str">
            <v>WI Transportation Lubricants</v>
          </cell>
          <cell r="F1718">
            <v>3245</v>
          </cell>
          <cell r="G1718">
            <v>2903</v>
          </cell>
          <cell r="H1718">
            <v>2960</v>
          </cell>
          <cell r="I1718">
            <v>3014</v>
          </cell>
          <cell r="J1718">
            <v>3150</v>
          </cell>
          <cell r="K1718">
            <v>3096</v>
          </cell>
          <cell r="L1718">
            <v>3005</v>
          </cell>
          <cell r="M1718">
            <v>3174</v>
          </cell>
          <cell r="N1718">
            <v>3323</v>
          </cell>
          <cell r="O1718">
            <v>3358</v>
          </cell>
          <cell r="P1718">
            <v>3308</v>
          </cell>
          <cell r="Q1718">
            <v>3030</v>
          </cell>
          <cell r="R1718">
            <v>2995</v>
          </cell>
          <cell r="S1718">
            <v>2768</v>
          </cell>
          <cell r="T1718">
            <v>2805</v>
          </cell>
          <cell r="U1718">
            <v>2790</v>
          </cell>
          <cell r="V1718">
            <v>2718</v>
          </cell>
          <cell r="W1718">
            <v>2807</v>
          </cell>
          <cell r="X1718">
            <v>2606</v>
          </cell>
          <cell r="Y1718">
            <v>2343</v>
          </cell>
          <cell r="Z1718">
            <v>2778</v>
          </cell>
          <cell r="AA1718">
            <v>2600</v>
          </cell>
          <cell r="AB1718">
            <v>2460</v>
          </cell>
          <cell r="AC1718">
            <v>2503</v>
          </cell>
          <cell r="AD1718">
            <v>2751</v>
          </cell>
          <cell r="AE1718">
            <v>2952</v>
          </cell>
          <cell r="AF1718">
            <v>2733</v>
          </cell>
          <cell r="AG1718">
            <v>2454</v>
          </cell>
          <cell r="AH1718">
            <v>2490</v>
          </cell>
          <cell r="AI1718">
            <v>2355</v>
          </cell>
          <cell r="AJ1718">
            <v>2108</v>
          </cell>
        </row>
        <row r="1719">
          <cell r="E1719" t="str">
            <v>WV Transportation Lubricants</v>
          </cell>
          <cell r="F1719">
            <v>1553</v>
          </cell>
          <cell r="G1719">
            <v>1389</v>
          </cell>
          <cell r="H1719">
            <v>1417</v>
          </cell>
          <cell r="I1719">
            <v>1442</v>
          </cell>
          <cell r="J1719">
            <v>1508</v>
          </cell>
          <cell r="K1719">
            <v>1482</v>
          </cell>
          <cell r="L1719">
            <v>1438</v>
          </cell>
          <cell r="M1719">
            <v>1519</v>
          </cell>
          <cell r="N1719">
            <v>1590</v>
          </cell>
          <cell r="O1719">
            <v>1607</v>
          </cell>
          <cell r="P1719">
            <v>1583</v>
          </cell>
          <cell r="Q1719">
            <v>1450</v>
          </cell>
          <cell r="R1719">
            <v>1433</v>
          </cell>
          <cell r="S1719">
            <v>1325</v>
          </cell>
          <cell r="T1719">
            <v>1342</v>
          </cell>
          <cell r="U1719">
            <v>1335</v>
          </cell>
          <cell r="V1719">
            <v>1301</v>
          </cell>
          <cell r="W1719">
            <v>1343</v>
          </cell>
          <cell r="X1719">
            <v>1247</v>
          </cell>
          <cell r="Y1719">
            <v>1121</v>
          </cell>
          <cell r="Z1719">
            <v>1026</v>
          </cell>
          <cell r="AA1719">
            <v>949</v>
          </cell>
          <cell r="AB1719">
            <v>878</v>
          </cell>
          <cell r="AC1719">
            <v>890</v>
          </cell>
          <cell r="AD1719">
            <v>892</v>
          </cell>
          <cell r="AE1719">
            <v>1033</v>
          </cell>
          <cell r="AF1719">
            <v>1171</v>
          </cell>
          <cell r="AG1719">
            <v>989</v>
          </cell>
          <cell r="AH1719">
            <v>1114</v>
          </cell>
          <cell r="AI1719">
            <v>942</v>
          </cell>
          <cell r="AJ1719">
            <v>806</v>
          </cell>
        </row>
        <row r="1720">
          <cell r="E1720" t="str">
            <v>WY Transportation Lubricants</v>
          </cell>
          <cell r="F1720">
            <v>935</v>
          </cell>
          <cell r="G1720">
            <v>837</v>
          </cell>
          <cell r="H1720">
            <v>853</v>
          </cell>
          <cell r="I1720">
            <v>869</v>
          </cell>
          <cell r="J1720">
            <v>908</v>
          </cell>
          <cell r="K1720">
            <v>892</v>
          </cell>
          <cell r="L1720">
            <v>866</v>
          </cell>
          <cell r="M1720">
            <v>915</v>
          </cell>
          <cell r="N1720">
            <v>958</v>
          </cell>
          <cell r="O1720">
            <v>968</v>
          </cell>
          <cell r="P1720">
            <v>953</v>
          </cell>
          <cell r="Q1720">
            <v>873</v>
          </cell>
          <cell r="R1720">
            <v>863</v>
          </cell>
          <cell r="S1720">
            <v>798</v>
          </cell>
          <cell r="T1720">
            <v>808</v>
          </cell>
          <cell r="U1720">
            <v>804</v>
          </cell>
          <cell r="V1720">
            <v>783</v>
          </cell>
          <cell r="W1720">
            <v>809</v>
          </cell>
          <cell r="X1720">
            <v>751</v>
          </cell>
          <cell r="Y1720">
            <v>675</v>
          </cell>
          <cell r="Z1720">
            <v>868</v>
          </cell>
          <cell r="AA1720">
            <v>766</v>
          </cell>
          <cell r="AB1720">
            <v>778</v>
          </cell>
          <cell r="AC1720">
            <v>770</v>
          </cell>
          <cell r="AD1720">
            <v>823</v>
          </cell>
          <cell r="AE1720">
            <v>848</v>
          </cell>
          <cell r="AF1720">
            <v>800</v>
          </cell>
          <cell r="AG1720">
            <v>718</v>
          </cell>
          <cell r="AH1720">
            <v>706</v>
          </cell>
          <cell r="AI1720">
            <v>695</v>
          </cell>
          <cell r="AJ1720">
            <v>617</v>
          </cell>
        </row>
        <row r="1721">
          <cell r="E1721" t="str">
            <v>AK Industrial Lubricants</v>
          </cell>
          <cell r="F1721">
            <v>128</v>
          </cell>
          <cell r="G1721">
            <v>115</v>
          </cell>
          <cell r="H1721">
            <v>117</v>
          </cell>
          <cell r="I1721">
            <v>119</v>
          </cell>
          <cell r="J1721">
            <v>124</v>
          </cell>
          <cell r="K1721">
            <v>122</v>
          </cell>
          <cell r="L1721">
            <v>119</v>
          </cell>
          <cell r="M1721">
            <v>125</v>
          </cell>
          <cell r="N1721">
            <v>131</v>
          </cell>
          <cell r="O1721">
            <v>132</v>
          </cell>
          <cell r="P1721">
            <v>130</v>
          </cell>
          <cell r="Q1721">
            <v>120</v>
          </cell>
          <cell r="R1721">
            <v>118</v>
          </cell>
          <cell r="S1721">
            <v>109</v>
          </cell>
          <cell r="T1721">
            <v>111</v>
          </cell>
          <cell r="U1721">
            <v>110</v>
          </cell>
          <cell r="V1721">
            <v>107</v>
          </cell>
          <cell r="W1721">
            <v>111</v>
          </cell>
          <cell r="X1721">
            <v>103</v>
          </cell>
          <cell r="Y1721">
            <v>92</v>
          </cell>
          <cell r="Z1721">
            <v>1968</v>
          </cell>
          <cell r="AA1721">
            <v>1858</v>
          </cell>
          <cell r="AB1721">
            <v>1864</v>
          </cell>
          <cell r="AC1721">
            <v>1657</v>
          </cell>
          <cell r="AD1721">
            <v>1553</v>
          </cell>
          <cell r="AE1721">
            <v>1608</v>
          </cell>
          <cell r="AF1721">
            <v>1483</v>
          </cell>
          <cell r="AG1721">
            <v>1340</v>
          </cell>
          <cell r="AH1721">
            <v>1166</v>
          </cell>
          <cell r="AI1721">
            <v>1114</v>
          </cell>
          <cell r="AJ1721">
            <v>1024</v>
          </cell>
        </row>
        <row r="1722">
          <cell r="E1722" t="str">
            <v>AL Industrial Lubricants</v>
          </cell>
          <cell r="F1722">
            <v>3145</v>
          </cell>
          <cell r="G1722">
            <v>2814</v>
          </cell>
          <cell r="H1722">
            <v>2869</v>
          </cell>
          <cell r="I1722">
            <v>2921</v>
          </cell>
          <cell r="J1722">
            <v>3053</v>
          </cell>
          <cell r="K1722">
            <v>3001</v>
          </cell>
          <cell r="L1722">
            <v>2912</v>
          </cell>
          <cell r="M1722">
            <v>3076</v>
          </cell>
          <cell r="N1722">
            <v>3221</v>
          </cell>
          <cell r="O1722">
            <v>3254</v>
          </cell>
          <cell r="P1722">
            <v>3205</v>
          </cell>
          <cell r="Q1722">
            <v>2937</v>
          </cell>
          <cell r="R1722">
            <v>2902</v>
          </cell>
          <cell r="S1722">
            <v>2683</v>
          </cell>
          <cell r="T1722">
            <v>2718</v>
          </cell>
          <cell r="U1722">
            <v>2704</v>
          </cell>
          <cell r="V1722">
            <v>2634</v>
          </cell>
          <cell r="W1722">
            <v>2720</v>
          </cell>
          <cell r="X1722">
            <v>2526</v>
          </cell>
          <cell r="Y1722">
            <v>2271</v>
          </cell>
          <cell r="Z1722">
            <v>1929</v>
          </cell>
          <cell r="AA1722">
            <v>1895</v>
          </cell>
          <cell r="AB1722">
            <v>1830</v>
          </cell>
          <cell r="AC1722">
            <v>1904</v>
          </cell>
          <cell r="AD1722">
            <v>1847</v>
          </cell>
          <cell r="AE1722">
            <v>1916</v>
          </cell>
          <cell r="AF1722">
            <v>1904</v>
          </cell>
          <cell r="AG1722">
            <v>1798</v>
          </cell>
          <cell r="AH1722">
            <v>1747</v>
          </cell>
          <cell r="AI1722">
            <v>1610</v>
          </cell>
          <cell r="AJ1722">
            <v>1643</v>
          </cell>
        </row>
        <row r="1723">
          <cell r="E1723" t="str">
            <v>AR Industrial Lubricants</v>
          </cell>
          <cell r="F1723">
            <v>1664</v>
          </cell>
          <cell r="G1723">
            <v>1489</v>
          </cell>
          <cell r="H1723">
            <v>1518</v>
          </cell>
          <cell r="I1723">
            <v>1546</v>
          </cell>
          <cell r="J1723">
            <v>1616</v>
          </cell>
          <cell r="K1723">
            <v>1588</v>
          </cell>
          <cell r="L1723">
            <v>1541</v>
          </cell>
          <cell r="M1723">
            <v>1628</v>
          </cell>
          <cell r="N1723">
            <v>1704</v>
          </cell>
          <cell r="O1723">
            <v>1722</v>
          </cell>
          <cell r="P1723">
            <v>1696</v>
          </cell>
          <cell r="Q1723">
            <v>1554</v>
          </cell>
          <cell r="R1723">
            <v>1536</v>
          </cell>
          <cell r="S1723">
            <v>1420</v>
          </cell>
          <cell r="T1723">
            <v>1438</v>
          </cell>
          <cell r="U1723">
            <v>1431</v>
          </cell>
          <cell r="V1723">
            <v>1394</v>
          </cell>
          <cell r="W1723">
            <v>1440</v>
          </cell>
          <cell r="X1723">
            <v>1337</v>
          </cell>
          <cell r="Y1723">
            <v>1202</v>
          </cell>
          <cell r="Z1723">
            <v>1403</v>
          </cell>
          <cell r="AA1723">
            <v>1411</v>
          </cell>
          <cell r="AB1723">
            <v>1232</v>
          </cell>
          <cell r="AC1723">
            <v>1234</v>
          </cell>
          <cell r="AD1723">
            <v>1225</v>
          </cell>
          <cell r="AE1723">
            <v>1192</v>
          </cell>
          <cell r="AF1723">
            <v>1102</v>
          </cell>
          <cell r="AG1723">
            <v>990</v>
          </cell>
          <cell r="AH1723">
            <v>1018</v>
          </cell>
          <cell r="AI1723">
            <v>938</v>
          </cell>
          <cell r="AJ1723">
            <v>932</v>
          </cell>
        </row>
        <row r="1724">
          <cell r="E1724" t="str">
            <v>AZ Industrial Lubricants</v>
          </cell>
          <cell r="F1724">
            <v>1642</v>
          </cell>
          <cell r="G1724">
            <v>1469</v>
          </cell>
          <cell r="H1724">
            <v>1498</v>
          </cell>
          <cell r="I1724">
            <v>1525</v>
          </cell>
          <cell r="J1724">
            <v>1594</v>
          </cell>
          <cell r="K1724">
            <v>1567</v>
          </cell>
          <cell r="L1724">
            <v>1521</v>
          </cell>
          <cell r="M1724">
            <v>1606</v>
          </cell>
          <cell r="N1724">
            <v>1682</v>
          </cell>
          <cell r="O1724">
            <v>1699</v>
          </cell>
          <cell r="P1724">
            <v>1674</v>
          </cell>
          <cell r="Q1724">
            <v>1533</v>
          </cell>
          <cell r="R1724">
            <v>1515</v>
          </cell>
          <cell r="S1724">
            <v>1401</v>
          </cell>
          <cell r="T1724">
            <v>1419</v>
          </cell>
          <cell r="U1724">
            <v>1412</v>
          </cell>
          <cell r="V1724">
            <v>1375</v>
          </cell>
          <cell r="W1724">
            <v>1420</v>
          </cell>
          <cell r="X1724">
            <v>1319</v>
          </cell>
          <cell r="Y1724">
            <v>1186</v>
          </cell>
          <cell r="Z1724">
            <v>1718</v>
          </cell>
          <cell r="AA1724">
            <v>1695</v>
          </cell>
          <cell r="AB1724">
            <v>1428</v>
          </cell>
          <cell r="AC1724">
            <v>1437</v>
          </cell>
          <cell r="AD1724">
            <v>1492</v>
          </cell>
          <cell r="AE1724">
            <v>1460</v>
          </cell>
          <cell r="AF1724">
            <v>1353</v>
          </cell>
          <cell r="AG1724">
            <v>1417</v>
          </cell>
          <cell r="AH1724">
            <v>1418</v>
          </cell>
          <cell r="AI1724">
            <v>1356</v>
          </cell>
          <cell r="AJ1724">
            <v>1314</v>
          </cell>
        </row>
        <row r="1725">
          <cell r="E1725" t="str">
            <v>CA Industrial Lubricants</v>
          </cell>
          <cell r="F1725">
            <v>13060</v>
          </cell>
          <cell r="G1725">
            <v>11683</v>
          </cell>
          <cell r="H1725">
            <v>11912</v>
          </cell>
          <cell r="I1725">
            <v>12129</v>
          </cell>
          <cell r="J1725">
            <v>12677</v>
          </cell>
          <cell r="K1725">
            <v>12460</v>
          </cell>
          <cell r="L1725">
            <v>12092</v>
          </cell>
          <cell r="M1725">
            <v>12774</v>
          </cell>
          <cell r="N1725">
            <v>13372</v>
          </cell>
          <cell r="O1725">
            <v>13512</v>
          </cell>
          <cell r="P1725">
            <v>13310</v>
          </cell>
          <cell r="Q1725">
            <v>12194</v>
          </cell>
          <cell r="R1725">
            <v>12050</v>
          </cell>
          <cell r="S1725">
            <v>11140</v>
          </cell>
          <cell r="T1725">
            <v>11286</v>
          </cell>
          <cell r="U1725">
            <v>11227</v>
          </cell>
          <cell r="V1725">
            <v>10939</v>
          </cell>
          <cell r="W1725">
            <v>11296</v>
          </cell>
          <cell r="X1725">
            <v>10487</v>
          </cell>
          <cell r="Y1725">
            <v>9429</v>
          </cell>
          <cell r="Z1725">
            <v>12490</v>
          </cell>
          <cell r="AA1725">
            <v>10870</v>
          </cell>
          <cell r="AB1725">
            <v>10300</v>
          </cell>
          <cell r="AC1725">
            <v>10877</v>
          </cell>
          <cell r="AD1725">
            <v>11081</v>
          </cell>
          <cell r="AE1725">
            <v>11927</v>
          </cell>
          <cell r="AF1725">
            <v>11670</v>
          </cell>
          <cell r="AG1725">
            <v>11097</v>
          </cell>
          <cell r="AH1725">
            <v>11085</v>
          </cell>
          <cell r="AI1725">
            <v>10706</v>
          </cell>
          <cell r="AJ1725">
            <v>10053</v>
          </cell>
        </row>
        <row r="1726">
          <cell r="E1726" t="str">
            <v>CO Industrial Lubricants</v>
          </cell>
          <cell r="F1726">
            <v>1481</v>
          </cell>
          <cell r="G1726">
            <v>1325</v>
          </cell>
          <cell r="H1726">
            <v>1351</v>
          </cell>
          <cell r="I1726">
            <v>1375</v>
          </cell>
          <cell r="J1726">
            <v>1437</v>
          </cell>
          <cell r="K1726">
            <v>1413</v>
          </cell>
          <cell r="L1726">
            <v>1371</v>
          </cell>
          <cell r="M1726">
            <v>1448</v>
          </cell>
          <cell r="N1726">
            <v>1516</v>
          </cell>
          <cell r="O1726">
            <v>1532</v>
          </cell>
          <cell r="P1726">
            <v>1509</v>
          </cell>
          <cell r="Q1726">
            <v>1383</v>
          </cell>
          <cell r="R1726">
            <v>1366</v>
          </cell>
          <cell r="S1726">
            <v>1263</v>
          </cell>
          <cell r="T1726">
            <v>1280</v>
          </cell>
          <cell r="U1726">
            <v>1273</v>
          </cell>
          <cell r="V1726">
            <v>1240</v>
          </cell>
          <cell r="W1726">
            <v>1281</v>
          </cell>
          <cell r="X1726">
            <v>1189</v>
          </cell>
          <cell r="Y1726">
            <v>1069</v>
          </cell>
          <cell r="Z1726">
            <v>2557</v>
          </cell>
          <cell r="AA1726">
            <v>2444</v>
          </cell>
          <cell r="AB1726">
            <v>2242</v>
          </cell>
          <cell r="AC1726">
            <v>2436</v>
          </cell>
          <cell r="AD1726">
            <v>2930</v>
          </cell>
          <cell r="AE1726">
            <v>3423</v>
          </cell>
          <cell r="AF1726">
            <v>3382</v>
          </cell>
          <cell r="AG1726">
            <v>3177</v>
          </cell>
          <cell r="AH1726">
            <v>3096</v>
          </cell>
          <cell r="AI1726">
            <v>3057</v>
          </cell>
          <cell r="AJ1726">
            <v>2635</v>
          </cell>
        </row>
        <row r="1727">
          <cell r="E1727" t="str">
            <v>CT Industrial Lubricants</v>
          </cell>
          <cell r="F1727">
            <v>1291</v>
          </cell>
          <cell r="G1727">
            <v>1155</v>
          </cell>
          <cell r="H1727">
            <v>1178</v>
          </cell>
          <cell r="I1727">
            <v>1199</v>
          </cell>
          <cell r="J1727">
            <v>1254</v>
          </cell>
          <cell r="K1727">
            <v>1232</v>
          </cell>
          <cell r="L1727">
            <v>1196</v>
          </cell>
          <cell r="M1727">
            <v>1263</v>
          </cell>
          <cell r="N1727">
            <v>1322</v>
          </cell>
          <cell r="O1727">
            <v>1336</v>
          </cell>
          <cell r="P1727">
            <v>1316</v>
          </cell>
          <cell r="Q1727">
            <v>1206</v>
          </cell>
          <cell r="R1727">
            <v>1192</v>
          </cell>
          <cell r="S1727">
            <v>1102</v>
          </cell>
          <cell r="T1727">
            <v>1116</v>
          </cell>
          <cell r="U1727">
            <v>1110</v>
          </cell>
          <cell r="V1727">
            <v>1082</v>
          </cell>
          <cell r="W1727">
            <v>1117</v>
          </cell>
          <cell r="X1727">
            <v>1037</v>
          </cell>
          <cell r="Y1727">
            <v>932</v>
          </cell>
          <cell r="Z1727">
            <v>1545</v>
          </cell>
          <cell r="AA1727">
            <v>1401</v>
          </cell>
          <cell r="AB1727">
            <v>1205</v>
          </cell>
          <cell r="AC1727">
            <v>1310</v>
          </cell>
          <cell r="AD1727">
            <v>1259</v>
          </cell>
          <cell r="AE1727">
            <v>1211</v>
          </cell>
          <cell r="AF1727">
            <v>1105</v>
          </cell>
          <cell r="AG1727">
            <v>980</v>
          </cell>
          <cell r="AH1727">
            <v>995</v>
          </cell>
          <cell r="AI1727">
            <v>947</v>
          </cell>
          <cell r="AJ1727">
            <v>878</v>
          </cell>
        </row>
        <row r="1728">
          <cell r="E1728" t="str">
            <v>DC Industrial Lubricants</v>
          </cell>
          <cell r="F1728">
            <v>45</v>
          </cell>
          <cell r="G1728">
            <v>40</v>
          </cell>
          <cell r="H1728">
            <v>41</v>
          </cell>
          <cell r="I1728">
            <v>41</v>
          </cell>
          <cell r="J1728">
            <v>43</v>
          </cell>
          <cell r="K1728">
            <v>42</v>
          </cell>
          <cell r="L1728">
            <v>41</v>
          </cell>
          <cell r="M1728">
            <v>44</v>
          </cell>
          <cell r="N1728">
            <v>46</v>
          </cell>
          <cell r="O1728">
            <v>46</v>
          </cell>
          <cell r="P1728">
            <v>45</v>
          </cell>
          <cell r="Q1728">
            <v>42</v>
          </cell>
          <cell r="R1728">
            <v>41</v>
          </cell>
          <cell r="S1728">
            <v>38</v>
          </cell>
          <cell r="T1728">
            <v>38</v>
          </cell>
          <cell r="U1728">
            <v>38</v>
          </cell>
          <cell r="V1728">
            <v>37</v>
          </cell>
          <cell r="W1728">
            <v>39</v>
          </cell>
          <cell r="X1728">
            <v>36</v>
          </cell>
          <cell r="Y1728">
            <v>32</v>
          </cell>
          <cell r="Z1728">
            <v>39</v>
          </cell>
          <cell r="AA1728">
            <v>42</v>
          </cell>
          <cell r="AB1728">
            <v>42</v>
          </cell>
          <cell r="AC1728">
            <v>44</v>
          </cell>
          <cell r="AD1728">
            <v>42</v>
          </cell>
          <cell r="AE1728">
            <v>42</v>
          </cell>
          <cell r="AF1728">
            <v>39</v>
          </cell>
          <cell r="AG1728">
            <v>39</v>
          </cell>
          <cell r="AH1728">
            <v>39</v>
          </cell>
          <cell r="AI1728">
            <v>36</v>
          </cell>
          <cell r="AJ1728">
            <v>35</v>
          </cell>
        </row>
        <row r="1729">
          <cell r="E1729" t="str">
            <v>DE Industrial Lubricants</v>
          </cell>
          <cell r="F1729">
            <v>468</v>
          </cell>
          <cell r="G1729">
            <v>418</v>
          </cell>
          <cell r="H1729">
            <v>427</v>
          </cell>
          <cell r="I1729">
            <v>434</v>
          </cell>
          <cell r="J1729">
            <v>454</v>
          </cell>
          <cell r="K1729">
            <v>446</v>
          </cell>
          <cell r="L1729">
            <v>433</v>
          </cell>
          <cell r="M1729">
            <v>457</v>
          </cell>
          <cell r="N1729">
            <v>479</v>
          </cell>
          <cell r="O1729">
            <v>484</v>
          </cell>
          <cell r="P1729">
            <v>477</v>
          </cell>
          <cell r="Q1729">
            <v>437</v>
          </cell>
          <cell r="R1729">
            <v>431</v>
          </cell>
          <cell r="S1729">
            <v>399</v>
          </cell>
          <cell r="T1729">
            <v>404</v>
          </cell>
          <cell r="U1729">
            <v>402</v>
          </cell>
          <cell r="V1729">
            <v>392</v>
          </cell>
          <cell r="W1729">
            <v>404</v>
          </cell>
          <cell r="X1729">
            <v>375</v>
          </cell>
          <cell r="Y1729">
            <v>338</v>
          </cell>
          <cell r="Z1729">
            <v>260</v>
          </cell>
          <cell r="AA1729">
            <v>243</v>
          </cell>
          <cell r="AB1729">
            <v>184</v>
          </cell>
          <cell r="AC1729">
            <v>193</v>
          </cell>
          <cell r="AD1729">
            <v>193</v>
          </cell>
          <cell r="AE1729">
            <v>243</v>
          </cell>
          <cell r="AF1729">
            <v>193</v>
          </cell>
          <cell r="AG1729">
            <v>198</v>
          </cell>
          <cell r="AH1729">
            <v>186</v>
          </cell>
          <cell r="AI1729">
            <v>194</v>
          </cell>
          <cell r="AJ1729">
            <v>182</v>
          </cell>
        </row>
        <row r="1730">
          <cell r="E1730" t="str">
            <v>FL Industrial Lubricants</v>
          </cell>
          <cell r="F1730">
            <v>3752</v>
          </cell>
          <cell r="G1730">
            <v>3357</v>
          </cell>
          <cell r="H1730">
            <v>3422</v>
          </cell>
          <cell r="I1730">
            <v>3485</v>
          </cell>
          <cell r="J1730">
            <v>3642</v>
          </cell>
          <cell r="K1730">
            <v>3580</v>
          </cell>
          <cell r="L1730">
            <v>3474</v>
          </cell>
          <cell r="M1730">
            <v>3670</v>
          </cell>
          <cell r="N1730">
            <v>3842</v>
          </cell>
          <cell r="O1730">
            <v>3882</v>
          </cell>
          <cell r="P1730">
            <v>3824</v>
          </cell>
          <cell r="Q1730">
            <v>3503</v>
          </cell>
          <cell r="R1730">
            <v>3462</v>
          </cell>
          <cell r="S1730">
            <v>3201</v>
          </cell>
          <cell r="T1730">
            <v>3242</v>
          </cell>
          <cell r="U1730">
            <v>3226</v>
          </cell>
          <cell r="V1730">
            <v>3143</v>
          </cell>
          <cell r="W1730">
            <v>3245</v>
          </cell>
          <cell r="X1730">
            <v>3013</v>
          </cell>
          <cell r="Y1730">
            <v>2709</v>
          </cell>
          <cell r="Z1730">
            <v>2823</v>
          </cell>
          <cell r="AA1730">
            <v>2614</v>
          </cell>
          <cell r="AB1730">
            <v>2206</v>
          </cell>
          <cell r="AC1730">
            <v>2299</v>
          </cell>
          <cell r="AD1730">
            <v>2429</v>
          </cell>
          <cell r="AE1730">
            <v>2739</v>
          </cell>
          <cell r="AF1730">
            <v>2976</v>
          </cell>
          <cell r="AG1730">
            <v>2846</v>
          </cell>
          <cell r="AH1730">
            <v>2813</v>
          </cell>
          <cell r="AI1730">
            <v>2655</v>
          </cell>
          <cell r="AJ1730">
            <v>2634</v>
          </cell>
        </row>
        <row r="1731">
          <cell r="E1731" t="str">
            <v>GA Industrial Lubricants</v>
          </cell>
          <cell r="F1731">
            <v>3925</v>
          </cell>
          <cell r="G1731">
            <v>3511</v>
          </cell>
          <cell r="H1731">
            <v>3580</v>
          </cell>
          <cell r="I1731">
            <v>3645</v>
          </cell>
          <cell r="J1731">
            <v>3810</v>
          </cell>
          <cell r="K1731">
            <v>3744</v>
          </cell>
          <cell r="L1731">
            <v>3634</v>
          </cell>
          <cell r="M1731">
            <v>3839</v>
          </cell>
          <cell r="N1731">
            <v>4019</v>
          </cell>
          <cell r="O1731">
            <v>4061</v>
          </cell>
          <cell r="P1731">
            <v>4000</v>
          </cell>
          <cell r="Q1731">
            <v>3665</v>
          </cell>
          <cell r="R1731">
            <v>3621</v>
          </cell>
          <cell r="S1731">
            <v>3348</v>
          </cell>
          <cell r="T1731">
            <v>3392</v>
          </cell>
          <cell r="U1731">
            <v>3374</v>
          </cell>
          <cell r="V1731">
            <v>3287</v>
          </cell>
          <cell r="W1731">
            <v>3395</v>
          </cell>
          <cell r="X1731">
            <v>3151</v>
          </cell>
          <cell r="Y1731">
            <v>2833</v>
          </cell>
          <cell r="Z1731">
            <v>2814</v>
          </cell>
          <cell r="AA1731">
            <v>2587</v>
          </cell>
          <cell r="AB1731">
            <v>2381</v>
          </cell>
          <cell r="AC1731">
            <v>2472</v>
          </cell>
          <cell r="AD1731">
            <v>2463</v>
          </cell>
          <cell r="AE1731">
            <v>2694</v>
          </cell>
          <cell r="AF1731">
            <v>2732</v>
          </cell>
          <cell r="AG1731">
            <v>2612</v>
          </cell>
          <cell r="AH1731">
            <v>2495</v>
          </cell>
          <cell r="AI1731">
            <v>2296</v>
          </cell>
          <cell r="AJ1731">
            <v>2102</v>
          </cell>
        </row>
        <row r="1732">
          <cell r="E1732" t="str">
            <v>HI Industrial Lubricants</v>
          </cell>
          <cell r="F1732">
            <v>122</v>
          </cell>
          <cell r="G1732">
            <v>110</v>
          </cell>
          <cell r="H1732">
            <v>112</v>
          </cell>
          <cell r="I1732">
            <v>114</v>
          </cell>
          <cell r="J1732">
            <v>119</v>
          </cell>
          <cell r="K1732">
            <v>117</v>
          </cell>
          <cell r="L1732">
            <v>113</v>
          </cell>
          <cell r="M1732">
            <v>120</v>
          </cell>
          <cell r="N1732">
            <v>125</v>
          </cell>
          <cell r="O1732">
            <v>127</v>
          </cell>
          <cell r="P1732">
            <v>125</v>
          </cell>
          <cell r="Q1732">
            <v>114</v>
          </cell>
          <cell r="R1732">
            <v>113</v>
          </cell>
          <cell r="S1732">
            <v>104</v>
          </cell>
          <cell r="T1732">
            <v>106</v>
          </cell>
          <cell r="U1732">
            <v>105</v>
          </cell>
          <cell r="V1732">
            <v>103</v>
          </cell>
          <cell r="W1732">
            <v>106</v>
          </cell>
          <cell r="X1732">
            <v>98</v>
          </cell>
          <cell r="Y1732">
            <v>88</v>
          </cell>
          <cell r="Z1732">
            <v>188</v>
          </cell>
          <cell r="AA1732">
            <v>164</v>
          </cell>
          <cell r="AB1732">
            <v>148</v>
          </cell>
          <cell r="AC1732">
            <v>152</v>
          </cell>
          <cell r="AD1732">
            <v>156</v>
          </cell>
          <cell r="AE1732">
            <v>172</v>
          </cell>
          <cell r="AF1732">
            <v>177</v>
          </cell>
          <cell r="AG1732">
            <v>155</v>
          </cell>
          <cell r="AH1732">
            <v>148</v>
          </cell>
          <cell r="AI1732">
            <v>131</v>
          </cell>
          <cell r="AJ1732">
            <v>122</v>
          </cell>
        </row>
        <row r="1733">
          <cell r="E1733" t="str">
            <v>IA Industrial Lubricants</v>
          </cell>
          <cell r="F1733">
            <v>1191</v>
          </cell>
          <cell r="G1733">
            <v>1066</v>
          </cell>
          <cell r="H1733">
            <v>1087</v>
          </cell>
          <cell r="I1733">
            <v>1106</v>
          </cell>
          <cell r="J1733">
            <v>1156</v>
          </cell>
          <cell r="K1733">
            <v>1137</v>
          </cell>
          <cell r="L1733">
            <v>1103</v>
          </cell>
          <cell r="M1733">
            <v>1165</v>
          </cell>
          <cell r="N1733">
            <v>1220</v>
          </cell>
          <cell r="O1733">
            <v>1233</v>
          </cell>
          <cell r="P1733">
            <v>1214</v>
          </cell>
          <cell r="Q1733">
            <v>1112</v>
          </cell>
          <cell r="R1733">
            <v>1099</v>
          </cell>
          <cell r="S1733">
            <v>1016</v>
          </cell>
          <cell r="T1733">
            <v>1030</v>
          </cell>
          <cell r="U1733">
            <v>1024</v>
          </cell>
          <cell r="V1733">
            <v>998</v>
          </cell>
          <cell r="W1733">
            <v>1030</v>
          </cell>
          <cell r="X1733">
            <v>957</v>
          </cell>
          <cell r="Y1733">
            <v>860</v>
          </cell>
          <cell r="Z1733">
            <v>1549</v>
          </cell>
          <cell r="AA1733">
            <v>1391</v>
          </cell>
          <cell r="AB1733">
            <v>1274</v>
          </cell>
          <cell r="AC1733">
            <v>1375</v>
          </cell>
          <cell r="AD1733">
            <v>1405</v>
          </cell>
          <cell r="AE1733">
            <v>1575</v>
          </cell>
          <cell r="AF1733">
            <v>1416</v>
          </cell>
          <cell r="AG1733">
            <v>1337</v>
          </cell>
          <cell r="AH1733">
            <v>1360</v>
          </cell>
          <cell r="AI1733">
            <v>1256</v>
          </cell>
          <cell r="AJ1733">
            <v>1204</v>
          </cell>
        </row>
        <row r="1734">
          <cell r="E1734" t="str">
            <v>ID Industrial Lubricants</v>
          </cell>
          <cell r="F1734">
            <v>273</v>
          </cell>
          <cell r="G1734">
            <v>244</v>
          </cell>
          <cell r="H1734">
            <v>249</v>
          </cell>
          <cell r="I1734">
            <v>253</v>
          </cell>
          <cell r="J1734">
            <v>265</v>
          </cell>
          <cell r="K1734">
            <v>260</v>
          </cell>
          <cell r="L1734">
            <v>253</v>
          </cell>
          <cell r="M1734">
            <v>267</v>
          </cell>
          <cell r="N1734">
            <v>279</v>
          </cell>
          <cell r="O1734">
            <v>282</v>
          </cell>
          <cell r="P1734">
            <v>278</v>
          </cell>
          <cell r="Q1734">
            <v>255</v>
          </cell>
          <cell r="R1734">
            <v>252</v>
          </cell>
          <cell r="S1734">
            <v>233</v>
          </cell>
          <cell r="T1734">
            <v>236</v>
          </cell>
          <cell r="U1734">
            <v>235</v>
          </cell>
          <cell r="V1734">
            <v>228</v>
          </cell>
          <cell r="W1734">
            <v>236</v>
          </cell>
          <cell r="X1734">
            <v>219</v>
          </cell>
          <cell r="Y1734">
            <v>197</v>
          </cell>
          <cell r="Z1734">
            <v>482</v>
          </cell>
          <cell r="AA1734">
            <v>463</v>
          </cell>
          <cell r="AB1734">
            <v>391</v>
          </cell>
          <cell r="AC1734">
            <v>440</v>
          </cell>
          <cell r="AD1734">
            <v>482</v>
          </cell>
          <cell r="AE1734">
            <v>458</v>
          </cell>
          <cell r="AF1734">
            <v>468</v>
          </cell>
          <cell r="AG1734">
            <v>376</v>
          </cell>
          <cell r="AH1734">
            <v>376</v>
          </cell>
          <cell r="AI1734">
            <v>362</v>
          </cell>
          <cell r="AJ1734">
            <v>368</v>
          </cell>
        </row>
        <row r="1735">
          <cell r="E1735" t="str">
            <v>IL Industrial Lubricants</v>
          </cell>
          <cell r="F1735">
            <v>12163</v>
          </cell>
          <cell r="G1735">
            <v>10882</v>
          </cell>
          <cell r="H1735">
            <v>11094</v>
          </cell>
          <cell r="I1735">
            <v>11297</v>
          </cell>
          <cell r="J1735">
            <v>11807</v>
          </cell>
          <cell r="K1735">
            <v>11605</v>
          </cell>
          <cell r="L1735">
            <v>11262</v>
          </cell>
          <cell r="M1735">
            <v>11897</v>
          </cell>
          <cell r="N1735">
            <v>12455</v>
          </cell>
          <cell r="O1735">
            <v>12585</v>
          </cell>
          <cell r="P1735">
            <v>12396</v>
          </cell>
          <cell r="Q1735">
            <v>11358</v>
          </cell>
          <cell r="R1735">
            <v>11223</v>
          </cell>
          <cell r="S1735">
            <v>10376</v>
          </cell>
          <cell r="T1735">
            <v>10512</v>
          </cell>
          <cell r="U1735">
            <v>10457</v>
          </cell>
          <cell r="V1735">
            <v>10188</v>
          </cell>
          <cell r="W1735">
            <v>10521</v>
          </cell>
          <cell r="X1735">
            <v>9767</v>
          </cell>
          <cell r="Y1735">
            <v>8781</v>
          </cell>
          <cell r="Z1735">
            <v>4951</v>
          </cell>
          <cell r="AA1735">
            <v>4657</v>
          </cell>
          <cell r="AB1735">
            <v>4346</v>
          </cell>
          <cell r="AC1735">
            <v>4457</v>
          </cell>
          <cell r="AD1735">
            <v>4556</v>
          </cell>
          <cell r="AE1735">
            <v>4775</v>
          </cell>
          <cell r="AF1735">
            <v>4562</v>
          </cell>
          <cell r="AG1735">
            <v>4203</v>
          </cell>
          <cell r="AH1735">
            <v>4118</v>
          </cell>
          <cell r="AI1735">
            <v>3761</v>
          </cell>
          <cell r="AJ1735">
            <v>3603</v>
          </cell>
        </row>
        <row r="1736">
          <cell r="E1736" t="str">
            <v>IN Industrial Lubricants</v>
          </cell>
          <cell r="F1736">
            <v>6808</v>
          </cell>
          <cell r="G1736">
            <v>6091</v>
          </cell>
          <cell r="H1736">
            <v>6210</v>
          </cell>
          <cell r="I1736">
            <v>6323</v>
          </cell>
          <cell r="J1736">
            <v>6609</v>
          </cell>
          <cell r="K1736">
            <v>6495</v>
          </cell>
          <cell r="L1736">
            <v>6304</v>
          </cell>
          <cell r="M1736">
            <v>6659</v>
          </cell>
          <cell r="N1736">
            <v>6971</v>
          </cell>
          <cell r="O1736">
            <v>7044</v>
          </cell>
          <cell r="P1736">
            <v>6938</v>
          </cell>
          <cell r="Q1736">
            <v>6357</v>
          </cell>
          <cell r="R1736">
            <v>6282</v>
          </cell>
          <cell r="S1736">
            <v>5808</v>
          </cell>
          <cell r="T1736">
            <v>5884</v>
          </cell>
          <cell r="U1736">
            <v>5853</v>
          </cell>
          <cell r="V1736">
            <v>5702</v>
          </cell>
          <cell r="W1736">
            <v>5889</v>
          </cell>
          <cell r="X1736">
            <v>5467</v>
          </cell>
          <cell r="Y1736">
            <v>4915</v>
          </cell>
          <cell r="Z1736">
            <v>4853</v>
          </cell>
          <cell r="AA1736">
            <v>4236</v>
          </cell>
          <cell r="AB1736">
            <v>3834</v>
          </cell>
          <cell r="AC1736">
            <v>4325</v>
          </cell>
          <cell r="AD1736">
            <v>4365</v>
          </cell>
          <cell r="AE1736">
            <v>4540</v>
          </cell>
          <cell r="AF1736">
            <v>4531</v>
          </cell>
          <cell r="AG1736">
            <v>3919</v>
          </cell>
          <cell r="AH1736">
            <v>3958</v>
          </cell>
          <cell r="AI1736">
            <v>3637</v>
          </cell>
          <cell r="AJ1736">
            <v>3600</v>
          </cell>
        </row>
        <row r="1737">
          <cell r="E1737" t="str">
            <v>KS Industrial Lubricants</v>
          </cell>
          <cell r="F1737">
            <v>2533</v>
          </cell>
          <cell r="G1737">
            <v>2266</v>
          </cell>
          <cell r="H1737">
            <v>2310</v>
          </cell>
          <cell r="I1737">
            <v>2352</v>
          </cell>
          <cell r="J1737">
            <v>2459</v>
          </cell>
          <cell r="K1737">
            <v>2417</v>
          </cell>
          <cell r="L1737">
            <v>2345</v>
          </cell>
          <cell r="M1737">
            <v>2477</v>
          </cell>
          <cell r="N1737">
            <v>2594</v>
          </cell>
          <cell r="O1737">
            <v>2621</v>
          </cell>
          <cell r="P1737">
            <v>2581</v>
          </cell>
          <cell r="Q1737">
            <v>2365</v>
          </cell>
          <cell r="R1737">
            <v>2337</v>
          </cell>
          <cell r="S1737">
            <v>2161</v>
          </cell>
          <cell r="T1737">
            <v>2189</v>
          </cell>
          <cell r="U1737">
            <v>2178</v>
          </cell>
          <cell r="V1737">
            <v>2122</v>
          </cell>
          <cell r="W1737">
            <v>2191</v>
          </cell>
          <cell r="X1737">
            <v>2034</v>
          </cell>
          <cell r="Y1737">
            <v>1829</v>
          </cell>
          <cell r="Z1737">
            <v>1148</v>
          </cell>
          <cell r="AA1737">
            <v>1109</v>
          </cell>
          <cell r="AB1737">
            <v>1001</v>
          </cell>
          <cell r="AC1737">
            <v>963</v>
          </cell>
          <cell r="AD1737">
            <v>1052</v>
          </cell>
          <cell r="AE1737">
            <v>1091</v>
          </cell>
          <cell r="AF1737">
            <v>1036</v>
          </cell>
          <cell r="AG1737">
            <v>942</v>
          </cell>
          <cell r="AH1737">
            <v>949</v>
          </cell>
          <cell r="AI1737">
            <v>886</v>
          </cell>
          <cell r="AJ1737">
            <v>887</v>
          </cell>
        </row>
        <row r="1738">
          <cell r="E1738" t="str">
            <v>KY Industrial Lubricants</v>
          </cell>
          <cell r="F1738">
            <v>3346</v>
          </cell>
          <cell r="G1738">
            <v>2993</v>
          </cell>
          <cell r="H1738">
            <v>3052</v>
          </cell>
          <cell r="I1738">
            <v>3107</v>
          </cell>
          <cell r="J1738">
            <v>3248</v>
          </cell>
          <cell r="K1738">
            <v>3192</v>
          </cell>
          <cell r="L1738">
            <v>3098</v>
          </cell>
          <cell r="M1738">
            <v>3272</v>
          </cell>
          <cell r="N1738">
            <v>3426</v>
          </cell>
          <cell r="O1738">
            <v>3462</v>
          </cell>
          <cell r="P1738">
            <v>3410</v>
          </cell>
          <cell r="Q1738">
            <v>3124</v>
          </cell>
          <cell r="R1738">
            <v>3087</v>
          </cell>
          <cell r="S1738">
            <v>2854</v>
          </cell>
          <cell r="T1738">
            <v>2891</v>
          </cell>
          <cell r="U1738">
            <v>2876</v>
          </cell>
          <cell r="V1738">
            <v>2802</v>
          </cell>
          <cell r="W1738">
            <v>2894</v>
          </cell>
          <cell r="X1738">
            <v>2687</v>
          </cell>
          <cell r="Y1738">
            <v>2415</v>
          </cell>
          <cell r="Z1738">
            <v>2362</v>
          </cell>
          <cell r="AA1738">
            <v>2186</v>
          </cell>
          <cell r="AB1738">
            <v>1979</v>
          </cell>
          <cell r="AC1738">
            <v>2162</v>
          </cell>
          <cell r="AD1738">
            <v>2064</v>
          </cell>
          <cell r="AE1738">
            <v>2143</v>
          </cell>
          <cell r="AF1738">
            <v>1947</v>
          </cell>
          <cell r="AG1738">
            <v>1811</v>
          </cell>
          <cell r="AH1738">
            <v>1711</v>
          </cell>
          <cell r="AI1738">
            <v>1613</v>
          </cell>
          <cell r="AJ1738">
            <v>1585</v>
          </cell>
        </row>
        <row r="1739">
          <cell r="E1739" t="str">
            <v>LA Industrial Lubricants</v>
          </cell>
          <cell r="F1739">
            <v>7938</v>
          </cell>
          <cell r="G1739">
            <v>7102</v>
          </cell>
          <cell r="H1739">
            <v>7240</v>
          </cell>
          <cell r="I1739">
            <v>7373</v>
          </cell>
          <cell r="J1739">
            <v>7706</v>
          </cell>
          <cell r="K1739">
            <v>7573</v>
          </cell>
          <cell r="L1739">
            <v>7350</v>
          </cell>
          <cell r="M1739">
            <v>7764</v>
          </cell>
          <cell r="N1739">
            <v>8128</v>
          </cell>
          <cell r="O1739">
            <v>8213</v>
          </cell>
          <cell r="P1739">
            <v>8090</v>
          </cell>
          <cell r="Q1739">
            <v>7412</v>
          </cell>
          <cell r="R1739">
            <v>7325</v>
          </cell>
          <cell r="S1739">
            <v>6772</v>
          </cell>
          <cell r="T1739">
            <v>6860</v>
          </cell>
          <cell r="U1739">
            <v>6824</v>
          </cell>
          <cell r="V1739">
            <v>6649</v>
          </cell>
          <cell r="W1739">
            <v>6866</v>
          </cell>
          <cell r="X1739">
            <v>6374</v>
          </cell>
          <cell r="Y1739">
            <v>5731</v>
          </cell>
          <cell r="Z1739">
            <v>5129</v>
          </cell>
          <cell r="AA1739">
            <v>4366</v>
          </cell>
          <cell r="AB1739">
            <v>3879</v>
          </cell>
          <cell r="AC1739">
            <v>3525</v>
          </cell>
          <cell r="AD1739">
            <v>3651</v>
          </cell>
          <cell r="AE1739">
            <v>3685</v>
          </cell>
          <cell r="AF1739">
            <v>3310</v>
          </cell>
          <cell r="AG1739">
            <v>3140</v>
          </cell>
          <cell r="AH1739">
            <v>3058</v>
          </cell>
          <cell r="AI1739">
            <v>2871</v>
          </cell>
          <cell r="AJ1739">
            <v>2390</v>
          </cell>
        </row>
        <row r="1740">
          <cell r="E1740" t="str">
            <v>MA Industrial Lubricants</v>
          </cell>
          <cell r="F1740">
            <v>2344</v>
          </cell>
          <cell r="G1740">
            <v>2097</v>
          </cell>
          <cell r="H1740">
            <v>2138</v>
          </cell>
          <cell r="I1740">
            <v>2177</v>
          </cell>
          <cell r="J1740">
            <v>2275</v>
          </cell>
          <cell r="K1740">
            <v>2236</v>
          </cell>
          <cell r="L1740">
            <v>2170</v>
          </cell>
          <cell r="M1740">
            <v>2292</v>
          </cell>
          <cell r="N1740">
            <v>2400</v>
          </cell>
          <cell r="O1740">
            <v>2425</v>
          </cell>
          <cell r="P1740">
            <v>2388</v>
          </cell>
          <cell r="Q1740">
            <v>2188</v>
          </cell>
          <cell r="R1740">
            <v>2162</v>
          </cell>
          <cell r="S1740">
            <v>1999</v>
          </cell>
          <cell r="T1740">
            <v>2025</v>
          </cell>
          <cell r="U1740">
            <v>2015</v>
          </cell>
          <cell r="V1740">
            <v>1963</v>
          </cell>
          <cell r="W1740">
            <v>2027</v>
          </cell>
          <cell r="X1740">
            <v>1882</v>
          </cell>
          <cell r="Y1740">
            <v>1692</v>
          </cell>
          <cell r="Z1740">
            <v>2048</v>
          </cell>
          <cell r="AA1740">
            <v>1850</v>
          </cell>
          <cell r="AB1740">
            <v>1665</v>
          </cell>
          <cell r="AC1740">
            <v>1738</v>
          </cell>
          <cell r="AD1740">
            <v>1817</v>
          </cell>
          <cell r="AE1740">
            <v>1982</v>
          </cell>
          <cell r="AF1740">
            <v>1872</v>
          </cell>
          <cell r="AG1740">
            <v>1703</v>
          </cell>
          <cell r="AH1740">
            <v>1689</v>
          </cell>
          <cell r="AI1740">
            <v>1587</v>
          </cell>
          <cell r="AJ1740">
            <v>1489</v>
          </cell>
        </row>
        <row r="1741">
          <cell r="E1741" t="str">
            <v>MD Industrial Lubricants</v>
          </cell>
          <cell r="F1741">
            <v>2572</v>
          </cell>
          <cell r="G1741">
            <v>2301</v>
          </cell>
          <cell r="H1741">
            <v>2346</v>
          </cell>
          <cell r="I1741">
            <v>2389</v>
          </cell>
          <cell r="J1741">
            <v>2497</v>
          </cell>
          <cell r="K1741">
            <v>2454</v>
          </cell>
          <cell r="L1741">
            <v>2381</v>
          </cell>
          <cell r="M1741">
            <v>2516</v>
          </cell>
          <cell r="N1741">
            <v>2633</v>
          </cell>
          <cell r="O1741">
            <v>2661</v>
          </cell>
          <cell r="P1741">
            <v>2621</v>
          </cell>
          <cell r="Q1741">
            <v>2401</v>
          </cell>
          <cell r="R1741">
            <v>2373</v>
          </cell>
          <cell r="S1741">
            <v>2194</v>
          </cell>
          <cell r="T1741">
            <v>2223</v>
          </cell>
          <cell r="U1741">
            <v>2211</v>
          </cell>
          <cell r="V1741">
            <v>2154</v>
          </cell>
          <cell r="W1741">
            <v>2225</v>
          </cell>
          <cell r="X1741">
            <v>2065</v>
          </cell>
          <cell r="Y1741">
            <v>1857</v>
          </cell>
          <cell r="Z1741">
            <v>1264</v>
          </cell>
          <cell r="AA1741">
            <v>1133</v>
          </cell>
          <cell r="AB1741">
            <v>933</v>
          </cell>
          <cell r="AC1741">
            <v>984</v>
          </cell>
          <cell r="AD1741">
            <v>1022</v>
          </cell>
          <cell r="AE1741">
            <v>1080</v>
          </cell>
          <cell r="AF1741">
            <v>1114</v>
          </cell>
          <cell r="AG1741">
            <v>1054</v>
          </cell>
          <cell r="AH1741">
            <v>995</v>
          </cell>
          <cell r="AI1741">
            <v>942</v>
          </cell>
          <cell r="AJ1741">
            <v>909</v>
          </cell>
        </row>
        <row r="1742">
          <cell r="E1742" t="str">
            <v>ME Industrial Lubricants</v>
          </cell>
          <cell r="F1742">
            <v>401</v>
          </cell>
          <cell r="G1742">
            <v>359</v>
          </cell>
          <cell r="H1742">
            <v>366</v>
          </cell>
          <cell r="I1742">
            <v>372</v>
          </cell>
          <cell r="J1742">
            <v>389</v>
          </cell>
          <cell r="K1742">
            <v>382</v>
          </cell>
          <cell r="L1742">
            <v>371</v>
          </cell>
          <cell r="M1742">
            <v>392</v>
          </cell>
          <cell r="N1742">
            <v>410</v>
          </cell>
          <cell r="O1742">
            <v>415</v>
          </cell>
          <cell r="P1742">
            <v>408</v>
          </cell>
          <cell r="Q1742">
            <v>374</v>
          </cell>
          <cell r="R1742">
            <v>370</v>
          </cell>
          <cell r="S1742">
            <v>342</v>
          </cell>
          <cell r="T1742">
            <v>346</v>
          </cell>
          <cell r="U1742">
            <v>345</v>
          </cell>
          <cell r="V1742">
            <v>336</v>
          </cell>
          <cell r="W1742">
            <v>347</v>
          </cell>
          <cell r="X1742">
            <v>322</v>
          </cell>
          <cell r="Y1742">
            <v>289</v>
          </cell>
          <cell r="Z1742">
            <v>273</v>
          </cell>
          <cell r="AA1742">
            <v>243</v>
          </cell>
          <cell r="AB1742">
            <v>216</v>
          </cell>
          <cell r="AC1742">
            <v>202</v>
          </cell>
          <cell r="AD1742">
            <v>207</v>
          </cell>
          <cell r="AE1742">
            <v>208</v>
          </cell>
          <cell r="AF1742">
            <v>209</v>
          </cell>
          <cell r="AG1742">
            <v>201</v>
          </cell>
          <cell r="AH1742">
            <v>194</v>
          </cell>
          <cell r="AI1742">
            <v>185</v>
          </cell>
          <cell r="AJ1742">
            <v>183</v>
          </cell>
        </row>
        <row r="1743">
          <cell r="E1743" t="str">
            <v>MI Industrial Lubricants</v>
          </cell>
          <cell r="F1743">
            <v>11156</v>
          </cell>
          <cell r="G1743">
            <v>9980</v>
          </cell>
          <cell r="H1743">
            <v>10175</v>
          </cell>
          <cell r="I1743">
            <v>10361</v>
          </cell>
          <cell r="J1743">
            <v>10829</v>
          </cell>
          <cell r="K1743">
            <v>10643</v>
          </cell>
          <cell r="L1743">
            <v>10329</v>
          </cell>
          <cell r="M1743">
            <v>10912</v>
          </cell>
          <cell r="N1743">
            <v>11423</v>
          </cell>
          <cell r="O1743">
            <v>11542</v>
          </cell>
          <cell r="P1743">
            <v>11369</v>
          </cell>
          <cell r="Q1743">
            <v>10417</v>
          </cell>
          <cell r="R1743">
            <v>10293</v>
          </cell>
          <cell r="S1743">
            <v>9516</v>
          </cell>
          <cell r="T1743">
            <v>9641</v>
          </cell>
          <cell r="U1743">
            <v>9591</v>
          </cell>
          <cell r="V1743">
            <v>9344</v>
          </cell>
          <cell r="W1743">
            <v>9649</v>
          </cell>
          <cell r="X1743">
            <v>8958</v>
          </cell>
          <cell r="Y1743">
            <v>8054</v>
          </cell>
          <cell r="Z1743">
            <v>3298</v>
          </cell>
          <cell r="AA1743">
            <v>3214</v>
          </cell>
          <cell r="AB1743">
            <v>3007</v>
          </cell>
          <cell r="AC1743">
            <v>3180</v>
          </cell>
          <cell r="AD1743">
            <v>3224</v>
          </cell>
          <cell r="AE1743">
            <v>3424</v>
          </cell>
          <cell r="AF1743">
            <v>3276</v>
          </cell>
          <cell r="AG1743">
            <v>2912</v>
          </cell>
          <cell r="AH1743">
            <v>2824</v>
          </cell>
          <cell r="AI1743">
            <v>2652</v>
          </cell>
          <cell r="AJ1743">
            <v>2504</v>
          </cell>
        </row>
        <row r="1744">
          <cell r="E1744" t="str">
            <v>MN Industrial Lubricants</v>
          </cell>
          <cell r="F1744">
            <v>2010</v>
          </cell>
          <cell r="G1744">
            <v>1798</v>
          </cell>
          <cell r="H1744">
            <v>1833</v>
          </cell>
          <cell r="I1744">
            <v>1866</v>
          </cell>
          <cell r="J1744">
            <v>1951</v>
          </cell>
          <cell r="K1744">
            <v>1917</v>
          </cell>
          <cell r="L1744">
            <v>1861</v>
          </cell>
          <cell r="M1744">
            <v>1966</v>
          </cell>
          <cell r="N1744">
            <v>2058</v>
          </cell>
          <cell r="O1744">
            <v>2079</v>
          </cell>
          <cell r="P1744">
            <v>2048</v>
          </cell>
          <cell r="Q1744">
            <v>1876</v>
          </cell>
          <cell r="R1744">
            <v>1854</v>
          </cell>
          <cell r="S1744">
            <v>1714</v>
          </cell>
          <cell r="T1744">
            <v>1737</v>
          </cell>
          <cell r="U1744">
            <v>1728</v>
          </cell>
          <cell r="V1744">
            <v>1683</v>
          </cell>
          <cell r="W1744">
            <v>1738</v>
          </cell>
          <cell r="X1744">
            <v>1614</v>
          </cell>
          <cell r="Y1744">
            <v>1451</v>
          </cell>
          <cell r="Z1744">
            <v>2235</v>
          </cell>
          <cell r="AA1744">
            <v>2189</v>
          </cell>
          <cell r="AB1744">
            <v>1937</v>
          </cell>
          <cell r="AC1744">
            <v>2092</v>
          </cell>
          <cell r="AD1744">
            <v>2160</v>
          </cell>
          <cell r="AE1744">
            <v>2042</v>
          </cell>
          <cell r="AF1744">
            <v>2107</v>
          </cell>
          <cell r="AG1744">
            <v>1912</v>
          </cell>
          <cell r="AH1744">
            <v>1894</v>
          </cell>
          <cell r="AI1744">
            <v>1785</v>
          </cell>
          <cell r="AJ1744">
            <v>1670</v>
          </cell>
        </row>
        <row r="1745">
          <cell r="E1745" t="str">
            <v>MO Industrial Lubricants</v>
          </cell>
          <cell r="F1745">
            <v>4164</v>
          </cell>
          <cell r="G1745">
            <v>3725</v>
          </cell>
          <cell r="H1745">
            <v>3798</v>
          </cell>
          <cell r="I1745">
            <v>3867</v>
          </cell>
          <cell r="J1745">
            <v>4042</v>
          </cell>
          <cell r="K1745">
            <v>3973</v>
          </cell>
          <cell r="L1745">
            <v>3855</v>
          </cell>
          <cell r="M1745">
            <v>4073</v>
          </cell>
          <cell r="N1745">
            <v>4264</v>
          </cell>
          <cell r="O1745">
            <v>4308</v>
          </cell>
          <cell r="P1745">
            <v>4244</v>
          </cell>
          <cell r="Q1745">
            <v>3888</v>
          </cell>
          <cell r="R1745">
            <v>3842</v>
          </cell>
          <cell r="S1745">
            <v>3552</v>
          </cell>
          <cell r="T1745">
            <v>3598</v>
          </cell>
          <cell r="U1745">
            <v>3580</v>
          </cell>
          <cell r="V1745">
            <v>3488</v>
          </cell>
          <cell r="W1745">
            <v>3602</v>
          </cell>
          <cell r="X1745">
            <v>3344</v>
          </cell>
          <cell r="Y1745">
            <v>3006</v>
          </cell>
          <cell r="Z1745">
            <v>2056</v>
          </cell>
          <cell r="AA1745">
            <v>1845</v>
          </cell>
          <cell r="AB1745">
            <v>1752</v>
          </cell>
          <cell r="AC1745">
            <v>1823</v>
          </cell>
          <cell r="AD1745">
            <v>1744</v>
          </cell>
          <cell r="AE1745">
            <v>1832</v>
          </cell>
          <cell r="AF1745">
            <v>1698</v>
          </cell>
          <cell r="AG1745">
            <v>1582</v>
          </cell>
          <cell r="AH1745">
            <v>1501</v>
          </cell>
          <cell r="AI1745">
            <v>1433</v>
          </cell>
          <cell r="AJ1745">
            <v>1401</v>
          </cell>
        </row>
        <row r="1746">
          <cell r="E1746" t="str">
            <v>MS Industrial Lubricants</v>
          </cell>
          <cell r="F1746">
            <v>2115</v>
          </cell>
          <cell r="G1746">
            <v>1892</v>
          </cell>
          <cell r="H1746">
            <v>1929</v>
          </cell>
          <cell r="I1746">
            <v>1965</v>
          </cell>
          <cell r="J1746">
            <v>2053</v>
          </cell>
          <cell r="K1746">
            <v>2018</v>
          </cell>
          <cell r="L1746">
            <v>1959</v>
          </cell>
          <cell r="M1746">
            <v>2069</v>
          </cell>
          <cell r="N1746">
            <v>2166</v>
          </cell>
          <cell r="O1746">
            <v>2189</v>
          </cell>
          <cell r="P1746">
            <v>2156</v>
          </cell>
          <cell r="Q1746">
            <v>1975</v>
          </cell>
          <cell r="R1746">
            <v>1952</v>
          </cell>
          <cell r="S1746">
            <v>1804</v>
          </cell>
          <cell r="T1746">
            <v>1828</v>
          </cell>
          <cell r="U1746">
            <v>1819</v>
          </cell>
          <cell r="V1746">
            <v>1772</v>
          </cell>
          <cell r="W1746">
            <v>1830</v>
          </cell>
          <cell r="X1746">
            <v>1699</v>
          </cell>
          <cell r="Y1746">
            <v>1527</v>
          </cell>
          <cell r="Z1746">
            <v>1087</v>
          </cell>
          <cell r="AA1746">
            <v>1045</v>
          </cell>
          <cell r="AB1746">
            <v>948</v>
          </cell>
          <cell r="AC1746">
            <v>937</v>
          </cell>
          <cell r="AD1746">
            <v>960</v>
          </cell>
          <cell r="AE1746">
            <v>1001</v>
          </cell>
          <cell r="AF1746">
            <v>942</v>
          </cell>
          <cell r="AG1746">
            <v>859</v>
          </cell>
          <cell r="AH1746">
            <v>797</v>
          </cell>
          <cell r="AI1746">
            <v>747</v>
          </cell>
          <cell r="AJ1746">
            <v>736</v>
          </cell>
        </row>
        <row r="1747">
          <cell r="E1747" t="str">
            <v>MT Industrial Lubricants</v>
          </cell>
          <cell r="F1747">
            <v>317</v>
          </cell>
          <cell r="G1747">
            <v>284</v>
          </cell>
          <cell r="H1747">
            <v>289</v>
          </cell>
          <cell r="I1747">
            <v>295</v>
          </cell>
          <cell r="J1747">
            <v>308</v>
          </cell>
          <cell r="K1747">
            <v>303</v>
          </cell>
          <cell r="L1747">
            <v>294</v>
          </cell>
          <cell r="M1747">
            <v>310</v>
          </cell>
          <cell r="N1747">
            <v>325</v>
          </cell>
          <cell r="O1747">
            <v>328</v>
          </cell>
          <cell r="P1747">
            <v>323</v>
          </cell>
          <cell r="Q1747">
            <v>296</v>
          </cell>
          <cell r="R1747">
            <v>293</v>
          </cell>
          <cell r="S1747">
            <v>271</v>
          </cell>
          <cell r="T1747">
            <v>274</v>
          </cell>
          <cell r="U1747">
            <v>273</v>
          </cell>
          <cell r="V1747">
            <v>266</v>
          </cell>
          <cell r="W1747">
            <v>274</v>
          </cell>
          <cell r="X1747">
            <v>255</v>
          </cell>
          <cell r="Y1747">
            <v>229</v>
          </cell>
          <cell r="Z1747">
            <v>454</v>
          </cell>
          <cell r="AA1747">
            <v>454</v>
          </cell>
          <cell r="AB1747">
            <v>421</v>
          </cell>
          <cell r="AC1747">
            <v>452</v>
          </cell>
          <cell r="AD1747">
            <v>462</v>
          </cell>
          <cell r="AE1747">
            <v>474</v>
          </cell>
          <cell r="AF1747">
            <v>380</v>
          </cell>
          <cell r="AG1747">
            <v>379</v>
          </cell>
          <cell r="AH1747">
            <v>362</v>
          </cell>
          <cell r="AI1747">
            <v>323</v>
          </cell>
          <cell r="AJ1747">
            <v>332</v>
          </cell>
        </row>
        <row r="1748">
          <cell r="E1748" t="str">
            <v>NC Industrial Lubricants</v>
          </cell>
          <cell r="F1748">
            <v>3546</v>
          </cell>
          <cell r="G1748">
            <v>3172</v>
          </cell>
          <cell r="H1748">
            <v>3234</v>
          </cell>
          <cell r="I1748">
            <v>3293</v>
          </cell>
          <cell r="J1748">
            <v>3442</v>
          </cell>
          <cell r="K1748">
            <v>3383</v>
          </cell>
          <cell r="L1748">
            <v>3283</v>
          </cell>
          <cell r="M1748">
            <v>3468</v>
          </cell>
          <cell r="N1748">
            <v>3631</v>
          </cell>
          <cell r="O1748">
            <v>3669</v>
          </cell>
          <cell r="P1748">
            <v>3614</v>
          </cell>
          <cell r="Q1748">
            <v>3311</v>
          </cell>
          <cell r="R1748">
            <v>3272</v>
          </cell>
          <cell r="S1748">
            <v>3025</v>
          </cell>
          <cell r="T1748">
            <v>3064</v>
          </cell>
          <cell r="U1748">
            <v>3049</v>
          </cell>
          <cell r="V1748">
            <v>2970</v>
          </cell>
          <cell r="W1748">
            <v>3067</v>
          </cell>
          <cell r="X1748">
            <v>2847</v>
          </cell>
          <cell r="Y1748">
            <v>2560</v>
          </cell>
          <cell r="Z1748">
            <v>4917</v>
          </cell>
          <cell r="AA1748">
            <v>4687</v>
          </cell>
          <cell r="AB1748">
            <v>3873</v>
          </cell>
          <cell r="AC1748">
            <v>4132</v>
          </cell>
          <cell r="AD1748">
            <v>3988</v>
          </cell>
          <cell r="AE1748">
            <v>4309</v>
          </cell>
          <cell r="AF1748">
            <v>3986</v>
          </cell>
          <cell r="AG1748">
            <v>3782</v>
          </cell>
          <cell r="AH1748">
            <v>3589</v>
          </cell>
          <cell r="AI1748">
            <v>3303</v>
          </cell>
          <cell r="AJ1748">
            <v>3096</v>
          </cell>
        </row>
        <row r="1749">
          <cell r="E1749" t="str">
            <v>ND Industrial Lubricants</v>
          </cell>
          <cell r="F1749">
            <v>161</v>
          </cell>
          <cell r="G1749">
            <v>144</v>
          </cell>
          <cell r="H1749">
            <v>147</v>
          </cell>
          <cell r="I1749">
            <v>150</v>
          </cell>
          <cell r="J1749">
            <v>157</v>
          </cell>
          <cell r="K1749">
            <v>154</v>
          </cell>
          <cell r="L1749">
            <v>149</v>
          </cell>
          <cell r="M1749">
            <v>158</v>
          </cell>
          <cell r="N1749">
            <v>165</v>
          </cell>
          <cell r="O1749">
            <v>167</v>
          </cell>
          <cell r="P1749">
            <v>165</v>
          </cell>
          <cell r="Q1749">
            <v>151</v>
          </cell>
          <cell r="R1749">
            <v>149</v>
          </cell>
          <cell r="S1749">
            <v>138</v>
          </cell>
          <cell r="T1749">
            <v>140</v>
          </cell>
          <cell r="U1749">
            <v>139</v>
          </cell>
          <cell r="V1749">
            <v>135</v>
          </cell>
          <cell r="W1749">
            <v>140</v>
          </cell>
          <cell r="X1749">
            <v>130</v>
          </cell>
          <cell r="Y1749">
            <v>117</v>
          </cell>
          <cell r="Z1749">
            <v>635</v>
          </cell>
          <cell r="AA1749">
            <v>926</v>
          </cell>
          <cell r="AB1749">
            <v>1262</v>
          </cell>
          <cell r="AC1749">
            <v>1394</v>
          </cell>
          <cell r="AD1749">
            <v>1693</v>
          </cell>
          <cell r="AE1749">
            <v>1483</v>
          </cell>
          <cell r="AF1749">
            <v>1236</v>
          </cell>
          <cell r="AG1749">
            <v>1409</v>
          </cell>
          <cell r="AH1749">
            <v>1553</v>
          </cell>
          <cell r="AI1749">
            <v>1505</v>
          </cell>
          <cell r="AJ1749">
            <v>1571</v>
          </cell>
        </row>
        <row r="1750">
          <cell r="E1750" t="str">
            <v>NE Industrial Lubricants</v>
          </cell>
          <cell r="F1750">
            <v>256</v>
          </cell>
          <cell r="G1750">
            <v>229</v>
          </cell>
          <cell r="H1750">
            <v>234</v>
          </cell>
          <cell r="I1750">
            <v>238</v>
          </cell>
          <cell r="J1750">
            <v>249</v>
          </cell>
          <cell r="K1750">
            <v>244</v>
          </cell>
          <cell r="L1750">
            <v>237</v>
          </cell>
          <cell r="M1750">
            <v>250</v>
          </cell>
          <cell r="N1750">
            <v>262</v>
          </cell>
          <cell r="O1750">
            <v>265</v>
          </cell>
          <cell r="P1750">
            <v>261</v>
          </cell>
          <cell r="Q1750">
            <v>239</v>
          </cell>
          <cell r="R1750">
            <v>236</v>
          </cell>
          <cell r="S1750">
            <v>218</v>
          </cell>
          <cell r="T1750">
            <v>221</v>
          </cell>
          <cell r="U1750">
            <v>220</v>
          </cell>
          <cell r="V1750">
            <v>214</v>
          </cell>
          <cell r="W1750">
            <v>221</v>
          </cell>
          <cell r="X1750">
            <v>206</v>
          </cell>
          <cell r="Y1750">
            <v>185</v>
          </cell>
          <cell r="Z1750">
            <v>728</v>
          </cell>
          <cell r="AA1750">
            <v>706</v>
          </cell>
          <cell r="AB1750">
            <v>630</v>
          </cell>
          <cell r="AC1750">
            <v>636</v>
          </cell>
          <cell r="AD1750">
            <v>643</v>
          </cell>
          <cell r="AE1750">
            <v>658</v>
          </cell>
          <cell r="AF1750">
            <v>624</v>
          </cell>
          <cell r="AG1750">
            <v>565</v>
          </cell>
          <cell r="AH1750">
            <v>598</v>
          </cell>
          <cell r="AI1750">
            <v>575</v>
          </cell>
          <cell r="AJ1750">
            <v>576</v>
          </cell>
        </row>
        <row r="1751">
          <cell r="E1751" t="str">
            <v>NH Industrial Lubricants</v>
          </cell>
          <cell r="F1751">
            <v>145</v>
          </cell>
          <cell r="G1751">
            <v>129</v>
          </cell>
          <cell r="H1751">
            <v>132</v>
          </cell>
          <cell r="I1751">
            <v>134</v>
          </cell>
          <cell r="J1751">
            <v>140</v>
          </cell>
          <cell r="K1751">
            <v>138</v>
          </cell>
          <cell r="L1751">
            <v>134</v>
          </cell>
          <cell r="M1751">
            <v>142</v>
          </cell>
          <cell r="N1751">
            <v>148</v>
          </cell>
          <cell r="O1751">
            <v>150</v>
          </cell>
          <cell r="P1751">
            <v>148</v>
          </cell>
          <cell r="Q1751">
            <v>135</v>
          </cell>
          <cell r="R1751">
            <v>134</v>
          </cell>
          <cell r="S1751">
            <v>123</v>
          </cell>
          <cell r="T1751">
            <v>125</v>
          </cell>
          <cell r="U1751">
            <v>124</v>
          </cell>
          <cell r="V1751">
            <v>121</v>
          </cell>
          <cell r="W1751">
            <v>125</v>
          </cell>
          <cell r="X1751">
            <v>116</v>
          </cell>
          <cell r="Y1751">
            <v>104</v>
          </cell>
          <cell r="Z1751">
            <v>400</v>
          </cell>
          <cell r="AA1751">
            <v>365</v>
          </cell>
          <cell r="AB1751">
            <v>329</v>
          </cell>
          <cell r="AC1751">
            <v>364</v>
          </cell>
          <cell r="AD1751">
            <v>358</v>
          </cell>
          <cell r="AE1751">
            <v>430</v>
          </cell>
          <cell r="AF1751">
            <v>429</v>
          </cell>
          <cell r="AG1751">
            <v>369</v>
          </cell>
          <cell r="AH1751">
            <v>363</v>
          </cell>
          <cell r="AI1751">
            <v>339</v>
          </cell>
          <cell r="AJ1751">
            <v>321</v>
          </cell>
        </row>
        <row r="1752">
          <cell r="E1752" t="str">
            <v>NJ Industrial Lubricants</v>
          </cell>
          <cell r="F1752">
            <v>10299</v>
          </cell>
          <cell r="G1752">
            <v>9213</v>
          </cell>
          <cell r="H1752">
            <v>9393</v>
          </cell>
          <cell r="I1752">
            <v>9565</v>
          </cell>
          <cell r="J1752">
            <v>9997</v>
          </cell>
          <cell r="K1752">
            <v>9825</v>
          </cell>
          <cell r="L1752">
            <v>9535</v>
          </cell>
          <cell r="M1752">
            <v>10073</v>
          </cell>
          <cell r="N1752">
            <v>10545</v>
          </cell>
          <cell r="O1752">
            <v>10655</v>
          </cell>
          <cell r="P1752">
            <v>10496</v>
          </cell>
          <cell r="Q1752">
            <v>9616</v>
          </cell>
          <cell r="R1752">
            <v>9502</v>
          </cell>
          <cell r="S1752">
            <v>8785</v>
          </cell>
          <cell r="T1752">
            <v>8900</v>
          </cell>
          <cell r="U1752">
            <v>8854</v>
          </cell>
          <cell r="V1752">
            <v>8626</v>
          </cell>
          <cell r="W1752">
            <v>8908</v>
          </cell>
          <cell r="X1752">
            <v>8270</v>
          </cell>
          <cell r="Y1752">
            <v>7435</v>
          </cell>
          <cell r="Z1752">
            <v>2801</v>
          </cell>
          <cell r="AA1752">
            <v>2314</v>
          </cell>
          <cell r="AB1752">
            <v>2001</v>
          </cell>
          <cell r="AC1752">
            <v>2091</v>
          </cell>
          <cell r="AD1752">
            <v>2134</v>
          </cell>
          <cell r="AE1752">
            <v>2227</v>
          </cell>
          <cell r="AF1752">
            <v>2312</v>
          </cell>
          <cell r="AG1752">
            <v>1972</v>
          </cell>
          <cell r="AH1752">
            <v>2010</v>
          </cell>
          <cell r="AI1752">
            <v>1934</v>
          </cell>
          <cell r="AJ1752">
            <v>1869</v>
          </cell>
        </row>
        <row r="1753">
          <cell r="E1753" t="str">
            <v>NM Industrial Lubricants</v>
          </cell>
          <cell r="F1753">
            <v>735</v>
          </cell>
          <cell r="G1753">
            <v>657</v>
          </cell>
          <cell r="H1753">
            <v>670</v>
          </cell>
          <cell r="I1753">
            <v>682</v>
          </cell>
          <cell r="J1753">
            <v>713</v>
          </cell>
          <cell r="K1753">
            <v>701</v>
          </cell>
          <cell r="L1753">
            <v>680</v>
          </cell>
          <cell r="M1753">
            <v>719</v>
          </cell>
          <cell r="N1753">
            <v>752</v>
          </cell>
          <cell r="O1753">
            <v>760</v>
          </cell>
          <cell r="P1753">
            <v>749</v>
          </cell>
          <cell r="Q1753">
            <v>686</v>
          </cell>
          <cell r="R1753">
            <v>678</v>
          </cell>
          <cell r="S1753">
            <v>627</v>
          </cell>
          <cell r="T1753">
            <v>635</v>
          </cell>
          <cell r="U1753">
            <v>632</v>
          </cell>
          <cell r="V1753">
            <v>615</v>
          </cell>
          <cell r="W1753">
            <v>636</v>
          </cell>
          <cell r="X1753">
            <v>590</v>
          </cell>
          <cell r="Y1753">
            <v>531</v>
          </cell>
          <cell r="Z1753">
            <v>1209</v>
          </cell>
          <cell r="AA1753">
            <v>1168</v>
          </cell>
          <cell r="AB1753">
            <v>1128</v>
          </cell>
          <cell r="AC1753">
            <v>1192</v>
          </cell>
          <cell r="AD1753">
            <v>1311</v>
          </cell>
          <cell r="AE1753">
            <v>1439</v>
          </cell>
          <cell r="AF1753">
            <v>1228</v>
          </cell>
          <cell r="AG1753">
            <v>1126</v>
          </cell>
          <cell r="AH1753">
            <v>1134</v>
          </cell>
          <cell r="AI1753">
            <v>1297</v>
          </cell>
          <cell r="AJ1753">
            <v>1541</v>
          </cell>
        </row>
        <row r="1754">
          <cell r="E1754" t="str">
            <v>NV Industrial Lubricants</v>
          </cell>
          <cell r="F1754">
            <v>156</v>
          </cell>
          <cell r="G1754">
            <v>139</v>
          </cell>
          <cell r="H1754">
            <v>142</v>
          </cell>
          <cell r="I1754">
            <v>145</v>
          </cell>
          <cell r="J1754">
            <v>151</v>
          </cell>
          <cell r="K1754">
            <v>149</v>
          </cell>
          <cell r="L1754">
            <v>144</v>
          </cell>
          <cell r="M1754">
            <v>152</v>
          </cell>
          <cell r="N1754">
            <v>160</v>
          </cell>
          <cell r="O1754">
            <v>161</v>
          </cell>
          <cell r="P1754">
            <v>159</v>
          </cell>
          <cell r="Q1754">
            <v>146</v>
          </cell>
          <cell r="R1754">
            <v>144</v>
          </cell>
          <cell r="S1754">
            <v>133</v>
          </cell>
          <cell r="T1754">
            <v>135</v>
          </cell>
          <cell r="U1754">
            <v>134</v>
          </cell>
          <cell r="V1754">
            <v>131</v>
          </cell>
          <cell r="W1754">
            <v>135</v>
          </cell>
          <cell r="X1754">
            <v>125</v>
          </cell>
          <cell r="Y1754">
            <v>113</v>
          </cell>
          <cell r="Z1754">
            <v>1167</v>
          </cell>
          <cell r="AA1754">
            <v>1137</v>
          </cell>
          <cell r="AB1754">
            <v>968</v>
          </cell>
          <cell r="AC1754">
            <v>906</v>
          </cell>
          <cell r="AD1754">
            <v>820</v>
          </cell>
          <cell r="AE1754">
            <v>801</v>
          </cell>
          <cell r="AF1754">
            <v>834</v>
          </cell>
          <cell r="AG1754">
            <v>934</v>
          </cell>
          <cell r="AH1754">
            <v>944</v>
          </cell>
          <cell r="AI1754">
            <v>938</v>
          </cell>
          <cell r="AJ1754">
            <v>974</v>
          </cell>
        </row>
        <row r="1755">
          <cell r="E1755" t="str">
            <v>NY Industrial Lubricants</v>
          </cell>
          <cell r="F1755">
            <v>6380</v>
          </cell>
          <cell r="G1755">
            <v>5707</v>
          </cell>
          <cell r="H1755">
            <v>5819</v>
          </cell>
          <cell r="I1755">
            <v>5925</v>
          </cell>
          <cell r="J1755">
            <v>6193</v>
          </cell>
          <cell r="K1755">
            <v>6086</v>
          </cell>
          <cell r="L1755">
            <v>5907</v>
          </cell>
          <cell r="M1755">
            <v>6240</v>
          </cell>
          <cell r="N1755">
            <v>6532</v>
          </cell>
          <cell r="O1755">
            <v>6601</v>
          </cell>
          <cell r="P1755">
            <v>6502</v>
          </cell>
          <cell r="Q1755">
            <v>5957</v>
          </cell>
          <cell r="R1755">
            <v>5886</v>
          </cell>
          <cell r="S1755">
            <v>5442</v>
          </cell>
          <cell r="T1755">
            <v>5513</v>
          </cell>
          <cell r="U1755">
            <v>5484</v>
          </cell>
          <cell r="V1755">
            <v>5343</v>
          </cell>
          <cell r="W1755">
            <v>5518</v>
          </cell>
          <cell r="X1755">
            <v>5123</v>
          </cell>
          <cell r="Y1755">
            <v>4606</v>
          </cell>
          <cell r="Z1755">
            <v>4337</v>
          </cell>
          <cell r="AA1755">
            <v>3613</v>
          </cell>
          <cell r="AB1755">
            <v>3252</v>
          </cell>
          <cell r="AC1755">
            <v>3276</v>
          </cell>
          <cell r="AD1755">
            <v>3373</v>
          </cell>
          <cell r="AE1755">
            <v>3557</v>
          </cell>
          <cell r="AF1755">
            <v>3431</v>
          </cell>
          <cell r="AG1755">
            <v>3183</v>
          </cell>
          <cell r="AH1755">
            <v>2975</v>
          </cell>
          <cell r="AI1755">
            <v>2803</v>
          </cell>
          <cell r="AJ1755">
            <v>2627</v>
          </cell>
        </row>
        <row r="1756">
          <cell r="E1756" t="str">
            <v>OH Industrial Lubricants</v>
          </cell>
          <cell r="F1756">
            <v>14874</v>
          </cell>
          <cell r="G1756">
            <v>13307</v>
          </cell>
          <cell r="H1756">
            <v>13567</v>
          </cell>
          <cell r="I1756">
            <v>13815</v>
          </cell>
          <cell r="J1756">
            <v>14439</v>
          </cell>
          <cell r="K1756">
            <v>14191</v>
          </cell>
          <cell r="L1756">
            <v>13772</v>
          </cell>
          <cell r="M1756">
            <v>14549</v>
          </cell>
          <cell r="N1756">
            <v>15230</v>
          </cell>
          <cell r="O1756">
            <v>15390</v>
          </cell>
          <cell r="P1756">
            <v>15159</v>
          </cell>
          <cell r="Q1756">
            <v>13889</v>
          </cell>
          <cell r="R1756">
            <v>13725</v>
          </cell>
          <cell r="S1756">
            <v>12688</v>
          </cell>
          <cell r="T1756">
            <v>12854</v>
          </cell>
          <cell r="U1756">
            <v>12788</v>
          </cell>
          <cell r="V1756">
            <v>12459</v>
          </cell>
          <cell r="W1756">
            <v>12866</v>
          </cell>
          <cell r="X1756">
            <v>11944</v>
          </cell>
          <cell r="Y1756">
            <v>10739</v>
          </cell>
          <cell r="Z1756">
            <v>5156</v>
          </cell>
          <cell r="AA1756">
            <v>4987</v>
          </cell>
          <cell r="AB1756">
            <v>4418</v>
          </cell>
          <cell r="AC1756">
            <v>4770</v>
          </cell>
          <cell r="AD1756">
            <v>5213</v>
          </cell>
          <cell r="AE1756">
            <v>5948</v>
          </cell>
          <cell r="AF1756">
            <v>5720</v>
          </cell>
          <cell r="AG1756">
            <v>4954</v>
          </cell>
          <cell r="AH1756">
            <v>4651</v>
          </cell>
          <cell r="AI1756">
            <v>4498</v>
          </cell>
          <cell r="AJ1756">
            <v>4652</v>
          </cell>
        </row>
        <row r="1757">
          <cell r="E1757" t="str">
            <v>OK Industrial Lubricants</v>
          </cell>
          <cell r="F1757">
            <v>3596</v>
          </cell>
          <cell r="G1757">
            <v>3217</v>
          </cell>
          <cell r="H1757">
            <v>3280</v>
          </cell>
          <cell r="I1757">
            <v>3340</v>
          </cell>
          <cell r="J1757">
            <v>3491</v>
          </cell>
          <cell r="K1757">
            <v>3431</v>
          </cell>
          <cell r="L1757">
            <v>3330</v>
          </cell>
          <cell r="M1757">
            <v>3517</v>
          </cell>
          <cell r="N1757">
            <v>3682</v>
          </cell>
          <cell r="O1757">
            <v>3721</v>
          </cell>
          <cell r="P1757">
            <v>3665</v>
          </cell>
          <cell r="Q1757">
            <v>3358</v>
          </cell>
          <cell r="R1757">
            <v>3318</v>
          </cell>
          <cell r="S1757">
            <v>3068</v>
          </cell>
          <cell r="T1757">
            <v>3108</v>
          </cell>
          <cell r="U1757">
            <v>3092</v>
          </cell>
          <cell r="V1757">
            <v>3012</v>
          </cell>
          <cell r="W1757">
            <v>3110</v>
          </cell>
          <cell r="X1757">
            <v>2888</v>
          </cell>
          <cell r="Y1757">
            <v>2596</v>
          </cell>
          <cell r="Z1757">
            <v>3424</v>
          </cell>
          <cell r="AA1757">
            <v>3414</v>
          </cell>
          <cell r="AB1757">
            <v>3224</v>
          </cell>
          <cell r="AC1757">
            <v>3476</v>
          </cell>
          <cell r="AD1757">
            <v>4176</v>
          </cell>
          <cell r="AE1757">
            <v>5095</v>
          </cell>
          <cell r="AF1757">
            <v>4972</v>
          </cell>
          <cell r="AG1757">
            <v>4487</v>
          </cell>
          <cell r="AH1757">
            <v>4245</v>
          </cell>
          <cell r="AI1757">
            <v>4169</v>
          </cell>
          <cell r="AJ1757">
            <v>3464</v>
          </cell>
        </row>
        <row r="1758">
          <cell r="E1758" t="str">
            <v>OR Industrial Lubricants</v>
          </cell>
          <cell r="F1758">
            <v>1375</v>
          </cell>
          <cell r="G1758">
            <v>1230</v>
          </cell>
          <cell r="H1758">
            <v>1254</v>
          </cell>
          <cell r="I1758">
            <v>1277</v>
          </cell>
          <cell r="J1758">
            <v>1335</v>
          </cell>
          <cell r="K1758">
            <v>1312</v>
          </cell>
          <cell r="L1758">
            <v>1273</v>
          </cell>
          <cell r="M1758">
            <v>1345</v>
          </cell>
          <cell r="N1758">
            <v>1408</v>
          </cell>
          <cell r="O1758">
            <v>1423</v>
          </cell>
          <cell r="P1758">
            <v>1401</v>
          </cell>
          <cell r="Q1758">
            <v>1284</v>
          </cell>
          <cell r="R1758">
            <v>1269</v>
          </cell>
          <cell r="S1758">
            <v>1173</v>
          </cell>
          <cell r="T1758">
            <v>1188</v>
          </cell>
          <cell r="U1758">
            <v>1182</v>
          </cell>
          <cell r="V1758">
            <v>1152</v>
          </cell>
          <cell r="W1758">
            <v>1189</v>
          </cell>
          <cell r="X1758">
            <v>1104</v>
          </cell>
          <cell r="Y1758">
            <v>993</v>
          </cell>
          <cell r="Z1758">
            <v>1053</v>
          </cell>
          <cell r="AA1758">
            <v>1058</v>
          </cell>
          <cell r="AB1758">
            <v>951</v>
          </cell>
          <cell r="AC1758">
            <v>1096</v>
          </cell>
          <cell r="AD1758">
            <v>1073</v>
          </cell>
          <cell r="AE1758">
            <v>1190</v>
          </cell>
          <cell r="AF1758">
            <v>1208</v>
          </cell>
          <cell r="AG1758">
            <v>1118</v>
          </cell>
          <cell r="AH1758">
            <v>1122</v>
          </cell>
          <cell r="AI1758">
            <v>1046</v>
          </cell>
          <cell r="AJ1758">
            <v>993</v>
          </cell>
        </row>
        <row r="1759">
          <cell r="E1759" t="str">
            <v>PA Industrial Lubricants</v>
          </cell>
          <cell r="F1759">
            <v>17118</v>
          </cell>
          <cell r="G1759">
            <v>15314</v>
          </cell>
          <cell r="H1759">
            <v>15613</v>
          </cell>
          <cell r="I1759">
            <v>15898</v>
          </cell>
          <cell r="J1759">
            <v>16617</v>
          </cell>
          <cell r="K1759">
            <v>16331</v>
          </cell>
          <cell r="L1759">
            <v>15849</v>
          </cell>
          <cell r="M1759">
            <v>16743</v>
          </cell>
          <cell r="N1759">
            <v>17528</v>
          </cell>
          <cell r="O1759">
            <v>17711</v>
          </cell>
          <cell r="P1759">
            <v>17445</v>
          </cell>
          <cell r="Q1759">
            <v>15984</v>
          </cell>
          <cell r="R1759">
            <v>15795</v>
          </cell>
          <cell r="S1759">
            <v>14602</v>
          </cell>
          <cell r="T1759">
            <v>14793</v>
          </cell>
          <cell r="U1759">
            <v>14716</v>
          </cell>
          <cell r="V1759">
            <v>14338</v>
          </cell>
          <cell r="W1759">
            <v>14806</v>
          </cell>
          <cell r="X1759">
            <v>13746</v>
          </cell>
          <cell r="Y1759">
            <v>12358</v>
          </cell>
          <cell r="Z1759">
            <v>5920</v>
          </cell>
          <cell r="AA1759">
            <v>5759</v>
          </cell>
          <cell r="AB1759">
            <v>5335</v>
          </cell>
          <cell r="AC1759">
            <v>5554</v>
          </cell>
          <cell r="AD1759">
            <v>6144</v>
          </cell>
          <cell r="AE1759">
            <v>6572</v>
          </cell>
          <cell r="AF1759">
            <v>6106</v>
          </cell>
          <cell r="AG1759">
            <v>5787</v>
          </cell>
          <cell r="AH1759">
            <v>5423</v>
          </cell>
          <cell r="AI1759">
            <v>5303</v>
          </cell>
          <cell r="AJ1759">
            <v>5303</v>
          </cell>
        </row>
        <row r="1760">
          <cell r="E1760" t="str">
            <v>RI Industrial Lubricants</v>
          </cell>
          <cell r="F1760">
            <v>384</v>
          </cell>
          <cell r="G1760">
            <v>344</v>
          </cell>
          <cell r="H1760">
            <v>350</v>
          </cell>
          <cell r="I1760">
            <v>357</v>
          </cell>
          <cell r="J1760">
            <v>373</v>
          </cell>
          <cell r="K1760">
            <v>366</v>
          </cell>
          <cell r="L1760">
            <v>356</v>
          </cell>
          <cell r="M1760">
            <v>376</v>
          </cell>
          <cell r="N1760">
            <v>393</v>
          </cell>
          <cell r="O1760">
            <v>397</v>
          </cell>
          <cell r="P1760">
            <v>391</v>
          </cell>
          <cell r="Q1760">
            <v>359</v>
          </cell>
          <cell r="R1760">
            <v>354</v>
          </cell>
          <cell r="S1760">
            <v>328</v>
          </cell>
          <cell r="T1760">
            <v>332</v>
          </cell>
          <cell r="U1760">
            <v>330</v>
          </cell>
          <cell r="V1760">
            <v>322</v>
          </cell>
          <cell r="W1760">
            <v>332</v>
          </cell>
          <cell r="X1760">
            <v>308</v>
          </cell>
          <cell r="Y1760">
            <v>277</v>
          </cell>
          <cell r="Z1760">
            <v>292</v>
          </cell>
          <cell r="AA1760">
            <v>272</v>
          </cell>
          <cell r="AB1760">
            <v>250</v>
          </cell>
          <cell r="AC1760">
            <v>255</v>
          </cell>
          <cell r="AD1760">
            <v>235</v>
          </cell>
          <cell r="AE1760">
            <v>263</v>
          </cell>
          <cell r="AF1760">
            <v>246</v>
          </cell>
          <cell r="AG1760">
            <v>219</v>
          </cell>
          <cell r="AH1760">
            <v>210</v>
          </cell>
          <cell r="AI1760">
            <v>189</v>
          </cell>
          <cell r="AJ1760">
            <v>184</v>
          </cell>
        </row>
        <row r="1761">
          <cell r="E1761" t="str">
            <v>SC Industrial Lubricants</v>
          </cell>
          <cell r="F1761">
            <v>1754</v>
          </cell>
          <cell r="G1761">
            <v>1569</v>
          </cell>
          <cell r="H1761">
            <v>1599</v>
          </cell>
          <cell r="I1761">
            <v>1629</v>
          </cell>
          <cell r="J1761">
            <v>1702</v>
          </cell>
          <cell r="K1761">
            <v>1673</v>
          </cell>
          <cell r="L1761">
            <v>1624</v>
          </cell>
          <cell r="M1761">
            <v>1715</v>
          </cell>
          <cell r="N1761">
            <v>1796</v>
          </cell>
          <cell r="O1761">
            <v>1814</v>
          </cell>
          <cell r="P1761">
            <v>1787</v>
          </cell>
          <cell r="Q1761">
            <v>1637</v>
          </cell>
          <cell r="R1761">
            <v>1618</v>
          </cell>
          <cell r="S1761">
            <v>1496</v>
          </cell>
          <cell r="T1761">
            <v>1515</v>
          </cell>
          <cell r="U1761">
            <v>1508</v>
          </cell>
          <cell r="V1761">
            <v>1469</v>
          </cell>
          <cell r="W1761">
            <v>1517</v>
          </cell>
          <cell r="X1761">
            <v>1408</v>
          </cell>
          <cell r="Y1761">
            <v>1266</v>
          </cell>
          <cell r="Z1761">
            <v>1645</v>
          </cell>
          <cell r="AA1761">
            <v>1539</v>
          </cell>
          <cell r="AB1761">
            <v>1424</v>
          </cell>
          <cell r="AC1761">
            <v>1433</v>
          </cell>
          <cell r="AD1761">
            <v>1468</v>
          </cell>
          <cell r="AE1761">
            <v>1697</v>
          </cell>
          <cell r="AF1761">
            <v>1680</v>
          </cell>
          <cell r="AG1761">
            <v>1458</v>
          </cell>
          <cell r="AH1761">
            <v>1430</v>
          </cell>
          <cell r="AI1761">
            <v>1332</v>
          </cell>
          <cell r="AJ1761">
            <v>1282</v>
          </cell>
        </row>
        <row r="1762">
          <cell r="E1762" t="str">
            <v>SD Industrial Lubricants</v>
          </cell>
          <cell r="F1762">
            <v>22</v>
          </cell>
          <cell r="G1762">
            <v>20</v>
          </cell>
          <cell r="H1762">
            <v>20</v>
          </cell>
          <cell r="I1762">
            <v>21</v>
          </cell>
          <cell r="J1762">
            <v>22</v>
          </cell>
          <cell r="K1762">
            <v>21</v>
          </cell>
          <cell r="L1762">
            <v>21</v>
          </cell>
          <cell r="M1762">
            <v>22</v>
          </cell>
          <cell r="N1762">
            <v>23</v>
          </cell>
          <cell r="O1762">
            <v>23</v>
          </cell>
          <cell r="P1762">
            <v>23</v>
          </cell>
          <cell r="Q1762">
            <v>21</v>
          </cell>
          <cell r="R1762">
            <v>21</v>
          </cell>
          <cell r="S1762">
            <v>19</v>
          </cell>
          <cell r="T1762">
            <v>19</v>
          </cell>
          <cell r="U1762">
            <v>19</v>
          </cell>
          <cell r="V1762">
            <v>19</v>
          </cell>
          <cell r="W1762">
            <v>19</v>
          </cell>
          <cell r="X1762">
            <v>18</v>
          </cell>
          <cell r="Y1762">
            <v>16</v>
          </cell>
          <cell r="Z1762">
            <v>248</v>
          </cell>
          <cell r="AA1762">
            <v>244</v>
          </cell>
          <cell r="AB1762">
            <v>219</v>
          </cell>
          <cell r="AC1762">
            <v>224</v>
          </cell>
          <cell r="AD1762">
            <v>231</v>
          </cell>
          <cell r="AE1762">
            <v>243</v>
          </cell>
          <cell r="AF1762">
            <v>247</v>
          </cell>
          <cell r="AG1762">
            <v>225</v>
          </cell>
          <cell r="AH1762">
            <v>208</v>
          </cell>
          <cell r="AI1762">
            <v>184</v>
          </cell>
          <cell r="AJ1762">
            <v>186</v>
          </cell>
        </row>
        <row r="1763">
          <cell r="E1763" t="str">
            <v>TN Industrial Lubricants</v>
          </cell>
          <cell r="F1763">
            <v>3507</v>
          </cell>
          <cell r="G1763">
            <v>3137</v>
          </cell>
          <cell r="H1763">
            <v>3199</v>
          </cell>
          <cell r="I1763">
            <v>3257</v>
          </cell>
          <cell r="J1763">
            <v>3404</v>
          </cell>
          <cell r="K1763">
            <v>3346</v>
          </cell>
          <cell r="L1763">
            <v>3247</v>
          </cell>
          <cell r="M1763">
            <v>3430</v>
          </cell>
          <cell r="N1763">
            <v>3591</v>
          </cell>
          <cell r="O1763">
            <v>3629</v>
          </cell>
          <cell r="P1763">
            <v>3574</v>
          </cell>
          <cell r="Q1763">
            <v>3275</v>
          </cell>
          <cell r="R1763">
            <v>3236</v>
          </cell>
          <cell r="S1763">
            <v>2992</v>
          </cell>
          <cell r="T1763">
            <v>3031</v>
          </cell>
          <cell r="U1763">
            <v>3015</v>
          </cell>
          <cell r="V1763">
            <v>2937</v>
          </cell>
          <cell r="W1763">
            <v>3033</v>
          </cell>
          <cell r="X1763">
            <v>2816</v>
          </cell>
          <cell r="Y1763">
            <v>2532</v>
          </cell>
          <cell r="Z1763">
            <v>2492</v>
          </cell>
          <cell r="AA1763">
            <v>2382</v>
          </cell>
          <cell r="AB1763">
            <v>2347</v>
          </cell>
          <cell r="AC1763">
            <v>2437</v>
          </cell>
          <cell r="AD1763">
            <v>2410</v>
          </cell>
          <cell r="AE1763">
            <v>2744</v>
          </cell>
          <cell r="AF1763">
            <v>2582</v>
          </cell>
          <cell r="AG1763">
            <v>2457</v>
          </cell>
          <cell r="AH1763">
            <v>2277</v>
          </cell>
          <cell r="AI1763">
            <v>2084</v>
          </cell>
          <cell r="AJ1763">
            <v>2050</v>
          </cell>
        </row>
        <row r="1764">
          <cell r="E1764" t="str">
            <v>TX Industrial Lubricants</v>
          </cell>
          <cell r="F1764">
            <v>21304</v>
          </cell>
          <cell r="G1764">
            <v>19059</v>
          </cell>
          <cell r="H1764">
            <v>19431</v>
          </cell>
          <cell r="I1764">
            <v>19786</v>
          </cell>
          <cell r="J1764">
            <v>20680</v>
          </cell>
          <cell r="K1764">
            <v>20325</v>
          </cell>
          <cell r="L1764">
            <v>19725</v>
          </cell>
          <cell r="M1764">
            <v>20838</v>
          </cell>
          <cell r="N1764">
            <v>21814</v>
          </cell>
          <cell r="O1764">
            <v>22042</v>
          </cell>
          <cell r="P1764">
            <v>21712</v>
          </cell>
          <cell r="Q1764">
            <v>19893</v>
          </cell>
          <cell r="R1764">
            <v>19657</v>
          </cell>
          <cell r="S1764">
            <v>18173</v>
          </cell>
          <cell r="T1764">
            <v>18411</v>
          </cell>
          <cell r="U1764">
            <v>18315</v>
          </cell>
          <cell r="V1764">
            <v>17844</v>
          </cell>
          <cell r="W1764">
            <v>18427</v>
          </cell>
          <cell r="X1764">
            <v>17107</v>
          </cell>
          <cell r="Y1764">
            <v>15381</v>
          </cell>
          <cell r="Z1764">
            <v>23852</v>
          </cell>
          <cell r="AA1764">
            <v>23513</v>
          </cell>
          <cell r="AB1764">
            <v>23901</v>
          </cell>
          <cell r="AC1764">
            <v>26494</v>
          </cell>
          <cell r="AD1764">
            <v>28675</v>
          </cell>
          <cell r="AE1764">
            <v>32907</v>
          </cell>
          <cell r="AF1764">
            <v>30589</v>
          </cell>
          <cell r="AG1764">
            <v>27874</v>
          </cell>
          <cell r="AH1764">
            <v>27455</v>
          </cell>
          <cell r="AI1764">
            <v>28486</v>
          </cell>
          <cell r="AJ1764">
            <v>25134</v>
          </cell>
        </row>
        <row r="1765">
          <cell r="E1765" t="str">
            <v>US Industrial Lubricants</v>
          </cell>
          <cell r="F1765">
            <v>186342</v>
          </cell>
          <cell r="G1765">
            <v>166705</v>
          </cell>
          <cell r="H1765">
            <v>169961</v>
          </cell>
          <cell r="I1765">
            <v>173064</v>
          </cell>
          <cell r="J1765">
            <v>180887</v>
          </cell>
          <cell r="K1765">
            <v>177780</v>
          </cell>
          <cell r="L1765">
            <v>172534</v>
          </cell>
          <cell r="M1765">
            <v>182262</v>
          </cell>
          <cell r="N1765">
            <v>190802</v>
          </cell>
          <cell r="O1765">
            <v>192799</v>
          </cell>
          <cell r="P1765">
            <v>189907</v>
          </cell>
          <cell r="Q1765">
            <v>173997</v>
          </cell>
          <cell r="R1765">
            <v>171938</v>
          </cell>
          <cell r="S1765">
            <v>158957</v>
          </cell>
          <cell r="T1765">
            <v>161037</v>
          </cell>
          <cell r="U1765">
            <v>160198</v>
          </cell>
          <cell r="V1765">
            <v>156078</v>
          </cell>
          <cell r="W1765">
            <v>161178</v>
          </cell>
          <cell r="X1765">
            <v>149634</v>
          </cell>
          <cell r="Y1765">
            <v>134531</v>
          </cell>
          <cell r="Z1765">
            <v>135880</v>
          </cell>
          <cell r="AA1765">
            <v>127397</v>
          </cell>
          <cell r="AB1765">
            <v>118314</v>
          </cell>
          <cell r="AC1765">
            <v>125089</v>
          </cell>
          <cell r="AD1765">
            <v>130662</v>
          </cell>
          <cell r="AE1765">
            <v>142136</v>
          </cell>
          <cell r="AF1765">
            <v>135149</v>
          </cell>
          <cell r="AG1765">
            <v>124895</v>
          </cell>
          <cell r="AH1765">
            <v>121988</v>
          </cell>
          <cell r="AI1765">
            <v>118313</v>
          </cell>
          <cell r="AJ1765">
            <v>111089</v>
          </cell>
        </row>
        <row r="1766">
          <cell r="E1766" t="str">
            <v>UT Industrial Lubricants</v>
          </cell>
          <cell r="F1766">
            <v>657</v>
          </cell>
          <cell r="G1766">
            <v>588</v>
          </cell>
          <cell r="H1766">
            <v>599</v>
          </cell>
          <cell r="I1766">
            <v>610</v>
          </cell>
          <cell r="J1766">
            <v>638</v>
          </cell>
          <cell r="K1766">
            <v>627</v>
          </cell>
          <cell r="L1766">
            <v>608</v>
          </cell>
          <cell r="M1766">
            <v>642</v>
          </cell>
          <cell r="N1766">
            <v>673</v>
          </cell>
          <cell r="O1766">
            <v>680</v>
          </cell>
          <cell r="P1766">
            <v>669</v>
          </cell>
          <cell r="Q1766">
            <v>613</v>
          </cell>
          <cell r="R1766">
            <v>606</v>
          </cell>
          <cell r="S1766">
            <v>560</v>
          </cell>
          <cell r="T1766">
            <v>568</v>
          </cell>
          <cell r="U1766">
            <v>565</v>
          </cell>
          <cell r="V1766">
            <v>550</v>
          </cell>
          <cell r="W1766">
            <v>568</v>
          </cell>
          <cell r="X1766">
            <v>527</v>
          </cell>
          <cell r="Y1766">
            <v>474</v>
          </cell>
          <cell r="Z1766">
            <v>1901</v>
          </cell>
          <cell r="AA1766">
            <v>1737</v>
          </cell>
          <cell r="AB1766">
            <v>1317</v>
          </cell>
          <cell r="AC1766">
            <v>1381</v>
          </cell>
          <cell r="AD1766">
            <v>1451</v>
          </cell>
          <cell r="AE1766">
            <v>1433</v>
          </cell>
          <cell r="AF1766">
            <v>1356</v>
          </cell>
          <cell r="AG1766">
            <v>1301</v>
          </cell>
          <cell r="AH1766">
            <v>1310</v>
          </cell>
          <cell r="AI1766">
            <v>1302</v>
          </cell>
          <cell r="AJ1766">
            <v>1303</v>
          </cell>
        </row>
        <row r="1767">
          <cell r="E1767" t="str">
            <v>VA Industrial Lubricants</v>
          </cell>
          <cell r="F1767">
            <v>2622</v>
          </cell>
          <cell r="G1767">
            <v>2346</v>
          </cell>
          <cell r="H1767">
            <v>2391</v>
          </cell>
          <cell r="I1767">
            <v>2435</v>
          </cell>
          <cell r="J1767">
            <v>2545</v>
          </cell>
          <cell r="K1767">
            <v>2501</v>
          </cell>
          <cell r="L1767">
            <v>2428</v>
          </cell>
          <cell r="M1767">
            <v>2565</v>
          </cell>
          <cell r="N1767">
            <v>2685</v>
          </cell>
          <cell r="O1767">
            <v>2713</v>
          </cell>
          <cell r="P1767">
            <v>2672</v>
          </cell>
          <cell r="Q1767">
            <v>2448</v>
          </cell>
          <cell r="R1767">
            <v>2419</v>
          </cell>
          <cell r="S1767">
            <v>2237</v>
          </cell>
          <cell r="T1767">
            <v>2266</v>
          </cell>
          <cell r="U1767">
            <v>2254</v>
          </cell>
          <cell r="V1767">
            <v>2196</v>
          </cell>
          <cell r="W1767">
            <v>2268</v>
          </cell>
          <cell r="X1767">
            <v>2105</v>
          </cell>
          <cell r="Y1767">
            <v>1893</v>
          </cell>
          <cell r="Z1767">
            <v>2828</v>
          </cell>
          <cell r="AA1767">
            <v>2561</v>
          </cell>
          <cell r="AB1767">
            <v>2256</v>
          </cell>
          <cell r="AC1767">
            <v>2302</v>
          </cell>
          <cell r="AD1767">
            <v>2197</v>
          </cell>
          <cell r="AE1767">
            <v>2338</v>
          </cell>
          <cell r="AF1767">
            <v>2195</v>
          </cell>
          <cell r="AG1767">
            <v>2053</v>
          </cell>
          <cell r="AH1767">
            <v>2028</v>
          </cell>
          <cell r="AI1767">
            <v>1863</v>
          </cell>
          <cell r="AJ1767">
            <v>1764</v>
          </cell>
        </row>
        <row r="1768">
          <cell r="E1768" t="str">
            <v>VT Industrial Lubricants</v>
          </cell>
          <cell r="F1768">
            <v>95</v>
          </cell>
          <cell r="G1768">
            <v>85</v>
          </cell>
          <cell r="H1768">
            <v>86</v>
          </cell>
          <cell r="I1768">
            <v>88</v>
          </cell>
          <cell r="J1768">
            <v>92</v>
          </cell>
          <cell r="K1768">
            <v>90</v>
          </cell>
          <cell r="L1768">
            <v>88</v>
          </cell>
          <cell r="M1768">
            <v>93</v>
          </cell>
          <cell r="N1768">
            <v>97</v>
          </cell>
          <cell r="O1768">
            <v>98</v>
          </cell>
          <cell r="P1768">
            <v>96</v>
          </cell>
          <cell r="Q1768">
            <v>88</v>
          </cell>
          <cell r="R1768">
            <v>87</v>
          </cell>
          <cell r="S1768">
            <v>81</v>
          </cell>
          <cell r="T1768">
            <v>82</v>
          </cell>
          <cell r="U1768">
            <v>81</v>
          </cell>
          <cell r="V1768">
            <v>79</v>
          </cell>
          <cell r="W1768">
            <v>82</v>
          </cell>
          <cell r="X1768">
            <v>76</v>
          </cell>
          <cell r="Y1768">
            <v>68</v>
          </cell>
          <cell r="Z1768">
            <v>200</v>
          </cell>
          <cell r="AA1768">
            <v>177</v>
          </cell>
          <cell r="AB1768">
            <v>151</v>
          </cell>
          <cell r="AC1768">
            <v>154</v>
          </cell>
          <cell r="AD1768">
            <v>152</v>
          </cell>
          <cell r="AE1768">
            <v>160</v>
          </cell>
          <cell r="AF1768">
            <v>148</v>
          </cell>
          <cell r="AG1768">
            <v>137</v>
          </cell>
          <cell r="AH1768">
            <v>127</v>
          </cell>
          <cell r="AI1768">
            <v>114</v>
          </cell>
          <cell r="AJ1768">
            <v>111</v>
          </cell>
        </row>
        <row r="1769">
          <cell r="E1769" t="str">
            <v>WA Industrial Lubricants</v>
          </cell>
          <cell r="F1769">
            <v>1253</v>
          </cell>
          <cell r="G1769">
            <v>1121</v>
          </cell>
          <cell r="H1769">
            <v>1142</v>
          </cell>
          <cell r="I1769">
            <v>1163</v>
          </cell>
          <cell r="J1769">
            <v>1216</v>
          </cell>
          <cell r="K1769">
            <v>1195</v>
          </cell>
          <cell r="L1769">
            <v>1160</v>
          </cell>
          <cell r="M1769">
            <v>1225</v>
          </cell>
          <cell r="N1769">
            <v>1283</v>
          </cell>
          <cell r="O1769">
            <v>1296</v>
          </cell>
          <cell r="P1769">
            <v>1276</v>
          </cell>
          <cell r="Q1769">
            <v>1170</v>
          </cell>
          <cell r="R1769">
            <v>1156</v>
          </cell>
          <cell r="S1769">
            <v>1068</v>
          </cell>
          <cell r="T1769">
            <v>1082</v>
          </cell>
          <cell r="U1769">
            <v>1077</v>
          </cell>
          <cell r="V1769">
            <v>1049</v>
          </cell>
          <cell r="W1769">
            <v>1083</v>
          </cell>
          <cell r="X1769">
            <v>1006</v>
          </cell>
          <cell r="Y1769">
            <v>904</v>
          </cell>
          <cell r="Z1769">
            <v>1942</v>
          </cell>
          <cell r="AA1769">
            <v>1757</v>
          </cell>
          <cell r="AB1769">
            <v>1611</v>
          </cell>
          <cell r="AC1769">
            <v>1740</v>
          </cell>
          <cell r="AD1769">
            <v>1826</v>
          </cell>
          <cell r="AE1769">
            <v>2032</v>
          </cell>
          <cell r="AF1769">
            <v>1899</v>
          </cell>
          <cell r="AG1769">
            <v>1779</v>
          </cell>
          <cell r="AH1769">
            <v>1793</v>
          </cell>
          <cell r="AI1769">
            <v>1672</v>
          </cell>
          <cell r="AJ1769">
            <v>1540</v>
          </cell>
        </row>
        <row r="1770">
          <cell r="E1770" t="str">
            <v>WI Industrial Lubricants</v>
          </cell>
          <cell r="F1770">
            <v>3084</v>
          </cell>
          <cell r="G1770">
            <v>2759</v>
          </cell>
          <cell r="H1770">
            <v>2813</v>
          </cell>
          <cell r="I1770">
            <v>2864</v>
          </cell>
          <cell r="J1770">
            <v>2994</v>
          </cell>
          <cell r="K1770">
            <v>2942</v>
          </cell>
          <cell r="L1770">
            <v>2855</v>
          </cell>
          <cell r="M1770">
            <v>3016</v>
          </cell>
          <cell r="N1770">
            <v>3158</v>
          </cell>
          <cell r="O1770">
            <v>3191</v>
          </cell>
          <cell r="P1770">
            <v>3143</v>
          </cell>
          <cell r="Q1770">
            <v>2880</v>
          </cell>
          <cell r="R1770">
            <v>2846</v>
          </cell>
          <cell r="S1770">
            <v>2631</v>
          </cell>
          <cell r="T1770">
            <v>2665</v>
          </cell>
          <cell r="U1770">
            <v>2651</v>
          </cell>
          <cell r="V1770">
            <v>2583</v>
          </cell>
          <cell r="W1770">
            <v>2668</v>
          </cell>
          <cell r="X1770">
            <v>2476</v>
          </cell>
          <cell r="Y1770">
            <v>2227</v>
          </cell>
          <cell r="Z1770">
            <v>2744</v>
          </cell>
          <cell r="AA1770">
            <v>2579</v>
          </cell>
          <cell r="AB1770">
            <v>2471</v>
          </cell>
          <cell r="AC1770">
            <v>2660</v>
          </cell>
          <cell r="AD1770">
            <v>2690</v>
          </cell>
          <cell r="AE1770">
            <v>2983</v>
          </cell>
          <cell r="AF1770">
            <v>2717</v>
          </cell>
          <cell r="AG1770">
            <v>2452</v>
          </cell>
          <cell r="AH1770">
            <v>2421</v>
          </cell>
          <cell r="AI1770">
            <v>2192</v>
          </cell>
          <cell r="AJ1770">
            <v>2059</v>
          </cell>
        </row>
        <row r="1771">
          <cell r="E1771" t="str">
            <v>WV Industrial Lubricants</v>
          </cell>
          <cell r="F1771">
            <v>2611</v>
          </cell>
          <cell r="G1771">
            <v>2336</v>
          </cell>
          <cell r="H1771">
            <v>2381</v>
          </cell>
          <cell r="I1771">
            <v>2425</v>
          </cell>
          <cell r="J1771">
            <v>2534</v>
          </cell>
          <cell r="K1771">
            <v>2491</v>
          </cell>
          <cell r="L1771">
            <v>2417</v>
          </cell>
          <cell r="M1771">
            <v>2554</v>
          </cell>
          <cell r="N1771">
            <v>2673</v>
          </cell>
          <cell r="O1771">
            <v>2701</v>
          </cell>
          <cell r="P1771">
            <v>2661</v>
          </cell>
          <cell r="Q1771">
            <v>2438</v>
          </cell>
          <cell r="R1771">
            <v>2409</v>
          </cell>
          <cell r="S1771">
            <v>2227</v>
          </cell>
          <cell r="T1771">
            <v>2256</v>
          </cell>
          <cell r="U1771">
            <v>2245</v>
          </cell>
          <cell r="V1771">
            <v>2187</v>
          </cell>
          <cell r="W1771">
            <v>2258</v>
          </cell>
          <cell r="X1771">
            <v>2097</v>
          </cell>
          <cell r="Y1771">
            <v>1885</v>
          </cell>
          <cell r="Z1771">
            <v>1426</v>
          </cell>
          <cell r="AA1771">
            <v>1402</v>
          </cell>
          <cell r="AB1771">
            <v>1192</v>
          </cell>
          <cell r="AC1771">
            <v>1284</v>
          </cell>
          <cell r="AD1771">
            <v>1349</v>
          </cell>
          <cell r="AE1771">
            <v>1434</v>
          </cell>
          <cell r="AF1771">
            <v>1353</v>
          </cell>
          <cell r="AG1771">
            <v>1339</v>
          </cell>
          <cell r="AH1771">
            <v>1256</v>
          </cell>
          <cell r="AI1771">
            <v>1252</v>
          </cell>
          <cell r="AJ1771">
            <v>1309</v>
          </cell>
        </row>
        <row r="1772">
          <cell r="E1772" t="str">
            <v>WY Industrial Lubricants</v>
          </cell>
          <cell r="F1772">
            <v>356</v>
          </cell>
          <cell r="G1772">
            <v>319</v>
          </cell>
          <cell r="H1772">
            <v>325</v>
          </cell>
          <cell r="I1772">
            <v>331</v>
          </cell>
          <cell r="J1772">
            <v>346</v>
          </cell>
          <cell r="K1772">
            <v>340</v>
          </cell>
          <cell r="L1772">
            <v>330</v>
          </cell>
          <cell r="M1772">
            <v>348</v>
          </cell>
          <cell r="N1772">
            <v>365</v>
          </cell>
          <cell r="O1772">
            <v>369</v>
          </cell>
          <cell r="P1772">
            <v>363</v>
          </cell>
          <cell r="Q1772">
            <v>333</v>
          </cell>
          <cell r="R1772">
            <v>329</v>
          </cell>
          <cell r="S1772">
            <v>304</v>
          </cell>
          <cell r="T1772">
            <v>308</v>
          </cell>
          <cell r="U1772">
            <v>306</v>
          </cell>
          <cell r="V1772">
            <v>298</v>
          </cell>
          <cell r="W1772">
            <v>308</v>
          </cell>
          <cell r="X1772">
            <v>286</v>
          </cell>
          <cell r="Y1772">
            <v>257</v>
          </cell>
          <cell r="Z1772">
            <v>1641</v>
          </cell>
          <cell r="AA1772">
            <v>1497</v>
          </cell>
          <cell r="AB1772">
            <v>1160</v>
          </cell>
          <cell r="AC1772">
            <v>1169</v>
          </cell>
          <cell r="AD1772">
            <v>1211</v>
          </cell>
          <cell r="AE1772">
            <v>1252</v>
          </cell>
          <cell r="AF1772">
            <v>1068</v>
          </cell>
          <cell r="AG1772">
            <v>936</v>
          </cell>
          <cell r="AH1772">
            <v>877</v>
          </cell>
          <cell r="AI1772">
            <v>850</v>
          </cell>
          <cell r="AJ1772">
            <v>763</v>
          </cell>
        </row>
        <row r="1773">
          <cell r="E1773" t="str">
            <v>AK Industrial Motor Gasoline Blending Components</v>
          </cell>
          <cell r="F1773">
            <v>860</v>
          </cell>
          <cell r="G1773">
            <v>-385</v>
          </cell>
          <cell r="H1773">
            <v>1313</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row>
        <row r="1774">
          <cell r="E1774" t="str">
            <v>AL Industrial Motor Gasoline Blending Components</v>
          </cell>
          <cell r="F1774">
            <v>407</v>
          </cell>
          <cell r="G1774">
            <v>-243</v>
          </cell>
          <cell r="H1774">
            <v>535</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row>
        <row r="1775">
          <cell r="E1775" t="str">
            <v>AR Industrial Motor Gasoline Blending Components</v>
          </cell>
          <cell r="F1775">
            <v>193</v>
          </cell>
          <cell r="G1775">
            <v>-105</v>
          </cell>
          <cell r="H1775">
            <v>316</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row>
        <row r="1776">
          <cell r="E1776" t="str">
            <v>AZ Industrial Motor Gasoline Blending Components</v>
          </cell>
          <cell r="F1776">
            <v>36</v>
          </cell>
          <cell r="G1776">
            <v>-17</v>
          </cell>
          <cell r="H1776">
            <v>51</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row>
        <row r="1777">
          <cell r="E1777" t="str">
            <v>CA Industrial Motor Gasoline Blending Components</v>
          </cell>
          <cell r="F1777">
            <v>7517</v>
          </cell>
          <cell r="G1777">
            <v>-3284</v>
          </cell>
          <cell r="H1777">
            <v>9575</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row>
        <row r="1778">
          <cell r="E1778" t="str">
            <v>CO Industrial Motor Gasoline Blending Components</v>
          </cell>
          <cell r="F1778">
            <v>273</v>
          </cell>
          <cell r="G1778">
            <v>-132</v>
          </cell>
          <cell r="H1778">
            <v>438</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row>
        <row r="1779">
          <cell r="E1779" t="str">
            <v>CT Industrial Motor Gasoline Blending Components</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row>
        <row r="1780">
          <cell r="E1780" t="str">
            <v>DC Industrial Motor Gasoline Blending Components</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row>
        <row r="1781">
          <cell r="E1781" t="str">
            <v>DE Industrial Motor Gasoline Blending Components</v>
          </cell>
          <cell r="F1781">
            <v>503</v>
          </cell>
          <cell r="G1781">
            <v>-242</v>
          </cell>
          <cell r="H1781">
            <v>717</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row>
        <row r="1782">
          <cell r="E1782" t="str">
            <v>FL Industrial Motor Gasoline Blending Components</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row>
        <row r="1783">
          <cell r="E1783" t="str">
            <v>GA Industrial Motor Gasoline Blending Components</v>
          </cell>
          <cell r="F1783">
            <v>20</v>
          </cell>
          <cell r="G1783">
            <v>-10</v>
          </cell>
          <cell r="H1783">
            <v>28</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row>
        <row r="1784">
          <cell r="E1784" t="str">
            <v>HI Industrial Motor Gasoline Blending Components</v>
          </cell>
          <cell r="F1784">
            <v>525</v>
          </cell>
          <cell r="G1784">
            <v>-253</v>
          </cell>
          <cell r="H1784">
            <v>749</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row>
        <row r="1785">
          <cell r="E1785" t="str">
            <v>IA Industrial Motor Gasoline Blending Components</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row>
        <row r="1786">
          <cell r="E1786" t="str">
            <v>ID Industrial Motor Gasoline Blending Components</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row>
        <row r="1787">
          <cell r="E1787" t="str">
            <v>IL Industrial Motor Gasoline Blending Components</v>
          </cell>
          <cell r="F1787">
            <v>3366</v>
          </cell>
          <cell r="G1787">
            <v>-1650</v>
          </cell>
          <cell r="H1787">
            <v>4946</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row>
        <row r="1788">
          <cell r="E1788" t="str">
            <v>IN Industrial Motor Gasoline Blending Components</v>
          </cell>
          <cell r="F1788">
            <v>1543</v>
          </cell>
          <cell r="G1788">
            <v>-779</v>
          </cell>
          <cell r="H1788">
            <v>2432</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row>
        <row r="1789">
          <cell r="E1789" t="str">
            <v>KS Industrial Motor Gasoline Blending Components</v>
          </cell>
          <cell r="F1789">
            <v>1262</v>
          </cell>
          <cell r="G1789">
            <v>-567</v>
          </cell>
          <cell r="H1789">
            <v>1521</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row>
        <row r="1790">
          <cell r="E1790" t="str">
            <v>KY Industrial Motor Gasoline Blending Components</v>
          </cell>
          <cell r="F1790">
            <v>786</v>
          </cell>
          <cell r="G1790">
            <v>-379</v>
          </cell>
          <cell r="H1790">
            <v>1121</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row>
        <row r="1791">
          <cell r="E1791" t="str">
            <v>LA Industrial Motor Gasoline Blending Components</v>
          </cell>
          <cell r="F1791">
            <v>8208</v>
          </cell>
          <cell r="G1791">
            <v>-4007</v>
          </cell>
          <cell r="H1791">
            <v>12082</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row>
        <row r="1792">
          <cell r="E1792" t="str">
            <v>MA Industrial Motor Gasoline Blending Components</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row>
        <row r="1793">
          <cell r="E1793" t="str">
            <v>MD Industrial Motor Gasoline Blending Components</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row>
        <row r="1794">
          <cell r="E1794" t="str">
            <v>ME Industrial Motor Gasoline Blending Components</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row>
        <row r="1795">
          <cell r="E1795" t="str">
            <v>MI Industrial Motor Gasoline Blending Components</v>
          </cell>
          <cell r="F1795">
            <v>426</v>
          </cell>
          <cell r="G1795">
            <v>-205</v>
          </cell>
          <cell r="H1795">
            <v>592</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row>
        <row r="1796">
          <cell r="E1796" t="str">
            <v>MN Industrial Motor Gasoline Blending Components</v>
          </cell>
          <cell r="F1796">
            <v>959</v>
          </cell>
          <cell r="G1796">
            <v>-463</v>
          </cell>
          <cell r="H1796">
            <v>1368</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row>
        <row r="1797">
          <cell r="E1797" t="str">
            <v>MO Industrial Motor Gasoline Blending Components</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row>
        <row r="1798">
          <cell r="E1798" t="str">
            <v>MS Industrial Motor Gasoline Blending Components</v>
          </cell>
          <cell r="F1798">
            <v>1301</v>
          </cell>
          <cell r="G1798">
            <v>-640</v>
          </cell>
          <cell r="H1798">
            <v>1904</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row>
        <row r="1799">
          <cell r="E1799" t="str">
            <v>MT Industrial Motor Gasoline Blending Components</v>
          </cell>
          <cell r="F1799">
            <v>501</v>
          </cell>
          <cell r="G1799">
            <v>-242</v>
          </cell>
          <cell r="H1799">
            <v>715</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row>
        <row r="1800">
          <cell r="E1800" t="str">
            <v>NC Industrial Motor Gasoline Blending Components</v>
          </cell>
          <cell r="F1800">
            <v>11</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row>
        <row r="1801">
          <cell r="E1801" t="str">
            <v>ND Industrial Motor Gasoline Blending Components</v>
          </cell>
          <cell r="F1801">
            <v>208</v>
          </cell>
          <cell r="G1801">
            <v>-100</v>
          </cell>
          <cell r="H1801">
            <v>297</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row>
        <row r="1802">
          <cell r="E1802" t="str">
            <v>NE Industrial Motor Gasoline Blending Components</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row>
        <row r="1803">
          <cell r="E1803" t="str">
            <v>NH Industrial Motor Gasoline Blending Components</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row>
        <row r="1804">
          <cell r="E1804" t="str">
            <v>NJ Industrial Motor Gasoline Blending Components</v>
          </cell>
          <cell r="F1804">
            <v>1201</v>
          </cell>
          <cell r="G1804">
            <v>-787</v>
          </cell>
          <cell r="H1804">
            <v>2087</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row>
        <row r="1805">
          <cell r="E1805" t="str">
            <v>NM Industrial Motor Gasoline Blending Components</v>
          </cell>
          <cell r="F1805">
            <v>269</v>
          </cell>
          <cell r="G1805">
            <v>-169</v>
          </cell>
          <cell r="H1805">
            <v>485</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row>
        <row r="1806">
          <cell r="E1806" t="str">
            <v>NV Industrial Motor Gasoline Blending Components</v>
          </cell>
          <cell r="F1806">
            <v>0</v>
          </cell>
          <cell r="G1806">
            <v>-12</v>
          </cell>
          <cell r="H1806">
            <v>36</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row>
        <row r="1807">
          <cell r="E1807" t="str">
            <v>NY Industrial Motor Gasoline Blending Components</v>
          </cell>
          <cell r="F1807">
            <v>150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row>
        <row r="1808">
          <cell r="E1808" t="str">
            <v>OH Industrial Motor Gasoline Blending Components</v>
          </cell>
          <cell r="F1808">
            <v>1641</v>
          </cell>
          <cell r="G1808">
            <v>-800</v>
          </cell>
          <cell r="H1808">
            <v>2367</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row>
        <row r="1809">
          <cell r="E1809" t="str">
            <v>OK Industrial Motor Gasoline Blending Components</v>
          </cell>
          <cell r="F1809">
            <v>1420</v>
          </cell>
          <cell r="G1809">
            <v>-690</v>
          </cell>
          <cell r="H1809">
            <v>2031</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row>
        <row r="1810">
          <cell r="E1810" t="str">
            <v>OR Industrial Motor Gasoline Blending Components</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row>
        <row r="1811">
          <cell r="E1811" t="str">
            <v>PA Industrial Motor Gasoline Blending Components</v>
          </cell>
          <cell r="F1811">
            <v>2672</v>
          </cell>
          <cell r="G1811">
            <v>-1271</v>
          </cell>
          <cell r="H1811">
            <v>3746</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row>
        <row r="1812">
          <cell r="E1812" t="str">
            <v>RI Industrial Motor Gasoline Blending Components</v>
          </cell>
          <cell r="F1812">
            <v>0</v>
          </cell>
          <cell r="G1812">
            <v>0</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row>
        <row r="1813">
          <cell r="E1813" t="str">
            <v>SC Industrial Motor Gasoline Blending Components</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row>
        <row r="1814">
          <cell r="E1814" t="str">
            <v>SD Industrial Motor Gasoline Blending Components</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row>
        <row r="1815">
          <cell r="E1815" t="str">
            <v>TN Industrial Motor Gasoline Blending Components</v>
          </cell>
          <cell r="F1815">
            <v>215</v>
          </cell>
          <cell r="G1815">
            <v>-132</v>
          </cell>
          <cell r="H1815">
            <v>389</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row>
        <row r="1816">
          <cell r="E1816" t="str">
            <v>TX Industrial Motor Gasoline Blending Components</v>
          </cell>
          <cell r="F1816">
            <v>13912</v>
          </cell>
          <cell r="G1816">
            <v>-6766</v>
          </cell>
          <cell r="H1816">
            <v>19109</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row>
        <row r="1817">
          <cell r="E1817" t="str">
            <v>US Industrial Motor Gasoline Blending Components</v>
          </cell>
          <cell r="F1817">
            <v>53696</v>
          </cell>
          <cell r="G1817">
            <v>-25918</v>
          </cell>
          <cell r="H1817">
            <v>75685</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row>
        <row r="1818">
          <cell r="E1818" t="str">
            <v>UT Industrial Motor Gasoline Blending Components</v>
          </cell>
          <cell r="F1818">
            <v>555</v>
          </cell>
          <cell r="G1818">
            <v>-268</v>
          </cell>
          <cell r="H1818">
            <v>791</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row>
        <row r="1819">
          <cell r="E1819" t="str">
            <v>VA Industrial Motor Gasoline Blending Components</v>
          </cell>
          <cell r="F1819">
            <v>204</v>
          </cell>
          <cell r="G1819">
            <v>-102</v>
          </cell>
          <cell r="H1819">
            <v>271</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row>
        <row r="1820">
          <cell r="E1820" t="str">
            <v>VT Industrial Motor Gasoline Blending Components</v>
          </cell>
          <cell r="F1820">
            <v>0</v>
          </cell>
          <cell r="G1820">
            <v>0</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row>
        <row r="1821">
          <cell r="E1821" t="str">
            <v>WA Industrial Motor Gasoline Blending Components</v>
          </cell>
          <cell r="F1821">
            <v>1781</v>
          </cell>
          <cell r="G1821">
            <v>-908</v>
          </cell>
          <cell r="H1821">
            <v>2757</v>
          </cell>
          <cell r="I1821">
            <v>0</v>
          </cell>
          <cell r="J1821">
            <v>0</v>
          </cell>
          <cell r="K1821">
            <v>0</v>
          </cell>
          <cell r="L1821">
            <v>0</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row>
        <row r="1822">
          <cell r="E1822" t="str">
            <v>WI Industrial Motor Gasoline Blending Components</v>
          </cell>
          <cell r="F1822">
            <v>119</v>
          </cell>
          <cell r="G1822">
            <v>-57</v>
          </cell>
          <cell r="H1822">
            <v>170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row>
        <row r="1823">
          <cell r="E1823" t="str">
            <v>WV Industrial Motor Gasoline Blending Components</v>
          </cell>
          <cell r="F1823">
            <v>45</v>
          </cell>
          <cell r="G1823">
            <v>-28</v>
          </cell>
          <cell r="H1823">
            <v>79</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row>
        <row r="1824">
          <cell r="E1824" t="str">
            <v>WY Industrial Motor Gasoline Blending Components</v>
          </cell>
          <cell r="F1824">
            <v>609</v>
          </cell>
          <cell r="G1824">
            <v>-225</v>
          </cell>
          <cell r="H1824">
            <v>664</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row>
        <row r="1825">
          <cell r="E1825" t="str">
            <v>AK Transportation Motor Gasoline</v>
          </cell>
          <cell r="F1825">
            <v>30191</v>
          </cell>
          <cell r="G1825">
            <v>26072</v>
          </cell>
          <cell r="H1825">
            <v>30289</v>
          </cell>
          <cell r="I1825">
            <v>30928</v>
          </cell>
          <cell r="J1825">
            <v>33762</v>
          </cell>
          <cell r="K1825">
            <v>36765</v>
          </cell>
          <cell r="L1825">
            <v>33232</v>
          </cell>
          <cell r="M1825">
            <v>32206</v>
          </cell>
          <cell r="N1825">
            <v>34043</v>
          </cell>
          <cell r="O1825">
            <v>32837</v>
          </cell>
          <cell r="P1825">
            <v>30605</v>
          </cell>
          <cell r="Q1825">
            <v>29266</v>
          </cell>
          <cell r="R1825">
            <v>29703</v>
          </cell>
          <cell r="S1825">
            <v>30127</v>
          </cell>
          <cell r="T1825">
            <v>35022</v>
          </cell>
          <cell r="U1825">
            <v>34177</v>
          </cell>
          <cell r="V1825">
            <v>33859</v>
          </cell>
          <cell r="W1825">
            <v>34372</v>
          </cell>
          <cell r="X1825">
            <v>33282</v>
          </cell>
          <cell r="Y1825">
            <v>33464</v>
          </cell>
          <cell r="Z1825">
            <v>33029</v>
          </cell>
          <cell r="AA1825">
            <v>32004</v>
          </cell>
          <cell r="AB1825">
            <v>32171</v>
          </cell>
          <cell r="AC1825">
            <v>31214</v>
          </cell>
          <cell r="AD1825">
            <v>33205</v>
          </cell>
          <cell r="AE1825">
            <v>32774</v>
          </cell>
          <cell r="AF1825">
            <v>33944</v>
          </cell>
          <cell r="AG1825">
            <v>33221</v>
          </cell>
          <cell r="AH1825">
            <v>32778</v>
          </cell>
          <cell r="AI1825">
            <v>32213</v>
          </cell>
          <cell r="AJ1825">
            <v>28453</v>
          </cell>
        </row>
        <row r="1826">
          <cell r="E1826" t="str">
            <v>AL Transportation Motor Gasoline</v>
          </cell>
          <cell r="F1826">
            <v>254759</v>
          </cell>
          <cell r="G1826">
            <v>257184</v>
          </cell>
          <cell r="H1826">
            <v>262814</v>
          </cell>
          <cell r="I1826">
            <v>267802</v>
          </cell>
          <cell r="J1826">
            <v>273999</v>
          </cell>
          <cell r="K1826">
            <v>284952</v>
          </cell>
          <cell r="L1826">
            <v>282849</v>
          </cell>
          <cell r="M1826">
            <v>285931</v>
          </cell>
          <cell r="N1826">
            <v>295821</v>
          </cell>
          <cell r="O1826">
            <v>297475</v>
          </cell>
          <cell r="P1826">
            <v>294781</v>
          </cell>
          <cell r="Q1826">
            <v>294756</v>
          </cell>
          <cell r="R1826">
            <v>314521</v>
          </cell>
          <cell r="S1826">
            <v>301586</v>
          </cell>
          <cell r="T1826">
            <v>315897</v>
          </cell>
          <cell r="U1826">
            <v>319905</v>
          </cell>
          <cell r="V1826">
            <v>322118</v>
          </cell>
          <cell r="W1826">
            <v>324629</v>
          </cell>
          <cell r="X1826">
            <v>313809</v>
          </cell>
          <cell r="Y1826">
            <v>313420</v>
          </cell>
          <cell r="Z1826">
            <v>317007</v>
          </cell>
          <cell r="AA1826">
            <v>307341</v>
          </cell>
          <cell r="AB1826">
            <v>304337</v>
          </cell>
          <cell r="AC1826">
            <v>306987</v>
          </cell>
          <cell r="AD1826">
            <v>306780</v>
          </cell>
          <cell r="AE1826">
            <v>313543</v>
          </cell>
          <cell r="AF1826">
            <v>321497</v>
          </cell>
          <cell r="AG1826">
            <v>317880</v>
          </cell>
          <cell r="AH1826">
            <v>315920</v>
          </cell>
          <cell r="AI1826">
            <v>326557</v>
          </cell>
          <cell r="AJ1826">
            <v>330596</v>
          </cell>
        </row>
        <row r="1827">
          <cell r="E1827" t="str">
            <v>AR Transportation Motor Gasoline</v>
          </cell>
          <cell r="F1827">
            <v>149387</v>
          </cell>
          <cell r="G1827">
            <v>149507</v>
          </cell>
          <cell r="H1827">
            <v>151763</v>
          </cell>
          <cell r="I1827">
            <v>156774</v>
          </cell>
          <cell r="J1827">
            <v>158614</v>
          </cell>
          <cell r="K1827">
            <v>164675</v>
          </cell>
          <cell r="L1827">
            <v>164660</v>
          </cell>
          <cell r="M1827">
            <v>170120</v>
          </cell>
          <cell r="N1827">
            <v>169538</v>
          </cell>
          <cell r="O1827">
            <v>172291</v>
          </cell>
          <cell r="P1827">
            <v>170170</v>
          </cell>
          <cell r="Q1827">
            <v>167888</v>
          </cell>
          <cell r="R1827">
            <v>171541</v>
          </cell>
          <cell r="S1827">
            <v>172399</v>
          </cell>
          <cell r="T1827">
            <v>172856</v>
          </cell>
          <cell r="U1827">
            <v>172057</v>
          </cell>
          <cell r="V1827">
            <v>171513</v>
          </cell>
          <cell r="W1827">
            <v>174256</v>
          </cell>
          <cell r="X1827">
            <v>170226</v>
          </cell>
          <cell r="Y1827">
            <v>174254</v>
          </cell>
          <cell r="Z1827">
            <v>172271</v>
          </cell>
          <cell r="AA1827">
            <v>166417</v>
          </cell>
          <cell r="AB1827">
            <v>166811</v>
          </cell>
          <cell r="AC1827">
            <v>163875</v>
          </cell>
          <cell r="AD1827">
            <v>169394</v>
          </cell>
          <cell r="AE1827">
            <v>169621</v>
          </cell>
          <cell r="AF1827">
            <v>176348</v>
          </cell>
          <cell r="AG1827">
            <v>175767</v>
          </cell>
          <cell r="AH1827">
            <v>172552</v>
          </cell>
          <cell r="AI1827">
            <v>176849</v>
          </cell>
          <cell r="AJ1827">
            <v>163639</v>
          </cell>
        </row>
        <row r="1828">
          <cell r="E1828" t="str">
            <v>AZ Transportation Motor Gasoline</v>
          </cell>
          <cell r="F1828">
            <v>202588</v>
          </cell>
          <cell r="G1828">
            <v>209347</v>
          </cell>
          <cell r="H1828">
            <v>214858</v>
          </cell>
          <cell r="I1828">
            <v>221705</v>
          </cell>
          <cell r="J1828">
            <v>233548</v>
          </cell>
          <cell r="K1828">
            <v>243100</v>
          </cell>
          <cell r="L1828">
            <v>255049</v>
          </cell>
          <cell r="M1828">
            <v>251876</v>
          </cell>
          <cell r="N1828">
            <v>271348</v>
          </cell>
          <cell r="O1828">
            <v>283427</v>
          </cell>
          <cell r="P1828">
            <v>291546</v>
          </cell>
          <cell r="Q1828">
            <v>299337</v>
          </cell>
          <cell r="R1828">
            <v>313389</v>
          </cell>
          <cell r="S1828">
            <v>315974</v>
          </cell>
          <cell r="T1828">
            <v>332578</v>
          </cell>
          <cell r="U1828">
            <v>344720</v>
          </cell>
          <cell r="V1828">
            <v>352805</v>
          </cell>
          <cell r="W1828">
            <v>354234</v>
          </cell>
          <cell r="X1828">
            <v>330182</v>
          </cell>
          <cell r="Y1828">
            <v>317146</v>
          </cell>
          <cell r="Z1828">
            <v>314709</v>
          </cell>
          <cell r="AA1828">
            <v>309177</v>
          </cell>
          <cell r="AB1828">
            <v>306103</v>
          </cell>
          <cell r="AC1828">
            <v>312764</v>
          </cell>
          <cell r="AD1828">
            <v>315476</v>
          </cell>
          <cell r="AE1828">
            <v>319428</v>
          </cell>
          <cell r="AF1828">
            <v>330884</v>
          </cell>
          <cell r="AG1828">
            <v>332615</v>
          </cell>
          <cell r="AH1828">
            <v>339496</v>
          </cell>
          <cell r="AI1828">
            <v>342124</v>
          </cell>
          <cell r="AJ1828">
            <v>302707</v>
          </cell>
        </row>
        <row r="1829">
          <cell r="E1829" t="str">
            <v>CA Transportation Motor Gasoline</v>
          </cell>
          <cell r="F1829">
            <v>1580590</v>
          </cell>
          <cell r="G1829">
            <v>1543225</v>
          </cell>
          <cell r="H1829">
            <v>1632955</v>
          </cell>
          <cell r="I1829">
            <v>1595361</v>
          </cell>
          <cell r="J1829">
            <v>1588542</v>
          </cell>
          <cell r="K1829">
            <v>1615212</v>
          </cell>
          <cell r="L1829">
            <v>1642948</v>
          </cell>
          <cell r="M1829">
            <v>1664181</v>
          </cell>
          <cell r="N1829">
            <v>1698416</v>
          </cell>
          <cell r="O1829">
            <v>1745965</v>
          </cell>
          <cell r="P1829">
            <v>1771884</v>
          </cell>
          <cell r="Q1829">
            <v>1805796</v>
          </cell>
          <cell r="R1829">
            <v>1894997</v>
          </cell>
          <cell r="S1829">
            <v>1883419</v>
          </cell>
          <cell r="T1829">
            <v>1922955</v>
          </cell>
          <cell r="U1829">
            <v>1950383</v>
          </cell>
          <cell r="V1829">
            <v>1956765</v>
          </cell>
          <cell r="W1829">
            <v>1933662</v>
          </cell>
          <cell r="X1829">
            <v>1839493</v>
          </cell>
          <cell r="Y1829">
            <v>1795258</v>
          </cell>
          <cell r="Z1829">
            <v>1769073</v>
          </cell>
          <cell r="AA1829">
            <v>1720109</v>
          </cell>
          <cell r="AB1829">
            <v>1699855</v>
          </cell>
          <cell r="AC1829">
            <v>1720194</v>
          </cell>
          <cell r="AD1829">
            <v>1733780</v>
          </cell>
          <cell r="AE1829">
            <v>1730139</v>
          </cell>
          <cell r="AF1829">
            <v>1763335</v>
          </cell>
          <cell r="AG1829">
            <v>1771602</v>
          </cell>
          <cell r="AH1829">
            <v>1764394</v>
          </cell>
          <cell r="AI1829">
            <v>1736285</v>
          </cell>
          <cell r="AJ1829">
            <v>1380657</v>
          </cell>
        </row>
        <row r="1830">
          <cell r="E1830" t="str">
            <v>CO Transportation Motor Gasoline</v>
          </cell>
          <cell r="F1830">
            <v>183271</v>
          </cell>
          <cell r="G1830">
            <v>182998</v>
          </cell>
          <cell r="H1830">
            <v>184564</v>
          </cell>
          <cell r="I1830">
            <v>194981</v>
          </cell>
          <cell r="J1830">
            <v>202046</v>
          </cell>
          <cell r="K1830">
            <v>212102</v>
          </cell>
          <cell r="L1830">
            <v>219549</v>
          </cell>
          <cell r="M1830">
            <v>223952</v>
          </cell>
          <cell r="N1830">
            <v>229859</v>
          </cell>
          <cell r="O1830">
            <v>241053</v>
          </cell>
          <cell r="P1830">
            <v>243147</v>
          </cell>
          <cell r="Q1830">
            <v>251856</v>
          </cell>
          <cell r="R1830">
            <v>248931</v>
          </cell>
          <cell r="S1830">
            <v>246333</v>
          </cell>
          <cell r="T1830">
            <v>256589</v>
          </cell>
          <cell r="U1830">
            <v>259043</v>
          </cell>
          <cell r="V1830">
            <v>260383</v>
          </cell>
          <cell r="W1830">
            <v>264223</v>
          </cell>
          <cell r="X1830">
            <v>253480</v>
          </cell>
          <cell r="Y1830">
            <v>253132</v>
          </cell>
          <cell r="Z1830">
            <v>254062</v>
          </cell>
          <cell r="AA1830">
            <v>250164</v>
          </cell>
          <cell r="AB1830">
            <v>250405</v>
          </cell>
          <cell r="AC1830">
            <v>256272</v>
          </cell>
          <cell r="AD1830">
            <v>261534</v>
          </cell>
          <cell r="AE1830">
            <v>264254</v>
          </cell>
          <cell r="AF1830">
            <v>270417</v>
          </cell>
          <cell r="AG1830">
            <v>267868</v>
          </cell>
          <cell r="AH1830">
            <v>270225</v>
          </cell>
          <cell r="AI1830">
            <v>275189</v>
          </cell>
          <cell r="AJ1830">
            <v>232707</v>
          </cell>
        </row>
        <row r="1831">
          <cell r="E1831" t="str">
            <v>CT Transportation Motor Gasoline</v>
          </cell>
          <cell r="F1831">
            <v>161127</v>
          </cell>
          <cell r="G1831">
            <v>162718</v>
          </cell>
          <cell r="H1831">
            <v>161685</v>
          </cell>
          <cell r="I1831">
            <v>163390</v>
          </cell>
          <cell r="J1831">
            <v>163889</v>
          </cell>
          <cell r="K1831">
            <v>156878</v>
          </cell>
          <cell r="L1831">
            <v>164756</v>
          </cell>
          <cell r="M1831">
            <v>165099</v>
          </cell>
          <cell r="N1831">
            <v>170276</v>
          </cell>
          <cell r="O1831">
            <v>183602</v>
          </cell>
          <cell r="P1831">
            <v>176183</v>
          </cell>
          <cell r="Q1831">
            <v>180014</v>
          </cell>
          <cell r="R1831">
            <v>187769</v>
          </cell>
          <cell r="S1831">
            <v>197945</v>
          </cell>
          <cell r="T1831">
            <v>222282</v>
          </cell>
          <cell r="U1831">
            <v>196520</v>
          </cell>
          <cell r="V1831">
            <v>192292</v>
          </cell>
          <cell r="W1831">
            <v>192424</v>
          </cell>
          <cell r="X1831">
            <v>182748</v>
          </cell>
          <cell r="Y1831">
            <v>182459</v>
          </cell>
          <cell r="Z1831">
            <v>178316</v>
          </cell>
          <cell r="AA1831">
            <v>173384</v>
          </cell>
          <cell r="AB1831">
            <v>170004</v>
          </cell>
          <cell r="AC1831">
            <v>170294</v>
          </cell>
          <cell r="AD1831">
            <v>168710</v>
          </cell>
          <cell r="AE1831">
            <v>171424</v>
          </cell>
          <cell r="AF1831">
            <v>174676</v>
          </cell>
          <cell r="AG1831">
            <v>173809</v>
          </cell>
          <cell r="AH1831">
            <v>174652</v>
          </cell>
          <cell r="AI1831">
            <v>172498</v>
          </cell>
          <cell r="AJ1831">
            <v>142828</v>
          </cell>
        </row>
        <row r="1832">
          <cell r="E1832" t="str">
            <v>DC Transportation Motor Gasoline</v>
          </cell>
          <cell r="F1832">
            <v>20394</v>
          </cell>
          <cell r="G1832">
            <v>20643</v>
          </cell>
          <cell r="H1832">
            <v>20677</v>
          </cell>
          <cell r="I1832">
            <v>21477</v>
          </cell>
          <cell r="J1832">
            <v>20663</v>
          </cell>
          <cell r="K1832">
            <v>20800</v>
          </cell>
          <cell r="L1832">
            <v>19820</v>
          </cell>
          <cell r="M1832">
            <v>20623</v>
          </cell>
          <cell r="N1832">
            <v>19943</v>
          </cell>
          <cell r="O1832">
            <v>20485</v>
          </cell>
          <cell r="P1832">
            <v>20767</v>
          </cell>
          <cell r="Q1832">
            <v>18262</v>
          </cell>
          <cell r="R1832">
            <v>17263</v>
          </cell>
          <cell r="S1832">
            <v>16073</v>
          </cell>
          <cell r="T1832">
            <v>17041</v>
          </cell>
          <cell r="U1832">
            <v>15613</v>
          </cell>
          <cell r="V1832">
            <v>15608</v>
          </cell>
          <cell r="W1832">
            <v>15314</v>
          </cell>
          <cell r="X1832">
            <v>12501</v>
          </cell>
          <cell r="Y1832">
            <v>13185</v>
          </cell>
          <cell r="Z1832">
            <v>12531</v>
          </cell>
          <cell r="AA1832">
            <v>12658</v>
          </cell>
          <cell r="AB1832">
            <v>11330</v>
          </cell>
          <cell r="AC1832">
            <v>11479</v>
          </cell>
          <cell r="AD1832">
            <v>12732</v>
          </cell>
          <cell r="AE1832">
            <v>12877</v>
          </cell>
          <cell r="AF1832">
            <v>13764</v>
          </cell>
          <cell r="AG1832">
            <v>11934</v>
          </cell>
          <cell r="AH1832">
            <v>13880</v>
          </cell>
          <cell r="AI1832">
            <v>13476</v>
          </cell>
          <cell r="AJ1832">
            <v>11112</v>
          </cell>
        </row>
        <row r="1833">
          <cell r="E1833" t="str">
            <v>DE Transportation Motor Gasoline</v>
          </cell>
          <cell r="F1833">
            <v>41650</v>
          </cell>
          <cell r="G1833">
            <v>40513</v>
          </cell>
          <cell r="H1833">
            <v>42375</v>
          </cell>
          <cell r="I1833">
            <v>42980</v>
          </cell>
          <cell r="J1833">
            <v>42921</v>
          </cell>
          <cell r="K1833">
            <v>43705</v>
          </cell>
          <cell r="L1833">
            <v>43643</v>
          </cell>
          <cell r="M1833">
            <v>44295</v>
          </cell>
          <cell r="N1833">
            <v>46735</v>
          </cell>
          <cell r="O1833">
            <v>47667</v>
          </cell>
          <cell r="P1833">
            <v>46437</v>
          </cell>
          <cell r="Q1833">
            <v>47691</v>
          </cell>
          <cell r="R1833">
            <v>51060</v>
          </cell>
          <cell r="S1833">
            <v>50756</v>
          </cell>
          <cell r="T1833">
            <v>51580</v>
          </cell>
          <cell r="U1833">
            <v>54090</v>
          </cell>
          <cell r="V1833">
            <v>55511</v>
          </cell>
          <cell r="W1833">
            <v>55710</v>
          </cell>
          <cell r="X1833">
            <v>53432</v>
          </cell>
          <cell r="Y1833">
            <v>53111</v>
          </cell>
          <cell r="Z1833">
            <v>52904</v>
          </cell>
          <cell r="AA1833">
            <v>50667</v>
          </cell>
          <cell r="AB1833">
            <v>50682</v>
          </cell>
          <cell r="AC1833">
            <v>50845</v>
          </cell>
          <cell r="AD1833">
            <v>50707</v>
          </cell>
          <cell r="AE1833">
            <v>54449</v>
          </cell>
          <cell r="AF1833">
            <v>56566</v>
          </cell>
          <cell r="AG1833">
            <v>58150</v>
          </cell>
          <cell r="AH1833">
            <v>60217</v>
          </cell>
          <cell r="AI1833">
            <v>63916</v>
          </cell>
          <cell r="AJ1833">
            <v>52726</v>
          </cell>
        </row>
        <row r="1834">
          <cell r="E1834" t="str">
            <v>FL Transportation Motor Gasoline</v>
          </cell>
          <cell r="F1834">
            <v>734739</v>
          </cell>
          <cell r="G1834">
            <v>733042</v>
          </cell>
          <cell r="H1834">
            <v>742667</v>
          </cell>
          <cell r="I1834">
            <v>778469</v>
          </cell>
          <cell r="J1834">
            <v>788412</v>
          </cell>
          <cell r="K1834">
            <v>813956</v>
          </cell>
          <cell r="L1834">
            <v>822237</v>
          </cell>
          <cell r="M1834">
            <v>835362</v>
          </cell>
          <cell r="N1834">
            <v>869182</v>
          </cell>
          <cell r="O1834">
            <v>895905</v>
          </cell>
          <cell r="P1834">
            <v>920023</v>
          </cell>
          <cell r="Q1834">
            <v>928113</v>
          </cell>
          <cell r="R1834">
            <v>963027</v>
          </cell>
          <cell r="S1834">
            <v>980431</v>
          </cell>
          <cell r="T1834">
            <v>1031660</v>
          </cell>
          <cell r="U1834">
            <v>1060745</v>
          </cell>
          <cell r="V1834">
            <v>1071666</v>
          </cell>
          <cell r="W1834">
            <v>1051848</v>
          </cell>
          <cell r="X1834">
            <v>999021</v>
          </cell>
          <cell r="Y1834">
            <v>997917</v>
          </cell>
          <cell r="Z1834">
            <v>975381</v>
          </cell>
          <cell r="AA1834">
            <v>958028</v>
          </cell>
          <cell r="AB1834">
            <v>958503</v>
          </cell>
          <cell r="AC1834">
            <v>977883</v>
          </cell>
          <cell r="AD1834">
            <v>989996</v>
          </cell>
          <cell r="AE1834">
            <v>1005096</v>
          </cell>
          <cell r="AF1834">
            <v>1022610</v>
          </cell>
          <cell r="AG1834">
            <v>1044537</v>
          </cell>
          <cell r="AH1834">
            <v>1061292</v>
          </cell>
          <cell r="AI1834">
            <v>1059916</v>
          </cell>
          <cell r="AJ1834">
            <v>926819</v>
          </cell>
        </row>
        <row r="1835">
          <cell r="E1835" t="str">
            <v>GA Transportation Motor Gasoline</v>
          </cell>
          <cell r="F1835">
            <v>427282</v>
          </cell>
          <cell r="G1835">
            <v>431853</v>
          </cell>
          <cell r="H1835">
            <v>432154</v>
          </cell>
          <cell r="I1835">
            <v>481320</v>
          </cell>
          <cell r="J1835">
            <v>482527</v>
          </cell>
          <cell r="K1835">
            <v>503648</v>
          </cell>
          <cell r="L1835">
            <v>521590</v>
          </cell>
          <cell r="M1835">
            <v>520783</v>
          </cell>
          <cell r="N1835">
            <v>550222</v>
          </cell>
          <cell r="O1835">
            <v>565953</v>
          </cell>
          <cell r="P1835">
            <v>571672</v>
          </cell>
          <cell r="Q1835">
            <v>578011</v>
          </cell>
          <cell r="R1835">
            <v>594867</v>
          </cell>
          <cell r="S1835">
            <v>600880</v>
          </cell>
          <cell r="T1835">
            <v>612461</v>
          </cell>
          <cell r="U1835">
            <v>620523</v>
          </cell>
          <cell r="V1835">
            <v>609552</v>
          </cell>
          <cell r="W1835">
            <v>612995</v>
          </cell>
          <cell r="X1835">
            <v>580769</v>
          </cell>
          <cell r="Y1835">
            <v>589592</v>
          </cell>
          <cell r="Z1835">
            <v>583220</v>
          </cell>
          <cell r="AA1835">
            <v>558164</v>
          </cell>
          <cell r="AB1835">
            <v>553457</v>
          </cell>
          <cell r="AC1835">
            <v>574215</v>
          </cell>
          <cell r="AD1835">
            <v>552642</v>
          </cell>
          <cell r="AE1835">
            <v>576497</v>
          </cell>
          <cell r="AF1835">
            <v>558686</v>
          </cell>
          <cell r="AG1835">
            <v>585314</v>
          </cell>
          <cell r="AH1835">
            <v>584099</v>
          </cell>
          <cell r="AI1835">
            <v>572789</v>
          </cell>
          <cell r="AJ1835">
            <v>530129</v>
          </cell>
        </row>
        <row r="1836">
          <cell r="E1836" t="str">
            <v>HI Transportation Motor Gasoline</v>
          </cell>
          <cell r="F1836">
            <v>44531</v>
          </cell>
          <cell r="G1836">
            <v>46076</v>
          </cell>
          <cell r="H1836">
            <v>45562</v>
          </cell>
          <cell r="I1836">
            <v>45949</v>
          </cell>
          <cell r="J1836">
            <v>47384</v>
          </cell>
          <cell r="K1836">
            <v>47668</v>
          </cell>
          <cell r="L1836">
            <v>47439</v>
          </cell>
          <cell r="M1836">
            <v>47387</v>
          </cell>
          <cell r="N1836">
            <v>47167</v>
          </cell>
          <cell r="O1836">
            <v>45707</v>
          </cell>
          <cell r="P1836">
            <v>47423</v>
          </cell>
          <cell r="Q1836">
            <v>49805</v>
          </cell>
          <cell r="R1836">
            <v>53353</v>
          </cell>
          <cell r="S1836">
            <v>54296</v>
          </cell>
          <cell r="T1836">
            <v>54870</v>
          </cell>
          <cell r="U1836">
            <v>56245</v>
          </cell>
          <cell r="V1836">
            <v>59001</v>
          </cell>
          <cell r="W1836">
            <v>57035</v>
          </cell>
          <cell r="X1836">
            <v>53185</v>
          </cell>
          <cell r="Y1836">
            <v>53894</v>
          </cell>
          <cell r="Z1836">
            <v>49847</v>
          </cell>
          <cell r="AA1836">
            <v>55619</v>
          </cell>
          <cell r="AB1836">
            <v>52816</v>
          </cell>
          <cell r="AC1836">
            <v>53610</v>
          </cell>
          <cell r="AD1836">
            <v>53868</v>
          </cell>
          <cell r="AE1836">
            <v>52895</v>
          </cell>
          <cell r="AF1836">
            <v>53713</v>
          </cell>
          <cell r="AG1836">
            <v>53362</v>
          </cell>
          <cell r="AH1836">
            <v>52254</v>
          </cell>
          <cell r="AI1836">
            <v>52556</v>
          </cell>
          <cell r="AJ1836">
            <v>40325</v>
          </cell>
        </row>
        <row r="1837">
          <cell r="E1837" t="str">
            <v>IA Transportation Motor Gasoline</v>
          </cell>
          <cell r="F1837">
            <v>160061</v>
          </cell>
          <cell r="G1837">
            <v>160658</v>
          </cell>
          <cell r="H1837">
            <v>157675</v>
          </cell>
          <cell r="I1837">
            <v>163116</v>
          </cell>
          <cell r="J1837">
            <v>170725</v>
          </cell>
          <cell r="K1837">
            <v>173526</v>
          </cell>
          <cell r="L1837">
            <v>180095</v>
          </cell>
          <cell r="M1837">
            <v>177176</v>
          </cell>
          <cell r="N1837">
            <v>185241</v>
          </cell>
          <cell r="O1837">
            <v>185614</v>
          </cell>
          <cell r="P1837">
            <v>184304</v>
          </cell>
          <cell r="Q1837">
            <v>182138</v>
          </cell>
          <cell r="R1837">
            <v>187679</v>
          </cell>
          <cell r="S1837">
            <v>188512</v>
          </cell>
          <cell r="T1837">
            <v>190888</v>
          </cell>
          <cell r="U1837">
            <v>191615</v>
          </cell>
          <cell r="V1837">
            <v>193751</v>
          </cell>
          <cell r="W1837">
            <v>191531</v>
          </cell>
          <cell r="X1837">
            <v>187373</v>
          </cell>
          <cell r="Y1837">
            <v>186684</v>
          </cell>
          <cell r="Z1837">
            <v>188522</v>
          </cell>
          <cell r="AA1837">
            <v>190018</v>
          </cell>
          <cell r="AB1837">
            <v>179154</v>
          </cell>
          <cell r="AC1837">
            <v>181896</v>
          </cell>
          <cell r="AD1837">
            <v>186651</v>
          </cell>
          <cell r="AE1837">
            <v>182378</v>
          </cell>
          <cell r="AF1837">
            <v>201014</v>
          </cell>
          <cell r="AG1837">
            <v>182810</v>
          </cell>
          <cell r="AH1837">
            <v>181077</v>
          </cell>
          <cell r="AI1837">
            <v>179963</v>
          </cell>
          <cell r="AJ1837">
            <v>157972</v>
          </cell>
        </row>
        <row r="1838">
          <cell r="E1838" t="str">
            <v>ID Transportation Motor Gasoline</v>
          </cell>
          <cell r="F1838">
            <v>57530</v>
          </cell>
          <cell r="G1838">
            <v>56866</v>
          </cell>
          <cell r="H1838">
            <v>59077</v>
          </cell>
          <cell r="I1838">
            <v>64660</v>
          </cell>
          <cell r="J1838">
            <v>65233</v>
          </cell>
          <cell r="K1838">
            <v>68084</v>
          </cell>
          <cell r="L1838">
            <v>70845</v>
          </cell>
          <cell r="M1838">
            <v>72857</v>
          </cell>
          <cell r="N1838">
            <v>77143</v>
          </cell>
          <cell r="O1838">
            <v>80691</v>
          </cell>
          <cell r="P1838">
            <v>78281</v>
          </cell>
          <cell r="Q1838">
            <v>75439</v>
          </cell>
          <cell r="R1838">
            <v>77488</v>
          </cell>
          <cell r="S1838">
            <v>73236</v>
          </cell>
          <cell r="T1838">
            <v>74045</v>
          </cell>
          <cell r="U1838">
            <v>73291</v>
          </cell>
          <cell r="V1838">
            <v>77282</v>
          </cell>
          <cell r="W1838">
            <v>79615</v>
          </cell>
          <cell r="X1838">
            <v>76217</v>
          </cell>
          <cell r="Y1838">
            <v>77851</v>
          </cell>
          <cell r="Z1838">
            <v>80448</v>
          </cell>
          <cell r="AA1838">
            <v>78029</v>
          </cell>
          <cell r="AB1838">
            <v>80879</v>
          </cell>
          <cell r="AC1838">
            <v>82135</v>
          </cell>
          <cell r="AD1838">
            <v>83850</v>
          </cell>
          <cell r="AE1838">
            <v>87056</v>
          </cell>
          <cell r="AF1838">
            <v>90368</v>
          </cell>
          <cell r="AG1838">
            <v>92314</v>
          </cell>
          <cell r="AH1838">
            <v>86906</v>
          </cell>
          <cell r="AI1838">
            <v>91668</v>
          </cell>
          <cell r="AJ1838">
            <v>88283</v>
          </cell>
        </row>
        <row r="1839">
          <cell r="E1839" t="str">
            <v>IL Transportation Motor Gasoline</v>
          </cell>
          <cell r="F1839">
            <v>546959</v>
          </cell>
          <cell r="G1839">
            <v>539157</v>
          </cell>
          <cell r="H1839">
            <v>550040</v>
          </cell>
          <cell r="I1839">
            <v>562733</v>
          </cell>
          <cell r="J1839">
            <v>571344</v>
          </cell>
          <cell r="K1839">
            <v>570202</v>
          </cell>
          <cell r="L1839">
            <v>572721</v>
          </cell>
          <cell r="M1839">
            <v>581034</v>
          </cell>
          <cell r="N1839">
            <v>583425</v>
          </cell>
          <cell r="O1839">
            <v>611601</v>
          </cell>
          <cell r="P1839">
            <v>617517</v>
          </cell>
          <cell r="Q1839">
            <v>617792</v>
          </cell>
          <cell r="R1839">
            <v>624057</v>
          </cell>
          <cell r="S1839">
            <v>623311</v>
          </cell>
          <cell r="T1839">
            <v>638289</v>
          </cell>
          <cell r="U1839">
            <v>632168</v>
          </cell>
          <cell r="V1839">
            <v>633709</v>
          </cell>
          <cell r="W1839">
            <v>628570</v>
          </cell>
          <cell r="X1839">
            <v>602561</v>
          </cell>
          <cell r="Y1839">
            <v>588552</v>
          </cell>
          <cell r="Z1839">
            <v>579581</v>
          </cell>
          <cell r="AA1839">
            <v>553174</v>
          </cell>
          <cell r="AB1839">
            <v>543397</v>
          </cell>
          <cell r="AC1839">
            <v>546655</v>
          </cell>
          <cell r="AD1839">
            <v>549938</v>
          </cell>
          <cell r="AE1839">
            <v>547785</v>
          </cell>
          <cell r="AF1839">
            <v>561077</v>
          </cell>
          <cell r="AG1839">
            <v>557227</v>
          </cell>
          <cell r="AH1839">
            <v>551956</v>
          </cell>
          <cell r="AI1839">
            <v>534108</v>
          </cell>
          <cell r="AJ1839">
            <v>437840</v>
          </cell>
        </row>
        <row r="1840">
          <cell r="E1840" t="str">
            <v>IN Transportation Motor Gasoline</v>
          </cell>
          <cell r="F1840">
            <v>319089</v>
          </cell>
          <cell r="G1840">
            <v>316443</v>
          </cell>
          <cell r="H1840">
            <v>320446</v>
          </cell>
          <cell r="I1840">
            <v>336507</v>
          </cell>
          <cell r="J1840">
            <v>342780</v>
          </cell>
          <cell r="K1840">
            <v>359472</v>
          </cell>
          <cell r="L1840">
            <v>357530</v>
          </cell>
          <cell r="M1840">
            <v>358151</v>
          </cell>
          <cell r="N1840">
            <v>381459</v>
          </cell>
          <cell r="O1840">
            <v>373058</v>
          </cell>
          <cell r="P1840">
            <v>380710</v>
          </cell>
          <cell r="Q1840">
            <v>384142</v>
          </cell>
          <cell r="R1840">
            <v>379039</v>
          </cell>
          <cell r="S1840">
            <v>391941</v>
          </cell>
          <cell r="T1840">
            <v>391636</v>
          </cell>
          <cell r="U1840">
            <v>391346</v>
          </cell>
          <cell r="V1840">
            <v>391075</v>
          </cell>
          <cell r="W1840">
            <v>379487</v>
          </cell>
          <cell r="X1840">
            <v>364624</v>
          </cell>
          <cell r="Y1840">
            <v>361998</v>
          </cell>
          <cell r="Z1840">
            <v>369920</v>
          </cell>
          <cell r="AA1840">
            <v>353424</v>
          </cell>
          <cell r="AB1840">
            <v>350941</v>
          </cell>
          <cell r="AC1840">
            <v>356275</v>
          </cell>
          <cell r="AD1840">
            <v>357968</v>
          </cell>
          <cell r="AE1840">
            <v>365282</v>
          </cell>
          <cell r="AF1840">
            <v>368693</v>
          </cell>
          <cell r="AG1840">
            <v>368432</v>
          </cell>
          <cell r="AH1840">
            <v>360072</v>
          </cell>
          <cell r="AI1840">
            <v>352446</v>
          </cell>
          <cell r="AJ1840">
            <v>322696</v>
          </cell>
        </row>
        <row r="1841">
          <cell r="E1841" t="str">
            <v>KS Transportation Motor Gasoline</v>
          </cell>
          <cell r="F1841">
            <v>145506</v>
          </cell>
          <cell r="G1841">
            <v>142681</v>
          </cell>
          <cell r="H1841">
            <v>142026</v>
          </cell>
          <cell r="I1841">
            <v>143638</v>
          </cell>
          <cell r="J1841">
            <v>146273</v>
          </cell>
          <cell r="K1841">
            <v>147445</v>
          </cell>
          <cell r="L1841">
            <v>155325</v>
          </cell>
          <cell r="M1841">
            <v>153812</v>
          </cell>
          <cell r="N1841">
            <v>159995</v>
          </cell>
          <cell r="O1841">
            <v>170438</v>
          </cell>
          <cell r="P1841">
            <v>161720</v>
          </cell>
          <cell r="Q1841">
            <v>152124</v>
          </cell>
          <cell r="R1841">
            <v>143028</v>
          </cell>
          <cell r="S1841">
            <v>163804</v>
          </cell>
          <cell r="T1841">
            <v>158192</v>
          </cell>
          <cell r="U1841">
            <v>139630</v>
          </cell>
          <cell r="V1841">
            <v>156575</v>
          </cell>
          <cell r="W1841">
            <v>158812</v>
          </cell>
          <cell r="X1841">
            <v>154929</v>
          </cell>
          <cell r="Y1841">
            <v>157174</v>
          </cell>
          <cell r="Z1841">
            <v>157424</v>
          </cell>
          <cell r="AA1841">
            <v>151870</v>
          </cell>
          <cell r="AB1841">
            <v>152199</v>
          </cell>
          <cell r="AC1841">
            <v>153314</v>
          </cell>
          <cell r="AD1841">
            <v>156255</v>
          </cell>
          <cell r="AE1841">
            <v>147731</v>
          </cell>
          <cell r="AF1841">
            <v>156598</v>
          </cell>
          <cell r="AG1841">
            <v>149362</v>
          </cell>
          <cell r="AH1841">
            <v>146991</v>
          </cell>
          <cell r="AI1841">
            <v>154898</v>
          </cell>
          <cell r="AJ1841">
            <v>141767</v>
          </cell>
        </row>
        <row r="1842">
          <cell r="E1842" t="str">
            <v>KY Transportation Motor Gasoline</v>
          </cell>
          <cell r="F1842">
            <v>219301</v>
          </cell>
          <cell r="G1842">
            <v>223687</v>
          </cell>
          <cell r="H1842">
            <v>229285</v>
          </cell>
          <cell r="I1842">
            <v>233063</v>
          </cell>
          <cell r="J1842">
            <v>234772</v>
          </cell>
          <cell r="K1842">
            <v>244037</v>
          </cell>
          <cell r="L1842">
            <v>220442</v>
          </cell>
          <cell r="M1842">
            <v>254546</v>
          </cell>
          <cell r="N1842">
            <v>256620</v>
          </cell>
          <cell r="O1842">
            <v>260571</v>
          </cell>
          <cell r="P1842">
            <v>249881</v>
          </cell>
          <cell r="Q1842">
            <v>257481</v>
          </cell>
          <cell r="R1842">
            <v>254990</v>
          </cell>
          <cell r="S1842">
            <v>263702</v>
          </cell>
          <cell r="T1842">
            <v>275544</v>
          </cell>
          <cell r="U1842">
            <v>268508</v>
          </cell>
          <cell r="V1842">
            <v>267275</v>
          </cell>
          <cell r="W1842">
            <v>272220</v>
          </cell>
          <cell r="X1842">
            <v>260932</v>
          </cell>
          <cell r="Y1842">
            <v>266932</v>
          </cell>
          <cell r="Z1842">
            <v>264509</v>
          </cell>
          <cell r="AA1842">
            <v>255544</v>
          </cell>
          <cell r="AB1842">
            <v>252448</v>
          </cell>
          <cell r="AC1842">
            <v>252163</v>
          </cell>
          <cell r="AD1842">
            <v>250767</v>
          </cell>
          <cell r="AE1842">
            <v>255661</v>
          </cell>
          <cell r="AF1842">
            <v>261637</v>
          </cell>
          <cell r="AG1842">
            <v>260507</v>
          </cell>
          <cell r="AH1842">
            <v>261139</v>
          </cell>
          <cell r="AI1842">
            <v>260515</v>
          </cell>
          <cell r="AJ1842">
            <v>232948</v>
          </cell>
        </row>
        <row r="1843">
          <cell r="E1843" t="str">
            <v>LA Transportation Motor Gasoline</v>
          </cell>
          <cell r="F1843">
            <v>227519</v>
          </cell>
          <cell r="G1843">
            <v>222681</v>
          </cell>
          <cell r="H1843">
            <v>233899</v>
          </cell>
          <cell r="I1843">
            <v>236730</v>
          </cell>
          <cell r="J1843">
            <v>233538</v>
          </cell>
          <cell r="K1843">
            <v>241645</v>
          </cell>
          <cell r="L1843">
            <v>260848</v>
          </cell>
          <cell r="M1843">
            <v>239706</v>
          </cell>
          <cell r="N1843">
            <v>257078</v>
          </cell>
          <cell r="O1843">
            <v>255451</v>
          </cell>
          <cell r="P1843">
            <v>268974</v>
          </cell>
          <cell r="Q1843">
            <v>267165</v>
          </cell>
          <cell r="R1843">
            <v>275862</v>
          </cell>
          <cell r="S1843">
            <v>280765</v>
          </cell>
          <cell r="T1843">
            <v>274222</v>
          </cell>
          <cell r="U1843">
            <v>282336</v>
          </cell>
          <cell r="V1843">
            <v>321737</v>
          </cell>
          <cell r="W1843">
            <v>274696</v>
          </cell>
          <cell r="X1843">
            <v>259438</v>
          </cell>
          <cell r="Y1843">
            <v>276839</v>
          </cell>
          <cell r="Z1843">
            <v>272514</v>
          </cell>
          <cell r="AA1843">
            <v>269987</v>
          </cell>
          <cell r="AB1843">
            <v>262075</v>
          </cell>
          <cell r="AC1843">
            <v>271014</v>
          </cell>
          <cell r="AD1843">
            <v>268369</v>
          </cell>
          <cell r="AE1843">
            <v>275714</v>
          </cell>
          <cell r="AF1843">
            <v>265918</v>
          </cell>
          <cell r="AG1843">
            <v>256141</v>
          </cell>
          <cell r="AH1843">
            <v>254205</v>
          </cell>
          <cell r="AI1843">
            <v>257876</v>
          </cell>
          <cell r="AJ1843">
            <v>226681</v>
          </cell>
        </row>
        <row r="1844">
          <cell r="E1844" t="str">
            <v>MA Transportation Motor Gasoline</v>
          </cell>
          <cell r="F1844">
            <v>292288</v>
          </cell>
          <cell r="G1844">
            <v>283525</v>
          </cell>
          <cell r="H1844">
            <v>288588</v>
          </cell>
          <cell r="I1844">
            <v>291300</v>
          </cell>
          <cell r="J1844">
            <v>294416</v>
          </cell>
          <cell r="K1844">
            <v>303587</v>
          </cell>
          <cell r="L1844">
            <v>309306</v>
          </cell>
          <cell r="M1844">
            <v>314759</v>
          </cell>
          <cell r="N1844">
            <v>322074</v>
          </cell>
          <cell r="O1844">
            <v>328108</v>
          </cell>
          <cell r="P1844">
            <v>335170</v>
          </cell>
          <cell r="Q1844">
            <v>334746</v>
          </cell>
          <cell r="R1844">
            <v>343515</v>
          </cell>
          <cell r="S1844">
            <v>342644</v>
          </cell>
          <cell r="T1844">
            <v>349188</v>
          </cell>
          <cell r="U1844">
            <v>348286</v>
          </cell>
          <cell r="V1844">
            <v>349461</v>
          </cell>
          <cell r="W1844">
            <v>358787</v>
          </cell>
          <cell r="X1844">
            <v>343193</v>
          </cell>
          <cell r="Y1844">
            <v>334313</v>
          </cell>
          <cell r="Z1844">
            <v>332663</v>
          </cell>
          <cell r="AA1844">
            <v>328686</v>
          </cell>
          <cell r="AB1844">
            <v>326607</v>
          </cell>
          <cell r="AC1844">
            <v>325405</v>
          </cell>
          <cell r="AD1844">
            <v>320835</v>
          </cell>
          <cell r="AE1844">
            <v>324499</v>
          </cell>
          <cell r="AF1844">
            <v>328042</v>
          </cell>
          <cell r="AG1844">
            <v>322162</v>
          </cell>
          <cell r="AH1844">
            <v>324572</v>
          </cell>
          <cell r="AI1844">
            <v>318613</v>
          </cell>
          <cell r="AJ1844">
            <v>252331</v>
          </cell>
        </row>
        <row r="1845">
          <cell r="E1845" t="str">
            <v>MD Transportation Motor Gasoline</v>
          </cell>
          <cell r="F1845">
            <v>246296</v>
          </cell>
          <cell r="G1845">
            <v>252380</v>
          </cell>
          <cell r="H1845">
            <v>255639</v>
          </cell>
          <cell r="I1845">
            <v>257101</v>
          </cell>
          <cell r="J1845">
            <v>262651</v>
          </cell>
          <cell r="K1845">
            <v>266005</v>
          </cell>
          <cell r="L1845">
            <v>267978</v>
          </cell>
          <cell r="M1845">
            <v>276903</v>
          </cell>
          <cell r="N1845">
            <v>282314</v>
          </cell>
          <cell r="O1845">
            <v>294522</v>
          </cell>
          <cell r="P1845">
            <v>295367</v>
          </cell>
          <cell r="Q1845">
            <v>303959</v>
          </cell>
          <cell r="R1845">
            <v>309612</v>
          </cell>
          <cell r="S1845">
            <v>316648</v>
          </cell>
          <cell r="T1845">
            <v>324981</v>
          </cell>
          <cell r="U1845">
            <v>329919</v>
          </cell>
          <cell r="V1845">
            <v>334975</v>
          </cell>
          <cell r="W1845">
            <v>335201</v>
          </cell>
          <cell r="X1845">
            <v>328099</v>
          </cell>
          <cell r="Y1845">
            <v>347551</v>
          </cell>
          <cell r="Z1845">
            <v>319868</v>
          </cell>
          <cell r="AA1845">
            <v>314666</v>
          </cell>
          <cell r="AB1845">
            <v>319429</v>
          </cell>
          <cell r="AC1845">
            <v>333640</v>
          </cell>
          <cell r="AD1845">
            <v>322258</v>
          </cell>
          <cell r="AE1845">
            <v>329860</v>
          </cell>
          <cell r="AF1845">
            <v>318104</v>
          </cell>
          <cell r="AG1845">
            <v>314366</v>
          </cell>
          <cell r="AH1845">
            <v>312867</v>
          </cell>
          <cell r="AI1845">
            <v>311937</v>
          </cell>
          <cell r="AJ1845">
            <v>245814</v>
          </cell>
        </row>
        <row r="1846">
          <cell r="E1846" t="str">
            <v>ME Transportation Motor Gasoline</v>
          </cell>
          <cell r="F1846">
            <v>73181</v>
          </cell>
          <cell r="G1846">
            <v>73390</v>
          </cell>
          <cell r="H1846">
            <v>73391</v>
          </cell>
          <cell r="I1846">
            <v>74255</v>
          </cell>
          <cell r="J1846">
            <v>74754</v>
          </cell>
          <cell r="K1846">
            <v>73831</v>
          </cell>
          <cell r="L1846">
            <v>76971</v>
          </cell>
          <cell r="M1846">
            <v>82220</v>
          </cell>
          <cell r="N1846">
            <v>79033</v>
          </cell>
          <cell r="O1846">
            <v>83549</v>
          </cell>
          <cell r="P1846">
            <v>84407</v>
          </cell>
          <cell r="Q1846">
            <v>73137</v>
          </cell>
          <cell r="R1846">
            <v>86466</v>
          </cell>
          <cell r="S1846">
            <v>93600</v>
          </cell>
          <cell r="T1846">
            <v>86766</v>
          </cell>
          <cell r="U1846">
            <v>88472</v>
          </cell>
          <cell r="V1846">
            <v>86452</v>
          </cell>
          <cell r="W1846">
            <v>84658</v>
          </cell>
          <cell r="X1846">
            <v>79687</v>
          </cell>
          <cell r="Y1846">
            <v>80016</v>
          </cell>
          <cell r="Z1846">
            <v>80034</v>
          </cell>
          <cell r="AA1846">
            <v>79205</v>
          </cell>
          <cell r="AB1846">
            <v>76603</v>
          </cell>
          <cell r="AC1846">
            <v>87494</v>
          </cell>
          <cell r="AD1846">
            <v>91701</v>
          </cell>
          <cell r="AE1846">
            <v>91624</v>
          </cell>
          <cell r="AF1846">
            <v>93440</v>
          </cell>
          <cell r="AG1846">
            <v>76181</v>
          </cell>
          <cell r="AH1846">
            <v>75509</v>
          </cell>
          <cell r="AI1846">
            <v>74972</v>
          </cell>
          <cell r="AJ1846">
            <v>68007</v>
          </cell>
        </row>
        <row r="1847">
          <cell r="E1847" t="str">
            <v>MI Transportation Motor Gasoline</v>
          </cell>
          <cell r="F1847">
            <v>515671</v>
          </cell>
          <cell r="G1847">
            <v>523612</v>
          </cell>
          <cell r="H1847">
            <v>524607</v>
          </cell>
          <cell r="I1847">
            <v>542006</v>
          </cell>
          <cell r="J1847">
            <v>543375</v>
          </cell>
          <cell r="K1847">
            <v>568061</v>
          </cell>
          <cell r="L1847">
            <v>568128</v>
          </cell>
          <cell r="M1847">
            <v>577974</v>
          </cell>
          <cell r="N1847">
            <v>591103</v>
          </cell>
          <cell r="O1847">
            <v>623403</v>
          </cell>
          <cell r="P1847">
            <v>608209</v>
          </cell>
          <cell r="Q1847">
            <v>609579</v>
          </cell>
          <cell r="R1847">
            <v>621631</v>
          </cell>
          <cell r="S1847">
            <v>607000</v>
          </cell>
          <cell r="T1847">
            <v>605166</v>
          </cell>
          <cell r="U1847">
            <v>608185</v>
          </cell>
          <cell r="V1847">
            <v>599578</v>
          </cell>
          <cell r="W1847">
            <v>584952</v>
          </cell>
          <cell r="X1847">
            <v>558819</v>
          </cell>
          <cell r="Y1847">
            <v>550403</v>
          </cell>
          <cell r="Z1847">
            <v>542672</v>
          </cell>
          <cell r="AA1847">
            <v>529522</v>
          </cell>
          <cell r="AB1847">
            <v>524718</v>
          </cell>
          <cell r="AC1847">
            <v>544519</v>
          </cell>
          <cell r="AD1847">
            <v>530991</v>
          </cell>
          <cell r="AE1847">
            <v>545401</v>
          </cell>
          <cell r="AF1847">
            <v>555443</v>
          </cell>
          <cell r="AG1847">
            <v>548905</v>
          </cell>
          <cell r="AH1847">
            <v>549917</v>
          </cell>
          <cell r="AI1847">
            <v>541842</v>
          </cell>
          <cell r="AJ1847">
            <v>460594</v>
          </cell>
        </row>
        <row r="1848">
          <cell r="E1848" t="str">
            <v>MN Transportation Motor Gasoline</v>
          </cell>
          <cell r="F1848">
            <v>236777</v>
          </cell>
          <cell r="G1848">
            <v>246559</v>
          </cell>
          <cell r="H1848">
            <v>252981</v>
          </cell>
          <cell r="I1848">
            <v>261252</v>
          </cell>
          <cell r="J1848">
            <v>267150</v>
          </cell>
          <cell r="K1848">
            <v>276129</v>
          </cell>
          <cell r="L1848">
            <v>282156</v>
          </cell>
          <cell r="M1848">
            <v>275336</v>
          </cell>
          <cell r="N1848">
            <v>290731</v>
          </cell>
          <cell r="O1848">
            <v>305977</v>
          </cell>
          <cell r="P1848">
            <v>312444</v>
          </cell>
          <cell r="Q1848">
            <v>315801</v>
          </cell>
          <cell r="R1848">
            <v>322541</v>
          </cell>
          <cell r="S1848">
            <v>324730</v>
          </cell>
          <cell r="T1848">
            <v>329177</v>
          </cell>
          <cell r="U1848">
            <v>328884</v>
          </cell>
          <cell r="V1848">
            <v>320565</v>
          </cell>
          <cell r="W1848">
            <v>319882</v>
          </cell>
          <cell r="X1848">
            <v>312070</v>
          </cell>
          <cell r="Y1848">
            <v>303368</v>
          </cell>
          <cell r="Z1848">
            <v>301985</v>
          </cell>
          <cell r="AA1848">
            <v>287508</v>
          </cell>
          <cell r="AB1848">
            <v>297141</v>
          </cell>
          <cell r="AC1848">
            <v>296051</v>
          </cell>
          <cell r="AD1848">
            <v>297379</v>
          </cell>
          <cell r="AE1848">
            <v>301542</v>
          </cell>
          <cell r="AF1848">
            <v>308953</v>
          </cell>
          <cell r="AG1848">
            <v>309231</v>
          </cell>
          <cell r="AH1848">
            <v>301859</v>
          </cell>
          <cell r="AI1848">
            <v>300375</v>
          </cell>
          <cell r="AJ1848">
            <v>259093</v>
          </cell>
        </row>
        <row r="1849">
          <cell r="E1849" t="str">
            <v>MO Transportation Motor Gasoline</v>
          </cell>
          <cell r="F1849">
            <v>331420</v>
          </cell>
          <cell r="G1849">
            <v>331055</v>
          </cell>
          <cell r="H1849">
            <v>338667</v>
          </cell>
          <cell r="I1849">
            <v>336640</v>
          </cell>
          <cell r="J1849">
            <v>343089</v>
          </cell>
          <cell r="K1849">
            <v>349476</v>
          </cell>
          <cell r="L1849">
            <v>355152</v>
          </cell>
          <cell r="M1849">
            <v>357834</v>
          </cell>
          <cell r="N1849">
            <v>366915</v>
          </cell>
          <cell r="O1849">
            <v>363978</v>
          </cell>
          <cell r="P1849">
            <v>378043</v>
          </cell>
          <cell r="Q1849">
            <v>366320</v>
          </cell>
          <cell r="R1849">
            <v>372242</v>
          </cell>
          <cell r="S1849">
            <v>387297</v>
          </cell>
          <cell r="T1849">
            <v>387365</v>
          </cell>
          <cell r="U1849">
            <v>387133</v>
          </cell>
          <cell r="V1849">
            <v>387733</v>
          </cell>
          <cell r="W1849">
            <v>393597</v>
          </cell>
          <cell r="X1849">
            <v>387272</v>
          </cell>
          <cell r="Y1849">
            <v>385951</v>
          </cell>
          <cell r="Z1849">
            <v>383429</v>
          </cell>
          <cell r="AA1849">
            <v>368590</v>
          </cell>
          <cell r="AB1849">
            <v>362387</v>
          </cell>
          <cell r="AC1849">
            <v>367612</v>
          </cell>
          <cell r="AD1849">
            <v>371367</v>
          </cell>
          <cell r="AE1849">
            <v>368907</v>
          </cell>
          <cell r="AF1849">
            <v>377210</v>
          </cell>
          <cell r="AG1849">
            <v>372953</v>
          </cell>
          <cell r="AH1849">
            <v>368602</v>
          </cell>
          <cell r="AI1849">
            <v>364590</v>
          </cell>
          <cell r="AJ1849">
            <v>335411</v>
          </cell>
        </row>
        <row r="1850">
          <cell r="E1850" t="str">
            <v>MS Transportation Motor Gasoline</v>
          </cell>
          <cell r="F1850">
            <v>148855</v>
          </cell>
          <cell r="G1850">
            <v>152564</v>
          </cell>
          <cell r="H1850">
            <v>156146</v>
          </cell>
          <cell r="I1850">
            <v>164204</v>
          </cell>
          <cell r="J1850">
            <v>168418</v>
          </cell>
          <cell r="K1850">
            <v>174545</v>
          </cell>
          <cell r="L1850">
            <v>175560</v>
          </cell>
          <cell r="M1850">
            <v>181438</v>
          </cell>
          <cell r="N1850">
            <v>188814</v>
          </cell>
          <cell r="O1850">
            <v>195824</v>
          </cell>
          <cell r="P1850">
            <v>189268</v>
          </cell>
          <cell r="Q1850">
            <v>183883</v>
          </cell>
          <cell r="R1850">
            <v>191328</v>
          </cell>
          <cell r="S1850">
            <v>194377</v>
          </cell>
          <cell r="T1850">
            <v>196165</v>
          </cell>
          <cell r="U1850">
            <v>198270</v>
          </cell>
          <cell r="V1850">
            <v>200049</v>
          </cell>
          <cell r="W1850">
            <v>205030</v>
          </cell>
          <cell r="X1850">
            <v>198654</v>
          </cell>
          <cell r="Y1850">
            <v>190307</v>
          </cell>
          <cell r="Z1850">
            <v>196349</v>
          </cell>
          <cell r="AA1850">
            <v>188344</v>
          </cell>
          <cell r="AB1850">
            <v>194271</v>
          </cell>
          <cell r="AC1850">
            <v>192467</v>
          </cell>
          <cell r="AD1850">
            <v>200085</v>
          </cell>
          <cell r="AE1850">
            <v>202939</v>
          </cell>
          <cell r="AF1850">
            <v>206637</v>
          </cell>
          <cell r="AG1850">
            <v>201868</v>
          </cell>
          <cell r="AH1850">
            <v>196093</v>
          </cell>
          <cell r="AI1850">
            <v>202829</v>
          </cell>
          <cell r="AJ1850">
            <v>189486</v>
          </cell>
        </row>
        <row r="1851">
          <cell r="E1851" t="str">
            <v>MT Transportation Motor Gasoline</v>
          </cell>
          <cell r="F1851">
            <v>50586</v>
          </cell>
          <cell r="G1851">
            <v>50884</v>
          </cell>
          <cell r="H1851">
            <v>53053</v>
          </cell>
          <cell r="I1851">
            <v>54364</v>
          </cell>
          <cell r="J1851">
            <v>54635</v>
          </cell>
          <cell r="K1851">
            <v>55524</v>
          </cell>
          <cell r="L1851">
            <v>57688</v>
          </cell>
          <cell r="M1851">
            <v>56121</v>
          </cell>
          <cell r="N1851">
            <v>57988</v>
          </cell>
          <cell r="O1851">
            <v>58961</v>
          </cell>
          <cell r="P1851">
            <v>57936</v>
          </cell>
          <cell r="Q1851">
            <v>57624</v>
          </cell>
          <cell r="R1851">
            <v>58697</v>
          </cell>
          <cell r="S1851">
            <v>58444</v>
          </cell>
          <cell r="T1851">
            <v>58689</v>
          </cell>
          <cell r="U1851">
            <v>57719</v>
          </cell>
          <cell r="V1851">
            <v>58336</v>
          </cell>
          <cell r="W1851">
            <v>59458</v>
          </cell>
          <cell r="X1851">
            <v>57445</v>
          </cell>
          <cell r="Y1851">
            <v>58387</v>
          </cell>
          <cell r="Z1851">
            <v>58756</v>
          </cell>
          <cell r="AA1851">
            <v>57841</v>
          </cell>
          <cell r="AB1851">
            <v>58708</v>
          </cell>
          <cell r="AC1851">
            <v>59906</v>
          </cell>
          <cell r="AD1851">
            <v>60611</v>
          </cell>
          <cell r="AE1851">
            <v>62079</v>
          </cell>
          <cell r="AF1851">
            <v>63125</v>
          </cell>
          <cell r="AG1851">
            <v>62990</v>
          </cell>
          <cell r="AH1851">
            <v>62058</v>
          </cell>
          <cell r="AI1851">
            <v>62173</v>
          </cell>
          <cell r="AJ1851">
            <v>58204</v>
          </cell>
        </row>
        <row r="1852">
          <cell r="E1852" t="str">
            <v>NC Transportation Motor Gasoline</v>
          </cell>
          <cell r="F1852">
            <v>398897</v>
          </cell>
          <cell r="G1852">
            <v>398235</v>
          </cell>
          <cell r="H1852">
            <v>399511</v>
          </cell>
          <cell r="I1852">
            <v>420116</v>
          </cell>
          <cell r="J1852">
            <v>430032</v>
          </cell>
          <cell r="K1852">
            <v>444333</v>
          </cell>
          <cell r="L1852">
            <v>452482</v>
          </cell>
          <cell r="M1852">
            <v>466970</v>
          </cell>
          <cell r="N1852">
            <v>483400</v>
          </cell>
          <cell r="O1852">
            <v>501754</v>
          </cell>
          <cell r="P1852">
            <v>502931</v>
          </cell>
          <cell r="Q1852">
            <v>501563</v>
          </cell>
          <cell r="R1852">
            <v>511634</v>
          </cell>
          <cell r="S1852">
            <v>518599</v>
          </cell>
          <cell r="T1852">
            <v>529924</v>
          </cell>
          <cell r="U1852">
            <v>529721</v>
          </cell>
          <cell r="V1852">
            <v>533512</v>
          </cell>
          <cell r="W1852">
            <v>541623</v>
          </cell>
          <cell r="X1852">
            <v>570433</v>
          </cell>
          <cell r="Y1852">
            <v>527306</v>
          </cell>
          <cell r="Z1852">
            <v>530131</v>
          </cell>
          <cell r="AA1852">
            <v>513622</v>
          </cell>
          <cell r="AB1852">
            <v>504029</v>
          </cell>
          <cell r="AC1852">
            <v>513756</v>
          </cell>
          <cell r="AD1852">
            <v>515106</v>
          </cell>
          <cell r="AE1852">
            <v>528242</v>
          </cell>
          <cell r="AF1852">
            <v>547112</v>
          </cell>
          <cell r="AG1852">
            <v>547965</v>
          </cell>
          <cell r="AH1852">
            <v>547775</v>
          </cell>
          <cell r="AI1852">
            <v>559983</v>
          </cell>
          <cell r="AJ1852">
            <v>497484</v>
          </cell>
        </row>
        <row r="1853">
          <cell r="E1853" t="str">
            <v>ND Transportation Motor Gasoline</v>
          </cell>
          <cell r="F1853">
            <v>38252</v>
          </cell>
          <cell r="G1853">
            <v>39016</v>
          </cell>
          <cell r="H1853">
            <v>39277</v>
          </cell>
          <cell r="I1853">
            <v>40682</v>
          </cell>
          <cell r="J1853">
            <v>40036</v>
          </cell>
          <cell r="K1853">
            <v>41397</v>
          </cell>
          <cell r="L1853">
            <v>42200</v>
          </cell>
          <cell r="M1853">
            <v>42516</v>
          </cell>
          <cell r="N1853">
            <v>42133</v>
          </cell>
          <cell r="O1853">
            <v>42944</v>
          </cell>
          <cell r="P1853">
            <v>41918</v>
          </cell>
          <cell r="Q1853">
            <v>41301</v>
          </cell>
          <cell r="R1853">
            <v>41557</v>
          </cell>
          <cell r="S1853">
            <v>42005</v>
          </cell>
          <cell r="T1853">
            <v>40921</v>
          </cell>
          <cell r="U1853">
            <v>41950</v>
          </cell>
          <cell r="V1853">
            <v>40229</v>
          </cell>
          <cell r="W1853">
            <v>41413</v>
          </cell>
          <cell r="X1853">
            <v>42077</v>
          </cell>
          <cell r="Y1853">
            <v>42956</v>
          </cell>
          <cell r="Z1853">
            <v>45237</v>
          </cell>
          <cell r="AA1853">
            <v>47728</v>
          </cell>
          <cell r="AB1853">
            <v>50718</v>
          </cell>
          <cell r="AC1853">
            <v>52686</v>
          </cell>
          <cell r="AD1853">
            <v>55224</v>
          </cell>
          <cell r="AE1853">
            <v>54001</v>
          </cell>
          <cell r="AF1853">
            <v>51041</v>
          </cell>
          <cell r="AG1853">
            <v>50296</v>
          </cell>
          <cell r="AH1853">
            <v>50395</v>
          </cell>
          <cell r="AI1853">
            <v>50662</v>
          </cell>
          <cell r="AJ1853">
            <v>44717</v>
          </cell>
        </row>
        <row r="1854">
          <cell r="E1854" t="str">
            <v>NE Transportation Motor Gasoline</v>
          </cell>
          <cell r="F1854">
            <v>91116</v>
          </cell>
          <cell r="G1854">
            <v>88040</v>
          </cell>
          <cell r="H1854">
            <v>89479</v>
          </cell>
          <cell r="I1854">
            <v>90317</v>
          </cell>
          <cell r="J1854">
            <v>90141</v>
          </cell>
          <cell r="K1854">
            <v>96383</v>
          </cell>
          <cell r="L1854">
            <v>97339</v>
          </cell>
          <cell r="M1854">
            <v>98865</v>
          </cell>
          <cell r="N1854">
            <v>100091</v>
          </cell>
          <cell r="O1854">
            <v>102900</v>
          </cell>
          <cell r="P1854">
            <v>101644</v>
          </cell>
          <cell r="Q1854">
            <v>100021</v>
          </cell>
          <cell r="R1854">
            <v>102362</v>
          </cell>
          <cell r="S1854">
            <v>101298</v>
          </cell>
          <cell r="T1854">
            <v>100453</v>
          </cell>
          <cell r="U1854">
            <v>97984</v>
          </cell>
          <cell r="V1854">
            <v>97342</v>
          </cell>
          <cell r="W1854">
            <v>100274</v>
          </cell>
          <cell r="X1854">
            <v>100342</v>
          </cell>
          <cell r="Y1854">
            <v>98203</v>
          </cell>
          <cell r="Z1854">
            <v>99824</v>
          </cell>
          <cell r="AA1854">
            <v>96220</v>
          </cell>
          <cell r="AB1854">
            <v>97019</v>
          </cell>
          <cell r="AC1854">
            <v>99547</v>
          </cell>
          <cell r="AD1854">
            <v>104192</v>
          </cell>
          <cell r="AE1854">
            <v>101283</v>
          </cell>
          <cell r="AF1854">
            <v>104038</v>
          </cell>
          <cell r="AG1854">
            <v>103666</v>
          </cell>
          <cell r="AH1854">
            <v>104376</v>
          </cell>
          <cell r="AI1854">
            <v>104683</v>
          </cell>
          <cell r="AJ1854">
            <v>95321</v>
          </cell>
        </row>
        <row r="1855">
          <cell r="E1855" t="str">
            <v>NH Transportation Motor Gasoline</v>
          </cell>
          <cell r="F1855">
            <v>61191</v>
          </cell>
          <cell r="G1855">
            <v>63192</v>
          </cell>
          <cell r="H1855">
            <v>63099</v>
          </cell>
          <cell r="I1855">
            <v>64654</v>
          </cell>
          <cell r="J1855">
            <v>66226</v>
          </cell>
          <cell r="K1855">
            <v>69608</v>
          </cell>
          <cell r="L1855">
            <v>72014</v>
          </cell>
          <cell r="M1855">
            <v>75679</v>
          </cell>
          <cell r="N1855">
            <v>78051</v>
          </cell>
          <cell r="O1855">
            <v>80612</v>
          </cell>
          <cell r="P1855">
            <v>82058</v>
          </cell>
          <cell r="Q1855">
            <v>82089</v>
          </cell>
          <cell r="R1855">
            <v>85306</v>
          </cell>
          <cell r="S1855">
            <v>85944</v>
          </cell>
          <cell r="T1855">
            <v>86765</v>
          </cell>
          <cell r="U1855">
            <v>85887</v>
          </cell>
          <cell r="V1855">
            <v>87294</v>
          </cell>
          <cell r="W1855">
            <v>89846</v>
          </cell>
          <cell r="X1855">
            <v>87762</v>
          </cell>
          <cell r="Y1855">
            <v>86550</v>
          </cell>
          <cell r="Z1855">
            <v>85544</v>
          </cell>
          <cell r="AA1855">
            <v>83201</v>
          </cell>
          <cell r="AB1855">
            <v>82210</v>
          </cell>
          <cell r="AC1855">
            <v>83554</v>
          </cell>
          <cell r="AD1855">
            <v>83573</v>
          </cell>
          <cell r="AE1855">
            <v>83177</v>
          </cell>
          <cell r="AF1855">
            <v>83474</v>
          </cell>
          <cell r="AG1855">
            <v>84027</v>
          </cell>
          <cell r="AH1855">
            <v>84646</v>
          </cell>
          <cell r="AI1855">
            <v>84552</v>
          </cell>
          <cell r="AJ1855">
            <v>71631</v>
          </cell>
        </row>
        <row r="1856">
          <cell r="E1856" t="str">
            <v>NJ Transportation Motor Gasoline</v>
          </cell>
          <cell r="F1856">
            <v>405159</v>
          </cell>
          <cell r="G1856">
            <v>412845</v>
          </cell>
          <cell r="H1856">
            <v>397110</v>
          </cell>
          <cell r="I1856">
            <v>364381</v>
          </cell>
          <cell r="J1856">
            <v>421891</v>
          </cell>
          <cell r="K1856">
            <v>424877</v>
          </cell>
          <cell r="L1856">
            <v>444863</v>
          </cell>
          <cell r="M1856">
            <v>458786</v>
          </cell>
          <cell r="N1856">
            <v>474247</v>
          </cell>
          <cell r="O1856">
            <v>475806</v>
          </cell>
          <cell r="P1856">
            <v>490955</v>
          </cell>
          <cell r="Q1856">
            <v>484250</v>
          </cell>
          <cell r="R1856">
            <v>495281</v>
          </cell>
          <cell r="S1856">
            <v>505039</v>
          </cell>
          <cell r="T1856">
            <v>532586</v>
          </cell>
          <cell r="U1856">
            <v>529716</v>
          </cell>
          <cell r="V1856">
            <v>531016</v>
          </cell>
          <cell r="W1856">
            <v>538997</v>
          </cell>
          <cell r="X1856">
            <v>524269</v>
          </cell>
          <cell r="Y1856">
            <v>508669</v>
          </cell>
          <cell r="Z1856">
            <v>500482</v>
          </cell>
          <cell r="AA1856">
            <v>490704</v>
          </cell>
          <cell r="AB1856">
            <v>479406</v>
          </cell>
          <cell r="AC1856">
            <v>480666</v>
          </cell>
          <cell r="AD1856">
            <v>484263</v>
          </cell>
          <cell r="AE1856">
            <v>476582</v>
          </cell>
          <cell r="AF1856">
            <v>487894</v>
          </cell>
          <cell r="AG1856">
            <v>464543</v>
          </cell>
          <cell r="AH1856">
            <v>453919</v>
          </cell>
          <cell r="AI1856">
            <v>450949</v>
          </cell>
          <cell r="AJ1856">
            <v>354447</v>
          </cell>
        </row>
        <row r="1857">
          <cell r="E1857" t="str">
            <v>NM Transportation Motor Gasoline</v>
          </cell>
          <cell r="F1857">
            <v>95552</v>
          </cell>
          <cell r="G1857">
            <v>98096</v>
          </cell>
          <cell r="H1857">
            <v>99826</v>
          </cell>
          <cell r="I1857">
            <v>103376</v>
          </cell>
          <cell r="J1857">
            <v>105256</v>
          </cell>
          <cell r="K1857">
            <v>105861</v>
          </cell>
          <cell r="L1857">
            <v>101981</v>
          </cell>
          <cell r="M1857">
            <v>108232</v>
          </cell>
          <cell r="N1857">
            <v>111361</v>
          </cell>
          <cell r="O1857">
            <v>113551</v>
          </cell>
          <cell r="P1857">
            <v>108612</v>
          </cell>
          <cell r="Q1857">
            <v>109147</v>
          </cell>
          <cell r="R1857">
            <v>111246</v>
          </cell>
          <cell r="S1857">
            <v>111482</v>
          </cell>
          <cell r="T1857">
            <v>116475</v>
          </cell>
          <cell r="U1857">
            <v>115584</v>
          </cell>
          <cell r="V1857">
            <v>117024</v>
          </cell>
          <cell r="W1857">
            <v>115197</v>
          </cell>
          <cell r="X1857">
            <v>110573</v>
          </cell>
          <cell r="Y1857">
            <v>115078</v>
          </cell>
          <cell r="Z1857">
            <v>107933</v>
          </cell>
          <cell r="AA1857">
            <v>111862</v>
          </cell>
          <cell r="AB1857">
            <v>112518</v>
          </cell>
          <cell r="AC1857">
            <v>111196</v>
          </cell>
          <cell r="AD1857">
            <v>113403</v>
          </cell>
          <cell r="AE1857">
            <v>112832</v>
          </cell>
          <cell r="AF1857">
            <v>111032</v>
          </cell>
          <cell r="AG1857">
            <v>117958</v>
          </cell>
          <cell r="AH1857">
            <v>116669</v>
          </cell>
          <cell r="AI1857">
            <v>116635</v>
          </cell>
          <cell r="AJ1857">
            <v>103854</v>
          </cell>
        </row>
        <row r="1858">
          <cell r="E1858" t="str">
            <v>NV Transportation Motor Gasoline</v>
          </cell>
          <cell r="F1858">
            <v>77156</v>
          </cell>
          <cell r="G1858">
            <v>79298</v>
          </cell>
          <cell r="H1858">
            <v>82990</v>
          </cell>
          <cell r="I1858">
            <v>83891</v>
          </cell>
          <cell r="J1858">
            <v>88783</v>
          </cell>
          <cell r="K1858">
            <v>92646</v>
          </cell>
          <cell r="L1858">
            <v>97669</v>
          </cell>
          <cell r="M1858">
            <v>102227</v>
          </cell>
          <cell r="N1858">
            <v>112503</v>
          </cell>
          <cell r="O1858">
            <v>111514</v>
          </cell>
          <cell r="P1858">
            <v>114100</v>
          </cell>
          <cell r="Q1858">
            <v>116532</v>
          </cell>
          <cell r="R1858">
            <v>120053</v>
          </cell>
          <cell r="S1858">
            <v>126517</v>
          </cell>
          <cell r="T1858">
            <v>132320</v>
          </cell>
          <cell r="U1858">
            <v>137623</v>
          </cell>
          <cell r="V1858">
            <v>143113</v>
          </cell>
          <cell r="W1858">
            <v>144410</v>
          </cell>
          <cell r="X1858">
            <v>136730</v>
          </cell>
          <cell r="Y1858">
            <v>132635</v>
          </cell>
          <cell r="Z1858">
            <v>130473</v>
          </cell>
          <cell r="AA1858">
            <v>128008</v>
          </cell>
          <cell r="AB1858">
            <v>127414</v>
          </cell>
          <cell r="AC1858">
            <v>130329</v>
          </cell>
          <cell r="AD1858">
            <v>130428</v>
          </cell>
          <cell r="AE1858">
            <v>131855</v>
          </cell>
          <cell r="AF1858">
            <v>135116</v>
          </cell>
          <cell r="AG1858">
            <v>138715</v>
          </cell>
          <cell r="AH1858">
            <v>141955</v>
          </cell>
          <cell r="AI1858">
            <v>141010</v>
          </cell>
          <cell r="AJ1858">
            <v>120010</v>
          </cell>
        </row>
        <row r="1859">
          <cell r="E1859" t="str">
            <v>NY Transportation Motor Gasoline</v>
          </cell>
          <cell r="F1859">
            <v>718791</v>
          </cell>
          <cell r="G1859">
            <v>690760</v>
          </cell>
          <cell r="H1859">
            <v>668563</v>
          </cell>
          <cell r="I1859">
            <v>680965</v>
          </cell>
          <cell r="J1859">
            <v>662012</v>
          </cell>
          <cell r="K1859">
            <v>683254</v>
          </cell>
          <cell r="L1859">
            <v>675684</v>
          </cell>
          <cell r="M1859">
            <v>674333</v>
          </cell>
          <cell r="N1859">
            <v>677570</v>
          </cell>
          <cell r="O1859">
            <v>689375</v>
          </cell>
          <cell r="P1859">
            <v>684960</v>
          </cell>
          <cell r="Q1859">
            <v>685306</v>
          </cell>
          <cell r="R1859">
            <v>695755</v>
          </cell>
          <cell r="S1859">
            <v>704737</v>
          </cell>
          <cell r="T1859">
            <v>701714</v>
          </cell>
          <cell r="U1859">
            <v>700432</v>
          </cell>
          <cell r="V1859">
            <v>711949</v>
          </cell>
          <cell r="W1859">
            <v>702981</v>
          </cell>
          <cell r="X1859">
            <v>685255</v>
          </cell>
          <cell r="Y1859">
            <v>682440</v>
          </cell>
          <cell r="Z1859">
            <v>686939</v>
          </cell>
          <cell r="AA1859">
            <v>652968</v>
          </cell>
          <cell r="AB1859">
            <v>635083</v>
          </cell>
          <cell r="AC1859">
            <v>632530</v>
          </cell>
          <cell r="AD1859">
            <v>655932</v>
          </cell>
          <cell r="AE1859">
            <v>627516</v>
          </cell>
          <cell r="AF1859">
            <v>652057</v>
          </cell>
          <cell r="AG1859">
            <v>659778</v>
          </cell>
          <cell r="AH1859">
            <v>666515</v>
          </cell>
          <cell r="AI1859">
            <v>656535</v>
          </cell>
          <cell r="AJ1859">
            <v>539064</v>
          </cell>
        </row>
        <row r="1860">
          <cell r="E1860" t="str">
            <v>OH Transportation Motor Gasoline</v>
          </cell>
          <cell r="F1860">
            <v>569714</v>
          </cell>
          <cell r="G1860">
            <v>567490</v>
          </cell>
          <cell r="H1860">
            <v>552770</v>
          </cell>
          <cell r="I1860">
            <v>590769</v>
          </cell>
          <cell r="J1860">
            <v>582048</v>
          </cell>
          <cell r="K1860">
            <v>596296</v>
          </cell>
          <cell r="L1860">
            <v>592977</v>
          </cell>
          <cell r="M1860">
            <v>599351</v>
          </cell>
          <cell r="N1860">
            <v>613313</v>
          </cell>
          <cell r="O1860">
            <v>622163</v>
          </cell>
          <cell r="P1860">
            <v>624460</v>
          </cell>
          <cell r="Q1860">
            <v>620807</v>
          </cell>
          <cell r="R1860">
            <v>629528</v>
          </cell>
          <cell r="S1860">
            <v>633887</v>
          </cell>
          <cell r="T1860">
            <v>633500</v>
          </cell>
          <cell r="U1860">
            <v>633809</v>
          </cell>
          <cell r="V1860">
            <v>629820</v>
          </cell>
          <cell r="W1860">
            <v>625869</v>
          </cell>
          <cell r="X1860">
            <v>610900</v>
          </cell>
          <cell r="Y1860">
            <v>604284</v>
          </cell>
          <cell r="Z1860">
            <v>604215</v>
          </cell>
          <cell r="AA1860">
            <v>587111</v>
          </cell>
          <cell r="AB1860">
            <v>585158</v>
          </cell>
          <cell r="AC1860">
            <v>591791</v>
          </cell>
          <cell r="AD1860">
            <v>594302</v>
          </cell>
          <cell r="AE1860">
            <v>588316</v>
          </cell>
          <cell r="AF1860">
            <v>593039</v>
          </cell>
          <cell r="AG1860">
            <v>592124</v>
          </cell>
          <cell r="AH1860">
            <v>586415</v>
          </cell>
          <cell r="AI1860">
            <v>580176</v>
          </cell>
          <cell r="AJ1860">
            <v>500896</v>
          </cell>
        </row>
        <row r="1861">
          <cell r="E1861" t="str">
            <v>OK Transportation Motor Gasoline</v>
          </cell>
          <cell r="F1861">
            <v>198511</v>
          </cell>
          <cell r="G1861">
            <v>197986</v>
          </cell>
          <cell r="H1861">
            <v>204237</v>
          </cell>
          <cell r="I1861">
            <v>207378</v>
          </cell>
          <cell r="J1861">
            <v>210529</v>
          </cell>
          <cell r="K1861">
            <v>214203</v>
          </cell>
          <cell r="L1861">
            <v>221514</v>
          </cell>
          <cell r="M1861">
            <v>215407</v>
          </cell>
          <cell r="N1861">
            <v>218488</v>
          </cell>
          <cell r="O1861">
            <v>222893</v>
          </cell>
          <cell r="P1861">
            <v>216448</v>
          </cell>
          <cell r="Q1861">
            <v>216988</v>
          </cell>
          <cell r="R1861">
            <v>211858</v>
          </cell>
          <cell r="S1861">
            <v>217450</v>
          </cell>
          <cell r="T1861">
            <v>226121</v>
          </cell>
          <cell r="U1861">
            <v>225443</v>
          </cell>
          <cell r="V1861">
            <v>217090</v>
          </cell>
          <cell r="W1861">
            <v>225722</v>
          </cell>
          <cell r="X1861">
            <v>220762</v>
          </cell>
          <cell r="Y1861">
            <v>217428</v>
          </cell>
          <cell r="Z1861">
            <v>226857</v>
          </cell>
          <cell r="AA1861">
            <v>212781</v>
          </cell>
          <cell r="AB1861">
            <v>223789</v>
          </cell>
          <cell r="AC1861">
            <v>219278</v>
          </cell>
          <cell r="AD1861">
            <v>234505</v>
          </cell>
          <cell r="AE1861">
            <v>225176</v>
          </cell>
          <cell r="AF1861">
            <v>228069</v>
          </cell>
          <cell r="AG1861">
            <v>222180</v>
          </cell>
          <cell r="AH1861">
            <v>227241</v>
          </cell>
          <cell r="AI1861">
            <v>223960</v>
          </cell>
          <cell r="AJ1861">
            <v>203672</v>
          </cell>
        </row>
        <row r="1862">
          <cell r="E1862" t="str">
            <v>OR Transportation Motor Gasoline</v>
          </cell>
          <cell r="F1862">
            <v>163001</v>
          </cell>
          <cell r="G1862">
            <v>165267</v>
          </cell>
          <cell r="H1862">
            <v>165479</v>
          </cell>
          <cell r="I1862">
            <v>172392</v>
          </cell>
          <cell r="J1862">
            <v>173659</v>
          </cell>
          <cell r="K1862">
            <v>174207</v>
          </cell>
          <cell r="L1862">
            <v>180105</v>
          </cell>
          <cell r="M1862">
            <v>171661</v>
          </cell>
          <cell r="N1862">
            <v>185424</v>
          </cell>
          <cell r="O1862">
            <v>187717</v>
          </cell>
          <cell r="P1862">
            <v>184934</v>
          </cell>
          <cell r="Q1862">
            <v>183700</v>
          </cell>
          <cell r="R1862">
            <v>187196</v>
          </cell>
          <cell r="S1862">
            <v>185102</v>
          </cell>
          <cell r="T1862">
            <v>185739</v>
          </cell>
          <cell r="U1862">
            <v>189445</v>
          </cell>
          <cell r="V1862">
            <v>191189</v>
          </cell>
          <cell r="W1862">
            <v>189790</v>
          </cell>
          <cell r="X1862">
            <v>182137</v>
          </cell>
          <cell r="Y1862">
            <v>184175</v>
          </cell>
          <cell r="Z1862">
            <v>180967</v>
          </cell>
          <cell r="AA1862">
            <v>173661</v>
          </cell>
          <cell r="AB1862">
            <v>170416</v>
          </cell>
          <cell r="AC1862">
            <v>172743</v>
          </cell>
          <cell r="AD1862">
            <v>176730</v>
          </cell>
          <cell r="AE1862">
            <v>178500</v>
          </cell>
          <cell r="AF1862">
            <v>183938</v>
          </cell>
          <cell r="AG1862">
            <v>187214</v>
          </cell>
          <cell r="AH1862">
            <v>187736</v>
          </cell>
          <cell r="AI1862">
            <v>183540</v>
          </cell>
          <cell r="AJ1862">
            <v>157993</v>
          </cell>
        </row>
        <row r="1863">
          <cell r="E1863" t="str">
            <v>PA Transportation Motor Gasoline</v>
          </cell>
          <cell r="F1863">
            <v>554641</v>
          </cell>
          <cell r="G1863">
            <v>552994</v>
          </cell>
          <cell r="H1863">
            <v>555396</v>
          </cell>
          <cell r="I1863">
            <v>568258</v>
          </cell>
          <cell r="J1863">
            <v>565915</v>
          </cell>
          <cell r="K1863">
            <v>579000</v>
          </cell>
          <cell r="L1863">
            <v>587262</v>
          </cell>
          <cell r="M1863">
            <v>591332</v>
          </cell>
          <cell r="N1863">
            <v>598689</v>
          </cell>
          <cell r="O1863">
            <v>605987</v>
          </cell>
          <cell r="P1863">
            <v>609478</v>
          </cell>
          <cell r="Q1863">
            <v>618751</v>
          </cell>
          <cell r="R1863">
            <v>630436</v>
          </cell>
          <cell r="S1863">
            <v>628354</v>
          </cell>
          <cell r="T1863">
            <v>636689</v>
          </cell>
          <cell r="U1863">
            <v>632789</v>
          </cell>
          <cell r="V1863">
            <v>624789</v>
          </cell>
          <cell r="W1863">
            <v>629056</v>
          </cell>
          <cell r="X1863">
            <v>611313</v>
          </cell>
          <cell r="Y1863">
            <v>616810</v>
          </cell>
          <cell r="Z1863">
            <v>610650</v>
          </cell>
          <cell r="AA1863">
            <v>599436</v>
          </cell>
          <cell r="AB1863">
            <v>589459</v>
          </cell>
          <cell r="AC1863">
            <v>592952</v>
          </cell>
          <cell r="AD1863">
            <v>585152</v>
          </cell>
          <cell r="AE1863">
            <v>570267</v>
          </cell>
          <cell r="AF1863">
            <v>574332</v>
          </cell>
          <cell r="AG1863">
            <v>578552</v>
          </cell>
          <cell r="AH1863">
            <v>561383</v>
          </cell>
          <cell r="AI1863">
            <v>563678</v>
          </cell>
          <cell r="AJ1863">
            <v>477656</v>
          </cell>
        </row>
        <row r="1864">
          <cell r="E1864" t="str">
            <v>RI Transportation Motor Gasoline</v>
          </cell>
          <cell r="F1864">
            <v>45658</v>
          </cell>
          <cell r="G1864">
            <v>45272</v>
          </cell>
          <cell r="H1864">
            <v>45687</v>
          </cell>
          <cell r="I1864">
            <v>46037</v>
          </cell>
          <cell r="J1864">
            <v>44695</v>
          </cell>
          <cell r="K1864">
            <v>46126</v>
          </cell>
          <cell r="L1864">
            <v>46636</v>
          </cell>
          <cell r="M1864">
            <v>47537</v>
          </cell>
          <cell r="N1864">
            <v>48578</v>
          </cell>
          <cell r="O1864">
            <v>49725</v>
          </cell>
          <cell r="P1864">
            <v>49021</v>
          </cell>
          <cell r="Q1864">
            <v>49364</v>
          </cell>
          <cell r="R1864">
            <v>48294</v>
          </cell>
          <cell r="S1864">
            <v>48394</v>
          </cell>
          <cell r="T1864">
            <v>46727</v>
          </cell>
          <cell r="U1864">
            <v>47246</v>
          </cell>
          <cell r="V1864">
            <v>50443</v>
          </cell>
          <cell r="W1864">
            <v>49185</v>
          </cell>
          <cell r="X1864">
            <v>48817</v>
          </cell>
          <cell r="Y1864">
            <v>47277</v>
          </cell>
          <cell r="Z1864">
            <v>46895</v>
          </cell>
          <cell r="AA1864">
            <v>44133</v>
          </cell>
          <cell r="AB1864">
            <v>42728</v>
          </cell>
          <cell r="AC1864">
            <v>42998</v>
          </cell>
          <cell r="AD1864">
            <v>43580</v>
          </cell>
          <cell r="AE1864">
            <v>44058</v>
          </cell>
          <cell r="AF1864">
            <v>43357</v>
          </cell>
          <cell r="AG1864">
            <v>43200</v>
          </cell>
          <cell r="AH1864">
            <v>45129</v>
          </cell>
          <cell r="AI1864">
            <v>44281</v>
          </cell>
          <cell r="AJ1864">
            <v>36760</v>
          </cell>
        </row>
        <row r="1865">
          <cell r="E1865" t="str">
            <v>SC Transportation Motor Gasoline</v>
          </cell>
          <cell r="F1865">
            <v>222227</v>
          </cell>
          <cell r="G1865">
            <v>219415</v>
          </cell>
          <cell r="H1865">
            <v>223895</v>
          </cell>
          <cell r="I1865">
            <v>233007</v>
          </cell>
          <cell r="J1865">
            <v>233609</v>
          </cell>
          <cell r="K1865">
            <v>242066</v>
          </cell>
          <cell r="L1865">
            <v>244624</v>
          </cell>
          <cell r="M1865">
            <v>254830</v>
          </cell>
          <cell r="N1865">
            <v>264155</v>
          </cell>
          <cell r="O1865">
            <v>272549</v>
          </cell>
          <cell r="P1865">
            <v>273946</v>
          </cell>
          <cell r="Q1865">
            <v>275515</v>
          </cell>
          <cell r="R1865">
            <v>282377</v>
          </cell>
          <cell r="S1865">
            <v>285711</v>
          </cell>
          <cell r="T1865">
            <v>314859</v>
          </cell>
          <cell r="U1865">
            <v>302355</v>
          </cell>
          <cell r="V1865">
            <v>314514</v>
          </cell>
          <cell r="W1865">
            <v>311501</v>
          </cell>
          <cell r="X1865">
            <v>314300</v>
          </cell>
          <cell r="Y1865">
            <v>328931</v>
          </cell>
          <cell r="Z1865">
            <v>316582</v>
          </cell>
          <cell r="AA1865">
            <v>307220</v>
          </cell>
          <cell r="AB1865">
            <v>311924</v>
          </cell>
          <cell r="AC1865">
            <v>318090</v>
          </cell>
          <cell r="AD1865">
            <v>317005</v>
          </cell>
          <cell r="AE1865">
            <v>328842</v>
          </cell>
          <cell r="AF1865">
            <v>334222</v>
          </cell>
          <cell r="AG1865">
            <v>336501</v>
          </cell>
          <cell r="AH1865">
            <v>330450</v>
          </cell>
          <cell r="AI1865">
            <v>331266</v>
          </cell>
          <cell r="AJ1865">
            <v>292817</v>
          </cell>
        </row>
        <row r="1866">
          <cell r="E1866" t="str">
            <v>SD Transportation Motor Gasoline</v>
          </cell>
          <cell r="F1866">
            <v>44227</v>
          </cell>
          <cell r="G1866">
            <v>45078</v>
          </cell>
          <cell r="H1866">
            <v>46556</v>
          </cell>
          <cell r="I1866">
            <v>47031</v>
          </cell>
          <cell r="J1866">
            <v>48828</v>
          </cell>
          <cell r="K1866">
            <v>49239</v>
          </cell>
          <cell r="L1866">
            <v>50007</v>
          </cell>
          <cell r="M1866">
            <v>49907</v>
          </cell>
          <cell r="N1866">
            <v>52256</v>
          </cell>
          <cell r="O1866">
            <v>51395</v>
          </cell>
          <cell r="P1866">
            <v>51357</v>
          </cell>
          <cell r="Q1866">
            <v>49634</v>
          </cell>
          <cell r="R1866">
            <v>51701</v>
          </cell>
          <cell r="S1866">
            <v>49912</v>
          </cell>
          <cell r="T1866">
            <v>49610</v>
          </cell>
          <cell r="U1866">
            <v>49169</v>
          </cell>
          <cell r="V1866">
            <v>48530</v>
          </cell>
          <cell r="W1866">
            <v>50192</v>
          </cell>
          <cell r="X1866">
            <v>49333</v>
          </cell>
          <cell r="Y1866">
            <v>52610</v>
          </cell>
          <cell r="Z1866">
            <v>51895</v>
          </cell>
          <cell r="AA1866">
            <v>51997</v>
          </cell>
          <cell r="AB1866">
            <v>53707</v>
          </cell>
          <cell r="AC1866">
            <v>52730</v>
          </cell>
          <cell r="AD1866">
            <v>53960</v>
          </cell>
          <cell r="AE1866">
            <v>55517</v>
          </cell>
          <cell r="AF1866">
            <v>56432</v>
          </cell>
          <cell r="AG1866">
            <v>55696</v>
          </cell>
          <cell r="AH1866">
            <v>55646</v>
          </cell>
          <cell r="AI1866">
            <v>53930</v>
          </cell>
          <cell r="AJ1866">
            <v>52119</v>
          </cell>
        </row>
        <row r="1867">
          <cell r="E1867" t="str">
            <v>TN Transportation Motor Gasoline</v>
          </cell>
          <cell r="F1867">
            <v>299180</v>
          </cell>
          <cell r="G1867">
            <v>289898</v>
          </cell>
          <cell r="H1867">
            <v>302926</v>
          </cell>
          <cell r="I1867">
            <v>314512</v>
          </cell>
          <cell r="J1867">
            <v>323593</v>
          </cell>
          <cell r="K1867">
            <v>332570</v>
          </cell>
          <cell r="L1867">
            <v>333129</v>
          </cell>
          <cell r="M1867">
            <v>339170</v>
          </cell>
          <cell r="N1867">
            <v>347781</v>
          </cell>
          <cell r="O1867">
            <v>359725</v>
          </cell>
          <cell r="P1867">
            <v>354976</v>
          </cell>
          <cell r="Q1867">
            <v>350468</v>
          </cell>
          <cell r="R1867">
            <v>369174</v>
          </cell>
          <cell r="S1867">
            <v>371685</v>
          </cell>
          <cell r="T1867">
            <v>372544</v>
          </cell>
          <cell r="U1867">
            <v>379562</v>
          </cell>
          <cell r="V1867">
            <v>381024</v>
          </cell>
          <cell r="W1867">
            <v>381305</v>
          </cell>
          <cell r="X1867">
            <v>368171</v>
          </cell>
          <cell r="Y1867">
            <v>378975</v>
          </cell>
          <cell r="Z1867">
            <v>383541</v>
          </cell>
          <cell r="AA1867">
            <v>377555</v>
          </cell>
          <cell r="AB1867">
            <v>373023</v>
          </cell>
          <cell r="AC1867">
            <v>377312</v>
          </cell>
          <cell r="AD1867">
            <v>382633</v>
          </cell>
          <cell r="AE1867">
            <v>384136</v>
          </cell>
          <cell r="AF1867">
            <v>399868</v>
          </cell>
          <cell r="AG1867">
            <v>401736</v>
          </cell>
          <cell r="AH1867">
            <v>393936</v>
          </cell>
          <cell r="AI1867">
            <v>398216</v>
          </cell>
          <cell r="AJ1867">
            <v>362283</v>
          </cell>
        </row>
        <row r="1868">
          <cell r="E1868" t="str">
            <v>TX Transportation Motor Gasoline</v>
          </cell>
          <cell r="F1868">
            <v>1044152</v>
          </cell>
          <cell r="G1868">
            <v>1011408</v>
          </cell>
          <cell r="H1868">
            <v>1023815</v>
          </cell>
          <cell r="I1868">
            <v>1063455</v>
          </cell>
          <cell r="J1868">
            <v>1120287</v>
          </cell>
          <cell r="K1868">
            <v>1089298</v>
          </cell>
          <cell r="L1868">
            <v>1157764</v>
          </cell>
          <cell r="M1868">
            <v>1148216</v>
          </cell>
          <cell r="N1868">
            <v>1205299</v>
          </cell>
          <cell r="O1868">
            <v>1250177</v>
          </cell>
          <cell r="P1868">
            <v>1285040</v>
          </cell>
          <cell r="Q1868">
            <v>1309321</v>
          </cell>
          <cell r="R1868">
            <v>1368930</v>
          </cell>
          <cell r="S1868">
            <v>1372585</v>
          </cell>
          <cell r="T1868">
            <v>1400444</v>
          </cell>
          <cell r="U1868">
            <v>1414323</v>
          </cell>
          <cell r="V1868">
            <v>1447316</v>
          </cell>
          <cell r="W1868">
            <v>1468835</v>
          </cell>
          <cell r="X1868">
            <v>1449652</v>
          </cell>
          <cell r="Y1868">
            <v>1448275</v>
          </cell>
          <cell r="Z1868">
            <v>1457966</v>
          </cell>
          <cell r="AA1868">
            <v>1435809</v>
          </cell>
          <cell r="AB1868">
            <v>1451123</v>
          </cell>
          <cell r="AC1868">
            <v>1494943</v>
          </cell>
          <cell r="AD1868">
            <v>1567481</v>
          </cell>
          <cell r="AE1868">
            <v>1619272</v>
          </cell>
          <cell r="AF1868">
            <v>1664269</v>
          </cell>
          <cell r="AG1868">
            <v>1675031</v>
          </cell>
          <cell r="AH1868">
            <v>1705075</v>
          </cell>
          <cell r="AI1868">
            <v>1716557</v>
          </cell>
          <cell r="AJ1868">
            <v>1475249</v>
          </cell>
        </row>
        <row r="1869">
          <cell r="E1869" t="str">
            <v>US Transportation Motor Gasoline</v>
          </cell>
          <cell r="F1869">
            <v>13575410</v>
          </cell>
          <cell r="G1869">
            <v>13502563</v>
          </cell>
          <cell r="H1869">
            <v>13698699</v>
          </cell>
          <cell r="I1869">
            <v>14028748</v>
          </cell>
          <cell r="J1869">
            <v>14249246</v>
          </cell>
          <cell r="K1869">
            <v>14576449</v>
          </cell>
          <cell r="L1869">
            <v>14822887</v>
          </cell>
          <cell r="M1869">
            <v>14976413</v>
          </cell>
          <cell r="N1869">
            <v>15436018</v>
          </cell>
          <cell r="O1869">
            <v>15828026</v>
          </cell>
          <cell r="P1869">
            <v>15932694</v>
          </cell>
          <cell r="Q1869">
            <v>16013092</v>
          </cell>
          <cell r="R1869">
            <v>16436495</v>
          </cell>
          <cell r="S1869">
            <v>16565426</v>
          </cell>
          <cell r="T1869">
            <v>16900603</v>
          </cell>
          <cell r="U1869">
            <v>16957630</v>
          </cell>
          <cell r="V1869">
            <v>17088254</v>
          </cell>
          <cell r="W1869">
            <v>17065743</v>
          </cell>
          <cell r="X1869">
            <v>16509630</v>
          </cell>
          <cell r="Y1869">
            <v>16424742</v>
          </cell>
          <cell r="Z1869">
            <v>16320164</v>
          </cell>
          <cell r="AA1869">
            <v>15876719</v>
          </cell>
          <cell r="AB1869">
            <v>15794521</v>
          </cell>
          <cell r="AC1869">
            <v>16029662</v>
          </cell>
          <cell r="AD1869">
            <v>16208815</v>
          </cell>
          <cell r="AE1869">
            <v>16307655</v>
          </cell>
          <cell r="AF1869">
            <v>16601127</v>
          </cell>
          <cell r="AG1869">
            <v>16576273</v>
          </cell>
          <cell r="AH1869">
            <v>16573443</v>
          </cell>
          <cell r="AI1869">
            <v>16530634</v>
          </cell>
          <cell r="AJ1869">
            <v>14242892</v>
          </cell>
        </row>
        <row r="1870">
          <cell r="E1870" t="str">
            <v>UT Transportation Motor Gasoline</v>
          </cell>
          <cell r="F1870">
            <v>86306</v>
          </cell>
          <cell r="G1870">
            <v>89837</v>
          </cell>
          <cell r="H1870">
            <v>92592</v>
          </cell>
          <cell r="I1870">
            <v>96876</v>
          </cell>
          <cell r="J1870">
            <v>99569</v>
          </cell>
          <cell r="K1870">
            <v>106306</v>
          </cell>
          <cell r="L1870">
            <v>108484</v>
          </cell>
          <cell r="M1870">
            <v>112791</v>
          </cell>
          <cell r="N1870">
            <v>116890</v>
          </cell>
          <cell r="O1870">
            <v>119042</v>
          </cell>
          <cell r="P1870">
            <v>122918</v>
          </cell>
          <cell r="Q1870">
            <v>116866</v>
          </cell>
          <cell r="R1870">
            <v>122791</v>
          </cell>
          <cell r="S1870">
            <v>123433</v>
          </cell>
          <cell r="T1870">
            <v>125376</v>
          </cell>
          <cell r="U1870">
            <v>124953</v>
          </cell>
          <cell r="V1870">
            <v>127943</v>
          </cell>
          <cell r="W1870">
            <v>131147</v>
          </cell>
          <cell r="X1870">
            <v>125304</v>
          </cell>
          <cell r="Y1870">
            <v>126386</v>
          </cell>
          <cell r="Z1870">
            <v>123482</v>
          </cell>
          <cell r="AA1870">
            <v>127330</v>
          </cell>
          <cell r="AB1870">
            <v>125598</v>
          </cell>
          <cell r="AC1870">
            <v>129870</v>
          </cell>
          <cell r="AD1870">
            <v>132208</v>
          </cell>
          <cell r="AE1870">
            <v>136348</v>
          </cell>
          <cell r="AF1870">
            <v>140014</v>
          </cell>
          <cell r="AG1870">
            <v>141091</v>
          </cell>
          <cell r="AH1870">
            <v>140807</v>
          </cell>
          <cell r="AI1870">
            <v>145480</v>
          </cell>
          <cell r="AJ1870">
            <v>134109</v>
          </cell>
        </row>
        <row r="1871">
          <cell r="E1871" t="str">
            <v>VA Transportation Motor Gasoline</v>
          </cell>
          <cell r="F1871">
            <v>363243</v>
          </cell>
          <cell r="G1871">
            <v>365154</v>
          </cell>
          <cell r="H1871">
            <v>370445</v>
          </cell>
          <cell r="I1871">
            <v>381210</v>
          </cell>
          <cell r="J1871">
            <v>387108</v>
          </cell>
          <cell r="K1871">
            <v>405800</v>
          </cell>
          <cell r="L1871">
            <v>407854</v>
          </cell>
          <cell r="M1871">
            <v>419016</v>
          </cell>
          <cell r="N1871">
            <v>422897</v>
          </cell>
          <cell r="O1871">
            <v>437370</v>
          </cell>
          <cell r="P1871">
            <v>441758</v>
          </cell>
          <cell r="Q1871">
            <v>464408</v>
          </cell>
          <cell r="R1871">
            <v>468064</v>
          </cell>
          <cell r="S1871">
            <v>475516</v>
          </cell>
          <cell r="T1871">
            <v>482998</v>
          </cell>
          <cell r="U1871">
            <v>485749</v>
          </cell>
          <cell r="V1871">
            <v>493837</v>
          </cell>
          <cell r="W1871">
            <v>503009</v>
          </cell>
          <cell r="X1871">
            <v>482731</v>
          </cell>
          <cell r="Y1871">
            <v>475179</v>
          </cell>
          <cell r="Z1871">
            <v>483198</v>
          </cell>
          <cell r="AA1871">
            <v>452364</v>
          </cell>
          <cell r="AB1871">
            <v>463619</v>
          </cell>
          <cell r="AC1871">
            <v>464073</v>
          </cell>
          <cell r="AD1871">
            <v>474425</v>
          </cell>
          <cell r="AE1871">
            <v>467685</v>
          </cell>
          <cell r="AF1871">
            <v>474461</v>
          </cell>
          <cell r="AG1871">
            <v>476795</v>
          </cell>
          <cell r="AH1871">
            <v>477130</v>
          </cell>
          <cell r="AI1871">
            <v>473132</v>
          </cell>
          <cell r="AJ1871">
            <v>421177</v>
          </cell>
        </row>
        <row r="1872">
          <cell r="E1872" t="str">
            <v>VT Transportation Motor Gasoline</v>
          </cell>
          <cell r="F1872">
            <v>34533</v>
          </cell>
          <cell r="G1872">
            <v>34967</v>
          </cell>
          <cell r="H1872">
            <v>35488</v>
          </cell>
          <cell r="I1872">
            <v>36593</v>
          </cell>
          <cell r="J1872">
            <v>36831</v>
          </cell>
          <cell r="K1872">
            <v>37033</v>
          </cell>
          <cell r="L1872">
            <v>37696</v>
          </cell>
          <cell r="M1872">
            <v>39061</v>
          </cell>
          <cell r="N1872">
            <v>38648</v>
          </cell>
          <cell r="O1872">
            <v>39587</v>
          </cell>
          <cell r="P1872">
            <v>43215</v>
          </cell>
          <cell r="Q1872">
            <v>40797</v>
          </cell>
          <cell r="R1872">
            <v>41478</v>
          </cell>
          <cell r="S1872">
            <v>42032</v>
          </cell>
          <cell r="T1872">
            <v>42419</v>
          </cell>
          <cell r="U1872">
            <v>42398</v>
          </cell>
          <cell r="V1872">
            <v>42180</v>
          </cell>
          <cell r="W1872">
            <v>41903</v>
          </cell>
          <cell r="X1872">
            <v>40159</v>
          </cell>
          <cell r="Y1872">
            <v>39922</v>
          </cell>
          <cell r="Z1872">
            <v>39069</v>
          </cell>
          <cell r="AA1872">
            <v>37784</v>
          </cell>
          <cell r="AB1872">
            <v>36829</v>
          </cell>
          <cell r="AC1872">
            <v>37511</v>
          </cell>
          <cell r="AD1872">
            <v>37107</v>
          </cell>
          <cell r="AE1872">
            <v>36365</v>
          </cell>
          <cell r="AF1872">
            <v>36325</v>
          </cell>
          <cell r="AG1872">
            <v>36217</v>
          </cell>
          <cell r="AH1872">
            <v>33293</v>
          </cell>
          <cell r="AI1872">
            <v>35476</v>
          </cell>
          <cell r="AJ1872">
            <v>29165</v>
          </cell>
        </row>
        <row r="1873">
          <cell r="E1873" t="str">
            <v>WA Transportation Motor Gasoline</v>
          </cell>
          <cell r="F1873">
            <v>275912</v>
          </cell>
          <cell r="G1873">
            <v>279753</v>
          </cell>
          <cell r="H1873">
            <v>285021</v>
          </cell>
          <cell r="I1873">
            <v>296382</v>
          </cell>
          <cell r="J1873">
            <v>296500</v>
          </cell>
          <cell r="K1873">
            <v>302987</v>
          </cell>
          <cell r="L1873">
            <v>317799</v>
          </cell>
          <cell r="M1873">
            <v>315210</v>
          </cell>
          <cell r="N1873">
            <v>318836</v>
          </cell>
          <cell r="O1873">
            <v>324665</v>
          </cell>
          <cell r="P1873">
            <v>323741</v>
          </cell>
          <cell r="Q1873">
            <v>324056</v>
          </cell>
          <cell r="R1873">
            <v>328858</v>
          </cell>
          <cell r="S1873">
            <v>328029</v>
          </cell>
          <cell r="T1873">
            <v>327063</v>
          </cell>
          <cell r="U1873">
            <v>331341</v>
          </cell>
          <cell r="V1873">
            <v>333209</v>
          </cell>
          <cell r="W1873">
            <v>332973</v>
          </cell>
          <cell r="X1873">
            <v>320925</v>
          </cell>
          <cell r="Y1873">
            <v>323636</v>
          </cell>
          <cell r="Z1873">
            <v>317221</v>
          </cell>
          <cell r="AA1873">
            <v>314083</v>
          </cell>
          <cell r="AB1873">
            <v>311193</v>
          </cell>
          <cell r="AC1873">
            <v>323813</v>
          </cell>
          <cell r="AD1873">
            <v>322758</v>
          </cell>
          <cell r="AE1873">
            <v>326077</v>
          </cell>
          <cell r="AF1873">
            <v>324553</v>
          </cell>
          <cell r="AG1873">
            <v>325259</v>
          </cell>
          <cell r="AH1873">
            <v>337553</v>
          </cell>
          <cell r="AI1873">
            <v>340348</v>
          </cell>
          <cell r="AJ1873">
            <v>265321</v>
          </cell>
        </row>
        <row r="1874">
          <cell r="E1874" t="str">
            <v>WI Transportation Motor Gasoline</v>
          </cell>
          <cell r="F1874">
            <v>251564</v>
          </cell>
          <cell r="G1874">
            <v>255583</v>
          </cell>
          <cell r="H1874">
            <v>258746</v>
          </cell>
          <cell r="I1874">
            <v>264808</v>
          </cell>
          <cell r="J1874">
            <v>271362</v>
          </cell>
          <cell r="K1874">
            <v>281370</v>
          </cell>
          <cell r="L1874">
            <v>288236</v>
          </cell>
          <cell r="M1874">
            <v>284876</v>
          </cell>
          <cell r="N1874">
            <v>301871</v>
          </cell>
          <cell r="O1874">
            <v>302431</v>
          </cell>
          <cell r="P1874">
            <v>298197</v>
          </cell>
          <cell r="Q1874">
            <v>299602</v>
          </cell>
          <cell r="R1874">
            <v>306668</v>
          </cell>
          <cell r="S1874">
            <v>309202</v>
          </cell>
          <cell r="T1874">
            <v>308457</v>
          </cell>
          <cell r="U1874">
            <v>309291</v>
          </cell>
          <cell r="V1874">
            <v>303494</v>
          </cell>
          <cell r="W1874">
            <v>311307</v>
          </cell>
          <cell r="X1874">
            <v>302267</v>
          </cell>
          <cell r="Y1874">
            <v>302885</v>
          </cell>
          <cell r="Z1874">
            <v>306756</v>
          </cell>
          <cell r="AA1874">
            <v>295157</v>
          </cell>
          <cell r="AB1874">
            <v>293488</v>
          </cell>
          <cell r="AC1874">
            <v>292326</v>
          </cell>
          <cell r="AD1874">
            <v>309425</v>
          </cell>
          <cell r="AE1874">
            <v>305185</v>
          </cell>
          <cell r="AF1874">
            <v>306030</v>
          </cell>
          <cell r="AG1874">
            <v>302164</v>
          </cell>
          <cell r="AH1874">
            <v>313728</v>
          </cell>
          <cell r="AI1874">
            <v>307421</v>
          </cell>
          <cell r="AJ1874">
            <v>270171</v>
          </cell>
        </row>
        <row r="1875">
          <cell r="E1875" t="str">
            <v>WV Transportation Motor Gasoline</v>
          </cell>
          <cell r="F1875">
            <v>100140</v>
          </cell>
          <cell r="G1875">
            <v>98864</v>
          </cell>
          <cell r="H1875">
            <v>101864</v>
          </cell>
          <cell r="I1875">
            <v>101509</v>
          </cell>
          <cell r="J1875">
            <v>103024</v>
          </cell>
          <cell r="K1875">
            <v>107606</v>
          </cell>
          <cell r="L1875">
            <v>97397</v>
          </cell>
          <cell r="M1875">
            <v>101671</v>
          </cell>
          <cell r="N1875">
            <v>101347</v>
          </cell>
          <cell r="O1875">
            <v>100317</v>
          </cell>
          <cell r="P1875">
            <v>99885</v>
          </cell>
          <cell r="Q1875">
            <v>100800</v>
          </cell>
          <cell r="R1875">
            <v>98502</v>
          </cell>
          <cell r="S1875">
            <v>99905</v>
          </cell>
          <cell r="T1875">
            <v>103403</v>
          </cell>
          <cell r="U1875">
            <v>102712</v>
          </cell>
          <cell r="V1875">
            <v>103043</v>
          </cell>
          <cell r="W1875">
            <v>102012</v>
          </cell>
          <cell r="X1875">
            <v>93219</v>
          </cell>
          <cell r="Y1875">
            <v>100458</v>
          </cell>
          <cell r="Z1875">
            <v>102555</v>
          </cell>
          <cell r="AA1875">
            <v>97532</v>
          </cell>
          <cell r="AB1875">
            <v>95342</v>
          </cell>
          <cell r="AC1875">
            <v>93949</v>
          </cell>
          <cell r="AD1875">
            <v>97494</v>
          </cell>
          <cell r="AE1875">
            <v>94173</v>
          </cell>
          <cell r="AF1875">
            <v>96198</v>
          </cell>
          <cell r="AG1875">
            <v>93245</v>
          </cell>
          <cell r="AH1875">
            <v>97694</v>
          </cell>
          <cell r="AI1875">
            <v>97014</v>
          </cell>
          <cell r="AJ1875">
            <v>81745</v>
          </cell>
        </row>
        <row r="1876">
          <cell r="E1876" t="str">
            <v>WY Transportation Motor Gasoline</v>
          </cell>
          <cell r="F1876">
            <v>34740</v>
          </cell>
          <cell r="G1876">
            <v>34791</v>
          </cell>
          <cell r="H1876">
            <v>36043</v>
          </cell>
          <cell r="I1876">
            <v>37449</v>
          </cell>
          <cell r="J1876">
            <v>37851</v>
          </cell>
          <cell r="K1876">
            <v>38955</v>
          </cell>
          <cell r="L1876">
            <v>38655</v>
          </cell>
          <cell r="M1876">
            <v>37087</v>
          </cell>
          <cell r="N1876">
            <v>39703</v>
          </cell>
          <cell r="O1876">
            <v>39714</v>
          </cell>
          <cell r="P1876">
            <v>39274</v>
          </cell>
          <cell r="Q1876">
            <v>39679</v>
          </cell>
          <cell r="R1876">
            <v>38851</v>
          </cell>
          <cell r="S1876">
            <v>38377</v>
          </cell>
          <cell r="T1876">
            <v>37390</v>
          </cell>
          <cell r="U1876">
            <v>38365</v>
          </cell>
          <cell r="V1876">
            <v>38724</v>
          </cell>
          <cell r="W1876">
            <v>39999</v>
          </cell>
          <cell r="X1876">
            <v>38758</v>
          </cell>
          <cell r="Y1876">
            <v>40517</v>
          </cell>
          <cell r="Z1876">
            <v>40727</v>
          </cell>
          <cell r="AA1876">
            <v>38314</v>
          </cell>
          <cell r="AB1876">
            <v>41299</v>
          </cell>
          <cell r="AC1876">
            <v>40842</v>
          </cell>
          <cell r="AD1876">
            <v>40080</v>
          </cell>
          <cell r="AE1876">
            <v>40791</v>
          </cell>
          <cell r="AF1876">
            <v>41556</v>
          </cell>
          <cell r="AG1876">
            <v>40817</v>
          </cell>
          <cell r="AH1876">
            <v>38399</v>
          </cell>
          <cell r="AI1876">
            <v>37979</v>
          </cell>
          <cell r="AJ1876">
            <v>35406</v>
          </cell>
        </row>
        <row r="1877">
          <cell r="E1877" t="str">
            <v>AK Commercial Motor Gasoline</v>
          </cell>
          <cell r="F1877">
            <v>274</v>
          </cell>
          <cell r="G1877">
            <v>460</v>
          </cell>
          <cell r="H1877">
            <v>301</v>
          </cell>
          <cell r="I1877">
            <v>41</v>
          </cell>
          <cell r="J1877">
            <v>53</v>
          </cell>
          <cell r="K1877">
            <v>108</v>
          </cell>
          <cell r="L1877">
            <v>1532</v>
          </cell>
          <cell r="M1877">
            <v>368</v>
          </cell>
          <cell r="N1877">
            <v>601</v>
          </cell>
          <cell r="O1877">
            <v>460</v>
          </cell>
          <cell r="P1877">
            <v>331</v>
          </cell>
          <cell r="Q1877">
            <v>3538</v>
          </cell>
          <cell r="R1877">
            <v>645</v>
          </cell>
          <cell r="S1877">
            <v>44</v>
          </cell>
          <cell r="T1877">
            <v>493</v>
          </cell>
          <cell r="U1877">
            <v>873</v>
          </cell>
          <cell r="V1877">
            <v>807</v>
          </cell>
          <cell r="W1877">
            <v>905</v>
          </cell>
          <cell r="X1877">
            <v>594</v>
          </cell>
          <cell r="Y1877">
            <v>326</v>
          </cell>
          <cell r="Z1877">
            <v>795</v>
          </cell>
          <cell r="AA1877">
            <v>647</v>
          </cell>
          <cell r="AB1877">
            <v>479</v>
          </cell>
          <cell r="AC1877">
            <v>429</v>
          </cell>
          <cell r="AD1877">
            <v>364</v>
          </cell>
          <cell r="AE1877">
            <v>1516</v>
          </cell>
          <cell r="AF1877">
            <v>773</v>
          </cell>
          <cell r="AG1877">
            <v>524</v>
          </cell>
          <cell r="AH1877">
            <v>528</v>
          </cell>
          <cell r="AI1877">
            <v>527</v>
          </cell>
          <cell r="AJ1877">
            <v>528</v>
          </cell>
        </row>
        <row r="1878">
          <cell r="E1878" t="str">
            <v>AL Commercial Motor Gasoline</v>
          </cell>
          <cell r="F1878">
            <v>1354</v>
          </cell>
          <cell r="G1878">
            <v>839</v>
          </cell>
          <cell r="H1878">
            <v>727</v>
          </cell>
          <cell r="I1878">
            <v>215</v>
          </cell>
          <cell r="J1878">
            <v>215</v>
          </cell>
          <cell r="K1878">
            <v>218</v>
          </cell>
          <cell r="L1878">
            <v>217</v>
          </cell>
          <cell r="M1878">
            <v>213</v>
          </cell>
          <cell r="N1878">
            <v>214</v>
          </cell>
          <cell r="O1878">
            <v>213</v>
          </cell>
          <cell r="P1878">
            <v>215</v>
          </cell>
          <cell r="Q1878">
            <v>224</v>
          </cell>
          <cell r="R1878">
            <v>225</v>
          </cell>
          <cell r="S1878">
            <v>225</v>
          </cell>
          <cell r="T1878">
            <v>227</v>
          </cell>
          <cell r="U1878">
            <v>230</v>
          </cell>
          <cell r="V1878">
            <v>232</v>
          </cell>
          <cell r="W1878">
            <v>232</v>
          </cell>
          <cell r="X1878">
            <v>229</v>
          </cell>
          <cell r="Y1878">
            <v>227</v>
          </cell>
          <cell r="Z1878">
            <v>224</v>
          </cell>
          <cell r="AA1878">
            <v>225</v>
          </cell>
          <cell r="AB1878">
            <v>224</v>
          </cell>
          <cell r="AC1878">
            <v>231</v>
          </cell>
          <cell r="AD1878">
            <v>221</v>
          </cell>
          <cell r="AE1878">
            <v>5193</v>
          </cell>
          <cell r="AF1878">
            <v>6634</v>
          </cell>
          <cell r="AG1878">
            <v>5314</v>
          </cell>
          <cell r="AH1878">
            <v>5620</v>
          </cell>
          <cell r="AI1878">
            <v>5661</v>
          </cell>
          <cell r="AJ1878">
            <v>5706</v>
          </cell>
        </row>
        <row r="1879">
          <cell r="E1879" t="str">
            <v>AR Commercial Motor Gasoline</v>
          </cell>
          <cell r="F1879">
            <v>748</v>
          </cell>
          <cell r="G1879">
            <v>424</v>
          </cell>
          <cell r="H1879">
            <v>374</v>
          </cell>
          <cell r="I1879">
            <v>148</v>
          </cell>
          <cell r="J1879">
            <v>149</v>
          </cell>
          <cell r="K1879">
            <v>151</v>
          </cell>
          <cell r="L1879">
            <v>150</v>
          </cell>
          <cell r="M1879">
            <v>148</v>
          </cell>
          <cell r="N1879">
            <v>149</v>
          </cell>
          <cell r="O1879">
            <v>148</v>
          </cell>
          <cell r="P1879">
            <v>149</v>
          </cell>
          <cell r="Q1879">
            <v>157</v>
          </cell>
          <cell r="R1879">
            <v>570</v>
          </cell>
          <cell r="S1879">
            <v>514</v>
          </cell>
          <cell r="T1879">
            <v>538</v>
          </cell>
          <cell r="U1879">
            <v>729</v>
          </cell>
          <cell r="V1879">
            <v>753</v>
          </cell>
          <cell r="W1879">
            <v>632</v>
          </cell>
          <cell r="X1879">
            <v>653</v>
          </cell>
          <cell r="Y1879">
            <v>697</v>
          </cell>
          <cell r="Z1879">
            <v>812</v>
          </cell>
          <cell r="AA1879">
            <v>361</v>
          </cell>
          <cell r="AB1879">
            <v>385</v>
          </cell>
          <cell r="AC1879">
            <v>286</v>
          </cell>
          <cell r="AD1879">
            <v>403</v>
          </cell>
          <cell r="AE1879">
            <v>3127</v>
          </cell>
          <cell r="AF1879">
            <v>2753</v>
          </cell>
          <cell r="AG1879">
            <v>2720</v>
          </cell>
          <cell r="AH1879">
            <v>2728</v>
          </cell>
          <cell r="AI1879">
            <v>2744</v>
          </cell>
          <cell r="AJ1879">
            <v>2765</v>
          </cell>
        </row>
        <row r="1880">
          <cell r="E1880" t="str">
            <v>AZ Commercial Motor Gasoline</v>
          </cell>
          <cell r="F1880">
            <v>1350</v>
          </cell>
          <cell r="G1880">
            <v>1954</v>
          </cell>
          <cell r="H1880">
            <v>1617</v>
          </cell>
          <cell r="I1880">
            <v>998</v>
          </cell>
          <cell r="J1880">
            <v>179</v>
          </cell>
          <cell r="K1880">
            <v>183</v>
          </cell>
          <cell r="L1880">
            <v>183</v>
          </cell>
          <cell r="M1880">
            <v>184</v>
          </cell>
          <cell r="N1880">
            <v>186</v>
          </cell>
          <cell r="O1880">
            <v>187</v>
          </cell>
          <cell r="P1880">
            <v>190</v>
          </cell>
          <cell r="Q1880">
            <v>208</v>
          </cell>
          <cell r="R1880">
            <v>211</v>
          </cell>
          <cell r="S1880">
            <v>209</v>
          </cell>
          <cell r="T1880">
            <v>209</v>
          </cell>
          <cell r="U1880">
            <v>210</v>
          </cell>
          <cell r="V1880">
            <v>225</v>
          </cell>
          <cell r="W1880">
            <v>231</v>
          </cell>
          <cell r="X1880">
            <v>230</v>
          </cell>
          <cell r="Y1880">
            <v>573</v>
          </cell>
          <cell r="Z1880">
            <v>738</v>
          </cell>
          <cell r="AA1880">
            <v>638</v>
          </cell>
          <cell r="AB1880">
            <v>553</v>
          </cell>
          <cell r="AC1880">
            <v>636</v>
          </cell>
          <cell r="AD1880">
            <v>220</v>
          </cell>
          <cell r="AE1880">
            <v>9046</v>
          </cell>
          <cell r="AF1880">
            <v>9042</v>
          </cell>
          <cell r="AG1880">
            <v>9118</v>
          </cell>
          <cell r="AH1880">
            <v>9268</v>
          </cell>
          <cell r="AI1880">
            <v>9317</v>
          </cell>
          <cell r="AJ1880">
            <v>9382</v>
          </cell>
        </row>
        <row r="1881">
          <cell r="E1881" t="str">
            <v>CA Commercial Motor Gasoline</v>
          </cell>
          <cell r="F1881">
            <v>10125</v>
          </cell>
          <cell r="G1881">
            <v>8652</v>
          </cell>
          <cell r="H1881">
            <v>7803</v>
          </cell>
          <cell r="I1881">
            <v>1364</v>
          </cell>
          <cell r="J1881">
            <v>1180</v>
          </cell>
          <cell r="K1881">
            <v>1229</v>
          </cell>
          <cell r="L1881">
            <v>1204</v>
          </cell>
          <cell r="M1881">
            <v>1213</v>
          </cell>
          <cell r="N1881">
            <v>1299</v>
          </cell>
          <cell r="O1881">
            <v>1226</v>
          </cell>
          <cell r="P1881">
            <v>1235</v>
          </cell>
          <cell r="Q1881">
            <v>1277</v>
          </cell>
          <cell r="R1881">
            <v>1317</v>
          </cell>
          <cell r="S1881">
            <v>1359</v>
          </cell>
          <cell r="T1881">
            <v>1409</v>
          </cell>
          <cell r="U1881">
            <v>1424</v>
          </cell>
          <cell r="V1881">
            <v>1478</v>
          </cell>
          <cell r="W1881">
            <v>1438</v>
          </cell>
          <cell r="X1881">
            <v>1415</v>
          </cell>
          <cell r="Y1881">
            <v>1366</v>
          </cell>
          <cell r="Z1881">
            <v>1333</v>
          </cell>
          <cell r="AA1881">
            <v>1315</v>
          </cell>
          <cell r="AB1881">
            <v>1293</v>
          </cell>
          <cell r="AC1881">
            <v>1358</v>
          </cell>
          <cell r="AD1881">
            <v>1300</v>
          </cell>
          <cell r="AE1881">
            <v>50666</v>
          </cell>
          <cell r="AF1881">
            <v>50800</v>
          </cell>
          <cell r="AG1881">
            <v>51490</v>
          </cell>
          <cell r="AH1881">
            <v>52444</v>
          </cell>
          <cell r="AI1881">
            <v>52829</v>
          </cell>
          <cell r="AJ1881">
            <v>53104</v>
          </cell>
        </row>
        <row r="1882">
          <cell r="E1882" t="str">
            <v>CO Commercial Motor Gasoline</v>
          </cell>
          <cell r="F1882">
            <v>1392</v>
          </cell>
          <cell r="G1882">
            <v>1763</v>
          </cell>
          <cell r="H1882">
            <v>846</v>
          </cell>
          <cell r="I1882">
            <v>183</v>
          </cell>
          <cell r="J1882">
            <v>268</v>
          </cell>
          <cell r="K1882">
            <v>304</v>
          </cell>
          <cell r="L1882">
            <v>1380</v>
          </cell>
          <cell r="M1882">
            <v>190</v>
          </cell>
          <cell r="N1882">
            <v>200</v>
          </cell>
          <cell r="O1882">
            <v>865</v>
          </cell>
          <cell r="P1882">
            <v>667</v>
          </cell>
          <cell r="Q1882">
            <v>210</v>
          </cell>
          <cell r="R1882">
            <v>212</v>
          </cell>
          <cell r="S1882">
            <v>214</v>
          </cell>
          <cell r="T1882">
            <v>212</v>
          </cell>
          <cell r="U1882">
            <v>214</v>
          </cell>
          <cell r="V1882">
            <v>220</v>
          </cell>
          <cell r="W1882">
            <v>222</v>
          </cell>
          <cell r="X1882">
            <v>220</v>
          </cell>
          <cell r="Y1882">
            <v>217</v>
          </cell>
          <cell r="Z1882">
            <v>214</v>
          </cell>
          <cell r="AA1882">
            <v>217</v>
          </cell>
          <cell r="AB1882">
            <v>219</v>
          </cell>
          <cell r="AC1882">
            <v>226</v>
          </cell>
          <cell r="AD1882">
            <v>213</v>
          </cell>
          <cell r="AE1882">
            <v>7137</v>
          </cell>
          <cell r="AF1882">
            <v>7205</v>
          </cell>
          <cell r="AG1882">
            <v>7310</v>
          </cell>
          <cell r="AH1882">
            <v>7466</v>
          </cell>
          <cell r="AI1882">
            <v>7516</v>
          </cell>
          <cell r="AJ1882">
            <v>7569</v>
          </cell>
        </row>
        <row r="1883">
          <cell r="E1883" t="str">
            <v>CT Commercial Motor Gasoline</v>
          </cell>
          <cell r="F1883">
            <v>1072</v>
          </cell>
          <cell r="G1883">
            <v>3444</v>
          </cell>
          <cell r="H1883">
            <v>8277</v>
          </cell>
          <cell r="I1883">
            <v>8287</v>
          </cell>
          <cell r="J1883">
            <v>5425</v>
          </cell>
          <cell r="K1883">
            <v>1303</v>
          </cell>
          <cell r="L1883">
            <v>4290</v>
          </cell>
          <cell r="M1883">
            <v>5117</v>
          </cell>
          <cell r="N1883">
            <v>3772</v>
          </cell>
          <cell r="O1883">
            <v>4048</v>
          </cell>
          <cell r="P1883">
            <v>4290</v>
          </cell>
          <cell r="Q1883">
            <v>1506</v>
          </cell>
          <cell r="R1883">
            <v>4267</v>
          </cell>
          <cell r="S1883">
            <v>9613</v>
          </cell>
          <cell r="T1883">
            <v>791</v>
          </cell>
          <cell r="U1883">
            <v>985</v>
          </cell>
          <cell r="V1883">
            <v>239</v>
          </cell>
          <cell r="W1883">
            <v>204</v>
          </cell>
          <cell r="X1883">
            <v>388</v>
          </cell>
          <cell r="Y1883">
            <v>211</v>
          </cell>
          <cell r="Z1883">
            <v>196</v>
          </cell>
          <cell r="AA1883">
            <v>206</v>
          </cell>
          <cell r="AB1883">
            <v>178</v>
          </cell>
          <cell r="AC1883">
            <v>178</v>
          </cell>
          <cell r="AD1883">
            <v>169</v>
          </cell>
          <cell r="AE1883">
            <v>4652</v>
          </cell>
          <cell r="AF1883">
            <v>4495</v>
          </cell>
          <cell r="AG1883">
            <v>4523</v>
          </cell>
          <cell r="AH1883">
            <v>4601</v>
          </cell>
          <cell r="AI1883">
            <v>4630</v>
          </cell>
          <cell r="AJ1883">
            <v>4671</v>
          </cell>
        </row>
        <row r="1884">
          <cell r="E1884" t="str">
            <v>DC Commercial Motor Gasoline</v>
          </cell>
          <cell r="F1884">
            <v>373</v>
          </cell>
          <cell r="G1884">
            <v>184</v>
          </cell>
          <cell r="H1884">
            <v>153</v>
          </cell>
          <cell r="I1884">
            <v>169</v>
          </cell>
          <cell r="J1884">
            <v>346</v>
          </cell>
          <cell r="K1884">
            <v>527</v>
          </cell>
          <cell r="L1884">
            <v>103</v>
          </cell>
          <cell r="M1884">
            <v>254</v>
          </cell>
          <cell r="N1884">
            <v>887</v>
          </cell>
          <cell r="O1884">
            <v>117</v>
          </cell>
          <cell r="P1884">
            <v>281</v>
          </cell>
          <cell r="Q1884">
            <v>1315</v>
          </cell>
          <cell r="R1884">
            <v>2656</v>
          </cell>
          <cell r="S1884">
            <v>1264</v>
          </cell>
          <cell r="T1884">
            <v>926</v>
          </cell>
          <cell r="U1884">
            <v>1280</v>
          </cell>
          <cell r="V1884">
            <v>341</v>
          </cell>
          <cell r="W1884">
            <v>125</v>
          </cell>
          <cell r="X1884">
            <v>310</v>
          </cell>
          <cell r="Y1884">
            <v>158</v>
          </cell>
          <cell r="Z1884">
            <v>1140</v>
          </cell>
          <cell r="AA1884">
            <v>1373</v>
          </cell>
          <cell r="AB1884">
            <v>36</v>
          </cell>
          <cell r="AC1884">
            <v>37</v>
          </cell>
          <cell r="AD1884">
            <v>35</v>
          </cell>
          <cell r="AE1884">
            <v>320</v>
          </cell>
          <cell r="AF1884">
            <v>381</v>
          </cell>
          <cell r="AG1884">
            <v>381</v>
          </cell>
          <cell r="AH1884">
            <v>391</v>
          </cell>
          <cell r="AI1884">
            <v>414</v>
          </cell>
          <cell r="AJ1884">
            <v>412</v>
          </cell>
        </row>
        <row r="1885">
          <cell r="E1885" t="str">
            <v>DE Commercial Motor Gasoline</v>
          </cell>
          <cell r="F1885">
            <v>184</v>
          </cell>
          <cell r="G1885">
            <v>179</v>
          </cell>
          <cell r="H1885">
            <v>186</v>
          </cell>
          <cell r="I1885">
            <v>47</v>
          </cell>
          <cell r="J1885">
            <v>42</v>
          </cell>
          <cell r="K1885">
            <v>41</v>
          </cell>
          <cell r="L1885">
            <v>42</v>
          </cell>
          <cell r="M1885">
            <v>40</v>
          </cell>
          <cell r="N1885">
            <v>57</v>
          </cell>
          <cell r="O1885">
            <v>102</v>
          </cell>
          <cell r="P1885">
            <v>64</v>
          </cell>
          <cell r="Q1885">
            <v>158</v>
          </cell>
          <cell r="R1885">
            <v>55</v>
          </cell>
          <cell r="S1885">
            <v>58</v>
          </cell>
          <cell r="T1885">
            <v>33</v>
          </cell>
          <cell r="U1885">
            <v>53</v>
          </cell>
          <cell r="V1885">
            <v>34</v>
          </cell>
          <cell r="W1885">
            <v>34</v>
          </cell>
          <cell r="X1885">
            <v>34</v>
          </cell>
          <cell r="Y1885">
            <v>34</v>
          </cell>
          <cell r="Z1885">
            <v>33</v>
          </cell>
          <cell r="AA1885">
            <v>33</v>
          </cell>
          <cell r="AB1885">
            <v>32</v>
          </cell>
          <cell r="AC1885">
            <v>34</v>
          </cell>
          <cell r="AD1885">
            <v>33</v>
          </cell>
          <cell r="AE1885">
            <v>1170</v>
          </cell>
          <cell r="AF1885">
            <v>1181</v>
          </cell>
          <cell r="AG1885">
            <v>1199</v>
          </cell>
          <cell r="AH1885">
            <v>1209</v>
          </cell>
          <cell r="AI1885">
            <v>1217</v>
          </cell>
          <cell r="AJ1885">
            <v>1227</v>
          </cell>
        </row>
        <row r="1886">
          <cell r="E1886" t="str">
            <v>FL Commercial Motor Gasoline</v>
          </cell>
          <cell r="F1886">
            <v>7418</v>
          </cell>
          <cell r="G1886">
            <v>4872</v>
          </cell>
          <cell r="H1886">
            <v>4295</v>
          </cell>
          <cell r="I1886">
            <v>501</v>
          </cell>
          <cell r="J1886">
            <v>508</v>
          </cell>
          <cell r="K1886">
            <v>520</v>
          </cell>
          <cell r="L1886">
            <v>520</v>
          </cell>
          <cell r="M1886">
            <v>1256</v>
          </cell>
          <cell r="N1886">
            <v>1286</v>
          </cell>
          <cell r="O1886">
            <v>1305</v>
          </cell>
          <cell r="P1886">
            <v>1575</v>
          </cell>
          <cell r="Q1886">
            <v>1262</v>
          </cell>
          <cell r="R1886">
            <v>2063</v>
          </cell>
          <cell r="S1886">
            <v>1352</v>
          </cell>
          <cell r="T1886">
            <v>1459</v>
          </cell>
          <cell r="U1886">
            <v>1989</v>
          </cell>
          <cell r="V1886">
            <v>2312</v>
          </cell>
          <cell r="W1886">
            <v>3477</v>
          </cell>
          <cell r="X1886">
            <v>3203</v>
          </cell>
          <cell r="Y1886">
            <v>3392</v>
          </cell>
          <cell r="Z1886">
            <v>9263</v>
          </cell>
          <cell r="AA1886">
            <v>4797</v>
          </cell>
          <cell r="AB1886">
            <v>1907</v>
          </cell>
          <cell r="AC1886">
            <v>3646</v>
          </cell>
          <cell r="AD1886">
            <v>2990</v>
          </cell>
          <cell r="AE1886">
            <v>27109</v>
          </cell>
          <cell r="AF1886">
            <v>32721</v>
          </cell>
          <cell r="AG1886">
            <v>27762</v>
          </cell>
          <cell r="AH1886">
            <v>28230</v>
          </cell>
          <cell r="AI1886">
            <v>28492</v>
          </cell>
          <cell r="AJ1886">
            <v>28657</v>
          </cell>
        </row>
        <row r="1887">
          <cell r="E1887" t="str">
            <v>GA Commercial Motor Gasoline</v>
          </cell>
          <cell r="F1887">
            <v>2728</v>
          </cell>
          <cell r="G1887">
            <v>1736</v>
          </cell>
          <cell r="H1887">
            <v>2179</v>
          </cell>
          <cell r="I1887">
            <v>336</v>
          </cell>
          <cell r="J1887">
            <v>894</v>
          </cell>
          <cell r="K1887">
            <v>322</v>
          </cell>
          <cell r="L1887">
            <v>325</v>
          </cell>
          <cell r="M1887">
            <v>3289</v>
          </cell>
          <cell r="N1887">
            <v>809</v>
          </cell>
          <cell r="O1887">
            <v>741</v>
          </cell>
          <cell r="P1887">
            <v>1159</v>
          </cell>
          <cell r="Q1887">
            <v>405</v>
          </cell>
          <cell r="R1887">
            <v>354</v>
          </cell>
          <cell r="S1887">
            <v>352</v>
          </cell>
          <cell r="T1887">
            <v>354</v>
          </cell>
          <cell r="U1887">
            <v>358</v>
          </cell>
          <cell r="V1887">
            <v>368</v>
          </cell>
          <cell r="W1887">
            <v>372</v>
          </cell>
          <cell r="X1887">
            <v>368</v>
          </cell>
          <cell r="Y1887">
            <v>365</v>
          </cell>
          <cell r="Z1887">
            <v>360</v>
          </cell>
          <cell r="AA1887">
            <v>359</v>
          </cell>
          <cell r="AB1887">
            <v>356</v>
          </cell>
          <cell r="AC1887">
            <v>367</v>
          </cell>
          <cell r="AD1887">
            <v>353</v>
          </cell>
          <cell r="AE1887">
            <v>11826</v>
          </cell>
          <cell r="AF1887">
            <v>12154</v>
          </cell>
          <cell r="AG1887">
            <v>12315</v>
          </cell>
          <cell r="AH1887">
            <v>12473</v>
          </cell>
          <cell r="AI1887">
            <v>12609</v>
          </cell>
          <cell r="AJ1887">
            <v>12666</v>
          </cell>
        </row>
        <row r="1888">
          <cell r="E1888" t="str">
            <v>HI Commercial Motor Gasoline</v>
          </cell>
          <cell r="F1888">
            <v>310</v>
          </cell>
          <cell r="G1888">
            <v>256</v>
          </cell>
          <cell r="H1888">
            <v>234</v>
          </cell>
          <cell r="I1888">
            <v>57</v>
          </cell>
          <cell r="J1888">
            <v>57</v>
          </cell>
          <cell r="K1888">
            <v>58</v>
          </cell>
          <cell r="L1888">
            <v>58</v>
          </cell>
          <cell r="M1888">
            <v>58</v>
          </cell>
          <cell r="N1888">
            <v>58</v>
          </cell>
          <cell r="O1888">
            <v>58</v>
          </cell>
          <cell r="P1888">
            <v>59</v>
          </cell>
          <cell r="Q1888">
            <v>60</v>
          </cell>
          <cell r="R1888">
            <v>60</v>
          </cell>
          <cell r="S1888">
            <v>61</v>
          </cell>
          <cell r="T1888">
            <v>62</v>
          </cell>
          <cell r="U1888">
            <v>63</v>
          </cell>
          <cell r="V1888">
            <v>62</v>
          </cell>
          <cell r="W1888">
            <v>62</v>
          </cell>
          <cell r="X1888">
            <v>62</v>
          </cell>
          <cell r="Y1888">
            <v>62</v>
          </cell>
          <cell r="Z1888">
            <v>61</v>
          </cell>
          <cell r="AA1888">
            <v>61</v>
          </cell>
          <cell r="AB1888">
            <v>61</v>
          </cell>
          <cell r="AC1888">
            <v>63</v>
          </cell>
          <cell r="AD1888">
            <v>60</v>
          </cell>
          <cell r="AE1888">
            <v>1563</v>
          </cell>
          <cell r="AF1888">
            <v>1585</v>
          </cell>
          <cell r="AG1888">
            <v>1610</v>
          </cell>
          <cell r="AH1888">
            <v>1638</v>
          </cell>
          <cell r="AI1888">
            <v>1646</v>
          </cell>
          <cell r="AJ1888">
            <v>1655</v>
          </cell>
        </row>
        <row r="1889">
          <cell r="E1889" t="str">
            <v>IA Commercial Motor Gasoline</v>
          </cell>
          <cell r="F1889">
            <v>745</v>
          </cell>
          <cell r="G1889">
            <v>3819</v>
          </cell>
          <cell r="H1889">
            <v>3389</v>
          </cell>
          <cell r="I1889">
            <v>3325</v>
          </cell>
          <cell r="J1889">
            <v>183</v>
          </cell>
          <cell r="K1889">
            <v>184</v>
          </cell>
          <cell r="L1889">
            <v>1269</v>
          </cell>
          <cell r="M1889">
            <v>2318</v>
          </cell>
          <cell r="N1889">
            <v>2446</v>
          </cell>
          <cell r="O1889">
            <v>2251</v>
          </cell>
          <cell r="P1889">
            <v>2773</v>
          </cell>
          <cell r="Q1889">
            <v>2843</v>
          </cell>
          <cell r="R1889">
            <v>3326</v>
          </cell>
          <cell r="S1889">
            <v>3393</v>
          </cell>
          <cell r="T1889">
            <v>5246</v>
          </cell>
          <cell r="U1889">
            <v>3848</v>
          </cell>
          <cell r="V1889">
            <v>7049</v>
          </cell>
          <cell r="W1889">
            <v>8271</v>
          </cell>
          <cell r="X1889">
            <v>7571</v>
          </cell>
          <cell r="Y1889">
            <v>8953</v>
          </cell>
          <cell r="Z1889">
            <v>11563</v>
          </cell>
          <cell r="AA1889">
            <v>10847</v>
          </cell>
          <cell r="AB1889">
            <v>10840</v>
          </cell>
          <cell r="AC1889">
            <v>11119</v>
          </cell>
          <cell r="AD1889">
            <v>10510</v>
          </cell>
          <cell r="AE1889">
            <v>13434</v>
          </cell>
          <cell r="AF1889">
            <v>2789</v>
          </cell>
          <cell r="AG1889">
            <v>2827</v>
          </cell>
          <cell r="AH1889">
            <v>2870</v>
          </cell>
          <cell r="AI1889">
            <v>2893</v>
          </cell>
          <cell r="AJ1889">
            <v>2905</v>
          </cell>
        </row>
        <row r="1890">
          <cell r="E1890" t="str">
            <v>ID Commercial Motor Gasoline</v>
          </cell>
          <cell r="F1890">
            <v>779</v>
          </cell>
          <cell r="G1890">
            <v>1812</v>
          </cell>
          <cell r="H1890">
            <v>1640</v>
          </cell>
          <cell r="I1890">
            <v>197</v>
          </cell>
          <cell r="J1890">
            <v>197</v>
          </cell>
          <cell r="K1890">
            <v>200</v>
          </cell>
          <cell r="L1890">
            <v>871</v>
          </cell>
          <cell r="M1890">
            <v>204</v>
          </cell>
          <cell r="N1890">
            <v>172</v>
          </cell>
          <cell r="O1890">
            <v>206</v>
          </cell>
          <cell r="P1890">
            <v>167</v>
          </cell>
          <cell r="Q1890">
            <v>167</v>
          </cell>
          <cell r="R1890">
            <v>133</v>
          </cell>
          <cell r="S1890">
            <v>81</v>
          </cell>
          <cell r="T1890">
            <v>82</v>
          </cell>
          <cell r="U1890">
            <v>84</v>
          </cell>
          <cell r="V1890">
            <v>268</v>
          </cell>
          <cell r="W1890">
            <v>107</v>
          </cell>
          <cell r="X1890">
            <v>364</v>
          </cell>
          <cell r="Y1890">
            <v>137</v>
          </cell>
          <cell r="Z1890">
            <v>111</v>
          </cell>
          <cell r="AA1890">
            <v>120</v>
          </cell>
          <cell r="AB1890">
            <v>215</v>
          </cell>
          <cell r="AC1890">
            <v>257</v>
          </cell>
          <cell r="AD1890">
            <v>278</v>
          </cell>
          <cell r="AE1890">
            <v>1775</v>
          </cell>
          <cell r="AF1890">
            <v>1591</v>
          </cell>
          <cell r="AG1890">
            <v>1616</v>
          </cell>
          <cell r="AH1890">
            <v>1653</v>
          </cell>
          <cell r="AI1890">
            <v>1663</v>
          </cell>
          <cell r="AJ1890">
            <v>1676</v>
          </cell>
        </row>
        <row r="1891">
          <cell r="E1891" t="str">
            <v>IL Commercial Motor Gasoline</v>
          </cell>
          <cell r="F1891">
            <v>2944</v>
          </cell>
          <cell r="G1891">
            <v>2098</v>
          </cell>
          <cell r="H1891">
            <v>1967</v>
          </cell>
          <cell r="I1891">
            <v>687</v>
          </cell>
          <cell r="J1891">
            <v>839</v>
          </cell>
          <cell r="K1891">
            <v>717</v>
          </cell>
          <cell r="L1891">
            <v>961</v>
          </cell>
          <cell r="M1891">
            <v>1165</v>
          </cell>
          <cell r="N1891">
            <v>1185</v>
          </cell>
          <cell r="O1891">
            <v>790</v>
          </cell>
          <cell r="P1891">
            <v>1158</v>
          </cell>
          <cell r="Q1891">
            <v>1318</v>
          </cell>
          <cell r="R1891">
            <v>1969</v>
          </cell>
          <cell r="S1891">
            <v>1896</v>
          </cell>
          <cell r="T1891">
            <v>2062</v>
          </cell>
          <cell r="U1891">
            <v>1292</v>
          </cell>
          <cell r="V1891">
            <v>2216</v>
          </cell>
          <cell r="W1891">
            <v>1234</v>
          </cell>
          <cell r="X1891">
            <v>1368</v>
          </cell>
          <cell r="Y1891">
            <v>4572</v>
          </cell>
          <cell r="Z1891">
            <v>1219</v>
          </cell>
          <cell r="AA1891">
            <v>939</v>
          </cell>
          <cell r="AB1891">
            <v>1261</v>
          </cell>
          <cell r="AC1891">
            <v>872</v>
          </cell>
          <cell r="AD1891">
            <v>824</v>
          </cell>
          <cell r="AE1891">
            <v>13249</v>
          </cell>
          <cell r="AF1891">
            <v>13099</v>
          </cell>
          <cell r="AG1891">
            <v>12956</v>
          </cell>
          <cell r="AH1891">
            <v>13166</v>
          </cell>
          <cell r="AI1891">
            <v>13247</v>
          </cell>
          <cell r="AJ1891">
            <v>13357</v>
          </cell>
        </row>
        <row r="1892">
          <cell r="E1892" t="str">
            <v>IN Commercial Motor Gasoline</v>
          </cell>
          <cell r="F1892">
            <v>2945</v>
          </cell>
          <cell r="G1892">
            <v>1857</v>
          </cell>
          <cell r="H1892">
            <v>1750</v>
          </cell>
          <cell r="I1892">
            <v>1508</v>
          </cell>
          <cell r="J1892">
            <v>1355</v>
          </cell>
          <cell r="K1892">
            <v>910</v>
          </cell>
          <cell r="L1892">
            <v>830</v>
          </cell>
          <cell r="M1892">
            <v>891</v>
          </cell>
          <cell r="N1892">
            <v>869</v>
          </cell>
          <cell r="O1892">
            <v>950</v>
          </cell>
          <cell r="P1892">
            <v>453</v>
          </cell>
          <cell r="Q1892">
            <v>1321</v>
          </cell>
          <cell r="R1892">
            <v>1201</v>
          </cell>
          <cell r="S1892">
            <v>1281</v>
          </cell>
          <cell r="T1892">
            <v>1073</v>
          </cell>
          <cell r="U1892">
            <v>1242</v>
          </cell>
          <cell r="V1892">
            <v>1110</v>
          </cell>
          <cell r="W1892">
            <v>1417</v>
          </cell>
          <cell r="X1892">
            <v>1949</v>
          </cell>
          <cell r="Y1892">
            <v>3627</v>
          </cell>
          <cell r="Z1892">
            <v>3030</v>
          </cell>
          <cell r="AA1892">
            <v>3269</v>
          </cell>
          <cell r="AB1892">
            <v>3122</v>
          </cell>
          <cell r="AC1892">
            <v>2934</v>
          </cell>
          <cell r="AD1892">
            <v>2863</v>
          </cell>
          <cell r="AE1892">
            <v>8010</v>
          </cell>
          <cell r="AF1892">
            <v>8115</v>
          </cell>
          <cell r="AG1892">
            <v>7220</v>
          </cell>
          <cell r="AH1892">
            <v>7343</v>
          </cell>
          <cell r="AI1892">
            <v>7414</v>
          </cell>
          <cell r="AJ1892">
            <v>7455</v>
          </cell>
        </row>
        <row r="1893">
          <cell r="E1893" t="str">
            <v>KS Commercial Motor Gasoline</v>
          </cell>
          <cell r="F1893">
            <v>851</v>
          </cell>
          <cell r="G1893">
            <v>651</v>
          </cell>
          <cell r="H1893">
            <v>571</v>
          </cell>
          <cell r="I1893">
            <v>288</v>
          </cell>
          <cell r="J1893">
            <v>394</v>
          </cell>
          <cell r="K1893">
            <v>386</v>
          </cell>
          <cell r="L1893">
            <v>516</v>
          </cell>
          <cell r="M1893">
            <v>468</v>
          </cell>
          <cell r="N1893">
            <v>491</v>
          </cell>
          <cell r="O1893">
            <v>318</v>
          </cell>
          <cell r="P1893">
            <v>442</v>
          </cell>
          <cell r="Q1893">
            <v>408</v>
          </cell>
          <cell r="R1893">
            <v>224</v>
          </cell>
          <cell r="S1893">
            <v>562</v>
          </cell>
          <cell r="T1893">
            <v>423</v>
          </cell>
          <cell r="U1893">
            <v>386</v>
          </cell>
          <cell r="V1893">
            <v>677</v>
          </cell>
          <cell r="W1893">
            <v>379</v>
          </cell>
          <cell r="X1893">
            <v>315</v>
          </cell>
          <cell r="Y1893">
            <v>382</v>
          </cell>
          <cell r="Z1893">
            <v>385</v>
          </cell>
          <cell r="AA1893">
            <v>274</v>
          </cell>
          <cell r="AB1893">
            <v>483</v>
          </cell>
          <cell r="AC1893">
            <v>178</v>
          </cell>
          <cell r="AD1893">
            <v>355</v>
          </cell>
          <cell r="AE1893">
            <v>3223</v>
          </cell>
          <cell r="AF1893">
            <v>3120</v>
          </cell>
          <cell r="AG1893">
            <v>3025</v>
          </cell>
          <cell r="AH1893">
            <v>3002</v>
          </cell>
          <cell r="AI1893">
            <v>3025</v>
          </cell>
          <cell r="AJ1893">
            <v>3046</v>
          </cell>
        </row>
        <row r="1894">
          <cell r="E1894" t="str">
            <v>KY Commercial Motor Gasoline</v>
          </cell>
          <cell r="F1894">
            <v>2335</v>
          </cell>
          <cell r="G1894">
            <v>1676</v>
          </cell>
          <cell r="H1894">
            <v>1454</v>
          </cell>
          <cell r="I1894">
            <v>207</v>
          </cell>
          <cell r="J1894">
            <v>207</v>
          </cell>
          <cell r="K1894">
            <v>221</v>
          </cell>
          <cell r="L1894">
            <v>209</v>
          </cell>
          <cell r="M1894">
            <v>206</v>
          </cell>
          <cell r="N1894">
            <v>416</v>
          </cell>
          <cell r="O1894">
            <v>205</v>
          </cell>
          <cell r="P1894">
            <v>207</v>
          </cell>
          <cell r="Q1894">
            <v>217</v>
          </cell>
          <cell r="R1894">
            <v>218</v>
          </cell>
          <cell r="S1894">
            <v>216</v>
          </cell>
          <cell r="T1894">
            <v>218</v>
          </cell>
          <cell r="U1894">
            <v>220</v>
          </cell>
          <cell r="V1894">
            <v>224</v>
          </cell>
          <cell r="W1894">
            <v>224</v>
          </cell>
          <cell r="X1894">
            <v>222</v>
          </cell>
          <cell r="Y1894">
            <v>220</v>
          </cell>
          <cell r="Z1894">
            <v>217</v>
          </cell>
          <cell r="AA1894">
            <v>216</v>
          </cell>
          <cell r="AB1894">
            <v>215</v>
          </cell>
          <cell r="AC1894">
            <v>222</v>
          </cell>
          <cell r="AD1894">
            <v>213</v>
          </cell>
          <cell r="AE1894">
            <v>3715</v>
          </cell>
          <cell r="AF1894">
            <v>3916</v>
          </cell>
          <cell r="AG1894">
            <v>3969</v>
          </cell>
          <cell r="AH1894">
            <v>4021</v>
          </cell>
          <cell r="AI1894">
            <v>4060</v>
          </cell>
          <cell r="AJ1894">
            <v>4066</v>
          </cell>
        </row>
        <row r="1895">
          <cell r="E1895" t="str">
            <v>LA Commercial Motor Gasoline</v>
          </cell>
          <cell r="F1895">
            <v>1669</v>
          </cell>
          <cell r="G1895">
            <v>1354</v>
          </cell>
          <cell r="H1895">
            <v>1287</v>
          </cell>
          <cell r="I1895">
            <v>213</v>
          </cell>
          <cell r="J1895">
            <v>212</v>
          </cell>
          <cell r="K1895">
            <v>215</v>
          </cell>
          <cell r="L1895">
            <v>214</v>
          </cell>
          <cell r="M1895">
            <v>211</v>
          </cell>
          <cell r="N1895">
            <v>212</v>
          </cell>
          <cell r="O1895">
            <v>211</v>
          </cell>
          <cell r="P1895">
            <v>11265</v>
          </cell>
          <cell r="Q1895">
            <v>4947</v>
          </cell>
          <cell r="R1895">
            <v>4076</v>
          </cell>
          <cell r="S1895">
            <v>11030</v>
          </cell>
          <cell r="T1895">
            <v>7707</v>
          </cell>
          <cell r="U1895">
            <v>5486</v>
          </cell>
          <cell r="V1895">
            <v>225</v>
          </cell>
          <cell r="W1895">
            <v>14400</v>
          </cell>
          <cell r="X1895">
            <v>220</v>
          </cell>
          <cell r="Y1895">
            <v>219</v>
          </cell>
          <cell r="Z1895">
            <v>218</v>
          </cell>
          <cell r="AA1895">
            <v>216</v>
          </cell>
          <cell r="AB1895">
            <v>217</v>
          </cell>
          <cell r="AC1895">
            <v>224</v>
          </cell>
          <cell r="AD1895">
            <v>211</v>
          </cell>
          <cell r="AE1895">
            <v>3943</v>
          </cell>
          <cell r="AF1895">
            <v>3999</v>
          </cell>
          <cell r="AG1895">
            <v>4055</v>
          </cell>
          <cell r="AH1895">
            <v>4122</v>
          </cell>
          <cell r="AI1895">
            <v>4157</v>
          </cell>
          <cell r="AJ1895">
            <v>4161</v>
          </cell>
        </row>
        <row r="1896">
          <cell r="E1896" t="str">
            <v>MA Commercial Motor Gasoline</v>
          </cell>
          <cell r="F1896">
            <v>360</v>
          </cell>
          <cell r="G1896">
            <v>958</v>
          </cell>
          <cell r="H1896">
            <v>860</v>
          </cell>
          <cell r="I1896">
            <v>277</v>
          </cell>
          <cell r="J1896">
            <v>296</v>
          </cell>
          <cell r="K1896">
            <v>338</v>
          </cell>
          <cell r="L1896">
            <v>340</v>
          </cell>
          <cell r="M1896">
            <v>252</v>
          </cell>
          <cell r="N1896">
            <v>343</v>
          </cell>
          <cell r="O1896">
            <v>327</v>
          </cell>
          <cell r="P1896">
            <v>1452</v>
          </cell>
          <cell r="Q1896">
            <v>435</v>
          </cell>
          <cell r="R1896">
            <v>607</v>
          </cell>
          <cell r="S1896">
            <v>542</v>
          </cell>
          <cell r="T1896">
            <v>361</v>
          </cell>
          <cell r="U1896">
            <v>303</v>
          </cell>
          <cell r="V1896">
            <v>376</v>
          </cell>
          <cell r="W1896">
            <v>410</v>
          </cell>
          <cell r="X1896">
            <v>404</v>
          </cell>
          <cell r="Y1896">
            <v>410</v>
          </cell>
          <cell r="Z1896">
            <v>242</v>
          </cell>
          <cell r="AA1896">
            <v>739</v>
          </cell>
          <cell r="AB1896">
            <v>216</v>
          </cell>
          <cell r="AC1896">
            <v>239</v>
          </cell>
          <cell r="AD1896">
            <v>234</v>
          </cell>
          <cell r="AE1896">
            <v>7021</v>
          </cell>
          <cell r="AF1896">
            <v>7076</v>
          </cell>
          <cell r="AG1896">
            <v>7155</v>
          </cell>
          <cell r="AH1896">
            <v>7110</v>
          </cell>
          <cell r="AI1896">
            <v>7156</v>
          </cell>
          <cell r="AJ1896">
            <v>7218</v>
          </cell>
        </row>
        <row r="1897">
          <cell r="E1897" t="str">
            <v>MD Commercial Motor Gasoline</v>
          </cell>
          <cell r="F1897">
            <v>1215</v>
          </cell>
          <cell r="G1897">
            <v>622</v>
          </cell>
          <cell r="H1897">
            <v>542</v>
          </cell>
          <cell r="I1897">
            <v>162</v>
          </cell>
          <cell r="J1897">
            <v>163</v>
          </cell>
          <cell r="K1897">
            <v>165</v>
          </cell>
          <cell r="L1897">
            <v>165</v>
          </cell>
          <cell r="M1897">
            <v>163</v>
          </cell>
          <cell r="N1897">
            <v>164</v>
          </cell>
          <cell r="O1897">
            <v>163</v>
          </cell>
          <cell r="P1897">
            <v>604</v>
          </cell>
          <cell r="Q1897">
            <v>171</v>
          </cell>
          <cell r="R1897">
            <v>172</v>
          </cell>
          <cell r="S1897">
            <v>171</v>
          </cell>
          <cell r="T1897">
            <v>172</v>
          </cell>
          <cell r="U1897">
            <v>174</v>
          </cell>
          <cell r="V1897">
            <v>177</v>
          </cell>
          <cell r="W1897">
            <v>176</v>
          </cell>
          <cell r="X1897">
            <v>175</v>
          </cell>
          <cell r="Y1897">
            <v>174</v>
          </cell>
          <cell r="Z1897">
            <v>173</v>
          </cell>
          <cell r="AA1897">
            <v>171</v>
          </cell>
          <cell r="AB1897">
            <v>169</v>
          </cell>
          <cell r="AC1897">
            <v>174</v>
          </cell>
          <cell r="AD1897">
            <v>168</v>
          </cell>
          <cell r="AE1897">
            <v>8459</v>
          </cell>
          <cell r="AF1897">
            <v>8558</v>
          </cell>
          <cell r="AG1897">
            <v>8686</v>
          </cell>
          <cell r="AH1897">
            <v>8849</v>
          </cell>
          <cell r="AI1897">
            <v>8911</v>
          </cell>
          <cell r="AJ1897">
            <v>8969</v>
          </cell>
        </row>
        <row r="1898">
          <cell r="E1898" t="str">
            <v>ME Commercial Motor Gasoline</v>
          </cell>
          <cell r="F1898">
            <v>530</v>
          </cell>
          <cell r="G1898">
            <v>282</v>
          </cell>
          <cell r="H1898">
            <v>264</v>
          </cell>
          <cell r="I1898">
            <v>60</v>
          </cell>
          <cell r="J1898">
            <v>61</v>
          </cell>
          <cell r="K1898">
            <v>62</v>
          </cell>
          <cell r="L1898">
            <v>62</v>
          </cell>
          <cell r="M1898">
            <v>61</v>
          </cell>
          <cell r="N1898">
            <v>61</v>
          </cell>
          <cell r="O1898">
            <v>61</v>
          </cell>
          <cell r="P1898">
            <v>61</v>
          </cell>
          <cell r="Q1898">
            <v>61</v>
          </cell>
          <cell r="R1898">
            <v>62</v>
          </cell>
          <cell r="S1898">
            <v>101</v>
          </cell>
          <cell r="T1898">
            <v>127</v>
          </cell>
          <cell r="U1898">
            <v>73</v>
          </cell>
          <cell r="V1898">
            <v>161</v>
          </cell>
          <cell r="W1898">
            <v>247</v>
          </cell>
          <cell r="X1898">
            <v>104</v>
          </cell>
          <cell r="Y1898">
            <v>171</v>
          </cell>
          <cell r="Z1898">
            <v>188</v>
          </cell>
          <cell r="AA1898">
            <v>97</v>
          </cell>
          <cell r="AB1898">
            <v>87</v>
          </cell>
          <cell r="AC1898">
            <v>153</v>
          </cell>
          <cell r="AD1898">
            <v>119</v>
          </cell>
          <cell r="AE1898">
            <v>1591</v>
          </cell>
          <cell r="AF1898">
            <v>1575</v>
          </cell>
          <cell r="AG1898">
            <v>1596</v>
          </cell>
          <cell r="AH1898">
            <v>1615</v>
          </cell>
          <cell r="AI1898">
            <v>1625</v>
          </cell>
          <cell r="AJ1898">
            <v>1647</v>
          </cell>
        </row>
        <row r="1899">
          <cell r="E1899" t="str">
            <v>MI Commercial Motor Gasoline</v>
          </cell>
          <cell r="F1899">
            <v>4045</v>
          </cell>
          <cell r="G1899">
            <v>3078</v>
          </cell>
          <cell r="H1899">
            <v>2903</v>
          </cell>
          <cell r="I1899">
            <v>399</v>
          </cell>
          <cell r="J1899">
            <v>1891</v>
          </cell>
          <cell r="K1899">
            <v>403</v>
          </cell>
          <cell r="L1899">
            <v>402</v>
          </cell>
          <cell r="M1899">
            <v>395</v>
          </cell>
          <cell r="N1899">
            <v>1083</v>
          </cell>
          <cell r="O1899">
            <v>887</v>
          </cell>
          <cell r="P1899">
            <v>825</v>
          </cell>
          <cell r="Q1899">
            <v>2252</v>
          </cell>
          <cell r="R1899">
            <v>1284</v>
          </cell>
          <cell r="S1899">
            <v>1054</v>
          </cell>
          <cell r="T1899">
            <v>993</v>
          </cell>
          <cell r="U1899">
            <v>1077</v>
          </cell>
          <cell r="V1899">
            <v>470</v>
          </cell>
          <cell r="W1899">
            <v>422</v>
          </cell>
          <cell r="X1899">
            <v>427</v>
          </cell>
          <cell r="Y1899">
            <v>644</v>
          </cell>
          <cell r="Z1899">
            <v>417</v>
          </cell>
          <cell r="AA1899">
            <v>402</v>
          </cell>
          <cell r="AB1899">
            <v>397</v>
          </cell>
          <cell r="AC1899">
            <v>409</v>
          </cell>
          <cell r="AD1899">
            <v>16186</v>
          </cell>
          <cell r="AE1899">
            <v>10105</v>
          </cell>
          <cell r="AF1899">
            <v>10195</v>
          </cell>
          <cell r="AG1899">
            <v>10349</v>
          </cell>
          <cell r="AH1899">
            <v>10516</v>
          </cell>
          <cell r="AI1899">
            <v>10590</v>
          </cell>
          <cell r="AJ1899">
            <v>10669</v>
          </cell>
        </row>
        <row r="1900">
          <cell r="E1900" t="str">
            <v>MN Commercial Motor Gasoline</v>
          </cell>
          <cell r="F1900">
            <v>8239</v>
          </cell>
          <cell r="G1900">
            <v>1042</v>
          </cell>
          <cell r="H1900">
            <v>617</v>
          </cell>
          <cell r="I1900">
            <v>256</v>
          </cell>
          <cell r="J1900">
            <v>257</v>
          </cell>
          <cell r="K1900">
            <v>261</v>
          </cell>
          <cell r="L1900">
            <v>260</v>
          </cell>
          <cell r="M1900">
            <v>5259</v>
          </cell>
          <cell r="N1900">
            <v>5142</v>
          </cell>
          <cell r="O1900">
            <v>258</v>
          </cell>
          <cell r="P1900">
            <v>261</v>
          </cell>
          <cell r="Q1900">
            <v>271</v>
          </cell>
          <cell r="R1900">
            <v>272</v>
          </cell>
          <cell r="S1900">
            <v>4127</v>
          </cell>
          <cell r="T1900">
            <v>272</v>
          </cell>
          <cell r="U1900">
            <v>275</v>
          </cell>
          <cell r="V1900">
            <v>7147</v>
          </cell>
          <cell r="W1900">
            <v>4840</v>
          </cell>
          <cell r="X1900">
            <v>4397</v>
          </cell>
          <cell r="Y1900">
            <v>3320</v>
          </cell>
          <cell r="Z1900">
            <v>3476</v>
          </cell>
          <cell r="AA1900">
            <v>3194</v>
          </cell>
          <cell r="AB1900">
            <v>3452</v>
          </cell>
          <cell r="AC1900">
            <v>3125</v>
          </cell>
          <cell r="AD1900">
            <v>3211</v>
          </cell>
          <cell r="AE1900">
            <v>7704</v>
          </cell>
          <cell r="AF1900">
            <v>7932</v>
          </cell>
          <cell r="AG1900">
            <v>5045</v>
          </cell>
          <cell r="AH1900">
            <v>5126</v>
          </cell>
          <cell r="AI1900">
            <v>5173</v>
          </cell>
          <cell r="AJ1900">
            <v>5201</v>
          </cell>
        </row>
        <row r="1901">
          <cell r="E1901" t="str">
            <v>MO Commercial Motor Gasoline</v>
          </cell>
          <cell r="F1901">
            <v>1255</v>
          </cell>
          <cell r="G1901">
            <v>671</v>
          </cell>
          <cell r="H1901">
            <v>633</v>
          </cell>
          <cell r="I1901">
            <v>586</v>
          </cell>
          <cell r="J1901">
            <v>529</v>
          </cell>
          <cell r="K1901">
            <v>513</v>
          </cell>
          <cell r="L1901">
            <v>603</v>
          </cell>
          <cell r="M1901">
            <v>756</v>
          </cell>
          <cell r="N1901">
            <v>636</v>
          </cell>
          <cell r="O1901">
            <v>1589</v>
          </cell>
          <cell r="P1901">
            <v>1368</v>
          </cell>
          <cell r="Q1901">
            <v>1727</v>
          </cell>
          <cell r="R1901">
            <v>1505</v>
          </cell>
          <cell r="S1901">
            <v>1489</v>
          </cell>
          <cell r="T1901">
            <v>1224</v>
          </cell>
          <cell r="U1901">
            <v>1504</v>
          </cell>
          <cell r="V1901">
            <v>298</v>
          </cell>
          <cell r="W1901">
            <v>298</v>
          </cell>
          <cell r="X1901">
            <v>296</v>
          </cell>
          <cell r="Y1901">
            <v>293</v>
          </cell>
          <cell r="Z1901">
            <v>289</v>
          </cell>
          <cell r="AA1901">
            <v>288</v>
          </cell>
          <cell r="AB1901">
            <v>290</v>
          </cell>
          <cell r="AC1901">
            <v>299</v>
          </cell>
          <cell r="AD1901">
            <v>283</v>
          </cell>
          <cell r="AE1901">
            <v>6574</v>
          </cell>
          <cell r="AF1901">
            <v>6664</v>
          </cell>
          <cell r="AG1901">
            <v>6759</v>
          </cell>
          <cell r="AH1901">
            <v>6831</v>
          </cell>
          <cell r="AI1901">
            <v>6870</v>
          </cell>
          <cell r="AJ1901">
            <v>6923</v>
          </cell>
        </row>
        <row r="1902">
          <cell r="E1902" t="str">
            <v>MS Commercial Motor Gasoline</v>
          </cell>
          <cell r="F1902">
            <v>869</v>
          </cell>
          <cell r="G1902">
            <v>427</v>
          </cell>
          <cell r="H1902">
            <v>904</v>
          </cell>
          <cell r="I1902">
            <v>257</v>
          </cell>
          <cell r="J1902">
            <v>779</v>
          </cell>
          <cell r="K1902">
            <v>254</v>
          </cell>
          <cell r="L1902">
            <v>299</v>
          </cell>
          <cell r="M1902">
            <v>245</v>
          </cell>
          <cell r="N1902">
            <v>253</v>
          </cell>
          <cell r="O1902">
            <v>230</v>
          </cell>
          <cell r="P1902">
            <v>234</v>
          </cell>
          <cell r="Q1902">
            <v>208</v>
          </cell>
          <cell r="R1902">
            <v>169</v>
          </cell>
          <cell r="S1902">
            <v>179</v>
          </cell>
          <cell r="T1902">
            <v>196</v>
          </cell>
          <cell r="U1902">
            <v>1007</v>
          </cell>
          <cell r="V1902">
            <v>167</v>
          </cell>
          <cell r="W1902">
            <v>167</v>
          </cell>
          <cell r="X1902">
            <v>191</v>
          </cell>
          <cell r="Y1902">
            <v>164</v>
          </cell>
          <cell r="Z1902">
            <v>162</v>
          </cell>
          <cell r="AA1902">
            <v>161</v>
          </cell>
          <cell r="AB1902">
            <v>184</v>
          </cell>
          <cell r="AC1902">
            <v>191</v>
          </cell>
          <cell r="AD1902">
            <v>168</v>
          </cell>
          <cell r="AE1902">
            <v>2301</v>
          </cell>
          <cell r="AF1902">
            <v>2389</v>
          </cell>
          <cell r="AG1902">
            <v>2354</v>
          </cell>
          <cell r="AH1902">
            <v>2392</v>
          </cell>
          <cell r="AI1902">
            <v>2413</v>
          </cell>
          <cell r="AJ1902">
            <v>2425</v>
          </cell>
        </row>
        <row r="1903">
          <cell r="E1903" t="str">
            <v>MT Commercial Motor Gasoline</v>
          </cell>
          <cell r="F1903">
            <v>439</v>
          </cell>
          <cell r="G1903">
            <v>330</v>
          </cell>
          <cell r="H1903">
            <v>288</v>
          </cell>
          <cell r="I1903">
            <v>61</v>
          </cell>
          <cell r="J1903">
            <v>80</v>
          </cell>
          <cell r="K1903">
            <v>66</v>
          </cell>
          <cell r="L1903">
            <v>101</v>
          </cell>
          <cell r="M1903">
            <v>60</v>
          </cell>
          <cell r="N1903">
            <v>72</v>
          </cell>
          <cell r="O1903">
            <v>72</v>
          </cell>
          <cell r="P1903">
            <v>74</v>
          </cell>
          <cell r="Q1903">
            <v>75</v>
          </cell>
          <cell r="R1903">
            <v>77</v>
          </cell>
          <cell r="S1903">
            <v>79</v>
          </cell>
          <cell r="T1903">
            <v>78</v>
          </cell>
          <cell r="U1903">
            <v>79</v>
          </cell>
          <cell r="V1903">
            <v>80</v>
          </cell>
          <cell r="W1903">
            <v>77</v>
          </cell>
          <cell r="X1903">
            <v>86</v>
          </cell>
          <cell r="Y1903">
            <v>78</v>
          </cell>
          <cell r="Z1903">
            <v>77</v>
          </cell>
          <cell r="AA1903">
            <v>75</v>
          </cell>
          <cell r="AB1903">
            <v>73</v>
          </cell>
          <cell r="AC1903">
            <v>76</v>
          </cell>
          <cell r="AD1903">
            <v>72</v>
          </cell>
          <cell r="AE1903">
            <v>748</v>
          </cell>
          <cell r="AF1903">
            <v>755</v>
          </cell>
          <cell r="AG1903">
            <v>757</v>
          </cell>
          <cell r="AH1903">
            <v>767</v>
          </cell>
          <cell r="AI1903">
            <v>772</v>
          </cell>
          <cell r="AJ1903">
            <v>779</v>
          </cell>
        </row>
        <row r="1904">
          <cell r="E1904" t="str">
            <v>NC Commercial Motor Gasoline</v>
          </cell>
          <cell r="F1904">
            <v>4105</v>
          </cell>
          <cell r="G1904">
            <v>1968</v>
          </cell>
          <cell r="H1904">
            <v>1698</v>
          </cell>
          <cell r="I1904">
            <v>310</v>
          </cell>
          <cell r="J1904">
            <v>408</v>
          </cell>
          <cell r="K1904">
            <v>317</v>
          </cell>
          <cell r="L1904">
            <v>1626</v>
          </cell>
          <cell r="M1904">
            <v>914</v>
          </cell>
          <cell r="N1904">
            <v>1804</v>
          </cell>
          <cell r="O1904">
            <v>1616</v>
          </cell>
          <cell r="P1904">
            <v>1718</v>
          </cell>
          <cell r="Q1904">
            <v>1367</v>
          </cell>
          <cell r="R1904">
            <v>1430</v>
          </cell>
          <cell r="S1904">
            <v>6046</v>
          </cell>
          <cell r="T1904">
            <v>7592</v>
          </cell>
          <cell r="U1904">
            <v>10066</v>
          </cell>
          <cell r="V1904">
            <v>8316</v>
          </cell>
          <cell r="W1904">
            <v>5927</v>
          </cell>
          <cell r="X1904">
            <v>6659</v>
          </cell>
          <cell r="Y1904">
            <v>9854</v>
          </cell>
          <cell r="Z1904">
            <v>4978</v>
          </cell>
          <cell r="AA1904">
            <v>1921</v>
          </cell>
          <cell r="AB1904">
            <v>1831</v>
          </cell>
          <cell r="AC1904">
            <v>1613</v>
          </cell>
          <cell r="AD1904">
            <v>1781</v>
          </cell>
          <cell r="AE1904">
            <v>12833</v>
          </cell>
          <cell r="AF1904">
            <v>13696</v>
          </cell>
          <cell r="AG1904">
            <v>11913</v>
          </cell>
          <cell r="AH1904">
            <v>12116</v>
          </cell>
          <cell r="AI1904">
            <v>12216</v>
          </cell>
          <cell r="AJ1904">
            <v>12267</v>
          </cell>
        </row>
        <row r="1905">
          <cell r="E1905" t="str">
            <v>ND Commercial Motor Gasoline</v>
          </cell>
          <cell r="F1905">
            <v>369</v>
          </cell>
          <cell r="G1905">
            <v>231</v>
          </cell>
          <cell r="H1905">
            <v>193</v>
          </cell>
          <cell r="I1905">
            <v>52</v>
          </cell>
          <cell r="J1905">
            <v>52</v>
          </cell>
          <cell r="K1905">
            <v>53</v>
          </cell>
          <cell r="L1905">
            <v>53</v>
          </cell>
          <cell r="M1905">
            <v>52</v>
          </cell>
          <cell r="N1905">
            <v>109</v>
          </cell>
          <cell r="O1905">
            <v>112</v>
          </cell>
          <cell r="P1905">
            <v>52</v>
          </cell>
          <cell r="Q1905">
            <v>52</v>
          </cell>
          <cell r="R1905">
            <v>52</v>
          </cell>
          <cell r="S1905">
            <v>100</v>
          </cell>
          <cell r="T1905">
            <v>52</v>
          </cell>
          <cell r="U1905">
            <v>53</v>
          </cell>
          <cell r="V1905">
            <v>105</v>
          </cell>
          <cell r="W1905">
            <v>88</v>
          </cell>
          <cell r="X1905">
            <v>89</v>
          </cell>
          <cell r="Y1905">
            <v>95</v>
          </cell>
          <cell r="Z1905">
            <v>99</v>
          </cell>
          <cell r="AA1905">
            <v>63</v>
          </cell>
          <cell r="AB1905">
            <v>102</v>
          </cell>
          <cell r="AC1905">
            <v>109</v>
          </cell>
          <cell r="AD1905">
            <v>94</v>
          </cell>
          <cell r="AE1905">
            <v>490</v>
          </cell>
          <cell r="AF1905">
            <v>501</v>
          </cell>
          <cell r="AG1905">
            <v>510</v>
          </cell>
          <cell r="AH1905">
            <v>516</v>
          </cell>
          <cell r="AI1905">
            <v>519</v>
          </cell>
          <cell r="AJ1905">
            <v>520</v>
          </cell>
        </row>
        <row r="1906">
          <cell r="E1906" t="str">
            <v>NE Commercial Motor Gasoline</v>
          </cell>
          <cell r="F1906">
            <v>816</v>
          </cell>
          <cell r="G1906">
            <v>527</v>
          </cell>
          <cell r="H1906">
            <v>484</v>
          </cell>
          <cell r="I1906">
            <v>110</v>
          </cell>
          <cell r="J1906">
            <v>110</v>
          </cell>
          <cell r="K1906">
            <v>111</v>
          </cell>
          <cell r="L1906">
            <v>111</v>
          </cell>
          <cell r="M1906">
            <v>109</v>
          </cell>
          <cell r="N1906">
            <v>109</v>
          </cell>
          <cell r="O1906">
            <v>108</v>
          </cell>
          <cell r="P1906">
            <v>1452</v>
          </cell>
          <cell r="Q1906">
            <v>1084</v>
          </cell>
          <cell r="R1906">
            <v>656</v>
          </cell>
          <cell r="S1906">
            <v>499</v>
          </cell>
          <cell r="T1906">
            <v>1054</v>
          </cell>
          <cell r="U1906">
            <v>135</v>
          </cell>
          <cell r="V1906">
            <v>572</v>
          </cell>
          <cell r="W1906">
            <v>593</v>
          </cell>
          <cell r="X1906">
            <v>539</v>
          </cell>
          <cell r="Y1906">
            <v>468</v>
          </cell>
          <cell r="Z1906">
            <v>112</v>
          </cell>
          <cell r="AA1906">
            <v>399</v>
          </cell>
          <cell r="AB1906">
            <v>377</v>
          </cell>
          <cell r="AC1906">
            <v>297</v>
          </cell>
          <cell r="AD1906">
            <v>331</v>
          </cell>
          <cell r="AE1906">
            <v>1969</v>
          </cell>
          <cell r="AF1906">
            <v>1951</v>
          </cell>
          <cell r="AG1906">
            <v>1816</v>
          </cell>
          <cell r="AH1906">
            <v>1841</v>
          </cell>
          <cell r="AI1906">
            <v>1849</v>
          </cell>
          <cell r="AJ1906">
            <v>1863</v>
          </cell>
        </row>
        <row r="1907">
          <cell r="E1907" t="str">
            <v>NH Commercial Motor Gasoline</v>
          </cell>
          <cell r="F1907">
            <v>388</v>
          </cell>
          <cell r="G1907">
            <v>290</v>
          </cell>
          <cell r="H1907">
            <v>252</v>
          </cell>
          <cell r="I1907">
            <v>55</v>
          </cell>
          <cell r="J1907">
            <v>55</v>
          </cell>
          <cell r="K1907">
            <v>57</v>
          </cell>
          <cell r="L1907">
            <v>57</v>
          </cell>
          <cell r="M1907">
            <v>56</v>
          </cell>
          <cell r="N1907">
            <v>57</v>
          </cell>
          <cell r="O1907">
            <v>57</v>
          </cell>
          <cell r="P1907">
            <v>71</v>
          </cell>
          <cell r="Q1907">
            <v>106</v>
          </cell>
          <cell r="R1907">
            <v>58</v>
          </cell>
          <cell r="S1907">
            <v>58</v>
          </cell>
          <cell r="T1907">
            <v>61</v>
          </cell>
          <cell r="U1907">
            <v>86</v>
          </cell>
          <cell r="V1907">
            <v>671</v>
          </cell>
          <cell r="W1907">
            <v>242</v>
          </cell>
          <cell r="X1907">
            <v>312</v>
          </cell>
          <cell r="Y1907">
            <v>243</v>
          </cell>
          <cell r="Z1907">
            <v>271</v>
          </cell>
          <cell r="AA1907">
            <v>270</v>
          </cell>
          <cell r="AB1907">
            <v>278</v>
          </cell>
          <cell r="AC1907">
            <v>289</v>
          </cell>
          <cell r="AD1907">
            <v>288</v>
          </cell>
          <cell r="AE1907">
            <v>1766</v>
          </cell>
          <cell r="AF1907">
            <v>1811</v>
          </cell>
          <cell r="AG1907">
            <v>1602</v>
          </cell>
          <cell r="AH1907">
            <v>1616</v>
          </cell>
          <cell r="AI1907">
            <v>1632</v>
          </cell>
          <cell r="AJ1907">
            <v>1642</v>
          </cell>
        </row>
        <row r="1908">
          <cell r="E1908" t="str">
            <v>NJ Commercial Motor Gasoline</v>
          </cell>
          <cell r="F1908">
            <v>3963</v>
          </cell>
          <cell r="G1908">
            <v>3633</v>
          </cell>
          <cell r="H1908">
            <v>3221</v>
          </cell>
          <cell r="I1908">
            <v>400</v>
          </cell>
          <cell r="J1908">
            <v>439</v>
          </cell>
          <cell r="K1908">
            <v>408</v>
          </cell>
          <cell r="L1908">
            <v>403</v>
          </cell>
          <cell r="M1908">
            <v>410</v>
          </cell>
          <cell r="N1908">
            <v>398</v>
          </cell>
          <cell r="O1908">
            <v>390</v>
          </cell>
          <cell r="P1908">
            <v>383</v>
          </cell>
          <cell r="Q1908">
            <v>398</v>
          </cell>
          <cell r="R1908">
            <v>378</v>
          </cell>
          <cell r="S1908">
            <v>385</v>
          </cell>
          <cell r="T1908">
            <v>374</v>
          </cell>
          <cell r="U1908">
            <v>367</v>
          </cell>
          <cell r="V1908">
            <v>361</v>
          </cell>
          <cell r="W1908">
            <v>392</v>
          </cell>
          <cell r="X1908">
            <v>379</v>
          </cell>
          <cell r="Y1908">
            <v>346</v>
          </cell>
          <cell r="Z1908">
            <v>349</v>
          </cell>
          <cell r="AA1908">
            <v>331</v>
          </cell>
          <cell r="AB1908">
            <v>330</v>
          </cell>
          <cell r="AC1908">
            <v>364</v>
          </cell>
          <cell r="AD1908">
            <v>748</v>
          </cell>
          <cell r="AE1908">
            <v>10890</v>
          </cell>
          <cell r="AF1908">
            <v>11012</v>
          </cell>
          <cell r="AG1908">
            <v>10935</v>
          </cell>
          <cell r="AH1908">
            <v>11009</v>
          </cell>
          <cell r="AI1908">
            <v>11082</v>
          </cell>
          <cell r="AJ1908">
            <v>11177</v>
          </cell>
        </row>
        <row r="1909">
          <cell r="E1909" t="str">
            <v>NM Commercial Motor Gasoline</v>
          </cell>
          <cell r="F1909">
            <v>665</v>
          </cell>
          <cell r="G1909">
            <v>593</v>
          </cell>
          <cell r="H1909">
            <v>526</v>
          </cell>
          <cell r="I1909">
            <v>93</v>
          </cell>
          <cell r="J1909">
            <v>94</v>
          </cell>
          <cell r="K1909">
            <v>95</v>
          </cell>
          <cell r="L1909">
            <v>95</v>
          </cell>
          <cell r="M1909">
            <v>95</v>
          </cell>
          <cell r="N1909">
            <v>95</v>
          </cell>
          <cell r="O1909">
            <v>96</v>
          </cell>
          <cell r="P1909">
            <v>97</v>
          </cell>
          <cell r="Q1909">
            <v>201</v>
          </cell>
          <cell r="R1909">
            <v>1754</v>
          </cell>
          <cell r="S1909">
            <v>2865</v>
          </cell>
          <cell r="T1909">
            <v>400</v>
          </cell>
          <cell r="U1909">
            <v>120</v>
          </cell>
          <cell r="V1909">
            <v>106</v>
          </cell>
          <cell r="W1909">
            <v>106</v>
          </cell>
          <cell r="X1909">
            <v>105</v>
          </cell>
          <cell r="Y1909">
            <v>104</v>
          </cell>
          <cell r="Z1909">
            <v>103</v>
          </cell>
          <cell r="AA1909">
            <v>109</v>
          </cell>
          <cell r="AB1909">
            <v>109</v>
          </cell>
          <cell r="AC1909">
            <v>114</v>
          </cell>
          <cell r="AD1909">
            <v>104</v>
          </cell>
          <cell r="AE1909">
            <v>1923</v>
          </cell>
          <cell r="AF1909">
            <v>1922</v>
          </cell>
          <cell r="AG1909">
            <v>1951</v>
          </cell>
          <cell r="AH1909">
            <v>1978</v>
          </cell>
          <cell r="AI1909">
            <v>1979</v>
          </cell>
          <cell r="AJ1909">
            <v>1996</v>
          </cell>
        </row>
        <row r="1910">
          <cell r="E1910" t="str">
            <v>NV Commercial Motor Gasoline</v>
          </cell>
          <cell r="F1910">
            <v>442</v>
          </cell>
          <cell r="G1910">
            <v>410</v>
          </cell>
          <cell r="H1910">
            <v>363</v>
          </cell>
          <cell r="I1910">
            <v>63</v>
          </cell>
          <cell r="J1910">
            <v>64</v>
          </cell>
          <cell r="K1910">
            <v>66</v>
          </cell>
          <cell r="L1910">
            <v>66</v>
          </cell>
          <cell r="M1910">
            <v>66</v>
          </cell>
          <cell r="N1910">
            <v>67</v>
          </cell>
          <cell r="O1910">
            <v>68</v>
          </cell>
          <cell r="P1910">
            <v>69</v>
          </cell>
          <cell r="Q1910">
            <v>81</v>
          </cell>
          <cell r="R1910">
            <v>92</v>
          </cell>
          <cell r="S1910">
            <v>82</v>
          </cell>
          <cell r="T1910">
            <v>82</v>
          </cell>
          <cell r="U1910">
            <v>82</v>
          </cell>
          <cell r="V1910">
            <v>87</v>
          </cell>
          <cell r="W1910">
            <v>88</v>
          </cell>
          <cell r="X1910">
            <v>157</v>
          </cell>
          <cell r="Y1910">
            <v>88</v>
          </cell>
          <cell r="Z1910">
            <v>87</v>
          </cell>
          <cell r="AA1910">
            <v>86</v>
          </cell>
          <cell r="AB1910">
            <v>86</v>
          </cell>
          <cell r="AC1910">
            <v>135</v>
          </cell>
          <cell r="AD1910">
            <v>85</v>
          </cell>
          <cell r="AE1910">
            <v>4229</v>
          </cell>
          <cell r="AF1910">
            <v>4309</v>
          </cell>
          <cell r="AG1910">
            <v>4289</v>
          </cell>
          <cell r="AH1910">
            <v>4360</v>
          </cell>
          <cell r="AI1910">
            <v>4391</v>
          </cell>
          <cell r="AJ1910">
            <v>4423</v>
          </cell>
        </row>
        <row r="1911">
          <cell r="E1911" t="str">
            <v>NY Commercial Motor Gasoline</v>
          </cell>
          <cell r="F1911">
            <v>6307</v>
          </cell>
          <cell r="G1911">
            <v>3760</v>
          </cell>
          <cell r="H1911">
            <v>3580</v>
          </cell>
          <cell r="I1911">
            <v>1031</v>
          </cell>
          <cell r="J1911">
            <v>938</v>
          </cell>
          <cell r="K1911">
            <v>1080</v>
          </cell>
          <cell r="L1911">
            <v>1044</v>
          </cell>
          <cell r="M1911">
            <v>1015</v>
          </cell>
          <cell r="N1911">
            <v>1103</v>
          </cell>
          <cell r="O1911">
            <v>1042</v>
          </cell>
          <cell r="P1911">
            <v>1051</v>
          </cell>
          <cell r="Q1911">
            <v>1135</v>
          </cell>
          <cell r="R1911">
            <v>4446</v>
          </cell>
          <cell r="S1911">
            <v>1525</v>
          </cell>
          <cell r="T1911">
            <v>1021</v>
          </cell>
          <cell r="U1911">
            <v>1220</v>
          </cell>
          <cell r="V1911">
            <v>1473</v>
          </cell>
          <cell r="W1911">
            <v>1354</v>
          </cell>
          <cell r="X1911">
            <v>1065</v>
          </cell>
          <cell r="Y1911">
            <v>1078</v>
          </cell>
          <cell r="Z1911">
            <v>914</v>
          </cell>
          <cell r="AA1911">
            <v>942</v>
          </cell>
          <cell r="AB1911">
            <v>882</v>
          </cell>
          <cell r="AC1911">
            <v>957</v>
          </cell>
          <cell r="AD1911">
            <v>976</v>
          </cell>
          <cell r="AE1911">
            <v>15688</v>
          </cell>
          <cell r="AF1911">
            <v>15571</v>
          </cell>
          <cell r="AG1911">
            <v>15511</v>
          </cell>
          <cell r="AH1911">
            <v>15488</v>
          </cell>
          <cell r="AI1911">
            <v>15599</v>
          </cell>
          <cell r="AJ1911">
            <v>15726</v>
          </cell>
        </row>
        <row r="1912">
          <cell r="E1912" t="str">
            <v>OH Commercial Motor Gasoline</v>
          </cell>
          <cell r="F1912">
            <v>5563</v>
          </cell>
          <cell r="G1912">
            <v>4861</v>
          </cell>
          <cell r="H1912">
            <v>3534</v>
          </cell>
          <cell r="I1912">
            <v>2052</v>
          </cell>
          <cell r="J1912">
            <v>2334</v>
          </cell>
          <cell r="K1912">
            <v>2279</v>
          </cell>
          <cell r="L1912">
            <v>1899</v>
          </cell>
          <cell r="M1912">
            <v>10179</v>
          </cell>
          <cell r="N1912">
            <v>3873</v>
          </cell>
          <cell r="O1912">
            <v>911</v>
          </cell>
          <cell r="P1912">
            <v>2728</v>
          </cell>
          <cell r="Q1912">
            <v>1110</v>
          </cell>
          <cell r="R1912">
            <v>2095</v>
          </cell>
          <cell r="S1912">
            <v>1103</v>
          </cell>
          <cell r="T1912">
            <v>980</v>
          </cell>
          <cell r="U1912">
            <v>1428</v>
          </cell>
          <cell r="V1912">
            <v>2355</v>
          </cell>
          <cell r="W1912">
            <v>2354</v>
          </cell>
          <cell r="X1912">
            <v>1941</v>
          </cell>
          <cell r="Y1912">
            <v>1629</v>
          </cell>
          <cell r="Z1912">
            <v>1406</v>
          </cell>
          <cell r="AA1912">
            <v>498</v>
          </cell>
          <cell r="AB1912">
            <v>500</v>
          </cell>
          <cell r="AC1912">
            <v>515</v>
          </cell>
          <cell r="AD1912">
            <v>489</v>
          </cell>
          <cell r="AE1912">
            <v>15348</v>
          </cell>
          <cell r="AF1912">
            <v>15351</v>
          </cell>
          <cell r="AG1912">
            <v>15586</v>
          </cell>
          <cell r="AH1912">
            <v>15831</v>
          </cell>
          <cell r="AI1912">
            <v>15938</v>
          </cell>
          <cell r="AJ1912">
            <v>16058</v>
          </cell>
        </row>
        <row r="1913">
          <cell r="E1913" t="str">
            <v>OK Commercial Motor Gasoline</v>
          </cell>
          <cell r="F1913">
            <v>1963</v>
          </cell>
          <cell r="G1913">
            <v>1215</v>
          </cell>
          <cell r="H1913">
            <v>906</v>
          </cell>
          <cell r="I1913">
            <v>193</v>
          </cell>
          <cell r="J1913">
            <v>194</v>
          </cell>
          <cell r="K1913">
            <v>197</v>
          </cell>
          <cell r="L1913">
            <v>197</v>
          </cell>
          <cell r="M1913">
            <v>194</v>
          </cell>
          <cell r="N1913">
            <v>195</v>
          </cell>
          <cell r="O1913">
            <v>195</v>
          </cell>
          <cell r="P1913">
            <v>197</v>
          </cell>
          <cell r="Q1913">
            <v>201</v>
          </cell>
          <cell r="R1913">
            <v>396</v>
          </cell>
          <cell r="S1913">
            <v>404</v>
          </cell>
          <cell r="T1913">
            <v>668</v>
          </cell>
          <cell r="U1913">
            <v>721</v>
          </cell>
          <cell r="V1913">
            <v>639</v>
          </cell>
          <cell r="W1913">
            <v>1122</v>
          </cell>
          <cell r="X1913">
            <v>992</v>
          </cell>
          <cell r="Y1913">
            <v>885</v>
          </cell>
          <cell r="Z1913">
            <v>817</v>
          </cell>
          <cell r="AA1913">
            <v>756</v>
          </cell>
          <cell r="AB1913">
            <v>814</v>
          </cell>
          <cell r="AC1913">
            <v>900</v>
          </cell>
          <cell r="AD1913">
            <v>823</v>
          </cell>
          <cell r="AE1913">
            <v>4828</v>
          </cell>
          <cell r="AF1913">
            <v>4784</v>
          </cell>
          <cell r="AG1913">
            <v>4364</v>
          </cell>
          <cell r="AH1913">
            <v>4442</v>
          </cell>
          <cell r="AI1913">
            <v>4462</v>
          </cell>
          <cell r="AJ1913">
            <v>4498</v>
          </cell>
        </row>
        <row r="1914">
          <cell r="E1914" t="str">
            <v>OR Commercial Motor Gasoline</v>
          </cell>
          <cell r="F1914">
            <v>1430</v>
          </cell>
          <cell r="G1914">
            <v>915</v>
          </cell>
          <cell r="H1914">
            <v>869</v>
          </cell>
          <cell r="I1914">
            <v>165</v>
          </cell>
          <cell r="J1914">
            <v>169</v>
          </cell>
          <cell r="K1914">
            <v>169</v>
          </cell>
          <cell r="L1914">
            <v>170</v>
          </cell>
          <cell r="M1914">
            <v>157</v>
          </cell>
          <cell r="N1914">
            <v>156</v>
          </cell>
          <cell r="O1914">
            <v>155</v>
          </cell>
          <cell r="P1914">
            <v>150</v>
          </cell>
          <cell r="Q1914">
            <v>160</v>
          </cell>
          <cell r="R1914">
            <v>161</v>
          </cell>
          <cell r="S1914">
            <v>161</v>
          </cell>
          <cell r="T1914">
            <v>162</v>
          </cell>
          <cell r="U1914">
            <v>164</v>
          </cell>
          <cell r="V1914">
            <v>332</v>
          </cell>
          <cell r="W1914">
            <v>167</v>
          </cell>
          <cell r="X1914">
            <v>166</v>
          </cell>
          <cell r="Y1914">
            <v>164</v>
          </cell>
          <cell r="Z1914">
            <v>162</v>
          </cell>
          <cell r="AA1914">
            <v>162</v>
          </cell>
          <cell r="AB1914">
            <v>162</v>
          </cell>
          <cell r="AC1914">
            <v>167</v>
          </cell>
          <cell r="AD1914">
            <v>159</v>
          </cell>
          <cell r="AE1914">
            <v>4490</v>
          </cell>
          <cell r="AF1914">
            <v>4673</v>
          </cell>
          <cell r="AG1914">
            <v>4737</v>
          </cell>
          <cell r="AH1914">
            <v>4826</v>
          </cell>
          <cell r="AI1914">
            <v>4878</v>
          </cell>
          <cell r="AJ1914">
            <v>4897</v>
          </cell>
        </row>
        <row r="1915">
          <cell r="E1915" t="str">
            <v>PA Commercial Motor Gasoline</v>
          </cell>
          <cell r="F1915">
            <v>3683</v>
          </cell>
          <cell r="G1915">
            <v>2914</v>
          </cell>
          <cell r="H1915">
            <v>1757</v>
          </cell>
          <cell r="I1915">
            <v>453</v>
          </cell>
          <cell r="J1915">
            <v>452</v>
          </cell>
          <cell r="K1915">
            <v>457</v>
          </cell>
          <cell r="L1915">
            <v>455</v>
          </cell>
          <cell r="M1915">
            <v>1476</v>
          </cell>
          <cell r="N1915">
            <v>4835</v>
          </cell>
          <cell r="O1915">
            <v>976</v>
          </cell>
          <cell r="P1915">
            <v>760</v>
          </cell>
          <cell r="Q1915">
            <v>660</v>
          </cell>
          <cell r="R1915">
            <v>820</v>
          </cell>
          <cell r="S1915">
            <v>820</v>
          </cell>
          <cell r="T1915">
            <v>574</v>
          </cell>
          <cell r="U1915">
            <v>465</v>
          </cell>
          <cell r="V1915">
            <v>472</v>
          </cell>
          <cell r="W1915">
            <v>470</v>
          </cell>
          <cell r="X1915">
            <v>466</v>
          </cell>
          <cell r="Y1915">
            <v>462</v>
          </cell>
          <cell r="Z1915">
            <v>457</v>
          </cell>
          <cell r="AA1915">
            <v>455</v>
          </cell>
          <cell r="AB1915">
            <v>451</v>
          </cell>
          <cell r="AC1915">
            <v>465</v>
          </cell>
          <cell r="AD1915">
            <v>447</v>
          </cell>
          <cell r="AE1915">
            <v>13984</v>
          </cell>
          <cell r="AF1915">
            <v>14083</v>
          </cell>
          <cell r="AG1915">
            <v>14305</v>
          </cell>
          <cell r="AH1915">
            <v>14543</v>
          </cell>
          <cell r="AI1915">
            <v>14638</v>
          </cell>
          <cell r="AJ1915">
            <v>14747</v>
          </cell>
        </row>
        <row r="1916">
          <cell r="E1916" t="str">
            <v>RI Commercial Motor Gasoline</v>
          </cell>
          <cell r="F1916">
            <v>203</v>
          </cell>
          <cell r="G1916">
            <v>192</v>
          </cell>
          <cell r="H1916">
            <v>168</v>
          </cell>
          <cell r="I1916">
            <v>50</v>
          </cell>
          <cell r="J1916">
            <v>50</v>
          </cell>
          <cell r="K1916">
            <v>51</v>
          </cell>
          <cell r="L1916">
            <v>50</v>
          </cell>
          <cell r="M1916">
            <v>59</v>
          </cell>
          <cell r="N1916">
            <v>50</v>
          </cell>
          <cell r="O1916">
            <v>50</v>
          </cell>
          <cell r="P1916">
            <v>50</v>
          </cell>
          <cell r="Q1916">
            <v>226</v>
          </cell>
          <cell r="R1916">
            <v>307</v>
          </cell>
          <cell r="S1916">
            <v>306</v>
          </cell>
          <cell r="T1916">
            <v>61</v>
          </cell>
          <cell r="U1916">
            <v>61</v>
          </cell>
          <cell r="V1916">
            <v>53</v>
          </cell>
          <cell r="W1916">
            <v>52</v>
          </cell>
          <cell r="X1916">
            <v>52</v>
          </cell>
          <cell r="Y1916">
            <v>52</v>
          </cell>
          <cell r="Z1916">
            <v>51</v>
          </cell>
          <cell r="AA1916">
            <v>50</v>
          </cell>
          <cell r="AB1916">
            <v>50</v>
          </cell>
          <cell r="AC1916">
            <v>51</v>
          </cell>
          <cell r="AD1916">
            <v>49</v>
          </cell>
          <cell r="AE1916">
            <v>1013</v>
          </cell>
          <cell r="AF1916">
            <v>1014</v>
          </cell>
          <cell r="AG1916">
            <v>1032</v>
          </cell>
          <cell r="AH1916">
            <v>1049</v>
          </cell>
          <cell r="AI1916">
            <v>1057</v>
          </cell>
          <cell r="AJ1916">
            <v>1065</v>
          </cell>
        </row>
        <row r="1917">
          <cell r="E1917" t="str">
            <v>SC Commercial Motor Gasoline</v>
          </cell>
          <cell r="F1917">
            <v>1346</v>
          </cell>
          <cell r="G1917">
            <v>627</v>
          </cell>
          <cell r="H1917">
            <v>540</v>
          </cell>
          <cell r="I1917">
            <v>162</v>
          </cell>
          <cell r="J1917">
            <v>163</v>
          </cell>
          <cell r="K1917">
            <v>165</v>
          </cell>
          <cell r="L1917">
            <v>165</v>
          </cell>
          <cell r="M1917">
            <v>163</v>
          </cell>
          <cell r="N1917">
            <v>301</v>
          </cell>
          <cell r="O1917">
            <v>178</v>
          </cell>
          <cell r="P1917">
            <v>183</v>
          </cell>
          <cell r="Q1917">
            <v>186</v>
          </cell>
          <cell r="R1917">
            <v>196</v>
          </cell>
          <cell r="S1917">
            <v>194</v>
          </cell>
          <cell r="T1917">
            <v>174</v>
          </cell>
          <cell r="U1917">
            <v>176</v>
          </cell>
          <cell r="V1917">
            <v>180</v>
          </cell>
          <cell r="W1917">
            <v>181</v>
          </cell>
          <cell r="X1917">
            <v>179</v>
          </cell>
          <cell r="Y1917">
            <v>178</v>
          </cell>
          <cell r="Z1917">
            <v>176</v>
          </cell>
          <cell r="AA1917">
            <v>176</v>
          </cell>
          <cell r="AB1917">
            <v>174</v>
          </cell>
          <cell r="AC1917">
            <v>180</v>
          </cell>
          <cell r="AD1917">
            <v>173</v>
          </cell>
          <cell r="AE1917">
            <v>5920</v>
          </cell>
          <cell r="AF1917">
            <v>6174</v>
          </cell>
          <cell r="AG1917">
            <v>6246</v>
          </cell>
          <cell r="AH1917">
            <v>6574</v>
          </cell>
          <cell r="AI1917">
            <v>6566</v>
          </cell>
          <cell r="AJ1917">
            <v>6590</v>
          </cell>
        </row>
        <row r="1918">
          <cell r="E1918" t="str">
            <v>SD Commercial Motor Gasoline</v>
          </cell>
          <cell r="F1918">
            <v>409</v>
          </cell>
          <cell r="G1918">
            <v>284</v>
          </cell>
          <cell r="H1918">
            <v>284</v>
          </cell>
          <cell r="I1918">
            <v>58</v>
          </cell>
          <cell r="J1918">
            <v>58</v>
          </cell>
          <cell r="K1918">
            <v>58</v>
          </cell>
          <cell r="L1918">
            <v>58</v>
          </cell>
          <cell r="M1918">
            <v>57</v>
          </cell>
          <cell r="N1918">
            <v>57</v>
          </cell>
          <cell r="O1918">
            <v>57</v>
          </cell>
          <cell r="P1918">
            <v>57</v>
          </cell>
          <cell r="Q1918">
            <v>156</v>
          </cell>
          <cell r="R1918">
            <v>145</v>
          </cell>
          <cell r="S1918">
            <v>60</v>
          </cell>
          <cell r="T1918">
            <v>60</v>
          </cell>
          <cell r="U1918">
            <v>61</v>
          </cell>
          <cell r="V1918">
            <v>61</v>
          </cell>
          <cell r="W1918">
            <v>61</v>
          </cell>
          <cell r="X1918">
            <v>61</v>
          </cell>
          <cell r="Y1918">
            <v>60</v>
          </cell>
          <cell r="Z1918">
            <v>59</v>
          </cell>
          <cell r="AA1918">
            <v>59</v>
          </cell>
          <cell r="AB1918">
            <v>60</v>
          </cell>
          <cell r="AC1918">
            <v>62</v>
          </cell>
          <cell r="AD1918">
            <v>58</v>
          </cell>
          <cell r="AE1918">
            <v>652</v>
          </cell>
          <cell r="AF1918">
            <v>666</v>
          </cell>
          <cell r="AG1918">
            <v>674</v>
          </cell>
          <cell r="AH1918">
            <v>669</v>
          </cell>
          <cell r="AI1918">
            <v>674</v>
          </cell>
          <cell r="AJ1918">
            <v>672</v>
          </cell>
        </row>
        <row r="1919">
          <cell r="E1919" t="str">
            <v>TN Commercial Motor Gasoline</v>
          </cell>
          <cell r="F1919">
            <v>2435</v>
          </cell>
          <cell r="G1919">
            <v>2196</v>
          </cell>
          <cell r="H1919">
            <v>1815</v>
          </cell>
          <cell r="I1919">
            <v>1059</v>
          </cell>
          <cell r="J1919">
            <v>255</v>
          </cell>
          <cell r="K1919">
            <v>258</v>
          </cell>
          <cell r="L1919">
            <v>258</v>
          </cell>
          <cell r="M1919">
            <v>254</v>
          </cell>
          <cell r="N1919">
            <v>255</v>
          </cell>
          <cell r="O1919">
            <v>254</v>
          </cell>
          <cell r="P1919">
            <v>256</v>
          </cell>
          <cell r="Q1919">
            <v>273</v>
          </cell>
          <cell r="R1919">
            <v>274</v>
          </cell>
          <cell r="S1919">
            <v>274</v>
          </cell>
          <cell r="T1919">
            <v>277</v>
          </cell>
          <cell r="U1919">
            <v>281</v>
          </cell>
          <cell r="V1919">
            <v>283</v>
          </cell>
          <cell r="W1919">
            <v>285</v>
          </cell>
          <cell r="X1919">
            <v>283</v>
          </cell>
          <cell r="Y1919">
            <v>280</v>
          </cell>
          <cell r="Z1919">
            <v>277</v>
          </cell>
          <cell r="AA1919">
            <v>277</v>
          </cell>
          <cell r="AB1919">
            <v>279</v>
          </cell>
          <cell r="AC1919">
            <v>287</v>
          </cell>
          <cell r="AD1919">
            <v>272</v>
          </cell>
          <cell r="AE1919">
            <v>6778</v>
          </cell>
          <cell r="AF1919">
            <v>6821</v>
          </cell>
          <cell r="AG1919">
            <v>6904</v>
          </cell>
          <cell r="AH1919">
            <v>7029</v>
          </cell>
          <cell r="AI1919">
            <v>7107</v>
          </cell>
          <cell r="AJ1919">
            <v>7098</v>
          </cell>
        </row>
        <row r="1920">
          <cell r="E1920" t="str">
            <v>TX Commercial Motor Gasoline</v>
          </cell>
          <cell r="F1920">
            <v>12048</v>
          </cell>
          <cell r="G1920">
            <v>8527</v>
          </cell>
          <cell r="H1920">
            <v>7597</v>
          </cell>
          <cell r="I1920">
            <v>830</v>
          </cell>
          <cell r="J1920">
            <v>836</v>
          </cell>
          <cell r="K1920">
            <v>853</v>
          </cell>
          <cell r="L1920">
            <v>851</v>
          </cell>
          <cell r="M1920">
            <v>848</v>
          </cell>
          <cell r="N1920">
            <v>851</v>
          </cell>
          <cell r="O1920">
            <v>856</v>
          </cell>
          <cell r="P1920">
            <v>868</v>
          </cell>
          <cell r="Q1920">
            <v>917</v>
          </cell>
          <cell r="R1920">
            <v>927</v>
          </cell>
          <cell r="S1920">
            <v>920</v>
          </cell>
          <cell r="T1920">
            <v>925</v>
          </cell>
          <cell r="U1920">
            <v>933</v>
          </cell>
          <cell r="V1920">
            <v>970</v>
          </cell>
          <cell r="W1920">
            <v>1911</v>
          </cell>
          <cell r="X1920">
            <v>1842</v>
          </cell>
          <cell r="Y1920">
            <v>1580</v>
          </cell>
          <cell r="Z1920">
            <v>1654</v>
          </cell>
          <cell r="AA1920">
            <v>1518</v>
          </cell>
          <cell r="AB1920">
            <v>1536</v>
          </cell>
          <cell r="AC1920">
            <v>1593</v>
          </cell>
          <cell r="AD1920">
            <v>1535</v>
          </cell>
          <cell r="AE1920">
            <v>26049</v>
          </cell>
          <cell r="AF1920">
            <v>25690</v>
          </cell>
          <cell r="AG1920">
            <v>25372</v>
          </cell>
          <cell r="AH1920">
            <v>25644</v>
          </cell>
          <cell r="AI1920">
            <v>25867</v>
          </cell>
          <cell r="AJ1920">
            <v>25986</v>
          </cell>
        </row>
        <row r="1921">
          <cell r="E1921" t="str">
            <v>US Commercial Motor Gasoline</v>
          </cell>
          <cell r="F1921">
            <v>111193</v>
          </cell>
          <cell r="G1921">
            <v>85068</v>
          </cell>
          <cell r="H1921">
            <v>79584</v>
          </cell>
          <cell r="I1921">
            <v>29393</v>
          </cell>
          <cell r="J1921">
            <v>25142</v>
          </cell>
          <cell r="K1921">
            <v>18078</v>
          </cell>
          <cell r="L1921">
            <v>26511</v>
          </cell>
          <cell r="M1921">
            <v>42665</v>
          </cell>
          <cell r="N1921">
            <v>38901</v>
          </cell>
          <cell r="O1921">
            <v>28368</v>
          </cell>
          <cell r="P1921">
            <v>44460</v>
          </cell>
          <cell r="Q1921">
            <v>37370</v>
          </cell>
          <cell r="R1921">
            <v>45034</v>
          </cell>
          <cell r="S1921">
            <v>59797</v>
          </cell>
          <cell r="T1921">
            <v>44544</v>
          </cell>
          <cell r="U1921">
            <v>45527</v>
          </cell>
          <cell r="V1921">
            <v>48383</v>
          </cell>
          <cell r="W1921">
            <v>60268</v>
          </cell>
          <cell r="X1921">
            <v>44752</v>
          </cell>
          <cell r="Y1921">
            <v>51835</v>
          </cell>
          <cell r="Z1921">
            <v>51821</v>
          </cell>
          <cell r="AA1921">
            <v>44038</v>
          </cell>
          <cell r="AB1921">
            <v>38601</v>
          </cell>
          <cell r="AC1921">
            <v>39877</v>
          </cell>
          <cell r="AD1921">
            <v>53824</v>
          </cell>
          <cell r="AE1921">
            <v>375962</v>
          </cell>
          <cell r="AF1921">
            <v>374685</v>
          </cell>
          <cell r="AG1921">
            <v>360771</v>
          </cell>
          <cell r="AH1921">
            <v>366398</v>
          </cell>
          <cell r="AI1921">
            <v>369055</v>
          </cell>
          <cell r="AJ1921">
            <v>371279</v>
          </cell>
        </row>
        <row r="1922">
          <cell r="E1922" t="str">
            <v>UT Commercial Motor Gasoline</v>
          </cell>
          <cell r="F1922">
            <v>504</v>
          </cell>
          <cell r="G1922">
            <v>430</v>
          </cell>
          <cell r="H1922">
            <v>382</v>
          </cell>
          <cell r="I1922">
            <v>106</v>
          </cell>
          <cell r="J1922">
            <v>107</v>
          </cell>
          <cell r="K1922">
            <v>109</v>
          </cell>
          <cell r="L1922">
            <v>109</v>
          </cell>
          <cell r="M1922">
            <v>109</v>
          </cell>
          <cell r="N1922">
            <v>110</v>
          </cell>
          <cell r="O1922">
            <v>111</v>
          </cell>
          <cell r="P1922">
            <v>112</v>
          </cell>
          <cell r="Q1922">
            <v>120</v>
          </cell>
          <cell r="R1922">
            <v>121</v>
          </cell>
          <cell r="S1922">
            <v>121</v>
          </cell>
          <cell r="T1922">
            <v>123</v>
          </cell>
          <cell r="U1922">
            <v>125</v>
          </cell>
          <cell r="V1922">
            <v>127</v>
          </cell>
          <cell r="W1922">
            <v>130</v>
          </cell>
          <cell r="X1922">
            <v>129</v>
          </cell>
          <cell r="Y1922">
            <v>127</v>
          </cell>
          <cell r="Z1922">
            <v>125</v>
          </cell>
          <cell r="AA1922">
            <v>129</v>
          </cell>
          <cell r="AB1922">
            <v>129</v>
          </cell>
          <cell r="AC1922">
            <v>133</v>
          </cell>
          <cell r="AD1922">
            <v>126</v>
          </cell>
          <cell r="AE1922">
            <v>2043</v>
          </cell>
          <cell r="AF1922">
            <v>2130</v>
          </cell>
          <cell r="AG1922">
            <v>2160</v>
          </cell>
          <cell r="AH1922">
            <v>2185</v>
          </cell>
          <cell r="AI1922">
            <v>2208</v>
          </cell>
          <cell r="AJ1922">
            <v>2223</v>
          </cell>
        </row>
        <row r="1923">
          <cell r="E1923" t="str">
            <v>VA Commercial Motor Gasoline</v>
          </cell>
          <cell r="F1923">
            <v>2510</v>
          </cell>
          <cell r="G1923">
            <v>1791</v>
          </cell>
          <cell r="H1923">
            <v>1810</v>
          </cell>
          <cell r="I1923">
            <v>633</v>
          </cell>
          <cell r="J1923">
            <v>716</v>
          </cell>
          <cell r="K1923">
            <v>685</v>
          </cell>
          <cell r="L1923">
            <v>678</v>
          </cell>
          <cell r="M1923">
            <v>714</v>
          </cell>
          <cell r="N1923">
            <v>643</v>
          </cell>
          <cell r="O1923">
            <v>863</v>
          </cell>
          <cell r="P1923">
            <v>634</v>
          </cell>
          <cell r="Q1923">
            <v>645</v>
          </cell>
          <cell r="R1923">
            <v>659</v>
          </cell>
          <cell r="S1923">
            <v>641</v>
          </cell>
          <cell r="T1923">
            <v>642</v>
          </cell>
          <cell r="U1923">
            <v>595</v>
          </cell>
          <cell r="V1923">
            <v>517</v>
          </cell>
          <cell r="W1923">
            <v>597</v>
          </cell>
          <cell r="X1923">
            <v>532</v>
          </cell>
          <cell r="Y1923">
            <v>499</v>
          </cell>
          <cell r="Z1923">
            <v>406</v>
          </cell>
          <cell r="AA1923">
            <v>537</v>
          </cell>
          <cell r="AB1923">
            <v>483</v>
          </cell>
          <cell r="AC1923">
            <v>471</v>
          </cell>
          <cell r="AD1923">
            <v>506</v>
          </cell>
          <cell r="AE1923">
            <v>11298</v>
          </cell>
          <cell r="AF1923">
            <v>11439</v>
          </cell>
          <cell r="AG1923">
            <v>11448</v>
          </cell>
          <cell r="AH1923">
            <v>11637</v>
          </cell>
          <cell r="AI1923">
            <v>11705</v>
          </cell>
          <cell r="AJ1923">
            <v>11785</v>
          </cell>
        </row>
        <row r="1924">
          <cell r="E1924" t="str">
            <v>VT Commercial Motor Gasoline</v>
          </cell>
          <cell r="F1924">
            <v>214</v>
          </cell>
          <cell r="G1924">
            <v>144</v>
          </cell>
          <cell r="H1924">
            <v>176</v>
          </cell>
          <cell r="I1924">
            <v>34</v>
          </cell>
          <cell r="J1924">
            <v>34</v>
          </cell>
          <cell r="K1924">
            <v>35</v>
          </cell>
          <cell r="L1924">
            <v>35</v>
          </cell>
          <cell r="M1924">
            <v>34</v>
          </cell>
          <cell r="N1924">
            <v>34</v>
          </cell>
          <cell r="O1924">
            <v>34</v>
          </cell>
          <cell r="P1924">
            <v>35</v>
          </cell>
          <cell r="Q1924">
            <v>35</v>
          </cell>
          <cell r="R1924">
            <v>35</v>
          </cell>
          <cell r="S1924">
            <v>35</v>
          </cell>
          <cell r="T1924">
            <v>35</v>
          </cell>
          <cell r="U1924">
            <v>36</v>
          </cell>
          <cell r="V1924">
            <v>36</v>
          </cell>
          <cell r="W1924">
            <v>36</v>
          </cell>
          <cell r="X1924">
            <v>36</v>
          </cell>
          <cell r="Y1924">
            <v>35</v>
          </cell>
          <cell r="Z1924">
            <v>35</v>
          </cell>
          <cell r="AA1924">
            <v>35</v>
          </cell>
          <cell r="AB1924">
            <v>34</v>
          </cell>
          <cell r="AC1924">
            <v>35</v>
          </cell>
          <cell r="AD1924">
            <v>34</v>
          </cell>
          <cell r="AE1924">
            <v>663</v>
          </cell>
          <cell r="AF1924">
            <v>673</v>
          </cell>
          <cell r="AG1924">
            <v>682</v>
          </cell>
          <cell r="AH1924">
            <v>705</v>
          </cell>
          <cell r="AI1924">
            <v>712</v>
          </cell>
          <cell r="AJ1924">
            <v>714</v>
          </cell>
        </row>
        <row r="1925">
          <cell r="E1925" t="str">
            <v>WA Commercial Motor Gasoline</v>
          </cell>
          <cell r="F1925">
            <v>1477</v>
          </cell>
          <cell r="G1925">
            <v>992</v>
          </cell>
          <cell r="H1925">
            <v>690</v>
          </cell>
          <cell r="I1925">
            <v>250</v>
          </cell>
          <cell r="J1925">
            <v>252</v>
          </cell>
          <cell r="K1925">
            <v>308</v>
          </cell>
          <cell r="L1925">
            <v>314</v>
          </cell>
          <cell r="M1925">
            <v>314</v>
          </cell>
          <cell r="N1925">
            <v>328</v>
          </cell>
          <cell r="O1925">
            <v>1670</v>
          </cell>
          <cell r="P1925">
            <v>1428</v>
          </cell>
          <cell r="Q1925">
            <v>759</v>
          </cell>
          <cell r="R1925">
            <v>972</v>
          </cell>
          <cell r="S1925">
            <v>432</v>
          </cell>
          <cell r="T1925">
            <v>442</v>
          </cell>
          <cell r="U1925">
            <v>710</v>
          </cell>
          <cell r="V1925">
            <v>711</v>
          </cell>
          <cell r="W1925">
            <v>866</v>
          </cell>
          <cell r="X1925">
            <v>828</v>
          </cell>
          <cell r="Y1925">
            <v>706</v>
          </cell>
          <cell r="Z1925">
            <v>494</v>
          </cell>
          <cell r="AA1925">
            <v>521</v>
          </cell>
          <cell r="AB1925">
            <v>724</v>
          </cell>
          <cell r="AC1925">
            <v>842</v>
          </cell>
          <cell r="AD1925">
            <v>720</v>
          </cell>
          <cell r="AE1925">
            <v>8049</v>
          </cell>
          <cell r="AF1925">
            <v>9221</v>
          </cell>
          <cell r="AG1925">
            <v>7881</v>
          </cell>
          <cell r="AH1925">
            <v>8045</v>
          </cell>
          <cell r="AI1925">
            <v>8063</v>
          </cell>
          <cell r="AJ1925">
            <v>8107</v>
          </cell>
        </row>
        <row r="1926">
          <cell r="E1926" t="str">
            <v>WI Commercial Motor Gasoline</v>
          </cell>
          <cell r="F1926">
            <v>1678</v>
          </cell>
          <cell r="G1926">
            <v>1297</v>
          </cell>
          <cell r="H1926">
            <v>1112</v>
          </cell>
          <cell r="I1926">
            <v>263</v>
          </cell>
          <cell r="J1926">
            <v>462</v>
          </cell>
          <cell r="K1926">
            <v>267</v>
          </cell>
          <cell r="L1926">
            <v>416</v>
          </cell>
          <cell r="M1926">
            <v>264</v>
          </cell>
          <cell r="N1926">
            <v>271</v>
          </cell>
          <cell r="O1926">
            <v>444</v>
          </cell>
          <cell r="P1926">
            <v>409</v>
          </cell>
          <cell r="Q1926">
            <v>411</v>
          </cell>
          <cell r="R1926">
            <v>415</v>
          </cell>
          <cell r="S1926">
            <v>429</v>
          </cell>
          <cell r="T1926">
            <v>447</v>
          </cell>
          <cell r="U1926">
            <v>449</v>
          </cell>
          <cell r="V1926">
            <v>288</v>
          </cell>
          <cell r="W1926">
            <v>288</v>
          </cell>
          <cell r="X1926">
            <v>283</v>
          </cell>
          <cell r="Y1926">
            <v>281</v>
          </cell>
          <cell r="Z1926">
            <v>281</v>
          </cell>
          <cell r="AA1926">
            <v>278</v>
          </cell>
          <cell r="AB1926">
            <v>278</v>
          </cell>
          <cell r="AC1926">
            <v>285</v>
          </cell>
          <cell r="AD1926">
            <v>270</v>
          </cell>
          <cell r="AE1926">
            <v>5832</v>
          </cell>
          <cell r="AF1926">
            <v>5858</v>
          </cell>
          <cell r="AG1926">
            <v>5932</v>
          </cell>
          <cell r="AH1926">
            <v>5953</v>
          </cell>
          <cell r="AI1926">
            <v>5970</v>
          </cell>
          <cell r="AJ1926">
            <v>6012</v>
          </cell>
        </row>
        <row r="1927">
          <cell r="E1927" t="str">
            <v>WV Commercial Motor Gasoline</v>
          </cell>
          <cell r="F1927">
            <v>1736</v>
          </cell>
          <cell r="G1927">
            <v>1379</v>
          </cell>
          <cell r="H1927">
            <v>1151</v>
          </cell>
          <cell r="I1927">
            <v>102</v>
          </cell>
          <cell r="J1927">
            <v>102</v>
          </cell>
          <cell r="K1927">
            <v>103</v>
          </cell>
          <cell r="L1927">
            <v>102</v>
          </cell>
          <cell r="M1927">
            <v>100</v>
          </cell>
          <cell r="N1927">
            <v>101</v>
          </cell>
          <cell r="O1927">
            <v>100</v>
          </cell>
          <cell r="P1927">
            <v>101</v>
          </cell>
          <cell r="Q1927">
            <v>102</v>
          </cell>
          <cell r="R1927">
            <v>102</v>
          </cell>
          <cell r="S1927">
            <v>102</v>
          </cell>
          <cell r="T1927">
            <v>143</v>
          </cell>
          <cell r="U1927">
            <v>145</v>
          </cell>
          <cell r="V1927">
            <v>149</v>
          </cell>
          <cell r="W1927">
            <v>152</v>
          </cell>
          <cell r="X1927">
            <v>148</v>
          </cell>
          <cell r="Y1927">
            <v>137</v>
          </cell>
          <cell r="Z1927">
            <v>134</v>
          </cell>
          <cell r="AA1927">
            <v>139</v>
          </cell>
          <cell r="AB1927">
            <v>129</v>
          </cell>
          <cell r="AC1927">
            <v>132</v>
          </cell>
          <cell r="AD1927">
            <v>126</v>
          </cell>
          <cell r="AE1927">
            <v>1842</v>
          </cell>
          <cell r="AF1927">
            <v>1901</v>
          </cell>
          <cell r="AG1927">
            <v>1847</v>
          </cell>
          <cell r="AH1927">
            <v>1881</v>
          </cell>
          <cell r="AI1927">
            <v>1892</v>
          </cell>
          <cell r="AJ1927">
            <v>1891</v>
          </cell>
        </row>
        <row r="1928">
          <cell r="E1928" t="str">
            <v>WY Commercial Motor Gasoline</v>
          </cell>
          <cell r="F1928">
            <v>391</v>
          </cell>
          <cell r="G1928">
            <v>455</v>
          </cell>
          <cell r="H1928">
            <v>411</v>
          </cell>
          <cell r="I1928">
            <v>39</v>
          </cell>
          <cell r="J1928">
            <v>39</v>
          </cell>
          <cell r="K1928">
            <v>40</v>
          </cell>
          <cell r="L1928">
            <v>189</v>
          </cell>
          <cell r="M1928">
            <v>39</v>
          </cell>
          <cell r="N1928">
            <v>39</v>
          </cell>
          <cell r="O1928">
            <v>40</v>
          </cell>
          <cell r="P1928">
            <v>40</v>
          </cell>
          <cell r="Q1928">
            <v>243</v>
          </cell>
          <cell r="R1928">
            <v>614</v>
          </cell>
          <cell r="S1928">
            <v>770</v>
          </cell>
          <cell r="T1928">
            <v>1245</v>
          </cell>
          <cell r="U1928">
            <v>1588</v>
          </cell>
          <cell r="V1928">
            <v>1802</v>
          </cell>
          <cell r="W1928">
            <v>2205</v>
          </cell>
          <cell r="X1928">
            <v>1716</v>
          </cell>
          <cell r="Y1928">
            <v>1494</v>
          </cell>
          <cell r="Z1928">
            <v>1437</v>
          </cell>
          <cell r="AA1928">
            <v>3083</v>
          </cell>
          <cell r="AB1928">
            <v>1855</v>
          </cell>
          <cell r="AC1928">
            <v>1917</v>
          </cell>
          <cell r="AD1928">
            <v>1572</v>
          </cell>
          <cell r="AE1928">
            <v>2210</v>
          </cell>
          <cell r="AF1928">
            <v>1935</v>
          </cell>
          <cell r="AG1928">
            <v>439</v>
          </cell>
          <cell r="AH1928">
            <v>482</v>
          </cell>
          <cell r="AI1928">
            <v>482</v>
          </cell>
          <cell r="AJ1928">
            <v>483</v>
          </cell>
        </row>
        <row r="1929">
          <cell r="E1929" t="str">
            <v>AK Industrial Motor Gasoline</v>
          </cell>
          <cell r="F1929">
            <v>288</v>
          </cell>
          <cell r="G1929">
            <v>301</v>
          </cell>
          <cell r="H1929">
            <v>302</v>
          </cell>
          <cell r="I1929">
            <v>209</v>
          </cell>
          <cell r="J1929">
            <v>298</v>
          </cell>
          <cell r="K1929">
            <v>324</v>
          </cell>
          <cell r="L1929">
            <v>333</v>
          </cell>
          <cell r="M1929">
            <v>279</v>
          </cell>
          <cell r="N1929">
            <v>410</v>
          </cell>
          <cell r="O1929">
            <v>130</v>
          </cell>
          <cell r="P1929">
            <v>129</v>
          </cell>
          <cell r="Q1929">
            <v>394</v>
          </cell>
          <cell r="R1929">
            <v>445</v>
          </cell>
          <cell r="S1929">
            <v>589</v>
          </cell>
          <cell r="T1929">
            <v>583</v>
          </cell>
          <cell r="U1929">
            <v>530</v>
          </cell>
          <cell r="V1929">
            <v>533</v>
          </cell>
          <cell r="W1929">
            <v>340</v>
          </cell>
          <cell r="X1929">
            <v>374</v>
          </cell>
          <cell r="Y1929">
            <v>352</v>
          </cell>
          <cell r="Z1929">
            <v>1022</v>
          </cell>
          <cell r="AA1929">
            <v>983</v>
          </cell>
          <cell r="AB1929">
            <v>1069</v>
          </cell>
          <cell r="AC1929">
            <v>1154</v>
          </cell>
          <cell r="AD1929">
            <v>643</v>
          </cell>
          <cell r="AE1929">
            <v>492</v>
          </cell>
          <cell r="AF1929">
            <v>500</v>
          </cell>
          <cell r="AG1929">
            <v>505</v>
          </cell>
          <cell r="AH1929">
            <v>526</v>
          </cell>
          <cell r="AI1929">
            <v>525</v>
          </cell>
          <cell r="AJ1929">
            <v>539</v>
          </cell>
        </row>
        <row r="1930">
          <cell r="E1930" t="str">
            <v>AL Industrial Motor Gasoline</v>
          </cell>
          <cell r="F1930">
            <v>2328</v>
          </cell>
          <cell r="G1930">
            <v>2143</v>
          </cell>
          <cell r="H1930">
            <v>2287</v>
          </cell>
          <cell r="I1930">
            <v>3039</v>
          </cell>
          <cell r="J1930">
            <v>3305</v>
          </cell>
          <cell r="K1930">
            <v>3506</v>
          </cell>
          <cell r="L1930">
            <v>3531</v>
          </cell>
          <cell r="M1930">
            <v>3743</v>
          </cell>
          <cell r="N1930">
            <v>2699</v>
          </cell>
          <cell r="O1930">
            <v>2307</v>
          </cell>
          <cell r="P1930">
            <v>2303</v>
          </cell>
          <cell r="Q1930">
            <v>5209</v>
          </cell>
          <cell r="R1930">
            <v>5551</v>
          </cell>
          <cell r="S1930">
            <v>5886</v>
          </cell>
          <cell r="T1930">
            <v>6640</v>
          </cell>
          <cell r="U1930">
            <v>6265</v>
          </cell>
          <cell r="V1930">
            <v>6717</v>
          </cell>
          <cell r="W1930">
            <v>5772</v>
          </cell>
          <cell r="X1930">
            <v>5175</v>
          </cell>
          <cell r="Y1930">
            <v>5060</v>
          </cell>
          <cell r="Z1930">
            <v>3332</v>
          </cell>
          <cell r="AA1930">
            <v>3225</v>
          </cell>
          <cell r="AB1930">
            <v>2464</v>
          </cell>
          <cell r="AC1930">
            <v>2569</v>
          </cell>
          <cell r="AD1930">
            <v>2633</v>
          </cell>
          <cell r="AE1930">
            <v>4266</v>
          </cell>
          <cell r="AF1930">
            <v>4320</v>
          </cell>
          <cell r="AG1930">
            <v>4352</v>
          </cell>
          <cell r="AH1930">
            <v>4471</v>
          </cell>
          <cell r="AI1930">
            <v>4427</v>
          </cell>
          <cell r="AJ1930">
            <v>4456</v>
          </cell>
        </row>
        <row r="1931">
          <cell r="E1931" t="str">
            <v>AR Industrial Motor Gasoline</v>
          </cell>
          <cell r="F1931">
            <v>2186</v>
          </cell>
          <cell r="G1931">
            <v>2381</v>
          </cell>
          <cell r="H1931">
            <v>2305</v>
          </cell>
          <cell r="I1931">
            <v>2050</v>
          </cell>
          <cell r="J1931">
            <v>2216</v>
          </cell>
          <cell r="K1931">
            <v>2335</v>
          </cell>
          <cell r="L1931">
            <v>2363</v>
          </cell>
          <cell r="M1931">
            <v>2457</v>
          </cell>
          <cell r="N1931">
            <v>3370</v>
          </cell>
          <cell r="O1931">
            <v>2855</v>
          </cell>
          <cell r="P1931">
            <v>2860</v>
          </cell>
          <cell r="Q1931">
            <v>4867</v>
          </cell>
          <cell r="R1931">
            <v>5192</v>
          </cell>
          <cell r="S1931">
            <v>5565</v>
          </cell>
          <cell r="T1931">
            <v>6532</v>
          </cell>
          <cell r="U1931">
            <v>6326</v>
          </cell>
          <cell r="V1931">
            <v>6927</v>
          </cell>
          <cell r="W1931">
            <v>4886</v>
          </cell>
          <cell r="X1931">
            <v>3514</v>
          </cell>
          <cell r="Y1931">
            <v>3501</v>
          </cell>
          <cell r="Z1931">
            <v>3828</v>
          </cell>
          <cell r="AA1931">
            <v>3877</v>
          </cell>
          <cell r="AB1931">
            <v>3558</v>
          </cell>
          <cell r="AC1931">
            <v>3837</v>
          </cell>
          <cell r="AD1931">
            <v>3286</v>
          </cell>
          <cell r="AE1931">
            <v>3633</v>
          </cell>
          <cell r="AF1931">
            <v>3842</v>
          </cell>
          <cell r="AG1931">
            <v>3859</v>
          </cell>
          <cell r="AH1931">
            <v>3936</v>
          </cell>
          <cell r="AI1931">
            <v>3824</v>
          </cell>
          <cell r="AJ1931">
            <v>3861</v>
          </cell>
        </row>
        <row r="1932">
          <cell r="E1932" t="str">
            <v>AZ Industrial Motor Gasoline</v>
          </cell>
          <cell r="F1932">
            <v>2643</v>
          </cell>
          <cell r="G1932">
            <v>1935</v>
          </cell>
          <cell r="H1932">
            <v>1817</v>
          </cell>
          <cell r="I1932">
            <v>1764</v>
          </cell>
          <cell r="J1932">
            <v>1910</v>
          </cell>
          <cell r="K1932">
            <v>2133</v>
          </cell>
          <cell r="L1932">
            <v>2280</v>
          </cell>
          <cell r="M1932">
            <v>2380</v>
          </cell>
          <cell r="N1932">
            <v>2460</v>
          </cell>
          <cell r="O1932">
            <v>1737</v>
          </cell>
          <cell r="P1932">
            <v>1761</v>
          </cell>
          <cell r="Q1932">
            <v>4747</v>
          </cell>
          <cell r="R1932">
            <v>4736</v>
          </cell>
          <cell r="S1932">
            <v>5133</v>
          </cell>
          <cell r="T1932">
            <v>6244</v>
          </cell>
          <cell r="U1932">
            <v>5444</v>
          </cell>
          <cell r="V1932">
            <v>6328</v>
          </cell>
          <cell r="W1932">
            <v>5528</v>
          </cell>
          <cell r="X1932">
            <v>5356</v>
          </cell>
          <cell r="Y1932">
            <v>5076</v>
          </cell>
          <cell r="Z1932">
            <v>4416</v>
          </cell>
          <cell r="AA1932">
            <v>4435</v>
          </cell>
          <cell r="AB1932">
            <v>4722</v>
          </cell>
          <cell r="AC1932">
            <v>4925</v>
          </cell>
          <cell r="AD1932">
            <v>4744</v>
          </cell>
          <cell r="AE1932">
            <v>8610</v>
          </cell>
          <cell r="AF1932">
            <v>8789</v>
          </cell>
          <cell r="AG1932">
            <v>8828</v>
          </cell>
          <cell r="AH1932">
            <v>8878</v>
          </cell>
          <cell r="AI1932">
            <v>8907</v>
          </cell>
          <cell r="AJ1932">
            <v>9267</v>
          </cell>
        </row>
        <row r="1933">
          <cell r="E1933" t="str">
            <v>CA Industrial Motor Gasoline</v>
          </cell>
          <cell r="F1933">
            <v>16613</v>
          </cell>
          <cell r="G1933">
            <v>17184</v>
          </cell>
          <cell r="H1933">
            <v>17317</v>
          </cell>
          <cell r="I1933">
            <v>13901</v>
          </cell>
          <cell r="J1933">
            <v>14380</v>
          </cell>
          <cell r="K1933">
            <v>14824</v>
          </cell>
          <cell r="L1933">
            <v>14286</v>
          </cell>
          <cell r="M1933">
            <v>15147</v>
          </cell>
          <cell r="N1933">
            <v>16978</v>
          </cell>
          <cell r="O1933">
            <v>9997</v>
          </cell>
          <cell r="P1933">
            <v>10254</v>
          </cell>
          <cell r="Q1933">
            <v>23578</v>
          </cell>
          <cell r="R1933">
            <v>25064</v>
          </cell>
          <cell r="S1933">
            <v>26030</v>
          </cell>
          <cell r="T1933">
            <v>29723</v>
          </cell>
          <cell r="U1933">
            <v>27908</v>
          </cell>
          <cell r="V1933">
            <v>28534</v>
          </cell>
          <cell r="W1933">
            <v>22869</v>
          </cell>
          <cell r="X1933">
            <v>20066</v>
          </cell>
          <cell r="Y1933">
            <v>19045</v>
          </cell>
          <cell r="Z1933">
            <v>29250</v>
          </cell>
          <cell r="AA1933">
            <v>28745</v>
          </cell>
          <cell r="AB1933">
            <v>30474</v>
          </cell>
          <cell r="AC1933">
            <v>31653</v>
          </cell>
          <cell r="AD1933">
            <v>22965</v>
          </cell>
          <cell r="AE1933">
            <v>30149</v>
          </cell>
          <cell r="AF1933">
            <v>30089</v>
          </cell>
          <cell r="AG1933">
            <v>30449</v>
          </cell>
          <cell r="AH1933">
            <v>30957</v>
          </cell>
          <cell r="AI1933">
            <v>30833</v>
          </cell>
          <cell r="AJ1933">
            <v>30905</v>
          </cell>
        </row>
        <row r="1934">
          <cell r="E1934" t="str">
            <v>CO Industrial Motor Gasoline</v>
          </cell>
          <cell r="F1934">
            <v>2145</v>
          </cell>
          <cell r="G1934">
            <v>2643</v>
          </cell>
          <cell r="H1934">
            <v>2596</v>
          </cell>
          <cell r="I1934">
            <v>2629</v>
          </cell>
          <cell r="J1934">
            <v>3040</v>
          </cell>
          <cell r="K1934">
            <v>2814</v>
          </cell>
          <cell r="L1934">
            <v>3290</v>
          </cell>
          <cell r="M1934">
            <v>3543</v>
          </cell>
          <cell r="N1934">
            <v>3250</v>
          </cell>
          <cell r="O1934">
            <v>2935</v>
          </cell>
          <cell r="P1934">
            <v>2839</v>
          </cell>
          <cell r="Q1934">
            <v>6090</v>
          </cell>
          <cell r="R1934">
            <v>6391</v>
          </cell>
          <cell r="S1934">
            <v>6590</v>
          </cell>
          <cell r="T1934">
            <v>7279</v>
          </cell>
          <cell r="U1934">
            <v>7156</v>
          </cell>
          <cell r="V1934">
            <v>7473</v>
          </cell>
          <cell r="W1934">
            <v>4165</v>
          </cell>
          <cell r="X1934">
            <v>3283</v>
          </cell>
          <cell r="Y1934">
            <v>3261</v>
          </cell>
          <cell r="Z1934">
            <v>4787</v>
          </cell>
          <cell r="AA1934">
            <v>4780</v>
          </cell>
          <cell r="AB1934">
            <v>4388</v>
          </cell>
          <cell r="AC1934">
            <v>4287</v>
          </cell>
          <cell r="AD1934">
            <v>3714</v>
          </cell>
          <cell r="AE1934">
            <v>5924</v>
          </cell>
          <cell r="AF1934">
            <v>6102</v>
          </cell>
          <cell r="AG1934">
            <v>6149</v>
          </cell>
          <cell r="AH1934">
            <v>6340</v>
          </cell>
          <cell r="AI1934">
            <v>6273</v>
          </cell>
          <cell r="AJ1934">
            <v>6333</v>
          </cell>
        </row>
        <row r="1935">
          <cell r="E1935" t="str">
            <v>CT Industrial Motor Gasoline</v>
          </cell>
          <cell r="F1935">
            <v>1379</v>
          </cell>
          <cell r="G1935">
            <v>1253</v>
          </cell>
          <cell r="H1935">
            <v>1263</v>
          </cell>
          <cell r="I1935">
            <v>1024</v>
          </cell>
          <cell r="J1935">
            <v>1015</v>
          </cell>
          <cell r="K1935">
            <v>1014</v>
          </cell>
          <cell r="L1935">
            <v>1163</v>
          </cell>
          <cell r="M1935">
            <v>1208</v>
          </cell>
          <cell r="N1935">
            <v>716</v>
          </cell>
          <cell r="O1935">
            <v>1092</v>
          </cell>
          <cell r="P1935">
            <v>1211</v>
          </cell>
          <cell r="Q1935">
            <v>2787</v>
          </cell>
          <cell r="R1935">
            <v>2593</v>
          </cell>
          <cell r="S1935">
            <v>2909</v>
          </cell>
          <cell r="T1935">
            <v>3293</v>
          </cell>
          <cell r="U1935">
            <v>2911</v>
          </cell>
          <cell r="V1935">
            <v>2995</v>
          </cell>
          <cell r="W1935">
            <v>2286</v>
          </cell>
          <cell r="X1935">
            <v>1883</v>
          </cell>
          <cell r="Y1935">
            <v>1795</v>
          </cell>
          <cell r="Z1935">
            <v>2509</v>
          </cell>
          <cell r="AA1935">
            <v>2438</v>
          </cell>
          <cell r="AB1935">
            <v>2433</v>
          </cell>
          <cell r="AC1935">
            <v>2492</v>
          </cell>
          <cell r="AD1935">
            <v>1889</v>
          </cell>
          <cell r="AE1935">
            <v>1876</v>
          </cell>
          <cell r="AF1935">
            <v>1886</v>
          </cell>
          <cell r="AG1935">
            <v>1912</v>
          </cell>
          <cell r="AH1935">
            <v>1941</v>
          </cell>
          <cell r="AI1935">
            <v>1946</v>
          </cell>
          <cell r="AJ1935">
            <v>1962</v>
          </cell>
        </row>
        <row r="1936">
          <cell r="E1936" t="str">
            <v>DC Industrial Motor Gasoline</v>
          </cell>
          <cell r="F1936">
            <v>471</v>
          </cell>
          <cell r="G1936">
            <v>307</v>
          </cell>
          <cell r="H1936">
            <v>308</v>
          </cell>
          <cell r="I1936">
            <v>189</v>
          </cell>
          <cell r="J1936">
            <v>362</v>
          </cell>
          <cell r="K1936">
            <v>230</v>
          </cell>
          <cell r="L1936">
            <v>202</v>
          </cell>
          <cell r="M1936">
            <v>289</v>
          </cell>
          <cell r="N1936">
            <v>143</v>
          </cell>
          <cell r="O1936">
            <v>95</v>
          </cell>
          <cell r="P1936">
            <v>121</v>
          </cell>
          <cell r="Q1936">
            <v>653</v>
          </cell>
          <cell r="R1936">
            <v>500</v>
          </cell>
          <cell r="S1936">
            <v>836</v>
          </cell>
          <cell r="T1936">
            <v>689</v>
          </cell>
          <cell r="U1936">
            <v>584</v>
          </cell>
          <cell r="V1936">
            <v>581</v>
          </cell>
          <cell r="W1936">
            <v>282</v>
          </cell>
          <cell r="X1936">
            <v>336</v>
          </cell>
          <cell r="Y1936">
            <v>317</v>
          </cell>
          <cell r="Z1936">
            <v>163</v>
          </cell>
          <cell r="AA1936">
            <v>174</v>
          </cell>
          <cell r="AB1936">
            <v>174</v>
          </cell>
          <cell r="AC1936">
            <v>176</v>
          </cell>
          <cell r="AD1936">
            <v>227</v>
          </cell>
          <cell r="AE1936">
            <v>183</v>
          </cell>
          <cell r="AF1936">
            <v>184</v>
          </cell>
          <cell r="AG1936">
            <v>186</v>
          </cell>
          <cell r="AH1936">
            <v>189</v>
          </cell>
          <cell r="AI1936">
            <v>190</v>
          </cell>
          <cell r="AJ1936">
            <v>191</v>
          </cell>
        </row>
        <row r="1937">
          <cell r="E1937" t="str">
            <v>DE Industrial Motor Gasoline</v>
          </cell>
          <cell r="F1937">
            <v>255</v>
          </cell>
          <cell r="G1937">
            <v>267</v>
          </cell>
          <cell r="H1937">
            <v>270</v>
          </cell>
          <cell r="I1937">
            <v>335</v>
          </cell>
          <cell r="J1937">
            <v>333</v>
          </cell>
          <cell r="K1937">
            <v>335</v>
          </cell>
          <cell r="L1937">
            <v>365</v>
          </cell>
          <cell r="M1937">
            <v>363</v>
          </cell>
          <cell r="N1937">
            <v>449</v>
          </cell>
          <cell r="O1937">
            <v>399</v>
          </cell>
          <cell r="P1937">
            <v>302</v>
          </cell>
          <cell r="Q1937">
            <v>515</v>
          </cell>
          <cell r="R1937">
            <v>587</v>
          </cell>
          <cell r="S1937">
            <v>607</v>
          </cell>
          <cell r="T1937">
            <v>684</v>
          </cell>
          <cell r="U1937">
            <v>531</v>
          </cell>
          <cell r="V1937">
            <v>590</v>
          </cell>
          <cell r="W1937">
            <v>994</v>
          </cell>
          <cell r="X1937">
            <v>726</v>
          </cell>
          <cell r="Y1937">
            <v>696</v>
          </cell>
          <cell r="Z1937">
            <v>849</v>
          </cell>
          <cell r="AA1937">
            <v>857</v>
          </cell>
          <cell r="AB1937">
            <v>837</v>
          </cell>
          <cell r="AC1937">
            <v>859</v>
          </cell>
          <cell r="AD1937">
            <v>819</v>
          </cell>
          <cell r="AE1937">
            <v>698</v>
          </cell>
          <cell r="AF1937">
            <v>709</v>
          </cell>
          <cell r="AG1937">
            <v>714</v>
          </cell>
          <cell r="AH1937">
            <v>733</v>
          </cell>
          <cell r="AI1937">
            <v>714</v>
          </cell>
          <cell r="AJ1937">
            <v>719</v>
          </cell>
        </row>
        <row r="1938">
          <cell r="E1938" t="str">
            <v>FL Industrial Motor Gasoline</v>
          </cell>
          <cell r="F1938">
            <v>5614</v>
          </cell>
          <cell r="G1938">
            <v>5070</v>
          </cell>
          <cell r="H1938">
            <v>5143</v>
          </cell>
          <cell r="I1938">
            <v>5057</v>
          </cell>
          <cell r="J1938">
            <v>5373</v>
          </cell>
          <cell r="K1938">
            <v>5972</v>
          </cell>
          <cell r="L1938">
            <v>5938</v>
          </cell>
          <cell r="M1938">
            <v>5956</v>
          </cell>
          <cell r="N1938">
            <v>9883</v>
          </cell>
          <cell r="O1938">
            <v>5561</v>
          </cell>
          <cell r="P1938">
            <v>5926</v>
          </cell>
          <cell r="Q1938">
            <v>12333</v>
          </cell>
          <cell r="R1938">
            <v>12749</v>
          </cell>
          <cell r="S1938">
            <v>13848</v>
          </cell>
          <cell r="T1938">
            <v>14939</v>
          </cell>
          <cell r="U1938">
            <v>14514</v>
          </cell>
          <cell r="V1938">
            <v>14905</v>
          </cell>
          <cell r="W1938">
            <v>18034</v>
          </cell>
          <cell r="X1938">
            <v>17694</v>
          </cell>
          <cell r="Y1938">
            <v>16798</v>
          </cell>
          <cell r="Z1938">
            <v>10384</v>
          </cell>
          <cell r="AA1938">
            <v>9766</v>
          </cell>
          <cell r="AB1938">
            <v>10100</v>
          </cell>
          <cell r="AC1938">
            <v>10304</v>
          </cell>
          <cell r="AD1938">
            <v>10709</v>
          </cell>
          <cell r="AE1938">
            <v>22072</v>
          </cell>
          <cell r="AF1938">
            <v>22396</v>
          </cell>
          <cell r="AG1938">
            <v>22598</v>
          </cell>
          <cell r="AH1938">
            <v>23422</v>
          </cell>
          <cell r="AI1938">
            <v>23506</v>
          </cell>
          <cell r="AJ1938">
            <v>23810</v>
          </cell>
        </row>
        <row r="1939">
          <cell r="E1939" t="str">
            <v>GA Industrial Motor Gasoline</v>
          </cell>
          <cell r="F1939">
            <v>6764</v>
          </cell>
          <cell r="G1939">
            <v>6163</v>
          </cell>
          <cell r="H1939">
            <v>6423</v>
          </cell>
          <cell r="I1939">
            <v>3713</v>
          </cell>
          <cell r="J1939">
            <v>4053</v>
          </cell>
          <cell r="K1939">
            <v>4313</v>
          </cell>
          <cell r="L1939">
            <v>4725</v>
          </cell>
          <cell r="M1939">
            <v>4630</v>
          </cell>
          <cell r="N1939">
            <v>4962</v>
          </cell>
          <cell r="O1939">
            <v>5110</v>
          </cell>
          <cell r="P1939">
            <v>5101</v>
          </cell>
          <cell r="Q1939">
            <v>12158</v>
          </cell>
          <cell r="R1939">
            <v>12412</v>
          </cell>
          <cell r="S1939">
            <v>13281</v>
          </cell>
          <cell r="T1939">
            <v>14605</v>
          </cell>
          <cell r="U1939">
            <v>14072</v>
          </cell>
          <cell r="V1939">
            <v>14559</v>
          </cell>
          <cell r="W1939">
            <v>9172</v>
          </cell>
          <cell r="X1939">
            <v>8445</v>
          </cell>
          <cell r="Y1939">
            <v>8168</v>
          </cell>
          <cell r="Z1939">
            <v>6616</v>
          </cell>
          <cell r="AA1939">
            <v>6585</v>
          </cell>
          <cell r="AB1939">
            <v>6391</v>
          </cell>
          <cell r="AC1939">
            <v>6908</v>
          </cell>
          <cell r="AD1939">
            <v>5956</v>
          </cell>
          <cell r="AE1939">
            <v>6252</v>
          </cell>
          <cell r="AF1939">
            <v>6355</v>
          </cell>
          <cell r="AG1939">
            <v>6437</v>
          </cell>
          <cell r="AH1939">
            <v>6553</v>
          </cell>
          <cell r="AI1939">
            <v>6541</v>
          </cell>
          <cell r="AJ1939">
            <v>6610</v>
          </cell>
        </row>
        <row r="1940">
          <cell r="E1940" t="str">
            <v>HI Industrial Motor Gasoline</v>
          </cell>
          <cell r="F1940">
            <v>701</v>
          </cell>
          <cell r="G1940">
            <v>788</v>
          </cell>
          <cell r="H1940">
            <v>796</v>
          </cell>
          <cell r="I1940">
            <v>1258</v>
          </cell>
          <cell r="J1940">
            <v>1275</v>
          </cell>
          <cell r="K1940">
            <v>1274</v>
          </cell>
          <cell r="L1940">
            <v>1348</v>
          </cell>
          <cell r="M1940">
            <v>1261</v>
          </cell>
          <cell r="N1940">
            <v>1383</v>
          </cell>
          <cell r="O1940">
            <v>808</v>
          </cell>
          <cell r="P1940">
            <v>832</v>
          </cell>
          <cell r="Q1940">
            <v>635</v>
          </cell>
          <cell r="R1940">
            <v>754</v>
          </cell>
          <cell r="S1940">
            <v>714</v>
          </cell>
          <cell r="T1940">
            <v>878</v>
          </cell>
          <cell r="U1940">
            <v>690</v>
          </cell>
          <cell r="V1940">
            <v>733</v>
          </cell>
          <cell r="W1940">
            <v>1253</v>
          </cell>
          <cell r="X1940">
            <v>1262</v>
          </cell>
          <cell r="Y1940">
            <v>1189</v>
          </cell>
          <cell r="Z1940">
            <v>724</v>
          </cell>
          <cell r="AA1940">
            <v>746</v>
          </cell>
          <cell r="AB1940">
            <v>710</v>
          </cell>
          <cell r="AC1940">
            <v>699</v>
          </cell>
          <cell r="AD1940">
            <v>865</v>
          </cell>
          <cell r="AE1940">
            <v>1437</v>
          </cell>
          <cell r="AF1940">
            <v>1420</v>
          </cell>
          <cell r="AG1940">
            <v>1432</v>
          </cell>
          <cell r="AH1940">
            <v>1478</v>
          </cell>
          <cell r="AI1940">
            <v>1481</v>
          </cell>
          <cell r="AJ1940">
            <v>1495</v>
          </cell>
        </row>
        <row r="1941">
          <cell r="E1941" t="str">
            <v>IA Industrial Motor Gasoline</v>
          </cell>
          <cell r="F1941">
            <v>5629</v>
          </cell>
          <cell r="G1941">
            <v>6092</v>
          </cell>
          <cell r="H1941">
            <v>5524</v>
          </cell>
          <cell r="I1941">
            <v>4171</v>
          </cell>
          <cell r="J1941">
            <v>5778</v>
          </cell>
          <cell r="K1941">
            <v>5399</v>
          </cell>
          <cell r="L1941">
            <v>5757</v>
          </cell>
          <cell r="M1941">
            <v>5685</v>
          </cell>
          <cell r="N1941">
            <v>4684</v>
          </cell>
          <cell r="O1941">
            <v>4572</v>
          </cell>
          <cell r="P1941">
            <v>4076</v>
          </cell>
          <cell r="Q1941">
            <v>6247</v>
          </cell>
          <cell r="R1941">
            <v>6577</v>
          </cell>
          <cell r="S1941">
            <v>6876</v>
          </cell>
          <cell r="T1941">
            <v>8824</v>
          </cell>
          <cell r="U1941">
            <v>8141</v>
          </cell>
          <cell r="V1941">
            <v>8827</v>
          </cell>
          <cell r="W1941">
            <v>7167</v>
          </cell>
          <cell r="X1941">
            <v>5627</v>
          </cell>
          <cell r="Y1941">
            <v>5864</v>
          </cell>
          <cell r="Z1941">
            <v>6691</v>
          </cell>
          <cell r="AA1941">
            <v>6860</v>
          </cell>
          <cell r="AB1941">
            <v>4987</v>
          </cell>
          <cell r="AC1941">
            <v>4910</v>
          </cell>
          <cell r="AD1941">
            <v>3905</v>
          </cell>
          <cell r="AE1941">
            <v>3785</v>
          </cell>
          <cell r="AF1941">
            <v>4421</v>
          </cell>
          <cell r="AG1941">
            <v>4446</v>
          </cell>
          <cell r="AH1941">
            <v>4395</v>
          </cell>
          <cell r="AI1941">
            <v>4027</v>
          </cell>
          <cell r="AJ1941">
            <v>4098</v>
          </cell>
        </row>
        <row r="1942">
          <cell r="E1942" t="str">
            <v>ID Industrial Motor Gasoline</v>
          </cell>
          <cell r="F1942">
            <v>1851</v>
          </cell>
          <cell r="G1942">
            <v>2309</v>
          </cell>
          <cell r="H1942">
            <v>2039</v>
          </cell>
          <cell r="I1942">
            <v>1766</v>
          </cell>
          <cell r="J1942">
            <v>1973</v>
          </cell>
          <cell r="K1942">
            <v>2082</v>
          </cell>
          <cell r="L1942">
            <v>2145</v>
          </cell>
          <cell r="M1942">
            <v>2212</v>
          </cell>
          <cell r="N1942">
            <v>2210</v>
          </cell>
          <cell r="O1942">
            <v>1742</v>
          </cell>
          <cell r="P1942">
            <v>1608</v>
          </cell>
          <cell r="Q1942">
            <v>2921</v>
          </cell>
          <cell r="R1942">
            <v>3021</v>
          </cell>
          <cell r="S1942">
            <v>3134</v>
          </cell>
          <cell r="T1942">
            <v>3652</v>
          </cell>
          <cell r="U1942">
            <v>3500</v>
          </cell>
          <cell r="V1942">
            <v>3754</v>
          </cell>
          <cell r="W1942">
            <v>3446</v>
          </cell>
          <cell r="X1942">
            <v>3152</v>
          </cell>
          <cell r="Y1942">
            <v>2795</v>
          </cell>
          <cell r="Z1942">
            <v>2986</v>
          </cell>
          <cell r="AA1942">
            <v>3073</v>
          </cell>
          <cell r="AB1942">
            <v>2724</v>
          </cell>
          <cell r="AC1942">
            <v>2935</v>
          </cell>
          <cell r="AD1942">
            <v>2686</v>
          </cell>
          <cell r="AE1942">
            <v>2749</v>
          </cell>
          <cell r="AF1942">
            <v>2919</v>
          </cell>
          <cell r="AG1942">
            <v>2876</v>
          </cell>
          <cell r="AH1942">
            <v>2935</v>
          </cell>
          <cell r="AI1942">
            <v>2880</v>
          </cell>
          <cell r="AJ1942">
            <v>2923</v>
          </cell>
        </row>
        <row r="1943">
          <cell r="E1943" t="str">
            <v>IL Industrial Motor Gasoline</v>
          </cell>
          <cell r="F1943">
            <v>6641</v>
          </cell>
          <cell r="G1943">
            <v>7052</v>
          </cell>
          <cell r="H1943">
            <v>6369</v>
          </cell>
          <cell r="I1943">
            <v>8295</v>
          </cell>
          <cell r="J1943">
            <v>7898</v>
          </cell>
          <cell r="K1943">
            <v>7805</v>
          </cell>
          <cell r="L1943">
            <v>7627</v>
          </cell>
          <cell r="M1943">
            <v>7750</v>
          </cell>
          <cell r="N1943">
            <v>7007</v>
          </cell>
          <cell r="O1943">
            <v>5656</v>
          </cell>
          <cell r="P1943">
            <v>5368</v>
          </cell>
          <cell r="Q1943">
            <v>10866</v>
          </cell>
          <cell r="R1943">
            <v>11687</v>
          </cell>
          <cell r="S1943">
            <v>12707</v>
          </cell>
          <cell r="T1943">
            <v>14104</v>
          </cell>
          <cell r="U1943">
            <v>13704</v>
          </cell>
          <cell r="V1943">
            <v>14235</v>
          </cell>
          <cell r="W1943">
            <v>9227</v>
          </cell>
          <cell r="X1943">
            <v>7652</v>
          </cell>
          <cell r="Y1943">
            <v>7652</v>
          </cell>
          <cell r="Z1943">
            <v>10686</v>
          </cell>
          <cell r="AA1943">
            <v>10414</v>
          </cell>
          <cell r="AB1943">
            <v>9900</v>
          </cell>
          <cell r="AC1943">
            <v>10186</v>
          </cell>
          <cell r="AD1943">
            <v>8027</v>
          </cell>
          <cell r="AE1943">
            <v>9625</v>
          </cell>
          <cell r="AF1943">
            <v>10367</v>
          </cell>
          <cell r="AG1943">
            <v>10485</v>
          </cell>
          <cell r="AH1943">
            <v>10593</v>
          </cell>
          <cell r="AI1943">
            <v>10358</v>
          </cell>
          <cell r="AJ1943">
            <v>10458</v>
          </cell>
        </row>
        <row r="1944">
          <cell r="E1944" t="str">
            <v>IN Industrial Motor Gasoline</v>
          </cell>
          <cell r="F1944">
            <v>3282</v>
          </cell>
          <cell r="G1944">
            <v>3722</v>
          </cell>
          <cell r="H1944">
            <v>3356</v>
          </cell>
          <cell r="I1944">
            <v>3858</v>
          </cell>
          <cell r="J1944">
            <v>4356</v>
          </cell>
          <cell r="K1944">
            <v>4420</v>
          </cell>
          <cell r="L1944">
            <v>4211</v>
          </cell>
          <cell r="M1944">
            <v>4410</v>
          </cell>
          <cell r="N1944">
            <v>3384</v>
          </cell>
          <cell r="O1944">
            <v>3409</v>
          </cell>
          <cell r="P1944">
            <v>3075</v>
          </cell>
          <cell r="Q1944">
            <v>5649</v>
          </cell>
          <cell r="R1944">
            <v>6029</v>
          </cell>
          <cell r="S1944">
            <v>6137</v>
          </cell>
          <cell r="T1944">
            <v>7950</v>
          </cell>
          <cell r="U1944">
            <v>7236</v>
          </cell>
          <cell r="V1944">
            <v>7597</v>
          </cell>
          <cell r="W1944">
            <v>13025</v>
          </cell>
          <cell r="X1944">
            <v>12071</v>
          </cell>
          <cell r="Y1944">
            <v>11652</v>
          </cell>
          <cell r="Z1944">
            <v>6624</v>
          </cell>
          <cell r="AA1944">
            <v>6603</v>
          </cell>
          <cell r="AB1944">
            <v>6904</v>
          </cell>
          <cell r="AC1944">
            <v>6889</v>
          </cell>
          <cell r="AD1944">
            <v>4641</v>
          </cell>
          <cell r="AE1944">
            <v>5055</v>
          </cell>
          <cell r="AF1944">
            <v>5582</v>
          </cell>
          <cell r="AG1944">
            <v>5436</v>
          </cell>
          <cell r="AH1944">
            <v>5491</v>
          </cell>
          <cell r="AI1944">
            <v>5325</v>
          </cell>
          <cell r="AJ1944">
            <v>5381</v>
          </cell>
        </row>
        <row r="1945">
          <cell r="E1945" t="str">
            <v>KS Industrial Motor Gasoline</v>
          </cell>
          <cell r="F1945">
            <v>4016</v>
          </cell>
          <cell r="G1945">
            <v>3965</v>
          </cell>
          <cell r="H1945">
            <v>3547</v>
          </cell>
          <cell r="I1945">
            <v>4654</v>
          </cell>
          <cell r="J1945">
            <v>4919</v>
          </cell>
          <cell r="K1945">
            <v>5176</v>
          </cell>
          <cell r="L1945">
            <v>5321</v>
          </cell>
          <cell r="M1945">
            <v>5491</v>
          </cell>
          <cell r="N1945">
            <v>6017</v>
          </cell>
          <cell r="O1945">
            <v>3772</v>
          </cell>
          <cell r="P1945">
            <v>3722</v>
          </cell>
          <cell r="Q1945">
            <v>5042</v>
          </cell>
          <cell r="R1945">
            <v>5289</v>
          </cell>
          <cell r="S1945">
            <v>5685</v>
          </cell>
          <cell r="T1945">
            <v>6696</v>
          </cell>
          <cell r="U1945">
            <v>6203</v>
          </cell>
          <cell r="V1945">
            <v>6610</v>
          </cell>
          <cell r="W1945">
            <v>5243</v>
          </cell>
          <cell r="X1945">
            <v>4086</v>
          </cell>
          <cell r="Y1945">
            <v>4143</v>
          </cell>
          <cell r="Z1945">
            <v>3173</v>
          </cell>
          <cell r="AA1945">
            <v>3173</v>
          </cell>
          <cell r="AB1945">
            <v>2813</v>
          </cell>
          <cell r="AC1945">
            <v>2729</v>
          </cell>
          <cell r="AD1945">
            <v>2061</v>
          </cell>
          <cell r="AE1945">
            <v>4441</v>
          </cell>
          <cell r="AF1945">
            <v>5052</v>
          </cell>
          <cell r="AG1945">
            <v>5076</v>
          </cell>
          <cell r="AH1945">
            <v>5087</v>
          </cell>
          <cell r="AI1945">
            <v>4789</v>
          </cell>
          <cell r="AJ1945">
            <v>4818</v>
          </cell>
        </row>
        <row r="1946">
          <cell r="E1946" t="str">
            <v>KY Industrial Motor Gasoline</v>
          </cell>
          <cell r="F1946">
            <v>4454</v>
          </cell>
          <cell r="G1946">
            <v>4542</v>
          </cell>
          <cell r="H1946">
            <v>4524</v>
          </cell>
          <cell r="I1946">
            <v>5440</v>
          </cell>
          <cell r="J1946">
            <v>5806</v>
          </cell>
          <cell r="K1946">
            <v>6076</v>
          </cell>
          <cell r="L1946">
            <v>6250</v>
          </cell>
          <cell r="M1946">
            <v>6404</v>
          </cell>
          <cell r="N1946">
            <v>4270</v>
          </cell>
          <cell r="O1946">
            <v>4267</v>
          </cell>
          <cell r="P1946">
            <v>4303</v>
          </cell>
          <cell r="Q1946">
            <v>8945</v>
          </cell>
          <cell r="R1946">
            <v>9042</v>
          </cell>
          <cell r="S1946">
            <v>9972</v>
          </cell>
          <cell r="T1946">
            <v>11413</v>
          </cell>
          <cell r="U1946">
            <v>11115</v>
          </cell>
          <cell r="V1946">
            <v>11961</v>
          </cell>
          <cell r="W1946">
            <v>5898</v>
          </cell>
          <cell r="X1946">
            <v>4022</v>
          </cell>
          <cell r="Y1946">
            <v>4092</v>
          </cell>
          <cell r="Z1946">
            <v>3835</v>
          </cell>
          <cell r="AA1946">
            <v>3781</v>
          </cell>
          <cell r="AB1946">
            <v>3496</v>
          </cell>
          <cell r="AC1946">
            <v>3526</v>
          </cell>
          <cell r="AD1946">
            <v>2572</v>
          </cell>
          <cell r="AE1946">
            <v>2695</v>
          </cell>
          <cell r="AF1946">
            <v>2848</v>
          </cell>
          <cell r="AG1946">
            <v>2872</v>
          </cell>
          <cell r="AH1946">
            <v>2889</v>
          </cell>
          <cell r="AI1946">
            <v>2818</v>
          </cell>
          <cell r="AJ1946">
            <v>2838</v>
          </cell>
        </row>
        <row r="1947">
          <cell r="E1947" t="str">
            <v>LA Industrial Motor Gasoline</v>
          </cell>
          <cell r="F1947">
            <v>1769</v>
          </cell>
          <cell r="G1947">
            <v>1868</v>
          </cell>
          <cell r="H1947">
            <v>1812</v>
          </cell>
          <cell r="I1947">
            <v>3422</v>
          </cell>
          <cell r="J1947">
            <v>4148</v>
          </cell>
          <cell r="K1947">
            <v>4014</v>
          </cell>
          <cell r="L1947">
            <v>4028</v>
          </cell>
          <cell r="M1947">
            <v>4292</v>
          </cell>
          <cell r="N1947">
            <v>3407</v>
          </cell>
          <cell r="O1947">
            <v>2964</v>
          </cell>
          <cell r="P1947">
            <v>3158</v>
          </cell>
          <cell r="Q1947">
            <v>6046</v>
          </cell>
          <cell r="R1947">
            <v>6344</v>
          </cell>
          <cell r="S1947">
            <v>6788</v>
          </cell>
          <cell r="T1947">
            <v>7779</v>
          </cell>
          <cell r="U1947">
            <v>7323</v>
          </cell>
          <cell r="V1947">
            <v>7250</v>
          </cell>
          <cell r="W1947">
            <v>8451</v>
          </cell>
          <cell r="X1947">
            <v>3447</v>
          </cell>
          <cell r="Y1947">
            <v>3360</v>
          </cell>
          <cell r="Z1947">
            <v>5380</v>
          </cell>
          <cell r="AA1947">
            <v>5765</v>
          </cell>
          <cell r="AB1947">
            <v>5485</v>
          </cell>
          <cell r="AC1947">
            <v>5876</v>
          </cell>
          <cell r="AD1947">
            <v>3940</v>
          </cell>
          <cell r="AE1947">
            <v>3748</v>
          </cell>
          <cell r="AF1947">
            <v>3850</v>
          </cell>
          <cell r="AG1947">
            <v>3888</v>
          </cell>
          <cell r="AH1947">
            <v>3942</v>
          </cell>
          <cell r="AI1947">
            <v>3916</v>
          </cell>
          <cell r="AJ1947">
            <v>3966</v>
          </cell>
        </row>
        <row r="1948">
          <cell r="E1948" t="str">
            <v>MA Industrial Motor Gasoline</v>
          </cell>
          <cell r="F1948">
            <v>2174</v>
          </cell>
          <cell r="G1948">
            <v>1743</v>
          </cell>
          <cell r="H1948">
            <v>1755</v>
          </cell>
          <cell r="I1948">
            <v>912</v>
          </cell>
          <cell r="J1948">
            <v>1812</v>
          </cell>
          <cell r="K1948">
            <v>1941</v>
          </cell>
          <cell r="L1948">
            <v>1940</v>
          </cell>
          <cell r="M1948">
            <v>2038</v>
          </cell>
          <cell r="N1948">
            <v>1645</v>
          </cell>
          <cell r="O1948">
            <v>1545</v>
          </cell>
          <cell r="P1948">
            <v>1594</v>
          </cell>
          <cell r="Q1948">
            <v>4748</v>
          </cell>
          <cell r="R1948">
            <v>4765</v>
          </cell>
          <cell r="S1948">
            <v>4872</v>
          </cell>
          <cell r="T1948">
            <v>5035</v>
          </cell>
          <cell r="U1948">
            <v>4718</v>
          </cell>
          <cell r="V1948">
            <v>4815</v>
          </cell>
          <cell r="W1948">
            <v>4070</v>
          </cell>
          <cell r="X1948">
            <v>3714</v>
          </cell>
          <cell r="Y1948">
            <v>3523</v>
          </cell>
          <cell r="Z1948">
            <v>4578</v>
          </cell>
          <cell r="AA1948">
            <v>4808</v>
          </cell>
          <cell r="AB1948">
            <v>4661</v>
          </cell>
          <cell r="AC1948">
            <v>4835</v>
          </cell>
          <cell r="AD1948">
            <v>3852</v>
          </cell>
          <cell r="AE1948">
            <v>3803</v>
          </cell>
          <cell r="AF1948">
            <v>3838</v>
          </cell>
          <cell r="AG1948">
            <v>3894</v>
          </cell>
          <cell r="AH1948">
            <v>3978</v>
          </cell>
          <cell r="AI1948">
            <v>4021</v>
          </cell>
          <cell r="AJ1948">
            <v>4041</v>
          </cell>
        </row>
        <row r="1949">
          <cell r="E1949" t="str">
            <v>MD Industrial Motor Gasoline</v>
          </cell>
          <cell r="F1949">
            <v>1559</v>
          </cell>
          <cell r="G1949">
            <v>1498</v>
          </cell>
          <cell r="H1949">
            <v>1446</v>
          </cell>
          <cell r="I1949">
            <v>1512</v>
          </cell>
          <cell r="J1949">
            <v>1532</v>
          </cell>
          <cell r="K1949">
            <v>1708</v>
          </cell>
          <cell r="L1949">
            <v>1787</v>
          </cell>
          <cell r="M1949">
            <v>1891</v>
          </cell>
          <cell r="N1949">
            <v>1528</v>
          </cell>
          <cell r="O1949">
            <v>1237</v>
          </cell>
          <cell r="P1949">
            <v>1304</v>
          </cell>
          <cell r="Q1949">
            <v>4095</v>
          </cell>
          <cell r="R1949">
            <v>4472</v>
          </cell>
          <cell r="S1949">
            <v>4917</v>
          </cell>
          <cell r="T1949">
            <v>5386</v>
          </cell>
          <cell r="U1949">
            <v>5069</v>
          </cell>
          <cell r="V1949">
            <v>5361</v>
          </cell>
          <cell r="W1949">
            <v>5349</v>
          </cell>
          <cell r="X1949">
            <v>4521</v>
          </cell>
          <cell r="Y1949">
            <v>4323</v>
          </cell>
          <cell r="Z1949">
            <v>3838</v>
          </cell>
          <cell r="AA1949">
            <v>4012</v>
          </cell>
          <cell r="AB1949">
            <v>3818</v>
          </cell>
          <cell r="AC1949">
            <v>3980</v>
          </cell>
          <cell r="AD1949">
            <v>4176</v>
          </cell>
          <cell r="AE1949">
            <v>2687</v>
          </cell>
          <cell r="AF1949">
            <v>2827</v>
          </cell>
          <cell r="AG1949">
            <v>2865</v>
          </cell>
          <cell r="AH1949">
            <v>2920</v>
          </cell>
          <cell r="AI1949">
            <v>2906</v>
          </cell>
          <cell r="AJ1949">
            <v>2934</v>
          </cell>
        </row>
        <row r="1950">
          <cell r="E1950" t="str">
            <v>ME Industrial Motor Gasoline</v>
          </cell>
          <cell r="F1950">
            <v>494</v>
          </cell>
          <cell r="G1950">
            <v>525</v>
          </cell>
          <cell r="H1950">
            <v>534</v>
          </cell>
          <cell r="I1950">
            <v>761</v>
          </cell>
          <cell r="J1950">
            <v>850</v>
          </cell>
          <cell r="K1950">
            <v>880</v>
          </cell>
          <cell r="L1950">
            <v>917</v>
          </cell>
          <cell r="M1950">
            <v>931</v>
          </cell>
          <cell r="N1950">
            <v>611</v>
          </cell>
          <cell r="O1950">
            <v>445</v>
          </cell>
          <cell r="P1950">
            <v>453</v>
          </cell>
          <cell r="Q1950">
            <v>1122</v>
          </cell>
          <cell r="R1950">
            <v>1185</v>
          </cell>
          <cell r="S1950">
            <v>1251</v>
          </cell>
          <cell r="T1950">
            <v>1462</v>
          </cell>
          <cell r="U1950">
            <v>1378</v>
          </cell>
          <cell r="V1950">
            <v>1513</v>
          </cell>
          <cell r="W1950">
            <v>1341</v>
          </cell>
          <cell r="X1950">
            <v>1014</v>
          </cell>
          <cell r="Y1950">
            <v>980</v>
          </cell>
          <cell r="Z1950">
            <v>1563</v>
          </cell>
          <cell r="AA1950">
            <v>1565</v>
          </cell>
          <cell r="AB1950">
            <v>1446</v>
          </cell>
          <cell r="AC1950">
            <v>1471</v>
          </cell>
          <cell r="AD1950">
            <v>1339</v>
          </cell>
          <cell r="AE1950">
            <v>1133</v>
          </cell>
          <cell r="AF1950">
            <v>1151</v>
          </cell>
          <cell r="AG1950">
            <v>1161</v>
          </cell>
          <cell r="AH1950">
            <v>1174</v>
          </cell>
          <cell r="AI1950">
            <v>1168</v>
          </cell>
          <cell r="AJ1950">
            <v>1175</v>
          </cell>
        </row>
        <row r="1951">
          <cell r="E1951" t="str">
            <v>MI Industrial Motor Gasoline</v>
          </cell>
          <cell r="F1951">
            <v>5129</v>
          </cell>
          <cell r="G1951">
            <v>5835</v>
          </cell>
          <cell r="H1951">
            <v>4988</v>
          </cell>
          <cell r="I1951">
            <v>5394</v>
          </cell>
          <cell r="J1951">
            <v>6082</v>
          </cell>
          <cell r="K1951">
            <v>6817</v>
          </cell>
          <cell r="L1951">
            <v>7388</v>
          </cell>
          <cell r="M1951">
            <v>6618</v>
          </cell>
          <cell r="N1951">
            <v>5706</v>
          </cell>
          <cell r="O1951">
            <v>5292</v>
          </cell>
          <cell r="P1951">
            <v>5515</v>
          </cell>
          <cell r="Q1951">
            <v>9541</v>
          </cell>
          <cell r="R1951">
            <v>10039</v>
          </cell>
          <cell r="S1951">
            <v>10485</v>
          </cell>
          <cell r="T1951">
            <v>11994</v>
          </cell>
          <cell r="U1951">
            <v>11616</v>
          </cell>
          <cell r="V1951">
            <v>12331</v>
          </cell>
          <cell r="W1951">
            <v>11403</v>
          </cell>
          <cell r="X1951">
            <v>9613</v>
          </cell>
          <cell r="Y1951">
            <v>7341</v>
          </cell>
          <cell r="Z1951">
            <v>6354</v>
          </cell>
          <cell r="AA1951">
            <v>6104</v>
          </cell>
          <cell r="AB1951">
            <v>6660</v>
          </cell>
          <cell r="AC1951">
            <v>7006</v>
          </cell>
          <cell r="AD1951">
            <v>4852</v>
          </cell>
          <cell r="AE1951">
            <v>7882</v>
          </cell>
          <cell r="AF1951">
            <v>8077</v>
          </cell>
          <cell r="AG1951">
            <v>8144</v>
          </cell>
          <cell r="AH1951">
            <v>8305</v>
          </cell>
          <cell r="AI1951">
            <v>8215</v>
          </cell>
          <cell r="AJ1951">
            <v>8246</v>
          </cell>
        </row>
        <row r="1952">
          <cell r="E1952" t="str">
            <v>MN Industrial Motor Gasoline</v>
          </cell>
          <cell r="F1952">
            <v>5867</v>
          </cell>
          <cell r="G1952">
            <v>7577</v>
          </cell>
          <cell r="H1952">
            <v>7442</v>
          </cell>
          <cell r="I1952">
            <v>6374</v>
          </cell>
          <cell r="J1952">
            <v>6536</v>
          </cell>
          <cell r="K1952">
            <v>6206</v>
          </cell>
          <cell r="L1952">
            <v>3493</v>
          </cell>
          <cell r="M1952">
            <v>9608</v>
          </cell>
          <cell r="N1952">
            <v>6451</v>
          </cell>
          <cell r="O1952">
            <v>5335</v>
          </cell>
          <cell r="P1952">
            <v>5179</v>
          </cell>
          <cell r="Q1952">
            <v>7617</v>
          </cell>
          <cell r="R1952">
            <v>7342</v>
          </cell>
          <cell r="S1952">
            <v>7068</v>
          </cell>
          <cell r="T1952">
            <v>7272</v>
          </cell>
          <cell r="U1952">
            <v>6745</v>
          </cell>
          <cell r="V1952">
            <v>6368</v>
          </cell>
          <cell r="W1952">
            <v>7591</v>
          </cell>
          <cell r="X1952">
            <v>4717</v>
          </cell>
          <cell r="Y1952">
            <v>5026</v>
          </cell>
          <cell r="Z1952">
            <v>6599</v>
          </cell>
          <cell r="AA1952">
            <v>6687</v>
          </cell>
          <cell r="AB1952">
            <v>6745</v>
          </cell>
          <cell r="AC1952">
            <v>7306</v>
          </cell>
          <cell r="AD1952">
            <v>6139</v>
          </cell>
          <cell r="AE1952">
            <v>6039</v>
          </cell>
          <cell r="AF1952">
            <v>6597</v>
          </cell>
          <cell r="AG1952">
            <v>6647</v>
          </cell>
          <cell r="AH1952">
            <v>6724</v>
          </cell>
          <cell r="AI1952">
            <v>6473</v>
          </cell>
          <cell r="AJ1952">
            <v>6542</v>
          </cell>
        </row>
        <row r="1953">
          <cell r="E1953" t="str">
            <v>MO Industrial Motor Gasoline</v>
          </cell>
          <cell r="F1953">
            <v>3485</v>
          </cell>
          <cell r="G1953">
            <v>3981</v>
          </cell>
          <cell r="H1953">
            <v>3512</v>
          </cell>
          <cell r="I1953">
            <v>7664</v>
          </cell>
          <cell r="J1953">
            <v>8464</v>
          </cell>
          <cell r="K1953">
            <v>8724</v>
          </cell>
          <cell r="L1953">
            <v>8741</v>
          </cell>
          <cell r="M1953">
            <v>8786</v>
          </cell>
          <cell r="N1953">
            <v>5374</v>
          </cell>
          <cell r="O1953">
            <v>4761</v>
          </cell>
          <cell r="P1953">
            <v>4691</v>
          </cell>
          <cell r="Q1953">
            <v>9077</v>
          </cell>
          <cell r="R1953">
            <v>9609</v>
          </cell>
          <cell r="S1953">
            <v>10103</v>
          </cell>
          <cell r="T1953">
            <v>11711</v>
          </cell>
          <cell r="U1953">
            <v>11134</v>
          </cell>
          <cell r="V1953">
            <v>11649</v>
          </cell>
          <cell r="W1953">
            <v>6241</v>
          </cell>
          <cell r="X1953">
            <v>4753</v>
          </cell>
          <cell r="Y1953">
            <v>5272</v>
          </cell>
          <cell r="Z1953">
            <v>5101</v>
          </cell>
          <cell r="AA1953">
            <v>4903</v>
          </cell>
          <cell r="AB1953">
            <v>2807</v>
          </cell>
          <cell r="AC1953">
            <v>2904</v>
          </cell>
          <cell r="AD1953">
            <v>2003</v>
          </cell>
          <cell r="AE1953">
            <v>4782</v>
          </cell>
          <cell r="AF1953">
            <v>4650</v>
          </cell>
          <cell r="AG1953">
            <v>4683</v>
          </cell>
          <cell r="AH1953">
            <v>4787</v>
          </cell>
          <cell r="AI1953">
            <v>4745</v>
          </cell>
          <cell r="AJ1953">
            <v>4817</v>
          </cell>
        </row>
        <row r="1954">
          <cell r="E1954" t="str">
            <v>MS Industrial Motor Gasoline</v>
          </cell>
          <cell r="F1954">
            <v>3034</v>
          </cell>
          <cell r="G1954">
            <v>3516</v>
          </cell>
          <cell r="H1954">
            <v>3349</v>
          </cell>
          <cell r="I1954">
            <v>1999</v>
          </cell>
          <cell r="J1954">
            <v>2179</v>
          </cell>
          <cell r="K1954">
            <v>2224</v>
          </cell>
          <cell r="L1954">
            <v>2241</v>
          </cell>
          <cell r="M1954">
            <v>2537</v>
          </cell>
          <cell r="N1954">
            <v>1925</v>
          </cell>
          <cell r="O1954">
            <v>3816</v>
          </cell>
          <cell r="P1954">
            <v>3940</v>
          </cell>
          <cell r="Q1954">
            <v>5648</v>
          </cell>
          <cell r="R1954">
            <v>6115</v>
          </cell>
          <cell r="S1954">
            <v>6441</v>
          </cell>
          <cell r="T1954">
            <v>7353</v>
          </cell>
          <cell r="U1954">
            <v>7180</v>
          </cell>
          <cell r="V1954">
            <v>7687</v>
          </cell>
          <cell r="W1954">
            <v>3228</v>
          </cell>
          <cell r="X1954">
            <v>2182</v>
          </cell>
          <cell r="Y1954">
            <v>2216</v>
          </cell>
          <cell r="Z1954">
            <v>3141</v>
          </cell>
          <cell r="AA1954">
            <v>3145</v>
          </cell>
          <cell r="AB1954">
            <v>2995</v>
          </cell>
          <cell r="AC1954">
            <v>3269</v>
          </cell>
          <cell r="AD1954">
            <v>2841</v>
          </cell>
          <cell r="AE1954">
            <v>1982</v>
          </cell>
          <cell r="AF1954">
            <v>1904</v>
          </cell>
          <cell r="AG1954">
            <v>1919</v>
          </cell>
          <cell r="AH1954">
            <v>1941</v>
          </cell>
          <cell r="AI1954">
            <v>1899</v>
          </cell>
          <cell r="AJ1954">
            <v>1915</v>
          </cell>
        </row>
        <row r="1955">
          <cell r="E1955" t="str">
            <v>MT Industrial Motor Gasoline</v>
          </cell>
          <cell r="F1955">
            <v>3228</v>
          </cell>
          <cell r="G1955">
            <v>3209</v>
          </cell>
          <cell r="H1955">
            <v>3006</v>
          </cell>
          <cell r="I1955">
            <v>2957</v>
          </cell>
          <cell r="J1955">
            <v>3145</v>
          </cell>
          <cell r="K1955">
            <v>3364</v>
          </cell>
          <cell r="L1955">
            <v>3453</v>
          </cell>
          <cell r="M1955">
            <v>3571</v>
          </cell>
          <cell r="N1955">
            <v>2274</v>
          </cell>
          <cell r="O1955">
            <v>2186</v>
          </cell>
          <cell r="P1955">
            <v>2110</v>
          </cell>
          <cell r="Q1955">
            <v>2839</v>
          </cell>
          <cell r="R1955">
            <v>2942</v>
          </cell>
          <cell r="S1955">
            <v>3042</v>
          </cell>
          <cell r="T1955">
            <v>3538</v>
          </cell>
          <cell r="U1955">
            <v>3314</v>
          </cell>
          <cell r="V1955">
            <v>3597</v>
          </cell>
          <cell r="W1955">
            <v>2576</v>
          </cell>
          <cell r="X1955">
            <v>1831</v>
          </cell>
          <cell r="Y1955">
            <v>1818</v>
          </cell>
          <cell r="Z1955">
            <v>1494</v>
          </cell>
          <cell r="AA1955">
            <v>1500</v>
          </cell>
          <cell r="AB1955">
            <v>1389</v>
          </cell>
          <cell r="AC1955">
            <v>1468</v>
          </cell>
          <cell r="AD1955">
            <v>1439</v>
          </cell>
          <cell r="AE1955">
            <v>1759</v>
          </cell>
          <cell r="AF1955">
            <v>1715</v>
          </cell>
          <cell r="AG1955">
            <v>1725</v>
          </cell>
          <cell r="AH1955">
            <v>1755</v>
          </cell>
          <cell r="AI1955">
            <v>1729</v>
          </cell>
          <cell r="AJ1955">
            <v>1748</v>
          </cell>
        </row>
        <row r="1956">
          <cell r="E1956" t="str">
            <v>NC Industrial Motor Gasoline</v>
          </cell>
          <cell r="F1956">
            <v>4237</v>
          </cell>
          <cell r="G1956">
            <v>4517</v>
          </cell>
          <cell r="H1956">
            <v>4300</v>
          </cell>
          <cell r="I1956">
            <v>4407</v>
          </cell>
          <cell r="J1956">
            <v>4641</v>
          </cell>
          <cell r="K1956">
            <v>5083</v>
          </cell>
          <cell r="L1956">
            <v>5225</v>
          </cell>
          <cell r="M1956">
            <v>5421</v>
          </cell>
          <cell r="N1956">
            <v>4800</v>
          </cell>
          <cell r="O1956">
            <v>3417</v>
          </cell>
          <cell r="P1956">
            <v>4182</v>
          </cell>
          <cell r="Q1956">
            <v>10500</v>
          </cell>
          <cell r="R1956">
            <v>10176</v>
          </cell>
          <cell r="S1956">
            <v>8661</v>
          </cell>
          <cell r="T1956">
            <v>10213</v>
          </cell>
          <cell r="U1956">
            <v>9506</v>
          </cell>
          <cell r="V1956">
            <v>10065</v>
          </cell>
          <cell r="W1956">
            <v>7124</v>
          </cell>
          <cell r="X1956">
            <v>5774</v>
          </cell>
          <cell r="Y1956">
            <v>5673</v>
          </cell>
          <cell r="Z1956">
            <v>8420</v>
          </cell>
          <cell r="AA1956">
            <v>8619</v>
          </cell>
          <cell r="AB1956">
            <v>8022</v>
          </cell>
          <cell r="AC1956">
            <v>8397</v>
          </cell>
          <cell r="AD1956">
            <v>6431</v>
          </cell>
          <cell r="AE1956">
            <v>6569</v>
          </cell>
          <cell r="AF1956">
            <v>6473</v>
          </cell>
          <cell r="AG1956">
            <v>6539</v>
          </cell>
          <cell r="AH1956">
            <v>6691</v>
          </cell>
          <cell r="AI1956">
            <v>6650</v>
          </cell>
          <cell r="AJ1956">
            <v>6707</v>
          </cell>
        </row>
        <row r="1957">
          <cell r="E1957" t="str">
            <v>ND Industrial Motor Gasoline</v>
          </cell>
          <cell r="F1957">
            <v>4198</v>
          </cell>
          <cell r="G1957">
            <v>4118</v>
          </cell>
          <cell r="H1957">
            <v>3780</v>
          </cell>
          <cell r="I1957">
            <v>3517</v>
          </cell>
          <cell r="J1957">
            <v>3642</v>
          </cell>
          <cell r="K1957">
            <v>3564</v>
          </cell>
          <cell r="L1957">
            <v>2995</v>
          </cell>
          <cell r="M1957">
            <v>2343</v>
          </cell>
          <cell r="N1957">
            <v>2924</v>
          </cell>
          <cell r="O1957">
            <v>2259</v>
          </cell>
          <cell r="P1957">
            <v>2302</v>
          </cell>
          <cell r="Q1957">
            <v>2740</v>
          </cell>
          <cell r="R1957">
            <v>2862</v>
          </cell>
          <cell r="S1957">
            <v>2978</v>
          </cell>
          <cell r="T1957">
            <v>3726</v>
          </cell>
          <cell r="U1957">
            <v>3252</v>
          </cell>
          <cell r="V1957">
            <v>3507</v>
          </cell>
          <cell r="W1957">
            <v>2965</v>
          </cell>
          <cell r="X1957">
            <v>2272</v>
          </cell>
          <cell r="Y1957">
            <v>2327</v>
          </cell>
          <cell r="Z1957">
            <v>1501</v>
          </cell>
          <cell r="AA1957">
            <v>1588</v>
          </cell>
          <cell r="AB1957">
            <v>1416</v>
          </cell>
          <cell r="AC1957">
            <v>1503</v>
          </cell>
          <cell r="AD1957">
            <v>1310</v>
          </cell>
          <cell r="AE1957">
            <v>2031</v>
          </cell>
          <cell r="AF1957">
            <v>1860</v>
          </cell>
          <cell r="AG1957">
            <v>1869</v>
          </cell>
          <cell r="AH1957">
            <v>1836</v>
          </cell>
          <cell r="AI1957">
            <v>1790</v>
          </cell>
          <cell r="AJ1957">
            <v>1796</v>
          </cell>
        </row>
        <row r="1958">
          <cell r="E1958" t="str">
            <v>NE Industrial Motor Gasoline</v>
          </cell>
          <cell r="F1958">
            <v>4989</v>
          </cell>
          <cell r="G1958">
            <v>4939</v>
          </cell>
          <cell r="H1958">
            <v>4332</v>
          </cell>
          <cell r="I1958">
            <v>3632</v>
          </cell>
          <cell r="J1958">
            <v>3827</v>
          </cell>
          <cell r="K1958">
            <v>3951</v>
          </cell>
          <cell r="L1958">
            <v>4028</v>
          </cell>
          <cell r="M1958">
            <v>4215</v>
          </cell>
          <cell r="N1958">
            <v>5447</v>
          </cell>
          <cell r="O1958">
            <v>3567</v>
          </cell>
          <cell r="P1958">
            <v>3299</v>
          </cell>
          <cell r="Q1958">
            <v>4955</v>
          </cell>
          <cell r="R1958">
            <v>5361</v>
          </cell>
          <cell r="S1958">
            <v>5643</v>
          </cell>
          <cell r="T1958">
            <v>6778</v>
          </cell>
          <cell r="U1958">
            <v>6492</v>
          </cell>
          <cell r="V1958">
            <v>6632</v>
          </cell>
          <cell r="W1958">
            <v>3698</v>
          </cell>
          <cell r="X1958">
            <v>2348</v>
          </cell>
          <cell r="Y1958">
            <v>2470</v>
          </cell>
          <cell r="Z1958">
            <v>3232</v>
          </cell>
          <cell r="AA1958">
            <v>3286</v>
          </cell>
          <cell r="AB1958">
            <v>2896</v>
          </cell>
          <cell r="AC1958">
            <v>2785</v>
          </cell>
          <cell r="AD1958">
            <v>2388</v>
          </cell>
          <cell r="AE1958">
            <v>3560</v>
          </cell>
          <cell r="AF1958">
            <v>3272</v>
          </cell>
          <cell r="AG1958">
            <v>3289</v>
          </cell>
          <cell r="AH1958">
            <v>3337</v>
          </cell>
          <cell r="AI1958">
            <v>3183</v>
          </cell>
          <cell r="AJ1958">
            <v>3224</v>
          </cell>
        </row>
        <row r="1959">
          <cell r="E1959" t="str">
            <v>NH Industrial Motor Gasoline</v>
          </cell>
          <cell r="F1959">
            <v>289</v>
          </cell>
          <cell r="G1959">
            <v>261</v>
          </cell>
          <cell r="H1959">
            <v>266</v>
          </cell>
          <cell r="I1959">
            <v>473</v>
          </cell>
          <cell r="J1959">
            <v>517</v>
          </cell>
          <cell r="K1959">
            <v>565</v>
          </cell>
          <cell r="L1959">
            <v>562</v>
          </cell>
          <cell r="M1959">
            <v>602</v>
          </cell>
          <cell r="N1959">
            <v>385</v>
          </cell>
          <cell r="O1959">
            <v>787</v>
          </cell>
          <cell r="P1959">
            <v>838</v>
          </cell>
          <cell r="Q1959">
            <v>1551</v>
          </cell>
          <cell r="R1959">
            <v>1653</v>
          </cell>
          <cell r="S1959">
            <v>1789</v>
          </cell>
          <cell r="T1959">
            <v>1891</v>
          </cell>
          <cell r="U1959">
            <v>1813</v>
          </cell>
          <cell r="V1959">
            <v>1869</v>
          </cell>
          <cell r="W1959">
            <v>968</v>
          </cell>
          <cell r="X1959">
            <v>773</v>
          </cell>
          <cell r="Y1959">
            <v>741</v>
          </cell>
          <cell r="Z1959">
            <v>917</v>
          </cell>
          <cell r="AA1959">
            <v>949</v>
          </cell>
          <cell r="AB1959">
            <v>922</v>
          </cell>
          <cell r="AC1959">
            <v>959</v>
          </cell>
          <cell r="AD1959">
            <v>747</v>
          </cell>
          <cell r="AE1959">
            <v>897</v>
          </cell>
          <cell r="AF1959">
            <v>900</v>
          </cell>
          <cell r="AG1959">
            <v>911</v>
          </cell>
          <cell r="AH1959">
            <v>930</v>
          </cell>
          <cell r="AI1959">
            <v>932</v>
          </cell>
          <cell r="AJ1959">
            <v>939</v>
          </cell>
        </row>
        <row r="1960">
          <cell r="E1960" t="str">
            <v>NJ Industrial Motor Gasoline</v>
          </cell>
          <cell r="F1960">
            <v>2414</v>
          </cell>
          <cell r="G1960">
            <v>2208</v>
          </cell>
          <cell r="H1960">
            <v>2223</v>
          </cell>
          <cell r="I1960">
            <v>2826</v>
          </cell>
          <cell r="J1960">
            <v>2900</v>
          </cell>
          <cell r="K1960">
            <v>3133</v>
          </cell>
          <cell r="L1960">
            <v>3110</v>
          </cell>
          <cell r="M1960">
            <v>3269</v>
          </cell>
          <cell r="N1960">
            <v>2647</v>
          </cell>
          <cell r="O1960">
            <v>1261</v>
          </cell>
          <cell r="P1960">
            <v>1350</v>
          </cell>
          <cell r="Q1960">
            <v>5002</v>
          </cell>
          <cell r="R1960">
            <v>5156</v>
          </cell>
          <cell r="S1960">
            <v>5584</v>
          </cell>
          <cell r="T1960">
            <v>6291</v>
          </cell>
          <cell r="U1960">
            <v>5470</v>
          </cell>
          <cell r="V1960">
            <v>5685</v>
          </cell>
          <cell r="W1960">
            <v>6044</v>
          </cell>
          <cell r="X1960">
            <v>4864</v>
          </cell>
          <cell r="Y1960">
            <v>4633</v>
          </cell>
          <cell r="Z1960">
            <v>5736</v>
          </cell>
          <cell r="AA1960">
            <v>5618</v>
          </cell>
          <cell r="AB1960">
            <v>5502</v>
          </cell>
          <cell r="AC1960">
            <v>5577</v>
          </cell>
          <cell r="AD1960">
            <v>4307</v>
          </cell>
          <cell r="AE1960">
            <v>6282</v>
          </cell>
          <cell r="AF1960">
            <v>6329</v>
          </cell>
          <cell r="AG1960">
            <v>6434</v>
          </cell>
          <cell r="AH1960">
            <v>6562</v>
          </cell>
          <cell r="AI1960">
            <v>6603</v>
          </cell>
          <cell r="AJ1960">
            <v>6674</v>
          </cell>
        </row>
        <row r="1961">
          <cell r="E1961" t="str">
            <v>NM Industrial Motor Gasoline</v>
          </cell>
          <cell r="F1961">
            <v>1735</v>
          </cell>
          <cell r="G1961">
            <v>1896</v>
          </cell>
          <cell r="H1961">
            <v>1725</v>
          </cell>
          <cell r="I1961">
            <v>2928</v>
          </cell>
          <cell r="J1961">
            <v>3130</v>
          </cell>
          <cell r="K1961">
            <v>3400</v>
          </cell>
          <cell r="L1961">
            <v>3431</v>
          </cell>
          <cell r="M1961">
            <v>3607</v>
          </cell>
          <cell r="N1961">
            <v>2585</v>
          </cell>
          <cell r="O1961">
            <v>1779</v>
          </cell>
          <cell r="P1961">
            <v>1797</v>
          </cell>
          <cell r="Q1961">
            <v>3277</v>
          </cell>
          <cell r="R1961">
            <v>3232</v>
          </cell>
          <cell r="S1961">
            <v>3461</v>
          </cell>
          <cell r="T1961">
            <v>3925</v>
          </cell>
          <cell r="U1961">
            <v>3783</v>
          </cell>
          <cell r="V1961">
            <v>3890</v>
          </cell>
          <cell r="W1961">
            <v>2631</v>
          </cell>
          <cell r="X1961">
            <v>2394</v>
          </cell>
          <cell r="Y1961">
            <v>2307</v>
          </cell>
          <cell r="Z1961">
            <v>2048</v>
          </cell>
          <cell r="AA1961">
            <v>2053</v>
          </cell>
          <cell r="AB1961">
            <v>1939</v>
          </cell>
          <cell r="AC1961">
            <v>1995</v>
          </cell>
          <cell r="AD1961">
            <v>1732</v>
          </cell>
          <cell r="AE1961">
            <v>2871</v>
          </cell>
          <cell r="AF1961">
            <v>2973</v>
          </cell>
          <cell r="AG1961">
            <v>2986</v>
          </cell>
          <cell r="AH1961">
            <v>3160</v>
          </cell>
          <cell r="AI1961">
            <v>2958</v>
          </cell>
          <cell r="AJ1961">
            <v>2991</v>
          </cell>
        </row>
        <row r="1962">
          <cell r="E1962" t="str">
            <v>NV Industrial Motor Gasoline</v>
          </cell>
          <cell r="F1962">
            <v>894</v>
          </cell>
          <cell r="G1962">
            <v>939</v>
          </cell>
          <cell r="H1962">
            <v>903</v>
          </cell>
          <cell r="I1962">
            <v>731</v>
          </cell>
          <cell r="J1962">
            <v>994</v>
          </cell>
          <cell r="K1962">
            <v>1048</v>
          </cell>
          <cell r="L1962">
            <v>1075</v>
          </cell>
          <cell r="M1962">
            <v>1559</v>
          </cell>
          <cell r="N1962">
            <v>2259</v>
          </cell>
          <cell r="O1962">
            <v>696</v>
          </cell>
          <cell r="P1962">
            <v>579</v>
          </cell>
          <cell r="Q1962">
            <v>2369</v>
          </cell>
          <cell r="R1962">
            <v>2458</v>
          </cell>
          <cell r="S1962">
            <v>2614</v>
          </cell>
          <cell r="T1962">
            <v>2953</v>
          </cell>
          <cell r="U1962">
            <v>3190</v>
          </cell>
          <cell r="V1962">
            <v>3211</v>
          </cell>
          <cell r="W1962">
            <v>1609</v>
          </cell>
          <cell r="X1962">
            <v>2136</v>
          </cell>
          <cell r="Y1962">
            <v>2022</v>
          </cell>
          <cell r="Z1962">
            <v>1603</v>
          </cell>
          <cell r="AA1962">
            <v>1463</v>
          </cell>
          <cell r="AB1962">
            <v>1541</v>
          </cell>
          <cell r="AC1962">
            <v>1522</v>
          </cell>
          <cell r="AD1962">
            <v>1846</v>
          </cell>
          <cell r="AE1962">
            <v>2240</v>
          </cell>
          <cell r="AF1962">
            <v>2249</v>
          </cell>
          <cell r="AG1962">
            <v>2266</v>
          </cell>
          <cell r="AH1962">
            <v>2355</v>
          </cell>
          <cell r="AI1962">
            <v>2377</v>
          </cell>
          <cell r="AJ1962">
            <v>2400</v>
          </cell>
        </row>
        <row r="1963">
          <cell r="E1963" t="str">
            <v>NY Industrial Motor Gasoline</v>
          </cell>
          <cell r="F1963">
            <v>6016</v>
          </cell>
          <cell r="G1963">
            <v>5764</v>
          </cell>
          <cell r="H1963">
            <v>5829</v>
          </cell>
          <cell r="I1963">
            <v>5135</v>
          </cell>
          <cell r="J1963">
            <v>5628</v>
          </cell>
          <cell r="K1963">
            <v>5859</v>
          </cell>
          <cell r="L1963">
            <v>5804</v>
          </cell>
          <cell r="M1963">
            <v>6108</v>
          </cell>
          <cell r="N1963">
            <v>5361</v>
          </cell>
          <cell r="O1963">
            <v>4678</v>
          </cell>
          <cell r="P1963">
            <v>4840</v>
          </cell>
          <cell r="Q1963">
            <v>9057</v>
          </cell>
          <cell r="R1963">
            <v>10313</v>
          </cell>
          <cell r="S1963">
            <v>10977</v>
          </cell>
          <cell r="T1963">
            <v>11146</v>
          </cell>
          <cell r="U1963">
            <v>11493</v>
          </cell>
          <cell r="V1963">
            <v>12581</v>
          </cell>
          <cell r="W1963">
            <v>11125</v>
          </cell>
          <cell r="X1963">
            <v>8633</v>
          </cell>
          <cell r="Y1963">
            <v>8320</v>
          </cell>
          <cell r="Z1963">
            <v>11836</v>
          </cell>
          <cell r="AA1963">
            <v>7917</v>
          </cell>
          <cell r="AB1963">
            <v>11473</v>
          </cell>
          <cell r="AC1963">
            <v>11465</v>
          </cell>
          <cell r="AD1963">
            <v>10591</v>
          </cell>
          <cell r="AE1963">
            <v>13745</v>
          </cell>
          <cell r="AF1963">
            <v>13781</v>
          </cell>
          <cell r="AG1963">
            <v>14010</v>
          </cell>
          <cell r="AH1963">
            <v>14224</v>
          </cell>
          <cell r="AI1963">
            <v>14294</v>
          </cell>
          <cell r="AJ1963">
            <v>14448</v>
          </cell>
        </row>
        <row r="1964">
          <cell r="E1964" t="str">
            <v>OH Industrial Motor Gasoline</v>
          </cell>
          <cell r="F1964">
            <v>5111</v>
          </cell>
          <cell r="G1964">
            <v>5061</v>
          </cell>
          <cell r="H1964">
            <v>14675</v>
          </cell>
          <cell r="I1964">
            <v>5859</v>
          </cell>
          <cell r="J1964">
            <v>5730</v>
          </cell>
          <cell r="K1964">
            <v>6245</v>
          </cell>
          <cell r="L1964">
            <v>6270</v>
          </cell>
          <cell r="M1964">
            <v>6408</v>
          </cell>
          <cell r="N1964">
            <v>6822</v>
          </cell>
          <cell r="O1964">
            <v>5857</v>
          </cell>
          <cell r="P1964">
            <v>3677</v>
          </cell>
          <cell r="Q1964">
            <v>9745</v>
          </cell>
          <cell r="R1964">
            <v>10273</v>
          </cell>
          <cell r="S1964">
            <v>10904</v>
          </cell>
          <cell r="T1964">
            <v>12511</v>
          </cell>
          <cell r="U1964">
            <v>12195</v>
          </cell>
          <cell r="V1964">
            <v>12651</v>
          </cell>
          <cell r="W1964">
            <v>9935</v>
          </cell>
          <cell r="X1964">
            <v>7848</v>
          </cell>
          <cell r="Y1964">
            <v>7588</v>
          </cell>
          <cell r="Z1964">
            <v>7107</v>
          </cell>
          <cell r="AA1964">
            <v>7949</v>
          </cell>
          <cell r="AB1964">
            <v>7949</v>
          </cell>
          <cell r="AC1964">
            <v>8157</v>
          </cell>
          <cell r="AD1964">
            <v>5085</v>
          </cell>
          <cell r="AE1964">
            <v>8023</v>
          </cell>
          <cell r="AF1964">
            <v>7937</v>
          </cell>
          <cell r="AG1964">
            <v>8023</v>
          </cell>
          <cell r="AH1964">
            <v>8191</v>
          </cell>
          <cell r="AI1964">
            <v>8079</v>
          </cell>
          <cell r="AJ1964">
            <v>8130</v>
          </cell>
        </row>
        <row r="1965">
          <cell r="E1965" t="str">
            <v>OK Industrial Motor Gasoline</v>
          </cell>
          <cell r="F1965">
            <v>4381</v>
          </cell>
          <cell r="G1965">
            <v>4700</v>
          </cell>
          <cell r="H1965">
            <v>4364</v>
          </cell>
          <cell r="I1965">
            <v>5353</v>
          </cell>
          <cell r="J1965">
            <v>5783</v>
          </cell>
          <cell r="K1965">
            <v>6157</v>
          </cell>
          <cell r="L1965">
            <v>6337</v>
          </cell>
          <cell r="M1965">
            <v>6494</v>
          </cell>
          <cell r="N1965">
            <v>6865</v>
          </cell>
          <cell r="O1965">
            <v>3570</v>
          </cell>
          <cell r="P1965">
            <v>3489</v>
          </cell>
          <cell r="Q1965">
            <v>6594</v>
          </cell>
          <cell r="R1965">
            <v>7269</v>
          </cell>
          <cell r="S1965">
            <v>7494</v>
          </cell>
          <cell r="T1965">
            <v>8786</v>
          </cell>
          <cell r="U1965">
            <v>8255</v>
          </cell>
          <cell r="V1965">
            <v>8724</v>
          </cell>
          <cell r="W1965">
            <v>6526</v>
          </cell>
          <cell r="X1965">
            <v>5604</v>
          </cell>
          <cell r="Y1965">
            <v>5638</v>
          </cell>
          <cell r="Z1965">
            <v>4222</v>
          </cell>
          <cell r="AA1965">
            <v>4296</v>
          </cell>
          <cell r="AB1965">
            <v>4223</v>
          </cell>
          <cell r="AC1965">
            <v>4664</v>
          </cell>
          <cell r="AD1965">
            <v>3638</v>
          </cell>
          <cell r="AE1965">
            <v>4495</v>
          </cell>
          <cell r="AF1965">
            <v>4840</v>
          </cell>
          <cell r="AG1965">
            <v>4868</v>
          </cell>
          <cell r="AH1965">
            <v>4943</v>
          </cell>
          <cell r="AI1965">
            <v>4631</v>
          </cell>
          <cell r="AJ1965">
            <v>4623</v>
          </cell>
        </row>
        <row r="1966">
          <cell r="E1966" t="str">
            <v>OR Industrial Motor Gasoline</v>
          </cell>
          <cell r="F1966">
            <v>2235</v>
          </cell>
          <cell r="G1966">
            <v>2571</v>
          </cell>
          <cell r="H1966">
            <v>1332</v>
          </cell>
          <cell r="I1966">
            <v>2358</v>
          </cell>
          <cell r="J1966">
            <v>2598</v>
          </cell>
          <cell r="K1966">
            <v>2670</v>
          </cell>
          <cell r="L1966">
            <v>2947</v>
          </cell>
          <cell r="M1966">
            <v>3041</v>
          </cell>
          <cell r="N1966">
            <v>3603</v>
          </cell>
          <cell r="O1966">
            <v>2061</v>
          </cell>
          <cell r="P1966">
            <v>2095</v>
          </cell>
          <cell r="Q1966">
            <v>4195</v>
          </cell>
          <cell r="R1966">
            <v>4475</v>
          </cell>
          <cell r="S1966">
            <v>4569</v>
          </cell>
          <cell r="T1966">
            <v>5407</v>
          </cell>
          <cell r="U1966">
            <v>5028</v>
          </cell>
          <cell r="V1966">
            <v>5279</v>
          </cell>
          <cell r="W1966">
            <v>4464</v>
          </cell>
          <cell r="X1966">
            <v>3604</v>
          </cell>
          <cell r="Y1966">
            <v>3490</v>
          </cell>
          <cell r="Z1966">
            <v>3933</v>
          </cell>
          <cell r="AA1966">
            <v>4939</v>
          </cell>
          <cell r="AB1966">
            <v>4104</v>
          </cell>
          <cell r="AC1966">
            <v>4392</v>
          </cell>
          <cell r="AD1966">
            <v>2566</v>
          </cell>
          <cell r="AE1966">
            <v>3263</v>
          </cell>
          <cell r="AF1966">
            <v>3237</v>
          </cell>
          <cell r="AG1966">
            <v>3272</v>
          </cell>
          <cell r="AH1966">
            <v>3324</v>
          </cell>
          <cell r="AI1966">
            <v>3300</v>
          </cell>
          <cell r="AJ1966">
            <v>3295</v>
          </cell>
        </row>
        <row r="1967">
          <cell r="E1967" t="str">
            <v>PA Industrial Motor Gasoline</v>
          </cell>
          <cell r="F1967">
            <v>6201</v>
          </cell>
          <cell r="G1967">
            <v>6586</v>
          </cell>
          <cell r="H1967">
            <v>7051</v>
          </cell>
          <cell r="I1967">
            <v>5004</v>
          </cell>
          <cell r="J1967">
            <v>4733</v>
          </cell>
          <cell r="K1967">
            <v>4861</v>
          </cell>
          <cell r="L1967">
            <v>4453</v>
          </cell>
          <cell r="M1967">
            <v>4619</v>
          </cell>
          <cell r="N1967">
            <v>4537</v>
          </cell>
          <cell r="O1967">
            <v>3856</v>
          </cell>
          <cell r="P1967">
            <v>3655</v>
          </cell>
          <cell r="Q1967">
            <v>7089</v>
          </cell>
          <cell r="R1967">
            <v>7445</v>
          </cell>
          <cell r="S1967">
            <v>7848</v>
          </cell>
          <cell r="T1967">
            <v>9472</v>
          </cell>
          <cell r="U1967">
            <v>9556</v>
          </cell>
          <cell r="V1967">
            <v>10950</v>
          </cell>
          <cell r="W1967">
            <v>7927</v>
          </cell>
          <cell r="X1967">
            <v>4272</v>
          </cell>
          <cell r="Y1967">
            <v>4277</v>
          </cell>
          <cell r="Z1967">
            <v>10376</v>
          </cell>
          <cell r="AA1967">
            <v>6281</v>
          </cell>
          <cell r="AB1967">
            <v>10494</v>
          </cell>
          <cell r="AC1967">
            <v>10794</v>
          </cell>
          <cell r="AD1967">
            <v>8680</v>
          </cell>
          <cell r="AE1967">
            <v>7553</v>
          </cell>
          <cell r="AF1967">
            <v>7505</v>
          </cell>
          <cell r="AG1967">
            <v>7596</v>
          </cell>
          <cell r="AH1967">
            <v>7698</v>
          </cell>
          <cell r="AI1967">
            <v>7685</v>
          </cell>
          <cell r="AJ1967">
            <v>7748</v>
          </cell>
        </row>
        <row r="1968">
          <cell r="E1968" t="str">
            <v>RI Industrial Motor Gasoline</v>
          </cell>
          <cell r="F1968">
            <v>182</v>
          </cell>
          <cell r="G1968">
            <v>138</v>
          </cell>
          <cell r="H1968">
            <v>138</v>
          </cell>
          <cell r="I1968">
            <v>256</v>
          </cell>
          <cell r="J1968">
            <v>253</v>
          </cell>
          <cell r="K1968">
            <v>282</v>
          </cell>
          <cell r="L1968">
            <v>246</v>
          </cell>
          <cell r="M1968">
            <v>266</v>
          </cell>
          <cell r="N1968">
            <v>232</v>
          </cell>
          <cell r="O1968">
            <v>127</v>
          </cell>
          <cell r="P1968">
            <v>174</v>
          </cell>
          <cell r="Q1968">
            <v>427</v>
          </cell>
          <cell r="R1968">
            <v>541</v>
          </cell>
          <cell r="S1968">
            <v>538</v>
          </cell>
          <cell r="T1968">
            <v>539</v>
          </cell>
          <cell r="U1968">
            <v>545</v>
          </cell>
          <cell r="V1968">
            <v>595</v>
          </cell>
          <cell r="W1968">
            <v>793</v>
          </cell>
          <cell r="X1968">
            <v>796</v>
          </cell>
          <cell r="Y1968">
            <v>753</v>
          </cell>
          <cell r="Z1968">
            <v>571</v>
          </cell>
          <cell r="AA1968">
            <v>559</v>
          </cell>
          <cell r="AB1968">
            <v>585</v>
          </cell>
          <cell r="AC1968">
            <v>612</v>
          </cell>
          <cell r="AD1968">
            <v>596</v>
          </cell>
          <cell r="AE1968">
            <v>601</v>
          </cell>
          <cell r="AF1968">
            <v>606</v>
          </cell>
          <cell r="AG1968">
            <v>614</v>
          </cell>
          <cell r="AH1968">
            <v>625</v>
          </cell>
          <cell r="AI1968">
            <v>628</v>
          </cell>
          <cell r="AJ1968">
            <v>629</v>
          </cell>
        </row>
        <row r="1969">
          <cell r="E1969" t="str">
            <v>SC Industrial Motor Gasoline</v>
          </cell>
          <cell r="F1969">
            <v>3694</v>
          </cell>
          <cell r="G1969">
            <v>3529</v>
          </cell>
          <cell r="H1969">
            <v>3762</v>
          </cell>
          <cell r="I1969">
            <v>2018</v>
          </cell>
          <cell r="J1969">
            <v>2160</v>
          </cell>
          <cell r="K1969">
            <v>2215</v>
          </cell>
          <cell r="L1969">
            <v>2354</v>
          </cell>
          <cell r="M1969">
            <v>2490</v>
          </cell>
          <cell r="N1969">
            <v>2018</v>
          </cell>
          <cell r="O1969">
            <v>1801</v>
          </cell>
          <cell r="P1969">
            <v>1730</v>
          </cell>
          <cell r="Q1969">
            <v>4225</v>
          </cell>
          <cell r="R1969">
            <v>4526</v>
          </cell>
          <cell r="S1969">
            <v>4788</v>
          </cell>
          <cell r="T1969">
            <v>5515</v>
          </cell>
          <cell r="U1969">
            <v>5363</v>
          </cell>
          <cell r="V1969">
            <v>5629</v>
          </cell>
          <cell r="W1969">
            <v>3665</v>
          </cell>
          <cell r="X1969">
            <v>3894</v>
          </cell>
          <cell r="Y1969">
            <v>3787</v>
          </cell>
          <cell r="Z1969">
            <v>2627</v>
          </cell>
          <cell r="AA1969">
            <v>2565</v>
          </cell>
          <cell r="AB1969">
            <v>2653</v>
          </cell>
          <cell r="AC1969">
            <v>2785</v>
          </cell>
          <cell r="AD1969">
            <v>2343</v>
          </cell>
          <cell r="AE1969">
            <v>3010</v>
          </cell>
          <cell r="AF1969">
            <v>3004</v>
          </cell>
          <cell r="AG1969">
            <v>3030</v>
          </cell>
          <cell r="AH1969">
            <v>3124</v>
          </cell>
          <cell r="AI1969">
            <v>3127</v>
          </cell>
          <cell r="AJ1969">
            <v>3158</v>
          </cell>
        </row>
        <row r="1970">
          <cell r="E1970" t="str">
            <v>SD Industrial Motor Gasoline</v>
          </cell>
          <cell r="F1970">
            <v>2568</v>
          </cell>
          <cell r="G1970">
            <v>2542</v>
          </cell>
          <cell r="H1970">
            <v>2251</v>
          </cell>
          <cell r="I1970">
            <v>2814</v>
          </cell>
          <cell r="J1970">
            <v>2415</v>
          </cell>
          <cell r="K1970">
            <v>2777</v>
          </cell>
          <cell r="L1970">
            <v>2814</v>
          </cell>
          <cell r="M1970">
            <v>2945</v>
          </cell>
          <cell r="N1970">
            <v>2007</v>
          </cell>
          <cell r="O1970">
            <v>2321</v>
          </cell>
          <cell r="P1970">
            <v>2175</v>
          </cell>
          <cell r="Q1970">
            <v>3280</v>
          </cell>
          <cell r="R1970">
            <v>3261</v>
          </cell>
          <cell r="S1970">
            <v>3595</v>
          </cell>
          <cell r="T1970">
            <v>4310</v>
          </cell>
          <cell r="U1970">
            <v>4108</v>
          </cell>
          <cell r="V1970">
            <v>4383</v>
          </cell>
          <cell r="W1970">
            <v>2862</v>
          </cell>
          <cell r="X1970">
            <v>2050</v>
          </cell>
          <cell r="Y1970">
            <v>2138</v>
          </cell>
          <cell r="Z1970">
            <v>1638</v>
          </cell>
          <cell r="AA1970">
            <v>1654</v>
          </cell>
          <cell r="AB1970">
            <v>1566</v>
          </cell>
          <cell r="AC1970">
            <v>1601</v>
          </cell>
          <cell r="AD1970">
            <v>1497</v>
          </cell>
          <cell r="AE1970">
            <v>1431</v>
          </cell>
          <cell r="AF1970">
            <v>1302</v>
          </cell>
          <cell r="AG1970">
            <v>1309</v>
          </cell>
          <cell r="AH1970">
            <v>1321</v>
          </cell>
          <cell r="AI1970">
            <v>1262</v>
          </cell>
          <cell r="AJ1970">
            <v>1283</v>
          </cell>
        </row>
        <row r="1971">
          <cell r="E1971" t="str">
            <v>TN Industrial Motor Gasoline</v>
          </cell>
          <cell r="F1971">
            <v>3064</v>
          </cell>
          <cell r="G1971">
            <v>2925</v>
          </cell>
          <cell r="H1971">
            <v>3019</v>
          </cell>
          <cell r="I1971">
            <v>3779</v>
          </cell>
          <cell r="J1971">
            <v>4094</v>
          </cell>
          <cell r="K1971">
            <v>4503</v>
          </cell>
          <cell r="L1971">
            <v>4638</v>
          </cell>
          <cell r="M1971">
            <v>4877</v>
          </cell>
          <cell r="N1971">
            <v>3280</v>
          </cell>
          <cell r="O1971">
            <v>2960</v>
          </cell>
          <cell r="P1971">
            <v>2918</v>
          </cell>
          <cell r="Q1971">
            <v>4964</v>
          </cell>
          <cell r="R1971">
            <v>4690</v>
          </cell>
          <cell r="S1971">
            <v>5092</v>
          </cell>
          <cell r="T1971">
            <v>6322</v>
          </cell>
          <cell r="U1971">
            <v>6292</v>
          </cell>
          <cell r="V1971">
            <v>7101</v>
          </cell>
          <cell r="W1971">
            <v>9594</v>
          </cell>
          <cell r="X1971">
            <v>7642</v>
          </cell>
          <cell r="Y1971">
            <v>7502</v>
          </cell>
          <cell r="Z1971">
            <v>4143</v>
          </cell>
          <cell r="AA1971">
            <v>4314</v>
          </cell>
          <cell r="AB1971">
            <v>4328</v>
          </cell>
          <cell r="AC1971">
            <v>4660</v>
          </cell>
          <cell r="AD1971">
            <v>3093</v>
          </cell>
          <cell r="AE1971">
            <v>5711</v>
          </cell>
          <cell r="AF1971">
            <v>5816</v>
          </cell>
          <cell r="AG1971">
            <v>5855</v>
          </cell>
          <cell r="AH1971">
            <v>6102</v>
          </cell>
          <cell r="AI1971">
            <v>6032</v>
          </cell>
          <cell r="AJ1971">
            <v>6096</v>
          </cell>
        </row>
        <row r="1972">
          <cell r="E1972" t="str">
            <v>TX Industrial Motor Gasoline</v>
          </cell>
          <cell r="F1972">
            <v>22776</v>
          </cell>
          <cell r="G1972">
            <v>24258</v>
          </cell>
          <cell r="H1972">
            <v>22790</v>
          </cell>
          <cell r="I1972">
            <v>17936</v>
          </cell>
          <cell r="J1972">
            <v>19555</v>
          </cell>
          <cell r="K1972">
            <v>20527</v>
          </cell>
          <cell r="L1972">
            <v>21055</v>
          </cell>
          <cell r="M1972">
            <v>22048</v>
          </cell>
          <cell r="N1972">
            <v>25813</v>
          </cell>
          <cell r="O1972">
            <v>13012</v>
          </cell>
          <cell r="P1972">
            <v>13399</v>
          </cell>
          <cell r="Q1972">
            <v>24092</v>
          </cell>
          <cell r="R1972">
            <v>26022</v>
          </cell>
          <cell r="S1972">
            <v>27252</v>
          </cell>
          <cell r="T1972">
            <v>31295</v>
          </cell>
          <cell r="U1972">
            <v>29938</v>
          </cell>
          <cell r="V1972">
            <v>31610</v>
          </cell>
          <cell r="W1972">
            <v>23548</v>
          </cell>
          <cell r="X1972">
            <v>19746</v>
          </cell>
          <cell r="Y1972">
            <v>19351</v>
          </cell>
          <cell r="Z1972">
            <v>29138</v>
          </cell>
          <cell r="AA1972">
            <v>30553</v>
          </cell>
          <cell r="AB1972">
            <v>28346</v>
          </cell>
          <cell r="AC1972">
            <v>30855</v>
          </cell>
          <cell r="AD1972">
            <v>22709</v>
          </cell>
          <cell r="AE1972">
            <v>18622</v>
          </cell>
          <cell r="AF1972">
            <v>18514</v>
          </cell>
          <cell r="AG1972">
            <v>18712</v>
          </cell>
          <cell r="AH1972">
            <v>19135</v>
          </cell>
          <cell r="AI1972">
            <v>19125</v>
          </cell>
          <cell r="AJ1972">
            <v>19340</v>
          </cell>
        </row>
        <row r="1973">
          <cell r="E1973" t="str">
            <v>US Industrial Motor Gasoline</v>
          </cell>
          <cell r="F1973">
            <v>185209</v>
          </cell>
          <cell r="G1973">
            <v>193321</v>
          </cell>
          <cell r="H1973">
            <v>194240</v>
          </cell>
          <cell r="I1973">
            <v>178270</v>
          </cell>
          <cell r="J1973">
            <v>191850</v>
          </cell>
          <cell r="K1973">
            <v>199690</v>
          </cell>
          <cell r="L1973">
            <v>199725</v>
          </cell>
          <cell r="M1973">
            <v>211522</v>
          </cell>
          <cell r="N1973">
            <v>199103</v>
          </cell>
          <cell r="O1973">
            <v>151419</v>
          </cell>
          <cell r="P1973">
            <v>149972</v>
          </cell>
          <cell r="Q1973">
            <v>294512</v>
          </cell>
          <cell r="R1973">
            <v>308429</v>
          </cell>
          <cell r="S1973">
            <v>323426</v>
          </cell>
          <cell r="T1973">
            <v>370934</v>
          </cell>
          <cell r="U1973">
            <v>354379</v>
          </cell>
          <cell r="V1973">
            <v>374010</v>
          </cell>
          <cell r="W1973">
            <v>301610</v>
          </cell>
          <cell r="X1973">
            <v>244650</v>
          </cell>
          <cell r="Y1973">
            <v>237609</v>
          </cell>
          <cell r="Z1973">
            <v>259525</v>
          </cell>
          <cell r="AA1973">
            <v>254283</v>
          </cell>
          <cell r="AB1973">
            <v>252329</v>
          </cell>
          <cell r="AC1973">
            <v>262567</v>
          </cell>
          <cell r="AD1973">
            <v>210007</v>
          </cell>
          <cell r="AE1973">
            <v>257869</v>
          </cell>
          <cell r="AF1973">
            <v>261995</v>
          </cell>
          <cell r="AG1973">
            <v>264308</v>
          </cell>
          <cell r="AH1973">
            <v>269429</v>
          </cell>
          <cell r="AI1973">
            <v>266547</v>
          </cell>
          <cell r="AJ1973">
            <v>269092</v>
          </cell>
        </row>
        <row r="1974">
          <cell r="E1974" t="str">
            <v>UT Industrial Motor Gasoline</v>
          </cell>
          <cell r="F1974">
            <v>1042</v>
          </cell>
          <cell r="G1974">
            <v>1106</v>
          </cell>
          <cell r="H1974">
            <v>1080</v>
          </cell>
          <cell r="I1974">
            <v>1288</v>
          </cell>
          <cell r="J1974">
            <v>1645</v>
          </cell>
          <cell r="K1974">
            <v>1680</v>
          </cell>
          <cell r="L1974">
            <v>1724</v>
          </cell>
          <cell r="M1974">
            <v>1737</v>
          </cell>
          <cell r="N1974">
            <v>1289</v>
          </cell>
          <cell r="O1974">
            <v>1226</v>
          </cell>
          <cell r="P1974">
            <v>1250</v>
          </cell>
          <cell r="Q1974">
            <v>2600</v>
          </cell>
          <cell r="R1974">
            <v>2688</v>
          </cell>
          <cell r="S1974">
            <v>2861</v>
          </cell>
          <cell r="T1974">
            <v>3070</v>
          </cell>
          <cell r="U1974">
            <v>3045</v>
          </cell>
          <cell r="V1974">
            <v>3173</v>
          </cell>
          <cell r="W1974">
            <v>2693</v>
          </cell>
          <cell r="X1974">
            <v>2477</v>
          </cell>
          <cell r="Y1974">
            <v>2385</v>
          </cell>
          <cell r="Z1974">
            <v>1856</v>
          </cell>
          <cell r="AA1974">
            <v>1992</v>
          </cell>
          <cell r="AB1974">
            <v>1976</v>
          </cell>
          <cell r="AC1974">
            <v>1987</v>
          </cell>
          <cell r="AD1974">
            <v>1573</v>
          </cell>
          <cell r="AE1974">
            <v>2071</v>
          </cell>
          <cell r="AF1974">
            <v>2100</v>
          </cell>
          <cell r="AG1974">
            <v>2120</v>
          </cell>
          <cell r="AH1974">
            <v>2186</v>
          </cell>
          <cell r="AI1974">
            <v>2190</v>
          </cell>
          <cell r="AJ1974">
            <v>2219</v>
          </cell>
        </row>
        <row r="1975">
          <cell r="E1975" t="str">
            <v>VA Industrial Motor Gasoline</v>
          </cell>
          <cell r="F1975">
            <v>3705</v>
          </cell>
          <cell r="G1975">
            <v>3526</v>
          </cell>
          <cell r="H1975">
            <v>3510</v>
          </cell>
          <cell r="I1975">
            <v>3311</v>
          </cell>
          <cell r="J1975">
            <v>3472</v>
          </cell>
          <cell r="K1975">
            <v>3738</v>
          </cell>
          <cell r="L1975">
            <v>3990</v>
          </cell>
          <cell r="M1975">
            <v>4167</v>
          </cell>
          <cell r="N1975">
            <v>4130</v>
          </cell>
          <cell r="O1975">
            <v>2972</v>
          </cell>
          <cell r="P1975">
            <v>2961</v>
          </cell>
          <cell r="Q1975">
            <v>7162</v>
          </cell>
          <cell r="R1975">
            <v>7236</v>
          </cell>
          <cell r="S1975">
            <v>7264</v>
          </cell>
          <cell r="T1975">
            <v>9049</v>
          </cell>
          <cell r="U1975">
            <v>8509</v>
          </cell>
          <cell r="V1975">
            <v>8983</v>
          </cell>
          <cell r="W1975">
            <v>5560</v>
          </cell>
          <cell r="X1975">
            <v>4170</v>
          </cell>
          <cell r="Y1975">
            <v>4120</v>
          </cell>
          <cell r="Z1975">
            <v>4921</v>
          </cell>
          <cell r="AA1975">
            <v>4813</v>
          </cell>
          <cell r="AB1975">
            <v>4856</v>
          </cell>
          <cell r="AC1975">
            <v>5065</v>
          </cell>
          <cell r="AD1975">
            <v>4854</v>
          </cell>
          <cell r="AE1975">
            <v>3766</v>
          </cell>
          <cell r="AF1975">
            <v>3738</v>
          </cell>
          <cell r="AG1975">
            <v>3782</v>
          </cell>
          <cell r="AH1975">
            <v>3844</v>
          </cell>
          <cell r="AI1975">
            <v>3830</v>
          </cell>
          <cell r="AJ1975">
            <v>3856</v>
          </cell>
        </row>
        <row r="1976">
          <cell r="E1976" t="str">
            <v>VT Industrial Motor Gasoline</v>
          </cell>
          <cell r="F1976">
            <v>425</v>
          </cell>
          <cell r="G1976">
            <v>463</v>
          </cell>
          <cell r="H1976">
            <v>472</v>
          </cell>
          <cell r="I1976">
            <v>395</v>
          </cell>
          <cell r="J1976">
            <v>438</v>
          </cell>
          <cell r="K1976">
            <v>461</v>
          </cell>
          <cell r="L1976">
            <v>471</v>
          </cell>
          <cell r="M1976">
            <v>496</v>
          </cell>
          <cell r="N1976">
            <v>394</v>
          </cell>
          <cell r="O1976">
            <v>429</v>
          </cell>
          <cell r="P1976">
            <v>409</v>
          </cell>
          <cell r="Q1976">
            <v>883</v>
          </cell>
          <cell r="R1976">
            <v>931</v>
          </cell>
          <cell r="S1976">
            <v>1089</v>
          </cell>
          <cell r="T1976">
            <v>1230</v>
          </cell>
          <cell r="U1976">
            <v>1221</v>
          </cell>
          <cell r="V1976">
            <v>1367</v>
          </cell>
          <cell r="W1976">
            <v>1018</v>
          </cell>
          <cell r="X1976">
            <v>588</v>
          </cell>
          <cell r="Y1976">
            <v>580</v>
          </cell>
          <cell r="Z1976">
            <v>753</v>
          </cell>
          <cell r="AA1976">
            <v>753</v>
          </cell>
          <cell r="AB1976">
            <v>643</v>
          </cell>
          <cell r="AC1976">
            <v>651</v>
          </cell>
          <cell r="AD1976">
            <v>627</v>
          </cell>
          <cell r="AE1976">
            <v>482</v>
          </cell>
          <cell r="AF1976">
            <v>460</v>
          </cell>
          <cell r="AG1976">
            <v>464</v>
          </cell>
          <cell r="AH1976">
            <v>468</v>
          </cell>
          <cell r="AI1976">
            <v>456</v>
          </cell>
          <cell r="AJ1976">
            <v>460</v>
          </cell>
        </row>
        <row r="1977">
          <cell r="E1977" t="str">
            <v>WA Industrial Motor Gasoline</v>
          </cell>
          <cell r="F1977">
            <v>3456</v>
          </cell>
          <cell r="G1977">
            <v>4170</v>
          </cell>
          <cell r="H1977">
            <v>4235</v>
          </cell>
          <cell r="I1977">
            <v>2743</v>
          </cell>
          <cell r="J1977">
            <v>2774</v>
          </cell>
          <cell r="K1977">
            <v>2888</v>
          </cell>
          <cell r="L1977">
            <v>2942</v>
          </cell>
          <cell r="M1977">
            <v>3088</v>
          </cell>
          <cell r="N1977">
            <v>2556</v>
          </cell>
          <cell r="O1977">
            <v>2633</v>
          </cell>
          <cell r="P1977">
            <v>2771</v>
          </cell>
          <cell r="Q1977">
            <v>5408</v>
          </cell>
          <cell r="R1977">
            <v>5733</v>
          </cell>
          <cell r="S1977">
            <v>5793</v>
          </cell>
          <cell r="T1977">
            <v>6611</v>
          </cell>
          <cell r="U1977">
            <v>6549</v>
          </cell>
          <cell r="V1977">
            <v>6796</v>
          </cell>
          <cell r="W1977">
            <v>4981</v>
          </cell>
          <cell r="X1977">
            <v>4473</v>
          </cell>
          <cell r="Y1977">
            <v>4315</v>
          </cell>
          <cell r="Z1977">
            <v>5645</v>
          </cell>
          <cell r="AA1977">
            <v>5725</v>
          </cell>
          <cell r="AB1977">
            <v>5596</v>
          </cell>
          <cell r="AC1977">
            <v>5762</v>
          </cell>
          <cell r="AD1977">
            <v>5156</v>
          </cell>
          <cell r="AE1977">
            <v>5057</v>
          </cell>
          <cell r="AF1977">
            <v>4980</v>
          </cell>
          <cell r="AG1977">
            <v>5039</v>
          </cell>
          <cell r="AH1977">
            <v>5124</v>
          </cell>
          <cell r="AI1977">
            <v>5098</v>
          </cell>
          <cell r="AJ1977">
            <v>5140</v>
          </cell>
        </row>
        <row r="1978">
          <cell r="E1978" t="str">
            <v>WI Industrial Motor Gasoline</v>
          </cell>
          <cell r="F1978">
            <v>4096</v>
          </cell>
          <cell r="G1978">
            <v>5236</v>
          </cell>
          <cell r="H1978">
            <v>4287</v>
          </cell>
          <cell r="I1978">
            <v>4304</v>
          </cell>
          <cell r="J1978">
            <v>4767</v>
          </cell>
          <cell r="K1978">
            <v>4859</v>
          </cell>
          <cell r="L1978">
            <v>4797</v>
          </cell>
          <cell r="M1978">
            <v>4756</v>
          </cell>
          <cell r="N1978">
            <v>3480</v>
          </cell>
          <cell r="O1978">
            <v>3917</v>
          </cell>
          <cell r="P1978">
            <v>4059</v>
          </cell>
          <cell r="Q1978">
            <v>6169</v>
          </cell>
          <cell r="R1978">
            <v>6681</v>
          </cell>
          <cell r="S1978">
            <v>6876</v>
          </cell>
          <cell r="T1978">
            <v>8726</v>
          </cell>
          <cell r="U1978">
            <v>8876</v>
          </cell>
          <cell r="V1978">
            <v>10046</v>
          </cell>
          <cell r="W1978">
            <v>8625</v>
          </cell>
          <cell r="X1978">
            <v>4892</v>
          </cell>
          <cell r="Y1978">
            <v>5040</v>
          </cell>
          <cell r="Z1978">
            <v>5281</v>
          </cell>
          <cell r="AA1978">
            <v>5401</v>
          </cell>
          <cell r="AB1978">
            <v>5117</v>
          </cell>
          <cell r="AC1978">
            <v>5151</v>
          </cell>
          <cell r="AD1978">
            <v>3825</v>
          </cell>
          <cell r="AE1978">
            <v>5205</v>
          </cell>
          <cell r="AF1978">
            <v>5109</v>
          </cell>
          <cell r="AG1978">
            <v>5147</v>
          </cell>
          <cell r="AH1978">
            <v>5268</v>
          </cell>
          <cell r="AI1978">
            <v>5207</v>
          </cell>
          <cell r="AJ1978">
            <v>5239</v>
          </cell>
        </row>
        <row r="1979">
          <cell r="E1979" t="str">
            <v>WV Industrial Motor Gasoline</v>
          </cell>
          <cell r="F1979">
            <v>1310</v>
          </cell>
          <cell r="G1979">
            <v>1361</v>
          </cell>
          <cell r="H1979">
            <v>1311</v>
          </cell>
          <cell r="I1979">
            <v>839</v>
          </cell>
          <cell r="J1979">
            <v>945</v>
          </cell>
          <cell r="K1979">
            <v>1009</v>
          </cell>
          <cell r="L1979">
            <v>983</v>
          </cell>
          <cell r="M1979">
            <v>1037</v>
          </cell>
          <cell r="N1979">
            <v>1175</v>
          </cell>
          <cell r="O1979">
            <v>974</v>
          </cell>
          <cell r="P1979">
            <v>1039</v>
          </cell>
          <cell r="Q1979">
            <v>1646</v>
          </cell>
          <cell r="R1979">
            <v>1673</v>
          </cell>
          <cell r="S1979">
            <v>1813</v>
          </cell>
          <cell r="T1979">
            <v>2145</v>
          </cell>
          <cell r="U1979">
            <v>2039</v>
          </cell>
          <cell r="V1979">
            <v>2200</v>
          </cell>
          <cell r="W1979">
            <v>1795</v>
          </cell>
          <cell r="X1979">
            <v>1445</v>
          </cell>
          <cell r="Y1979">
            <v>1416</v>
          </cell>
          <cell r="Z1979">
            <v>984</v>
          </cell>
          <cell r="AA1979">
            <v>969</v>
          </cell>
          <cell r="AB1979">
            <v>967</v>
          </cell>
          <cell r="AC1979">
            <v>1003</v>
          </cell>
          <cell r="AD1979">
            <v>798</v>
          </cell>
          <cell r="AE1979">
            <v>1427</v>
          </cell>
          <cell r="AF1979">
            <v>1441</v>
          </cell>
          <cell r="AG1979">
            <v>1450</v>
          </cell>
          <cell r="AH1979">
            <v>1434</v>
          </cell>
          <cell r="AI1979">
            <v>1438</v>
          </cell>
          <cell r="AJ1979">
            <v>1427</v>
          </cell>
        </row>
        <row r="1980">
          <cell r="E1980" t="str">
            <v>WY Industrial Motor Gasoline</v>
          </cell>
          <cell r="F1980">
            <v>2191</v>
          </cell>
          <cell r="G1980">
            <v>2636</v>
          </cell>
          <cell r="H1980">
            <v>2573</v>
          </cell>
          <cell r="I1980">
            <v>2017</v>
          </cell>
          <cell r="J1980">
            <v>2170</v>
          </cell>
          <cell r="K1980">
            <v>2306</v>
          </cell>
          <cell r="L1980">
            <v>2352</v>
          </cell>
          <cell r="M1980">
            <v>2448</v>
          </cell>
          <cell r="N1980">
            <v>1297</v>
          </cell>
          <cell r="O1980">
            <v>1230</v>
          </cell>
          <cell r="P1980">
            <v>1250</v>
          </cell>
          <cell r="Q1980">
            <v>2216</v>
          </cell>
          <cell r="R1980">
            <v>2343</v>
          </cell>
          <cell r="S1980">
            <v>2477</v>
          </cell>
          <cell r="T1980">
            <v>2765</v>
          </cell>
          <cell r="U1980">
            <v>2556</v>
          </cell>
          <cell r="V1980">
            <v>2658</v>
          </cell>
          <cell r="W1980">
            <v>1622</v>
          </cell>
          <cell r="X1980">
            <v>1438</v>
          </cell>
          <cell r="Y1980">
            <v>1420</v>
          </cell>
          <cell r="Z1980">
            <v>1116</v>
          </cell>
          <cell r="AA1980">
            <v>1022</v>
          </cell>
          <cell r="AB1980">
            <v>1065</v>
          </cell>
          <cell r="AC1980">
            <v>1076</v>
          </cell>
          <cell r="AD1980">
            <v>686</v>
          </cell>
          <cell r="AE1980">
            <v>1200</v>
          </cell>
          <cell r="AF1980">
            <v>1184</v>
          </cell>
          <cell r="AG1980">
            <v>1187</v>
          </cell>
          <cell r="AH1980">
            <v>1205</v>
          </cell>
          <cell r="AI1980">
            <v>1236</v>
          </cell>
          <cell r="AJ1980">
            <v>1219</v>
          </cell>
        </row>
        <row r="1981">
          <cell r="E1981" t="str">
            <v>AK Industrial Misc. Petro Products</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row>
        <row r="1982">
          <cell r="E1982" t="str">
            <v>AL Industrial Misc. Petro Products</v>
          </cell>
          <cell r="F1982">
            <v>2554</v>
          </cell>
          <cell r="G1982">
            <v>2210</v>
          </cell>
          <cell r="H1982">
            <v>1449</v>
          </cell>
          <cell r="I1982">
            <v>1371</v>
          </cell>
          <cell r="J1982">
            <v>1532</v>
          </cell>
          <cell r="K1982">
            <v>1406</v>
          </cell>
          <cell r="L1982">
            <v>449</v>
          </cell>
          <cell r="M1982">
            <v>492</v>
          </cell>
          <cell r="N1982">
            <v>599</v>
          </cell>
          <cell r="O1982">
            <v>564</v>
          </cell>
          <cell r="P1982">
            <v>601</v>
          </cell>
          <cell r="Q1982">
            <v>3512</v>
          </cell>
          <cell r="R1982">
            <v>3772</v>
          </cell>
          <cell r="S1982">
            <v>3541</v>
          </cell>
          <cell r="T1982">
            <v>3189</v>
          </cell>
          <cell r="U1982">
            <v>3171</v>
          </cell>
          <cell r="V1982">
            <v>5586</v>
          </cell>
          <cell r="W1982">
            <v>5481</v>
          </cell>
          <cell r="X1982">
            <v>5832</v>
          </cell>
          <cell r="Y1982">
            <v>6234</v>
          </cell>
          <cell r="Z1982">
            <v>6517</v>
          </cell>
          <cell r="AA1982">
            <v>6765</v>
          </cell>
          <cell r="AB1982">
            <v>6635</v>
          </cell>
          <cell r="AC1982">
            <v>1452</v>
          </cell>
          <cell r="AD1982">
            <v>1550</v>
          </cell>
          <cell r="AE1982">
            <v>1602</v>
          </cell>
          <cell r="AF1982">
            <v>1623</v>
          </cell>
          <cell r="AG1982">
            <v>2960</v>
          </cell>
          <cell r="AH1982">
            <v>2947</v>
          </cell>
          <cell r="AI1982">
            <v>2682</v>
          </cell>
          <cell r="AJ1982">
            <v>2541</v>
          </cell>
        </row>
        <row r="1983">
          <cell r="E1983" t="str">
            <v>AR Industrial Misc. Petro Products</v>
          </cell>
          <cell r="F1983">
            <v>228</v>
          </cell>
          <cell r="G1983">
            <v>302</v>
          </cell>
          <cell r="H1983">
            <v>198</v>
          </cell>
          <cell r="I1983">
            <v>188</v>
          </cell>
          <cell r="J1983">
            <v>210</v>
          </cell>
          <cell r="K1983">
            <v>192</v>
          </cell>
          <cell r="L1983">
            <v>1605</v>
          </cell>
          <cell r="M1983">
            <v>1762</v>
          </cell>
          <cell r="N1983">
            <v>2145</v>
          </cell>
          <cell r="O1983">
            <v>2017</v>
          </cell>
          <cell r="P1983">
            <v>2149</v>
          </cell>
          <cell r="Q1983">
            <v>1180</v>
          </cell>
          <cell r="R1983">
            <v>1268</v>
          </cell>
          <cell r="S1983">
            <v>1190</v>
          </cell>
          <cell r="T1983">
            <v>1072</v>
          </cell>
          <cell r="U1983">
            <v>1066</v>
          </cell>
          <cell r="V1983">
            <v>1089</v>
          </cell>
          <cell r="W1983">
            <v>1069</v>
          </cell>
          <cell r="X1983">
            <v>1137</v>
          </cell>
          <cell r="Y1983">
            <v>1215</v>
          </cell>
          <cell r="Z1983">
            <v>1271</v>
          </cell>
          <cell r="AA1983">
            <v>1319</v>
          </cell>
          <cell r="AB1983">
            <v>1294</v>
          </cell>
          <cell r="AC1983">
            <v>2042</v>
          </cell>
          <cell r="AD1983">
            <v>2180</v>
          </cell>
          <cell r="AE1983">
            <v>2254</v>
          </cell>
          <cell r="AF1983">
            <v>2283</v>
          </cell>
          <cell r="AG1983">
            <v>1464</v>
          </cell>
          <cell r="AH1983">
            <v>1457</v>
          </cell>
          <cell r="AI1983">
            <v>1326</v>
          </cell>
          <cell r="AJ1983">
            <v>1256</v>
          </cell>
        </row>
        <row r="1984">
          <cell r="E1984" t="str">
            <v>AZ Industrial Misc. Petro Products</v>
          </cell>
          <cell r="F1984">
            <v>0</v>
          </cell>
          <cell r="G1984">
            <v>0</v>
          </cell>
          <cell r="H1984">
            <v>0</v>
          </cell>
          <cell r="I1984">
            <v>0</v>
          </cell>
          <cell r="J1984">
            <v>0</v>
          </cell>
          <cell r="K1984">
            <v>0</v>
          </cell>
          <cell r="L1984">
            <v>447</v>
          </cell>
          <cell r="M1984">
            <v>491</v>
          </cell>
          <cell r="N1984">
            <v>598</v>
          </cell>
          <cell r="O1984">
            <v>562</v>
          </cell>
          <cell r="P1984">
            <v>599</v>
          </cell>
          <cell r="Q1984">
            <v>114</v>
          </cell>
          <cell r="R1984">
            <v>122</v>
          </cell>
          <cell r="S1984">
            <v>115</v>
          </cell>
          <cell r="T1984">
            <v>103</v>
          </cell>
          <cell r="U1984">
            <v>103</v>
          </cell>
          <cell r="V1984">
            <v>204</v>
          </cell>
          <cell r="W1984">
            <v>200</v>
          </cell>
          <cell r="X1984">
            <v>213</v>
          </cell>
          <cell r="Y1984">
            <v>227</v>
          </cell>
          <cell r="Z1984">
            <v>238</v>
          </cell>
          <cell r="AA1984">
            <v>247</v>
          </cell>
          <cell r="AB1984">
            <v>242</v>
          </cell>
          <cell r="AC1984">
            <v>253</v>
          </cell>
          <cell r="AD1984">
            <v>270</v>
          </cell>
          <cell r="AE1984">
            <v>279</v>
          </cell>
          <cell r="AF1984">
            <v>282</v>
          </cell>
          <cell r="AG1984">
            <v>685</v>
          </cell>
          <cell r="AH1984">
            <v>682</v>
          </cell>
          <cell r="AI1984">
            <v>621</v>
          </cell>
          <cell r="AJ1984">
            <v>588</v>
          </cell>
        </row>
        <row r="1985">
          <cell r="E1985" t="str">
            <v>CA Industrial Misc. Petro Products</v>
          </cell>
          <cell r="F1985">
            <v>3288</v>
          </cell>
          <cell r="G1985">
            <v>2273</v>
          </cell>
          <cell r="H1985">
            <v>1490</v>
          </cell>
          <cell r="I1985">
            <v>1411</v>
          </cell>
          <cell r="J1985">
            <v>1577</v>
          </cell>
          <cell r="K1985">
            <v>1447</v>
          </cell>
          <cell r="L1985">
            <v>729</v>
          </cell>
          <cell r="M1985">
            <v>801</v>
          </cell>
          <cell r="N1985">
            <v>975</v>
          </cell>
          <cell r="O1985">
            <v>917</v>
          </cell>
          <cell r="P1985">
            <v>977</v>
          </cell>
          <cell r="Q1985">
            <v>1717</v>
          </cell>
          <cell r="R1985">
            <v>1844</v>
          </cell>
          <cell r="S1985">
            <v>1731</v>
          </cell>
          <cell r="T1985">
            <v>1559</v>
          </cell>
          <cell r="U1985">
            <v>1550</v>
          </cell>
          <cell r="V1985">
            <v>1107</v>
          </cell>
          <cell r="W1985">
            <v>1087</v>
          </cell>
          <cell r="X1985">
            <v>1156</v>
          </cell>
          <cell r="Y1985">
            <v>1236</v>
          </cell>
          <cell r="Z1985">
            <v>1292</v>
          </cell>
          <cell r="AA1985">
            <v>1341</v>
          </cell>
          <cell r="AB1985">
            <v>1315</v>
          </cell>
          <cell r="AC1985">
            <v>2787</v>
          </cell>
          <cell r="AD1985">
            <v>2976</v>
          </cell>
          <cell r="AE1985">
            <v>3076</v>
          </cell>
          <cell r="AF1985">
            <v>3116</v>
          </cell>
          <cell r="AG1985">
            <v>3973</v>
          </cell>
          <cell r="AH1985">
            <v>3956</v>
          </cell>
          <cell r="AI1985">
            <v>3600</v>
          </cell>
          <cell r="AJ1985">
            <v>3411</v>
          </cell>
        </row>
        <row r="1986">
          <cell r="E1986" t="str">
            <v>CO Industrial Misc. Petro Products</v>
          </cell>
          <cell r="F1986">
            <v>0</v>
          </cell>
          <cell r="G1986">
            <v>0</v>
          </cell>
          <cell r="H1986">
            <v>0</v>
          </cell>
          <cell r="I1986">
            <v>0</v>
          </cell>
          <cell r="J1986">
            <v>0</v>
          </cell>
          <cell r="K1986">
            <v>0</v>
          </cell>
          <cell r="L1986">
            <v>48</v>
          </cell>
          <cell r="M1986">
            <v>53</v>
          </cell>
          <cell r="N1986">
            <v>64</v>
          </cell>
          <cell r="O1986">
            <v>60</v>
          </cell>
          <cell r="P1986">
            <v>64</v>
          </cell>
          <cell r="Q1986">
            <v>72</v>
          </cell>
          <cell r="R1986">
            <v>78</v>
          </cell>
          <cell r="S1986">
            <v>73</v>
          </cell>
          <cell r="T1986">
            <v>66</v>
          </cell>
          <cell r="U1986">
            <v>65</v>
          </cell>
          <cell r="V1986">
            <v>85</v>
          </cell>
          <cell r="W1986">
            <v>83</v>
          </cell>
          <cell r="X1986">
            <v>89</v>
          </cell>
          <cell r="Y1986">
            <v>95</v>
          </cell>
          <cell r="Z1986">
            <v>99</v>
          </cell>
          <cell r="AA1986">
            <v>103</v>
          </cell>
          <cell r="AB1986">
            <v>101</v>
          </cell>
          <cell r="AC1986">
            <v>258</v>
          </cell>
          <cell r="AD1986">
            <v>276</v>
          </cell>
          <cell r="AE1986">
            <v>285</v>
          </cell>
          <cell r="AF1986">
            <v>289</v>
          </cell>
          <cell r="AG1986">
            <v>303</v>
          </cell>
          <cell r="AH1986">
            <v>302</v>
          </cell>
          <cell r="AI1986">
            <v>275</v>
          </cell>
          <cell r="AJ1986">
            <v>260</v>
          </cell>
        </row>
        <row r="1987">
          <cell r="E1987" t="str">
            <v>CT Industrial Misc. Petro Products</v>
          </cell>
          <cell r="F1987">
            <v>565</v>
          </cell>
          <cell r="G1987">
            <v>707</v>
          </cell>
          <cell r="H1987">
            <v>464</v>
          </cell>
          <cell r="I1987">
            <v>439</v>
          </cell>
          <cell r="J1987">
            <v>490</v>
          </cell>
          <cell r="K1987">
            <v>450</v>
          </cell>
          <cell r="L1987">
            <v>1103</v>
          </cell>
          <cell r="M1987">
            <v>1211</v>
          </cell>
          <cell r="N1987">
            <v>1475</v>
          </cell>
          <cell r="O1987">
            <v>1387</v>
          </cell>
          <cell r="P1987">
            <v>1477</v>
          </cell>
          <cell r="Q1987">
            <v>230</v>
          </cell>
          <cell r="R1987">
            <v>247</v>
          </cell>
          <cell r="S1987">
            <v>232</v>
          </cell>
          <cell r="T1987">
            <v>209</v>
          </cell>
          <cell r="U1987">
            <v>208</v>
          </cell>
          <cell r="V1987">
            <v>380</v>
          </cell>
          <cell r="W1987">
            <v>373</v>
          </cell>
          <cell r="X1987">
            <v>397</v>
          </cell>
          <cell r="Y1987">
            <v>425</v>
          </cell>
          <cell r="Z1987">
            <v>444</v>
          </cell>
          <cell r="AA1987">
            <v>461</v>
          </cell>
          <cell r="AB1987">
            <v>452</v>
          </cell>
          <cell r="AC1987">
            <v>491</v>
          </cell>
          <cell r="AD1987">
            <v>525</v>
          </cell>
          <cell r="AE1987">
            <v>542</v>
          </cell>
          <cell r="AF1987">
            <v>549</v>
          </cell>
          <cell r="AG1987">
            <v>624</v>
          </cell>
          <cell r="AH1987">
            <v>621</v>
          </cell>
          <cell r="AI1987">
            <v>566</v>
          </cell>
          <cell r="AJ1987">
            <v>536</v>
          </cell>
        </row>
        <row r="1988">
          <cell r="E1988" t="str">
            <v>DC Industrial Misc. Petro Products</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row>
        <row r="1989">
          <cell r="E1989" t="str">
            <v>DE Industrial Misc. Petro Products</v>
          </cell>
          <cell r="F1989">
            <v>439</v>
          </cell>
          <cell r="G1989">
            <v>681</v>
          </cell>
          <cell r="H1989">
            <v>447</v>
          </cell>
          <cell r="I1989">
            <v>423</v>
          </cell>
          <cell r="J1989">
            <v>473</v>
          </cell>
          <cell r="K1989">
            <v>434</v>
          </cell>
          <cell r="L1989">
            <v>456</v>
          </cell>
          <cell r="M1989">
            <v>501</v>
          </cell>
          <cell r="N1989">
            <v>609</v>
          </cell>
          <cell r="O1989">
            <v>573</v>
          </cell>
          <cell r="P1989">
            <v>611</v>
          </cell>
          <cell r="Q1989">
            <v>571</v>
          </cell>
          <cell r="R1989">
            <v>613</v>
          </cell>
          <cell r="S1989">
            <v>576</v>
          </cell>
          <cell r="T1989">
            <v>518</v>
          </cell>
          <cell r="U1989">
            <v>516</v>
          </cell>
          <cell r="V1989">
            <v>195</v>
          </cell>
          <cell r="W1989">
            <v>192</v>
          </cell>
          <cell r="X1989">
            <v>204</v>
          </cell>
          <cell r="Y1989">
            <v>218</v>
          </cell>
          <cell r="Z1989">
            <v>228</v>
          </cell>
          <cell r="AA1989">
            <v>237</v>
          </cell>
          <cell r="AB1989">
            <v>232</v>
          </cell>
          <cell r="AC1989">
            <v>127</v>
          </cell>
          <cell r="AD1989">
            <v>135</v>
          </cell>
          <cell r="AE1989">
            <v>140</v>
          </cell>
          <cell r="AF1989">
            <v>142</v>
          </cell>
          <cell r="AG1989">
            <v>0</v>
          </cell>
          <cell r="AH1989">
            <v>0</v>
          </cell>
          <cell r="AI1989">
            <v>0</v>
          </cell>
          <cell r="AJ1989">
            <v>0</v>
          </cell>
        </row>
        <row r="1990">
          <cell r="E1990" t="str">
            <v>FL Industrial Misc. Petro Products</v>
          </cell>
          <cell r="F1990">
            <v>1606</v>
          </cell>
          <cell r="G1990">
            <v>1349</v>
          </cell>
          <cell r="H1990">
            <v>885</v>
          </cell>
          <cell r="I1990">
            <v>837</v>
          </cell>
          <cell r="J1990">
            <v>936</v>
          </cell>
          <cell r="K1990">
            <v>859</v>
          </cell>
          <cell r="L1990">
            <v>2729</v>
          </cell>
          <cell r="M1990">
            <v>2996</v>
          </cell>
          <cell r="N1990">
            <v>3647</v>
          </cell>
          <cell r="O1990">
            <v>3430</v>
          </cell>
          <cell r="P1990">
            <v>3653</v>
          </cell>
          <cell r="Q1990">
            <v>944</v>
          </cell>
          <cell r="R1990">
            <v>1014</v>
          </cell>
          <cell r="S1990">
            <v>952</v>
          </cell>
          <cell r="T1990">
            <v>857</v>
          </cell>
          <cell r="U1990">
            <v>852</v>
          </cell>
          <cell r="V1990">
            <v>348</v>
          </cell>
          <cell r="W1990">
            <v>341</v>
          </cell>
          <cell r="X1990">
            <v>363</v>
          </cell>
          <cell r="Y1990">
            <v>388</v>
          </cell>
          <cell r="Z1990">
            <v>406</v>
          </cell>
          <cell r="AA1990">
            <v>421</v>
          </cell>
          <cell r="AB1990">
            <v>413</v>
          </cell>
          <cell r="AC1990">
            <v>939</v>
          </cell>
          <cell r="AD1990">
            <v>1003</v>
          </cell>
          <cell r="AE1990">
            <v>1037</v>
          </cell>
          <cell r="AF1990">
            <v>1050</v>
          </cell>
          <cell r="AG1990">
            <v>1285</v>
          </cell>
          <cell r="AH1990">
            <v>1279</v>
          </cell>
          <cell r="AI1990">
            <v>1164</v>
          </cell>
          <cell r="AJ1990">
            <v>1103</v>
          </cell>
        </row>
        <row r="1991">
          <cell r="E1991" t="str">
            <v>GA Industrial Misc. Petro Products</v>
          </cell>
          <cell r="F1991">
            <v>1872</v>
          </cell>
          <cell r="G1991">
            <v>3528</v>
          </cell>
          <cell r="H1991">
            <v>2313</v>
          </cell>
          <cell r="I1991">
            <v>2190</v>
          </cell>
          <cell r="J1991">
            <v>2447</v>
          </cell>
          <cell r="K1991">
            <v>2245</v>
          </cell>
          <cell r="L1991">
            <v>1438</v>
          </cell>
          <cell r="M1991">
            <v>1579</v>
          </cell>
          <cell r="N1991">
            <v>1922</v>
          </cell>
          <cell r="O1991">
            <v>1808</v>
          </cell>
          <cell r="P1991">
            <v>1926</v>
          </cell>
          <cell r="Q1991">
            <v>1868</v>
          </cell>
          <cell r="R1991">
            <v>2006</v>
          </cell>
          <cell r="S1991">
            <v>1883</v>
          </cell>
          <cell r="T1991">
            <v>1696</v>
          </cell>
          <cell r="U1991">
            <v>1686</v>
          </cell>
          <cell r="V1991">
            <v>1347</v>
          </cell>
          <cell r="W1991">
            <v>1321</v>
          </cell>
          <cell r="X1991">
            <v>1406</v>
          </cell>
          <cell r="Y1991">
            <v>1503</v>
          </cell>
          <cell r="Z1991">
            <v>1571</v>
          </cell>
          <cell r="AA1991">
            <v>1631</v>
          </cell>
          <cell r="AB1991">
            <v>1599</v>
          </cell>
          <cell r="AC1991">
            <v>1706</v>
          </cell>
          <cell r="AD1991">
            <v>1821</v>
          </cell>
          <cell r="AE1991">
            <v>1883</v>
          </cell>
          <cell r="AF1991">
            <v>1907</v>
          </cell>
          <cell r="AG1991">
            <v>2332</v>
          </cell>
          <cell r="AH1991">
            <v>2322</v>
          </cell>
          <cell r="AI1991">
            <v>2113</v>
          </cell>
          <cell r="AJ1991">
            <v>2002</v>
          </cell>
        </row>
        <row r="1992">
          <cell r="E1992" t="str">
            <v>HI Industrial Misc. Petro Products</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row>
        <row r="1993">
          <cell r="E1993" t="str">
            <v>IA Industrial Misc. Petro Products</v>
          </cell>
          <cell r="F1993">
            <v>355</v>
          </cell>
          <cell r="G1993">
            <v>151</v>
          </cell>
          <cell r="H1993">
            <v>99</v>
          </cell>
          <cell r="I1993">
            <v>93</v>
          </cell>
          <cell r="J1993">
            <v>104</v>
          </cell>
          <cell r="K1993">
            <v>96</v>
          </cell>
          <cell r="L1993">
            <v>552</v>
          </cell>
          <cell r="M1993">
            <v>606</v>
          </cell>
          <cell r="N1993">
            <v>737</v>
          </cell>
          <cell r="O1993">
            <v>693</v>
          </cell>
          <cell r="P1993">
            <v>739</v>
          </cell>
          <cell r="Q1993">
            <v>448</v>
          </cell>
          <cell r="R1993">
            <v>481</v>
          </cell>
          <cell r="S1993">
            <v>452</v>
          </cell>
          <cell r="T1993">
            <v>407</v>
          </cell>
          <cell r="U1993">
            <v>404</v>
          </cell>
          <cell r="V1993">
            <v>527</v>
          </cell>
          <cell r="W1993">
            <v>517</v>
          </cell>
          <cell r="X1993">
            <v>550</v>
          </cell>
          <cell r="Y1993">
            <v>588</v>
          </cell>
          <cell r="Z1993">
            <v>615</v>
          </cell>
          <cell r="AA1993">
            <v>638</v>
          </cell>
          <cell r="AB1993">
            <v>626</v>
          </cell>
          <cell r="AC1993">
            <v>1333</v>
          </cell>
          <cell r="AD1993">
            <v>1423</v>
          </cell>
          <cell r="AE1993">
            <v>1471</v>
          </cell>
          <cell r="AF1993">
            <v>1490</v>
          </cell>
          <cell r="AG1993">
            <v>2378</v>
          </cell>
          <cell r="AH1993">
            <v>2367</v>
          </cell>
          <cell r="AI1993">
            <v>2154</v>
          </cell>
          <cell r="AJ1993">
            <v>2041</v>
          </cell>
        </row>
        <row r="1994">
          <cell r="E1994" t="str">
            <v>ID Industrial Misc. Petro Products</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125</v>
          </cell>
          <cell r="AD1994">
            <v>134</v>
          </cell>
          <cell r="AE1994">
            <v>138</v>
          </cell>
          <cell r="AF1994">
            <v>140</v>
          </cell>
          <cell r="AG1994">
            <v>75</v>
          </cell>
          <cell r="AH1994">
            <v>74</v>
          </cell>
          <cell r="AI1994">
            <v>68</v>
          </cell>
          <cell r="AJ1994">
            <v>64</v>
          </cell>
        </row>
        <row r="1995">
          <cell r="E1995" t="str">
            <v>IL Industrial Misc. Petro Products</v>
          </cell>
          <cell r="F1995">
            <v>5389</v>
          </cell>
          <cell r="G1995">
            <v>7780</v>
          </cell>
          <cell r="H1995">
            <v>5101</v>
          </cell>
          <cell r="I1995">
            <v>4828</v>
          </cell>
          <cell r="J1995">
            <v>5396</v>
          </cell>
          <cell r="K1995">
            <v>4951</v>
          </cell>
          <cell r="L1995">
            <v>2488</v>
          </cell>
          <cell r="M1995">
            <v>2731</v>
          </cell>
          <cell r="N1995">
            <v>3325</v>
          </cell>
          <cell r="O1995">
            <v>3127</v>
          </cell>
          <cell r="P1995">
            <v>3331</v>
          </cell>
          <cell r="Q1995">
            <v>3477</v>
          </cell>
          <cell r="R1995">
            <v>3735</v>
          </cell>
          <cell r="S1995">
            <v>3506</v>
          </cell>
          <cell r="T1995">
            <v>3157</v>
          </cell>
          <cell r="U1995">
            <v>3139</v>
          </cell>
          <cell r="V1995">
            <v>2741</v>
          </cell>
          <cell r="W1995">
            <v>2689</v>
          </cell>
          <cell r="X1995">
            <v>2862</v>
          </cell>
          <cell r="Y1995">
            <v>3059</v>
          </cell>
          <cell r="Z1995">
            <v>3197</v>
          </cell>
          <cell r="AA1995">
            <v>3319</v>
          </cell>
          <cell r="AB1995">
            <v>3255</v>
          </cell>
          <cell r="AC1995">
            <v>3157</v>
          </cell>
          <cell r="AD1995">
            <v>3370</v>
          </cell>
          <cell r="AE1995">
            <v>3484</v>
          </cell>
          <cell r="AF1995">
            <v>3529</v>
          </cell>
          <cell r="AG1995">
            <v>3466</v>
          </cell>
          <cell r="AH1995">
            <v>3452</v>
          </cell>
          <cell r="AI1995">
            <v>3141</v>
          </cell>
          <cell r="AJ1995">
            <v>2976</v>
          </cell>
        </row>
        <row r="1996">
          <cell r="E1996" t="str">
            <v>IN Industrial Misc. Petro Products</v>
          </cell>
          <cell r="F1996">
            <v>1592</v>
          </cell>
          <cell r="G1996">
            <v>2723</v>
          </cell>
          <cell r="H1996">
            <v>1785</v>
          </cell>
          <cell r="I1996">
            <v>1690</v>
          </cell>
          <cell r="J1996">
            <v>1889</v>
          </cell>
          <cell r="K1996">
            <v>1733</v>
          </cell>
          <cell r="L1996">
            <v>2039</v>
          </cell>
          <cell r="M1996">
            <v>2239</v>
          </cell>
          <cell r="N1996">
            <v>2725</v>
          </cell>
          <cell r="O1996">
            <v>2563</v>
          </cell>
          <cell r="P1996">
            <v>2730</v>
          </cell>
          <cell r="Q1996">
            <v>1038</v>
          </cell>
          <cell r="R1996">
            <v>1115</v>
          </cell>
          <cell r="S1996">
            <v>1046</v>
          </cell>
          <cell r="T1996">
            <v>942</v>
          </cell>
          <cell r="U1996">
            <v>937</v>
          </cell>
          <cell r="V1996">
            <v>833</v>
          </cell>
          <cell r="W1996">
            <v>817</v>
          </cell>
          <cell r="X1996">
            <v>870</v>
          </cell>
          <cell r="Y1996">
            <v>929</v>
          </cell>
          <cell r="Z1996">
            <v>972</v>
          </cell>
          <cell r="AA1996">
            <v>1009</v>
          </cell>
          <cell r="AB1996">
            <v>989</v>
          </cell>
          <cell r="AC1996">
            <v>712</v>
          </cell>
          <cell r="AD1996">
            <v>760</v>
          </cell>
          <cell r="AE1996">
            <v>786</v>
          </cell>
          <cell r="AF1996">
            <v>796</v>
          </cell>
          <cell r="AG1996">
            <v>1244</v>
          </cell>
          <cell r="AH1996">
            <v>1239</v>
          </cell>
          <cell r="AI1996">
            <v>1127</v>
          </cell>
          <cell r="AJ1996">
            <v>1068</v>
          </cell>
        </row>
        <row r="1997">
          <cell r="E1997" t="str">
            <v>KS Industrial Misc. Petro Products</v>
          </cell>
          <cell r="F1997">
            <v>393</v>
          </cell>
          <cell r="G1997">
            <v>420</v>
          </cell>
          <cell r="H1997">
            <v>276</v>
          </cell>
          <cell r="I1997">
            <v>261</v>
          </cell>
          <cell r="J1997">
            <v>292</v>
          </cell>
          <cell r="K1997">
            <v>268</v>
          </cell>
          <cell r="L1997">
            <v>723</v>
          </cell>
          <cell r="M1997">
            <v>794</v>
          </cell>
          <cell r="N1997">
            <v>967</v>
          </cell>
          <cell r="O1997">
            <v>909</v>
          </cell>
          <cell r="P1997">
            <v>969</v>
          </cell>
          <cell r="Q1997">
            <v>745</v>
          </cell>
          <cell r="R1997">
            <v>801</v>
          </cell>
          <cell r="S1997">
            <v>752</v>
          </cell>
          <cell r="T1997">
            <v>677</v>
          </cell>
          <cell r="U1997">
            <v>673</v>
          </cell>
          <cell r="V1997">
            <v>256</v>
          </cell>
          <cell r="W1997">
            <v>251</v>
          </cell>
          <cell r="X1997">
            <v>267</v>
          </cell>
          <cell r="Y1997">
            <v>285</v>
          </cell>
          <cell r="Z1997">
            <v>298</v>
          </cell>
          <cell r="AA1997">
            <v>310</v>
          </cell>
          <cell r="AB1997">
            <v>304</v>
          </cell>
          <cell r="AC1997">
            <v>575</v>
          </cell>
          <cell r="AD1997">
            <v>614</v>
          </cell>
          <cell r="AE1997">
            <v>635</v>
          </cell>
          <cell r="AF1997">
            <v>643</v>
          </cell>
          <cell r="AG1997">
            <v>752</v>
          </cell>
          <cell r="AH1997">
            <v>749</v>
          </cell>
          <cell r="AI1997">
            <v>681</v>
          </cell>
          <cell r="AJ1997">
            <v>646</v>
          </cell>
        </row>
        <row r="1998">
          <cell r="E1998" t="str">
            <v>KY Industrial Misc. Petro Products</v>
          </cell>
          <cell r="F1998">
            <v>542</v>
          </cell>
          <cell r="G1998">
            <v>5597</v>
          </cell>
          <cell r="H1998">
            <v>3669</v>
          </cell>
          <cell r="I1998">
            <v>3473</v>
          </cell>
          <cell r="J1998">
            <v>3882</v>
          </cell>
          <cell r="K1998">
            <v>3562</v>
          </cell>
          <cell r="L1998">
            <v>5701</v>
          </cell>
          <cell r="M1998">
            <v>6259</v>
          </cell>
          <cell r="N1998">
            <v>7619</v>
          </cell>
          <cell r="O1998">
            <v>7166</v>
          </cell>
          <cell r="P1998">
            <v>7633</v>
          </cell>
          <cell r="Q1998">
            <v>2276</v>
          </cell>
          <cell r="R1998">
            <v>2445</v>
          </cell>
          <cell r="S1998">
            <v>2295</v>
          </cell>
          <cell r="T1998">
            <v>2067</v>
          </cell>
          <cell r="U1998">
            <v>2055</v>
          </cell>
          <cell r="V1998">
            <v>2630</v>
          </cell>
          <cell r="W1998">
            <v>2581</v>
          </cell>
          <cell r="X1998">
            <v>2746</v>
          </cell>
          <cell r="Y1998">
            <v>2935</v>
          </cell>
          <cell r="Z1998">
            <v>3068</v>
          </cell>
          <cell r="AA1998">
            <v>3185</v>
          </cell>
          <cell r="AB1998">
            <v>3124</v>
          </cell>
          <cell r="AC1998">
            <v>2661</v>
          </cell>
          <cell r="AD1998">
            <v>2841</v>
          </cell>
          <cell r="AE1998">
            <v>2937</v>
          </cell>
          <cell r="AF1998">
            <v>2974</v>
          </cell>
          <cell r="AG1998">
            <v>2964</v>
          </cell>
          <cell r="AH1998">
            <v>2951</v>
          </cell>
          <cell r="AI1998">
            <v>2686</v>
          </cell>
          <cell r="AJ1998">
            <v>2544</v>
          </cell>
        </row>
        <row r="1999">
          <cell r="E1999" t="str">
            <v>LA Industrial Misc. Petro Products</v>
          </cell>
          <cell r="F1999">
            <v>22237</v>
          </cell>
          <cell r="G1999">
            <v>19387</v>
          </cell>
          <cell r="H1999">
            <v>12710</v>
          </cell>
          <cell r="I1999">
            <v>12031</v>
          </cell>
          <cell r="J1999">
            <v>13446</v>
          </cell>
          <cell r="K1999">
            <v>12337</v>
          </cell>
          <cell r="L1999">
            <v>2192</v>
          </cell>
          <cell r="M1999">
            <v>2406</v>
          </cell>
          <cell r="N1999">
            <v>2929</v>
          </cell>
          <cell r="O1999">
            <v>2755</v>
          </cell>
          <cell r="P1999">
            <v>2935</v>
          </cell>
          <cell r="Q1999">
            <v>23066</v>
          </cell>
          <cell r="R1999">
            <v>24779</v>
          </cell>
          <cell r="S1999">
            <v>23260</v>
          </cell>
          <cell r="T1999">
            <v>20945</v>
          </cell>
          <cell r="U1999">
            <v>20828</v>
          </cell>
          <cell r="V1999">
            <v>13866</v>
          </cell>
          <cell r="W1999">
            <v>13606</v>
          </cell>
          <cell r="X1999">
            <v>14478</v>
          </cell>
          <cell r="Y1999">
            <v>15476</v>
          </cell>
          <cell r="Z1999">
            <v>16177</v>
          </cell>
          <cell r="AA1999">
            <v>16793</v>
          </cell>
          <cell r="AB1999">
            <v>16471</v>
          </cell>
          <cell r="AC1999">
            <v>25287</v>
          </cell>
          <cell r="AD1999">
            <v>26998</v>
          </cell>
          <cell r="AE1999">
            <v>27912</v>
          </cell>
          <cell r="AF1999">
            <v>28269</v>
          </cell>
          <cell r="AG1999">
            <v>28800</v>
          </cell>
          <cell r="AH1999">
            <v>28678</v>
          </cell>
          <cell r="AI1999">
            <v>26098</v>
          </cell>
          <cell r="AJ1999">
            <v>24723</v>
          </cell>
        </row>
        <row r="2000">
          <cell r="E2000" t="str">
            <v>MA Industrial Misc. Petro Products</v>
          </cell>
          <cell r="F2000">
            <v>875</v>
          </cell>
          <cell r="G2000">
            <v>898</v>
          </cell>
          <cell r="H2000">
            <v>589</v>
          </cell>
          <cell r="I2000">
            <v>557</v>
          </cell>
          <cell r="J2000">
            <v>623</v>
          </cell>
          <cell r="K2000">
            <v>572</v>
          </cell>
          <cell r="L2000">
            <v>1287</v>
          </cell>
          <cell r="M2000">
            <v>1413</v>
          </cell>
          <cell r="N2000">
            <v>1720</v>
          </cell>
          <cell r="O2000">
            <v>1618</v>
          </cell>
          <cell r="P2000">
            <v>1724</v>
          </cell>
          <cell r="Q2000">
            <v>497</v>
          </cell>
          <cell r="R2000">
            <v>534</v>
          </cell>
          <cell r="S2000">
            <v>502</v>
          </cell>
          <cell r="T2000">
            <v>452</v>
          </cell>
          <cell r="U2000">
            <v>449</v>
          </cell>
          <cell r="V2000">
            <v>393</v>
          </cell>
          <cell r="W2000">
            <v>386</v>
          </cell>
          <cell r="X2000">
            <v>410</v>
          </cell>
          <cell r="Y2000">
            <v>439</v>
          </cell>
          <cell r="Z2000">
            <v>459</v>
          </cell>
          <cell r="AA2000">
            <v>476</v>
          </cell>
          <cell r="AB2000">
            <v>467</v>
          </cell>
          <cell r="AC2000">
            <v>949</v>
          </cell>
          <cell r="AD2000">
            <v>1013</v>
          </cell>
          <cell r="AE2000">
            <v>1047</v>
          </cell>
          <cell r="AF2000">
            <v>1061</v>
          </cell>
          <cell r="AG2000">
            <v>1109</v>
          </cell>
          <cell r="AH2000">
            <v>1105</v>
          </cell>
          <cell r="AI2000">
            <v>1005</v>
          </cell>
          <cell r="AJ2000">
            <v>952</v>
          </cell>
        </row>
        <row r="2001">
          <cell r="E2001" t="str">
            <v>MD Industrial Misc. Petro Products</v>
          </cell>
          <cell r="F2001">
            <v>496</v>
          </cell>
          <cell r="G2001">
            <v>955</v>
          </cell>
          <cell r="H2001">
            <v>626</v>
          </cell>
          <cell r="I2001">
            <v>592</v>
          </cell>
          <cell r="J2001">
            <v>662</v>
          </cell>
          <cell r="K2001">
            <v>607</v>
          </cell>
          <cell r="L2001">
            <v>569</v>
          </cell>
          <cell r="M2001">
            <v>624</v>
          </cell>
          <cell r="N2001">
            <v>760</v>
          </cell>
          <cell r="O2001">
            <v>715</v>
          </cell>
          <cell r="P2001">
            <v>761</v>
          </cell>
          <cell r="Q2001">
            <v>368</v>
          </cell>
          <cell r="R2001">
            <v>395</v>
          </cell>
          <cell r="S2001">
            <v>371</v>
          </cell>
          <cell r="T2001">
            <v>334</v>
          </cell>
          <cell r="U2001">
            <v>332</v>
          </cell>
          <cell r="V2001">
            <v>414</v>
          </cell>
          <cell r="W2001">
            <v>406</v>
          </cell>
          <cell r="X2001">
            <v>432</v>
          </cell>
          <cell r="Y2001">
            <v>462</v>
          </cell>
          <cell r="Z2001">
            <v>483</v>
          </cell>
          <cell r="AA2001">
            <v>501</v>
          </cell>
          <cell r="AB2001">
            <v>491</v>
          </cell>
          <cell r="AC2001">
            <v>253</v>
          </cell>
          <cell r="AD2001">
            <v>270</v>
          </cell>
          <cell r="AE2001">
            <v>279</v>
          </cell>
          <cell r="AF2001">
            <v>282</v>
          </cell>
          <cell r="AG2001">
            <v>179</v>
          </cell>
          <cell r="AH2001">
            <v>178</v>
          </cell>
          <cell r="AI2001">
            <v>162</v>
          </cell>
          <cell r="AJ2001">
            <v>153</v>
          </cell>
        </row>
        <row r="2002">
          <cell r="E2002" t="str">
            <v>ME Industrial Misc. Petro Products</v>
          </cell>
          <cell r="F2002">
            <v>0</v>
          </cell>
          <cell r="G2002">
            <v>64</v>
          </cell>
          <cell r="H2002">
            <v>42</v>
          </cell>
          <cell r="I2002">
            <v>40</v>
          </cell>
          <cell r="J2002">
            <v>45</v>
          </cell>
          <cell r="K2002">
            <v>41</v>
          </cell>
          <cell r="L2002">
            <v>322</v>
          </cell>
          <cell r="M2002">
            <v>353</v>
          </cell>
          <cell r="N2002">
            <v>430</v>
          </cell>
          <cell r="O2002">
            <v>405</v>
          </cell>
          <cell r="P2002">
            <v>431</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row>
        <row r="2003">
          <cell r="E2003" t="str">
            <v>MI Industrial Misc. Petro Products</v>
          </cell>
          <cell r="F2003">
            <v>3391</v>
          </cell>
          <cell r="G2003">
            <v>5137</v>
          </cell>
          <cell r="H2003">
            <v>3368</v>
          </cell>
          <cell r="I2003">
            <v>3188</v>
          </cell>
          <cell r="J2003">
            <v>3563</v>
          </cell>
          <cell r="K2003">
            <v>3269</v>
          </cell>
          <cell r="L2003">
            <v>3479</v>
          </cell>
          <cell r="M2003">
            <v>3820</v>
          </cell>
          <cell r="N2003">
            <v>4650</v>
          </cell>
          <cell r="O2003">
            <v>4373</v>
          </cell>
          <cell r="P2003">
            <v>4658</v>
          </cell>
          <cell r="Q2003">
            <v>3275</v>
          </cell>
          <cell r="R2003">
            <v>3518</v>
          </cell>
          <cell r="S2003">
            <v>3302</v>
          </cell>
          <cell r="T2003">
            <v>2974</v>
          </cell>
          <cell r="U2003">
            <v>2957</v>
          </cell>
          <cell r="V2003">
            <v>1570</v>
          </cell>
          <cell r="W2003">
            <v>1540</v>
          </cell>
          <cell r="X2003">
            <v>1639</v>
          </cell>
          <cell r="Y2003">
            <v>1752</v>
          </cell>
          <cell r="Z2003">
            <v>1831</v>
          </cell>
          <cell r="AA2003">
            <v>1901</v>
          </cell>
          <cell r="AB2003">
            <v>1865</v>
          </cell>
          <cell r="AC2003">
            <v>2572</v>
          </cell>
          <cell r="AD2003">
            <v>2746</v>
          </cell>
          <cell r="AE2003">
            <v>2839</v>
          </cell>
          <cell r="AF2003">
            <v>2875</v>
          </cell>
          <cell r="AG2003">
            <v>2049</v>
          </cell>
          <cell r="AH2003">
            <v>2040</v>
          </cell>
          <cell r="AI2003">
            <v>1857</v>
          </cell>
          <cell r="AJ2003">
            <v>1759</v>
          </cell>
        </row>
        <row r="2004">
          <cell r="E2004" t="str">
            <v>MN Industrial Misc. Petro Products</v>
          </cell>
          <cell r="F2004">
            <v>0</v>
          </cell>
          <cell r="G2004">
            <v>422</v>
          </cell>
          <cell r="H2004">
            <v>277</v>
          </cell>
          <cell r="I2004">
            <v>262</v>
          </cell>
          <cell r="J2004">
            <v>293</v>
          </cell>
          <cell r="K2004">
            <v>268</v>
          </cell>
          <cell r="L2004">
            <v>65</v>
          </cell>
          <cell r="M2004">
            <v>72</v>
          </cell>
          <cell r="N2004">
            <v>88</v>
          </cell>
          <cell r="O2004">
            <v>82</v>
          </cell>
          <cell r="P2004">
            <v>88</v>
          </cell>
          <cell r="Q2004">
            <v>196</v>
          </cell>
          <cell r="R2004">
            <v>210</v>
          </cell>
          <cell r="S2004">
            <v>197</v>
          </cell>
          <cell r="T2004">
            <v>178</v>
          </cell>
          <cell r="U2004">
            <v>177</v>
          </cell>
          <cell r="V2004">
            <v>237</v>
          </cell>
          <cell r="W2004">
            <v>233</v>
          </cell>
          <cell r="X2004">
            <v>248</v>
          </cell>
          <cell r="Y2004">
            <v>265</v>
          </cell>
          <cell r="Z2004">
            <v>277</v>
          </cell>
          <cell r="AA2004">
            <v>287</v>
          </cell>
          <cell r="AB2004">
            <v>282</v>
          </cell>
          <cell r="AC2004">
            <v>240</v>
          </cell>
          <cell r="AD2004">
            <v>256</v>
          </cell>
          <cell r="AE2004">
            <v>264</v>
          </cell>
          <cell r="AF2004">
            <v>268</v>
          </cell>
          <cell r="AG2004">
            <v>474</v>
          </cell>
          <cell r="AH2004">
            <v>472</v>
          </cell>
          <cell r="AI2004">
            <v>429</v>
          </cell>
          <cell r="AJ2004">
            <v>407</v>
          </cell>
        </row>
        <row r="2005">
          <cell r="E2005" t="str">
            <v>MO Industrial Misc. Petro Products</v>
          </cell>
          <cell r="F2005">
            <v>3303</v>
          </cell>
          <cell r="G2005">
            <v>1229</v>
          </cell>
          <cell r="H2005">
            <v>806</v>
          </cell>
          <cell r="I2005">
            <v>763</v>
          </cell>
          <cell r="J2005">
            <v>852</v>
          </cell>
          <cell r="K2005">
            <v>782</v>
          </cell>
          <cell r="L2005">
            <v>373</v>
          </cell>
          <cell r="M2005">
            <v>410</v>
          </cell>
          <cell r="N2005">
            <v>499</v>
          </cell>
          <cell r="O2005">
            <v>469</v>
          </cell>
          <cell r="P2005">
            <v>500</v>
          </cell>
          <cell r="Q2005">
            <v>397</v>
          </cell>
          <cell r="R2005">
            <v>426</v>
          </cell>
          <cell r="S2005">
            <v>400</v>
          </cell>
          <cell r="T2005">
            <v>360</v>
          </cell>
          <cell r="U2005">
            <v>358</v>
          </cell>
          <cell r="V2005">
            <v>483</v>
          </cell>
          <cell r="W2005">
            <v>474</v>
          </cell>
          <cell r="X2005">
            <v>504</v>
          </cell>
          <cell r="Y2005">
            <v>539</v>
          </cell>
          <cell r="Z2005">
            <v>563</v>
          </cell>
          <cell r="AA2005">
            <v>585</v>
          </cell>
          <cell r="AB2005">
            <v>573</v>
          </cell>
          <cell r="AC2005">
            <v>716</v>
          </cell>
          <cell r="AD2005">
            <v>764</v>
          </cell>
          <cell r="AE2005">
            <v>790</v>
          </cell>
          <cell r="AF2005">
            <v>800</v>
          </cell>
          <cell r="AG2005">
            <v>958</v>
          </cell>
          <cell r="AH2005">
            <v>954</v>
          </cell>
          <cell r="AI2005">
            <v>868</v>
          </cell>
          <cell r="AJ2005">
            <v>822</v>
          </cell>
        </row>
        <row r="2006">
          <cell r="E2006" t="str">
            <v>MS Industrial Misc. Petro Products</v>
          </cell>
          <cell r="F2006">
            <v>222</v>
          </cell>
          <cell r="G2006">
            <v>556</v>
          </cell>
          <cell r="H2006">
            <v>365</v>
          </cell>
          <cell r="I2006">
            <v>345</v>
          </cell>
          <cell r="J2006">
            <v>386</v>
          </cell>
          <cell r="K2006">
            <v>354</v>
          </cell>
          <cell r="L2006">
            <v>338</v>
          </cell>
          <cell r="M2006">
            <v>371</v>
          </cell>
          <cell r="N2006">
            <v>451</v>
          </cell>
          <cell r="O2006">
            <v>424</v>
          </cell>
          <cell r="P2006">
            <v>452</v>
          </cell>
          <cell r="Q2006">
            <v>347</v>
          </cell>
          <cell r="R2006">
            <v>373</v>
          </cell>
          <cell r="S2006">
            <v>350</v>
          </cell>
          <cell r="T2006">
            <v>315</v>
          </cell>
          <cell r="U2006">
            <v>313</v>
          </cell>
          <cell r="V2006">
            <v>122</v>
          </cell>
          <cell r="W2006">
            <v>120</v>
          </cell>
          <cell r="X2006">
            <v>128</v>
          </cell>
          <cell r="Y2006">
            <v>137</v>
          </cell>
          <cell r="Z2006">
            <v>143</v>
          </cell>
          <cell r="AA2006">
            <v>148</v>
          </cell>
          <cell r="AB2006">
            <v>145</v>
          </cell>
          <cell r="AC2006">
            <v>221</v>
          </cell>
          <cell r="AD2006">
            <v>236</v>
          </cell>
          <cell r="AE2006">
            <v>244</v>
          </cell>
          <cell r="AF2006">
            <v>247</v>
          </cell>
          <cell r="AG2006">
            <v>357</v>
          </cell>
          <cell r="AH2006">
            <v>356</v>
          </cell>
          <cell r="AI2006">
            <v>324</v>
          </cell>
          <cell r="AJ2006">
            <v>307</v>
          </cell>
        </row>
        <row r="2007">
          <cell r="E2007" t="str">
            <v>MT Industrial Misc. Petro Products</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row>
        <row r="2008">
          <cell r="E2008" t="str">
            <v>NC Industrial Misc. Petro Products</v>
          </cell>
          <cell r="F2008">
            <v>1781</v>
          </cell>
          <cell r="G2008">
            <v>1888</v>
          </cell>
          <cell r="H2008">
            <v>1238</v>
          </cell>
          <cell r="I2008">
            <v>1172</v>
          </cell>
          <cell r="J2008">
            <v>1310</v>
          </cell>
          <cell r="K2008">
            <v>1202</v>
          </cell>
          <cell r="L2008">
            <v>2755</v>
          </cell>
          <cell r="M2008">
            <v>3025</v>
          </cell>
          <cell r="N2008">
            <v>3682</v>
          </cell>
          <cell r="O2008">
            <v>3463</v>
          </cell>
          <cell r="P2008">
            <v>3689</v>
          </cell>
          <cell r="Q2008">
            <v>2751</v>
          </cell>
          <cell r="R2008">
            <v>2955</v>
          </cell>
          <cell r="S2008">
            <v>2774</v>
          </cell>
          <cell r="T2008">
            <v>2498</v>
          </cell>
          <cell r="U2008">
            <v>2484</v>
          </cell>
          <cell r="V2008">
            <v>3389</v>
          </cell>
          <cell r="W2008">
            <v>3325</v>
          </cell>
          <cell r="X2008">
            <v>3538</v>
          </cell>
          <cell r="Y2008">
            <v>3782</v>
          </cell>
          <cell r="Z2008">
            <v>3953</v>
          </cell>
          <cell r="AA2008">
            <v>4104</v>
          </cell>
          <cell r="AB2008">
            <v>4025</v>
          </cell>
          <cell r="AC2008">
            <v>2407</v>
          </cell>
          <cell r="AD2008">
            <v>2570</v>
          </cell>
          <cell r="AE2008">
            <v>2657</v>
          </cell>
          <cell r="AF2008">
            <v>2691</v>
          </cell>
          <cell r="AG2008">
            <v>2562</v>
          </cell>
          <cell r="AH2008">
            <v>2551</v>
          </cell>
          <cell r="AI2008">
            <v>2322</v>
          </cell>
          <cell r="AJ2008">
            <v>2199</v>
          </cell>
        </row>
        <row r="2009">
          <cell r="E2009" t="str">
            <v>ND Industrial Misc. Petro Products</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row>
        <row r="2010">
          <cell r="E2010" t="str">
            <v>NE Industrial Misc. Petro Products</v>
          </cell>
          <cell r="F2010">
            <v>119</v>
          </cell>
          <cell r="G2010">
            <v>0</v>
          </cell>
          <cell r="H2010">
            <v>0</v>
          </cell>
          <cell r="I2010">
            <v>0</v>
          </cell>
          <cell r="J2010">
            <v>0</v>
          </cell>
          <cell r="K2010">
            <v>0</v>
          </cell>
          <cell r="L2010">
            <v>0</v>
          </cell>
          <cell r="M2010">
            <v>0</v>
          </cell>
          <cell r="N2010">
            <v>0</v>
          </cell>
          <cell r="O2010">
            <v>0</v>
          </cell>
          <cell r="P2010">
            <v>0</v>
          </cell>
          <cell r="Q2010">
            <v>62</v>
          </cell>
          <cell r="R2010">
            <v>67</v>
          </cell>
          <cell r="S2010">
            <v>63</v>
          </cell>
          <cell r="T2010">
            <v>56</v>
          </cell>
          <cell r="U2010">
            <v>56</v>
          </cell>
          <cell r="V2010">
            <v>111</v>
          </cell>
          <cell r="W2010">
            <v>109</v>
          </cell>
          <cell r="X2010">
            <v>116</v>
          </cell>
          <cell r="Y2010">
            <v>124</v>
          </cell>
          <cell r="Z2010">
            <v>130</v>
          </cell>
          <cell r="AA2010">
            <v>134</v>
          </cell>
          <cell r="AB2010">
            <v>132</v>
          </cell>
          <cell r="AC2010">
            <v>485</v>
          </cell>
          <cell r="AD2010">
            <v>517</v>
          </cell>
          <cell r="AE2010">
            <v>535</v>
          </cell>
          <cell r="AF2010">
            <v>542</v>
          </cell>
          <cell r="AG2010">
            <v>929</v>
          </cell>
          <cell r="AH2010">
            <v>925</v>
          </cell>
          <cell r="AI2010">
            <v>842</v>
          </cell>
          <cell r="AJ2010">
            <v>797</v>
          </cell>
        </row>
        <row r="2011">
          <cell r="E2011" t="str">
            <v>NH Industrial Misc. Petro Products</v>
          </cell>
          <cell r="F2011">
            <v>33</v>
          </cell>
          <cell r="G2011">
            <v>60</v>
          </cell>
          <cell r="H2011">
            <v>39</v>
          </cell>
          <cell r="I2011">
            <v>37</v>
          </cell>
          <cell r="J2011">
            <v>41</v>
          </cell>
          <cell r="K2011">
            <v>38</v>
          </cell>
          <cell r="L2011">
            <v>690</v>
          </cell>
          <cell r="M2011">
            <v>757</v>
          </cell>
          <cell r="N2011">
            <v>922</v>
          </cell>
          <cell r="O2011">
            <v>867</v>
          </cell>
          <cell r="P2011">
            <v>923</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row>
        <row r="2012">
          <cell r="E2012" t="str">
            <v>NJ Industrial Misc. Petro Products</v>
          </cell>
          <cell r="F2012">
            <v>10832</v>
          </cell>
          <cell r="G2012">
            <v>9989</v>
          </cell>
          <cell r="H2012">
            <v>6549</v>
          </cell>
          <cell r="I2012">
            <v>6199</v>
          </cell>
          <cell r="J2012">
            <v>6928</v>
          </cell>
          <cell r="K2012">
            <v>6357</v>
          </cell>
          <cell r="L2012">
            <v>3111</v>
          </cell>
          <cell r="M2012">
            <v>3415</v>
          </cell>
          <cell r="N2012">
            <v>4157</v>
          </cell>
          <cell r="O2012">
            <v>3910</v>
          </cell>
          <cell r="P2012">
            <v>4165</v>
          </cell>
          <cell r="Q2012">
            <v>5247</v>
          </cell>
          <cell r="R2012">
            <v>5637</v>
          </cell>
          <cell r="S2012">
            <v>5291</v>
          </cell>
          <cell r="T2012">
            <v>4765</v>
          </cell>
          <cell r="U2012">
            <v>4738</v>
          </cell>
          <cell r="V2012">
            <v>4258</v>
          </cell>
          <cell r="W2012">
            <v>4178</v>
          </cell>
          <cell r="X2012">
            <v>4446</v>
          </cell>
          <cell r="Y2012">
            <v>4752</v>
          </cell>
          <cell r="Z2012">
            <v>4967</v>
          </cell>
          <cell r="AA2012">
            <v>5156</v>
          </cell>
          <cell r="AB2012">
            <v>5058</v>
          </cell>
          <cell r="AC2012">
            <v>5249</v>
          </cell>
          <cell r="AD2012">
            <v>5604</v>
          </cell>
          <cell r="AE2012">
            <v>5794</v>
          </cell>
          <cell r="AF2012">
            <v>5868</v>
          </cell>
          <cell r="AG2012">
            <v>6134</v>
          </cell>
          <cell r="AH2012">
            <v>6109</v>
          </cell>
          <cell r="AI2012">
            <v>5559</v>
          </cell>
          <cell r="AJ2012">
            <v>5266</v>
          </cell>
        </row>
        <row r="2013">
          <cell r="E2013" t="str">
            <v>NM Industrial Misc. Petro Products</v>
          </cell>
          <cell r="F2013">
            <v>64</v>
          </cell>
          <cell r="G2013">
            <v>167</v>
          </cell>
          <cell r="H2013">
            <v>109</v>
          </cell>
          <cell r="I2013">
            <v>104</v>
          </cell>
          <cell r="J2013">
            <v>116</v>
          </cell>
          <cell r="K2013">
            <v>106</v>
          </cell>
          <cell r="L2013">
            <v>736</v>
          </cell>
          <cell r="M2013">
            <v>808</v>
          </cell>
          <cell r="N2013">
            <v>983</v>
          </cell>
          <cell r="O2013">
            <v>925</v>
          </cell>
          <cell r="P2013">
            <v>985</v>
          </cell>
          <cell r="Q2013">
            <v>253</v>
          </cell>
          <cell r="R2013">
            <v>272</v>
          </cell>
          <cell r="S2013">
            <v>256</v>
          </cell>
          <cell r="T2013">
            <v>230</v>
          </cell>
          <cell r="U2013">
            <v>229</v>
          </cell>
          <cell r="V2013">
            <v>0</v>
          </cell>
          <cell r="W2013">
            <v>0</v>
          </cell>
          <cell r="X2013">
            <v>0</v>
          </cell>
          <cell r="Y2013">
            <v>0</v>
          </cell>
          <cell r="Z2013">
            <v>0</v>
          </cell>
          <cell r="AA2013">
            <v>0</v>
          </cell>
          <cell r="AB2013">
            <v>0</v>
          </cell>
          <cell r="AC2013">
            <v>72</v>
          </cell>
          <cell r="AD2013">
            <v>77</v>
          </cell>
          <cell r="AE2013">
            <v>79</v>
          </cell>
          <cell r="AF2013">
            <v>80</v>
          </cell>
          <cell r="AG2013">
            <v>78</v>
          </cell>
          <cell r="AH2013">
            <v>78</v>
          </cell>
          <cell r="AI2013">
            <v>71</v>
          </cell>
          <cell r="AJ2013">
            <v>67</v>
          </cell>
        </row>
        <row r="2014">
          <cell r="E2014" t="str">
            <v>NV Industrial Misc. Petro Products</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row>
        <row r="2015">
          <cell r="E2015" t="str">
            <v>NY Industrial Misc. Petro Products</v>
          </cell>
          <cell r="F2015">
            <v>3142</v>
          </cell>
          <cell r="G2015">
            <v>3302</v>
          </cell>
          <cell r="H2015">
            <v>2165</v>
          </cell>
          <cell r="I2015">
            <v>2049</v>
          </cell>
          <cell r="J2015">
            <v>2290</v>
          </cell>
          <cell r="K2015">
            <v>2101</v>
          </cell>
          <cell r="L2015">
            <v>5401</v>
          </cell>
          <cell r="M2015">
            <v>5930</v>
          </cell>
          <cell r="N2015">
            <v>7219</v>
          </cell>
          <cell r="O2015">
            <v>6789</v>
          </cell>
          <cell r="P2015">
            <v>7232</v>
          </cell>
          <cell r="Q2015">
            <v>1722</v>
          </cell>
          <cell r="R2015">
            <v>1850</v>
          </cell>
          <cell r="S2015">
            <v>1736</v>
          </cell>
          <cell r="T2015">
            <v>1563</v>
          </cell>
          <cell r="U2015">
            <v>1555</v>
          </cell>
          <cell r="V2015">
            <v>1355</v>
          </cell>
          <cell r="W2015">
            <v>1329</v>
          </cell>
          <cell r="X2015">
            <v>1415</v>
          </cell>
          <cell r="Y2015">
            <v>1512</v>
          </cell>
          <cell r="Z2015">
            <v>1581</v>
          </cell>
          <cell r="AA2015">
            <v>1641</v>
          </cell>
          <cell r="AB2015">
            <v>1609</v>
          </cell>
          <cell r="AC2015">
            <v>1518</v>
          </cell>
          <cell r="AD2015">
            <v>1621</v>
          </cell>
          <cell r="AE2015">
            <v>1676</v>
          </cell>
          <cell r="AF2015">
            <v>1697</v>
          </cell>
          <cell r="AG2015">
            <v>2185</v>
          </cell>
          <cell r="AH2015">
            <v>2175</v>
          </cell>
          <cell r="AI2015">
            <v>1980</v>
          </cell>
          <cell r="AJ2015">
            <v>1875</v>
          </cell>
        </row>
        <row r="2016">
          <cell r="E2016" t="str">
            <v>OH Industrial Misc. Petro Products</v>
          </cell>
          <cell r="F2016">
            <v>3522</v>
          </cell>
          <cell r="G2016">
            <v>3505</v>
          </cell>
          <cell r="H2016">
            <v>2298</v>
          </cell>
          <cell r="I2016">
            <v>2175</v>
          </cell>
          <cell r="J2016">
            <v>2431</v>
          </cell>
          <cell r="K2016">
            <v>2230</v>
          </cell>
          <cell r="L2016">
            <v>2381</v>
          </cell>
          <cell r="M2016">
            <v>2615</v>
          </cell>
          <cell r="N2016">
            <v>3183</v>
          </cell>
          <cell r="O2016">
            <v>2993</v>
          </cell>
          <cell r="P2016">
            <v>3189</v>
          </cell>
          <cell r="Q2016">
            <v>2475</v>
          </cell>
          <cell r="R2016">
            <v>2658</v>
          </cell>
          <cell r="S2016">
            <v>2495</v>
          </cell>
          <cell r="T2016">
            <v>2247</v>
          </cell>
          <cell r="U2016">
            <v>2234</v>
          </cell>
          <cell r="V2016">
            <v>2323</v>
          </cell>
          <cell r="W2016">
            <v>2280</v>
          </cell>
          <cell r="X2016">
            <v>2426</v>
          </cell>
          <cell r="Y2016">
            <v>2593</v>
          </cell>
          <cell r="Z2016">
            <v>2710</v>
          </cell>
          <cell r="AA2016">
            <v>2813</v>
          </cell>
          <cell r="AB2016">
            <v>2759</v>
          </cell>
          <cell r="AC2016">
            <v>3120</v>
          </cell>
          <cell r="AD2016">
            <v>3331</v>
          </cell>
          <cell r="AE2016">
            <v>3443</v>
          </cell>
          <cell r="AF2016">
            <v>3487</v>
          </cell>
          <cell r="AG2016">
            <v>4713</v>
          </cell>
          <cell r="AH2016">
            <v>4693</v>
          </cell>
          <cell r="AI2016">
            <v>4271</v>
          </cell>
          <cell r="AJ2016">
            <v>4046</v>
          </cell>
        </row>
        <row r="2017">
          <cell r="E2017" t="str">
            <v>OK Industrial Misc. Petro Products</v>
          </cell>
          <cell r="F2017">
            <v>156</v>
          </cell>
          <cell r="G2017">
            <v>296</v>
          </cell>
          <cell r="H2017">
            <v>194</v>
          </cell>
          <cell r="I2017">
            <v>184</v>
          </cell>
          <cell r="J2017">
            <v>206</v>
          </cell>
          <cell r="K2017">
            <v>189</v>
          </cell>
          <cell r="L2017">
            <v>338</v>
          </cell>
          <cell r="M2017">
            <v>371</v>
          </cell>
          <cell r="N2017">
            <v>451</v>
          </cell>
          <cell r="O2017">
            <v>424</v>
          </cell>
          <cell r="P2017">
            <v>452</v>
          </cell>
          <cell r="Q2017">
            <v>244</v>
          </cell>
          <cell r="R2017">
            <v>262</v>
          </cell>
          <cell r="S2017">
            <v>246</v>
          </cell>
          <cell r="T2017">
            <v>221</v>
          </cell>
          <cell r="U2017">
            <v>220</v>
          </cell>
          <cell r="V2017">
            <v>263</v>
          </cell>
          <cell r="W2017">
            <v>259</v>
          </cell>
          <cell r="X2017">
            <v>275</v>
          </cell>
          <cell r="Y2017">
            <v>294</v>
          </cell>
          <cell r="Z2017">
            <v>307</v>
          </cell>
          <cell r="AA2017">
            <v>319</v>
          </cell>
          <cell r="AB2017">
            <v>313</v>
          </cell>
          <cell r="AC2017">
            <v>491</v>
          </cell>
          <cell r="AD2017">
            <v>525</v>
          </cell>
          <cell r="AE2017">
            <v>542</v>
          </cell>
          <cell r="AF2017">
            <v>549</v>
          </cell>
          <cell r="AG2017">
            <v>698</v>
          </cell>
          <cell r="AH2017">
            <v>695</v>
          </cell>
          <cell r="AI2017">
            <v>632</v>
          </cell>
          <cell r="AJ2017">
            <v>599</v>
          </cell>
        </row>
        <row r="2018">
          <cell r="E2018" t="str">
            <v>OR Industrial Misc. Petro Products</v>
          </cell>
          <cell r="F2018">
            <v>0</v>
          </cell>
          <cell r="G2018">
            <v>138</v>
          </cell>
          <cell r="H2018">
            <v>91</v>
          </cell>
          <cell r="I2018">
            <v>86</v>
          </cell>
          <cell r="J2018">
            <v>96</v>
          </cell>
          <cell r="K2018">
            <v>88</v>
          </cell>
          <cell r="L2018">
            <v>0</v>
          </cell>
          <cell r="M2018">
            <v>0</v>
          </cell>
          <cell r="N2018">
            <v>0</v>
          </cell>
          <cell r="O2018">
            <v>0</v>
          </cell>
          <cell r="P2018">
            <v>0</v>
          </cell>
          <cell r="Q2018">
            <v>118</v>
          </cell>
          <cell r="R2018">
            <v>127</v>
          </cell>
          <cell r="S2018">
            <v>119</v>
          </cell>
          <cell r="T2018">
            <v>107</v>
          </cell>
          <cell r="U2018">
            <v>107</v>
          </cell>
          <cell r="V2018">
            <v>263</v>
          </cell>
          <cell r="W2018">
            <v>259</v>
          </cell>
          <cell r="X2018">
            <v>275</v>
          </cell>
          <cell r="Y2018">
            <v>294</v>
          </cell>
          <cell r="Z2018">
            <v>307</v>
          </cell>
          <cell r="AA2018">
            <v>319</v>
          </cell>
          <cell r="AB2018">
            <v>313</v>
          </cell>
          <cell r="AC2018">
            <v>253</v>
          </cell>
          <cell r="AD2018">
            <v>270</v>
          </cell>
          <cell r="AE2018">
            <v>279</v>
          </cell>
          <cell r="AF2018">
            <v>282</v>
          </cell>
          <cell r="AG2018">
            <v>324</v>
          </cell>
          <cell r="AH2018">
            <v>323</v>
          </cell>
          <cell r="AI2018">
            <v>294</v>
          </cell>
          <cell r="AJ2018">
            <v>278</v>
          </cell>
        </row>
        <row r="2019">
          <cell r="E2019" t="str">
            <v>PA Industrial Misc. Petro Products</v>
          </cell>
          <cell r="F2019">
            <v>2200</v>
          </cell>
          <cell r="G2019">
            <v>2437</v>
          </cell>
          <cell r="H2019">
            <v>1597</v>
          </cell>
          <cell r="I2019">
            <v>1512</v>
          </cell>
          <cell r="J2019">
            <v>1690</v>
          </cell>
          <cell r="K2019">
            <v>1551</v>
          </cell>
          <cell r="L2019">
            <v>1276</v>
          </cell>
          <cell r="M2019">
            <v>1400</v>
          </cell>
          <cell r="N2019">
            <v>1705</v>
          </cell>
          <cell r="O2019">
            <v>1603</v>
          </cell>
          <cell r="P2019">
            <v>1708</v>
          </cell>
          <cell r="Q2019">
            <v>1653</v>
          </cell>
          <cell r="R2019">
            <v>1776</v>
          </cell>
          <cell r="S2019">
            <v>1667</v>
          </cell>
          <cell r="T2019">
            <v>1501</v>
          </cell>
          <cell r="U2019">
            <v>1493</v>
          </cell>
          <cell r="V2019">
            <v>1539</v>
          </cell>
          <cell r="W2019">
            <v>1510</v>
          </cell>
          <cell r="X2019">
            <v>1606</v>
          </cell>
          <cell r="Y2019">
            <v>1717</v>
          </cell>
          <cell r="Z2019">
            <v>1795</v>
          </cell>
          <cell r="AA2019">
            <v>1863</v>
          </cell>
          <cell r="AB2019">
            <v>1827</v>
          </cell>
          <cell r="AC2019">
            <v>2272</v>
          </cell>
          <cell r="AD2019">
            <v>2426</v>
          </cell>
          <cell r="AE2019">
            <v>2508</v>
          </cell>
          <cell r="AF2019">
            <v>2540</v>
          </cell>
          <cell r="AG2019">
            <v>2593</v>
          </cell>
          <cell r="AH2019">
            <v>2582</v>
          </cell>
          <cell r="AI2019">
            <v>2349</v>
          </cell>
          <cell r="AJ2019">
            <v>2226</v>
          </cell>
        </row>
        <row r="2020">
          <cell r="E2020" t="str">
            <v>RI Industrial Misc. Petro Products</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28</v>
          </cell>
          <cell r="AH2020">
            <v>28</v>
          </cell>
          <cell r="AI2020">
            <v>25</v>
          </cell>
          <cell r="AJ2020">
            <v>24</v>
          </cell>
        </row>
        <row r="2021">
          <cell r="E2021" t="str">
            <v>SC Industrial Misc. Petro Products</v>
          </cell>
          <cell r="F2021">
            <v>1733</v>
          </cell>
          <cell r="G2021">
            <v>2650</v>
          </cell>
          <cell r="H2021">
            <v>1737</v>
          </cell>
          <cell r="I2021">
            <v>1644</v>
          </cell>
          <cell r="J2021">
            <v>1838</v>
          </cell>
          <cell r="K2021">
            <v>1686</v>
          </cell>
          <cell r="L2021">
            <v>157</v>
          </cell>
          <cell r="M2021">
            <v>173</v>
          </cell>
          <cell r="N2021">
            <v>210</v>
          </cell>
          <cell r="O2021">
            <v>198</v>
          </cell>
          <cell r="P2021">
            <v>211</v>
          </cell>
          <cell r="Q2021">
            <v>2100</v>
          </cell>
          <cell r="R2021">
            <v>2256</v>
          </cell>
          <cell r="S2021">
            <v>2118</v>
          </cell>
          <cell r="T2021">
            <v>1907</v>
          </cell>
          <cell r="U2021">
            <v>1897</v>
          </cell>
          <cell r="V2021">
            <v>2369</v>
          </cell>
          <cell r="W2021">
            <v>2324</v>
          </cell>
          <cell r="X2021">
            <v>2473</v>
          </cell>
          <cell r="Y2021">
            <v>2644</v>
          </cell>
          <cell r="Z2021">
            <v>2763</v>
          </cell>
          <cell r="AA2021">
            <v>2868</v>
          </cell>
          <cell r="AB2021">
            <v>2813</v>
          </cell>
          <cell r="AC2021">
            <v>7389</v>
          </cell>
          <cell r="AD2021">
            <v>7889</v>
          </cell>
          <cell r="AE2021">
            <v>8156</v>
          </cell>
          <cell r="AF2021">
            <v>8261</v>
          </cell>
          <cell r="AG2021">
            <v>2711</v>
          </cell>
          <cell r="AH2021">
            <v>2700</v>
          </cell>
          <cell r="AI2021">
            <v>2457</v>
          </cell>
          <cell r="AJ2021">
            <v>2327</v>
          </cell>
        </row>
        <row r="2022">
          <cell r="E2022" t="str">
            <v>SD Industrial Misc. Petro Products</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row>
        <row r="2023">
          <cell r="E2023" t="str">
            <v>TN Industrial Misc. Petro Products</v>
          </cell>
          <cell r="F2023">
            <v>3821</v>
          </cell>
          <cell r="G2023">
            <v>4231</v>
          </cell>
          <cell r="H2023">
            <v>2774</v>
          </cell>
          <cell r="I2023">
            <v>2626</v>
          </cell>
          <cell r="J2023">
            <v>2935</v>
          </cell>
          <cell r="K2023">
            <v>2693</v>
          </cell>
          <cell r="L2023">
            <v>675</v>
          </cell>
          <cell r="M2023">
            <v>741</v>
          </cell>
          <cell r="N2023">
            <v>902</v>
          </cell>
          <cell r="O2023">
            <v>848</v>
          </cell>
          <cell r="P2023">
            <v>904</v>
          </cell>
          <cell r="Q2023">
            <v>4545</v>
          </cell>
          <cell r="R2023">
            <v>4882</v>
          </cell>
          <cell r="S2023">
            <v>4583</v>
          </cell>
          <cell r="T2023">
            <v>4127</v>
          </cell>
          <cell r="U2023">
            <v>4104</v>
          </cell>
          <cell r="V2023">
            <v>12413</v>
          </cell>
          <cell r="W2023">
            <v>12179</v>
          </cell>
          <cell r="X2023">
            <v>12960</v>
          </cell>
          <cell r="Y2023">
            <v>13854</v>
          </cell>
          <cell r="Z2023">
            <v>14481</v>
          </cell>
          <cell r="AA2023">
            <v>15032</v>
          </cell>
          <cell r="AB2023">
            <v>14744</v>
          </cell>
          <cell r="AC2023">
            <v>21031</v>
          </cell>
          <cell r="AD2023">
            <v>22453</v>
          </cell>
          <cell r="AE2023">
            <v>23213</v>
          </cell>
          <cell r="AF2023">
            <v>23510</v>
          </cell>
          <cell r="AG2023">
            <v>6202</v>
          </cell>
          <cell r="AH2023">
            <v>6176</v>
          </cell>
          <cell r="AI2023">
            <v>5620</v>
          </cell>
          <cell r="AJ2023">
            <v>5324</v>
          </cell>
        </row>
        <row r="2024">
          <cell r="E2024" t="str">
            <v>TX Industrial Misc. Petro Products</v>
          </cell>
          <cell r="F2024">
            <v>50594</v>
          </cell>
          <cell r="G2024">
            <v>57939</v>
          </cell>
          <cell r="H2024">
            <v>37985</v>
          </cell>
          <cell r="I2024">
            <v>35956</v>
          </cell>
          <cell r="J2024">
            <v>40183</v>
          </cell>
          <cell r="K2024">
            <v>36869</v>
          </cell>
          <cell r="L2024">
            <v>37193</v>
          </cell>
          <cell r="M2024">
            <v>40835</v>
          </cell>
          <cell r="N2024">
            <v>49706</v>
          </cell>
          <cell r="O2024">
            <v>46750</v>
          </cell>
          <cell r="P2024">
            <v>49798</v>
          </cell>
          <cell r="Q2024">
            <v>51131</v>
          </cell>
          <cell r="R2024">
            <v>54927</v>
          </cell>
          <cell r="S2024">
            <v>51561</v>
          </cell>
          <cell r="T2024">
            <v>46429</v>
          </cell>
          <cell r="U2024">
            <v>46170</v>
          </cell>
          <cell r="V2024">
            <v>69765</v>
          </cell>
          <cell r="W2024">
            <v>68454</v>
          </cell>
          <cell r="X2024">
            <v>72842</v>
          </cell>
          <cell r="Y2024">
            <v>77865</v>
          </cell>
          <cell r="Z2024">
            <v>81391</v>
          </cell>
          <cell r="AA2024">
            <v>84488</v>
          </cell>
          <cell r="AB2024">
            <v>82868</v>
          </cell>
          <cell r="AC2024">
            <v>72316</v>
          </cell>
          <cell r="AD2024">
            <v>77209</v>
          </cell>
          <cell r="AE2024">
            <v>79822</v>
          </cell>
          <cell r="AF2024">
            <v>80843</v>
          </cell>
          <cell r="AG2024">
            <v>101708</v>
          </cell>
          <cell r="AH2024">
            <v>101278</v>
          </cell>
          <cell r="AI2024">
            <v>92166</v>
          </cell>
          <cell r="AJ2024">
            <v>87309</v>
          </cell>
        </row>
        <row r="2025">
          <cell r="E2025" t="str">
            <v>US Industrial Misc. Petro Products</v>
          </cell>
          <cell r="F2025">
            <v>137835</v>
          </cell>
          <cell r="G2025">
            <v>152626</v>
          </cell>
          <cell r="H2025">
            <v>100062</v>
          </cell>
          <cell r="I2025">
            <v>94718</v>
          </cell>
          <cell r="J2025">
            <v>105852</v>
          </cell>
          <cell r="K2025">
            <v>97124</v>
          </cell>
          <cell r="L2025">
            <v>89032</v>
          </cell>
          <cell r="M2025">
            <v>97750</v>
          </cell>
          <cell r="N2025">
            <v>118986</v>
          </cell>
          <cell r="O2025">
            <v>111909</v>
          </cell>
          <cell r="P2025">
            <v>119206</v>
          </cell>
          <cell r="Q2025">
            <v>124910</v>
          </cell>
          <cell r="R2025">
            <v>134183</v>
          </cell>
          <cell r="S2025">
            <v>125959</v>
          </cell>
          <cell r="T2025">
            <v>113422</v>
          </cell>
          <cell r="U2025">
            <v>112790</v>
          </cell>
          <cell r="V2025">
            <v>136032</v>
          </cell>
          <cell r="W2025">
            <v>133476</v>
          </cell>
          <cell r="X2025">
            <v>142031</v>
          </cell>
          <cell r="Y2025">
            <v>151826</v>
          </cell>
          <cell r="Z2025">
            <v>158700</v>
          </cell>
          <cell r="AA2025">
            <v>164740</v>
          </cell>
          <cell r="AB2025">
            <v>161581</v>
          </cell>
          <cell r="AC2025">
            <v>171162</v>
          </cell>
          <cell r="AD2025">
            <v>182742</v>
          </cell>
          <cell r="AE2025">
            <v>188926</v>
          </cell>
          <cell r="AF2025">
            <v>191343</v>
          </cell>
          <cell r="AG2025">
            <v>198809</v>
          </cell>
          <cell r="AH2025">
            <v>197968</v>
          </cell>
          <cell r="AI2025">
            <v>180157</v>
          </cell>
          <cell r="AJ2025">
            <v>170663</v>
          </cell>
        </row>
        <row r="2026">
          <cell r="E2026" t="str">
            <v>UT Industrial Misc. Petro Products</v>
          </cell>
          <cell r="F2026">
            <v>0</v>
          </cell>
          <cell r="G2026">
            <v>0</v>
          </cell>
          <cell r="H2026">
            <v>0</v>
          </cell>
          <cell r="I2026">
            <v>0</v>
          </cell>
          <cell r="J2026">
            <v>0</v>
          </cell>
          <cell r="K2026">
            <v>0</v>
          </cell>
          <cell r="L2026">
            <v>0</v>
          </cell>
          <cell r="M2026">
            <v>0</v>
          </cell>
          <cell r="N2026">
            <v>0</v>
          </cell>
          <cell r="O2026">
            <v>0</v>
          </cell>
          <cell r="P2026">
            <v>0</v>
          </cell>
          <cell r="Q2026">
            <v>69</v>
          </cell>
          <cell r="R2026">
            <v>74</v>
          </cell>
          <cell r="S2026">
            <v>69</v>
          </cell>
          <cell r="T2026">
            <v>63</v>
          </cell>
          <cell r="U2026">
            <v>62</v>
          </cell>
          <cell r="V2026">
            <v>0</v>
          </cell>
          <cell r="W2026">
            <v>0</v>
          </cell>
          <cell r="X2026">
            <v>0</v>
          </cell>
          <cell r="Y2026">
            <v>0</v>
          </cell>
          <cell r="Z2026">
            <v>0</v>
          </cell>
          <cell r="AA2026">
            <v>0</v>
          </cell>
          <cell r="AB2026">
            <v>0</v>
          </cell>
          <cell r="AC2026">
            <v>115</v>
          </cell>
          <cell r="AD2026">
            <v>123</v>
          </cell>
          <cell r="AE2026">
            <v>127</v>
          </cell>
          <cell r="AF2026">
            <v>129</v>
          </cell>
          <cell r="AG2026">
            <v>75</v>
          </cell>
          <cell r="AH2026">
            <v>74</v>
          </cell>
          <cell r="AI2026">
            <v>68</v>
          </cell>
          <cell r="AJ2026">
            <v>64</v>
          </cell>
        </row>
        <row r="2027">
          <cell r="E2027" t="str">
            <v>VA Industrial Misc. Petro Products</v>
          </cell>
          <cell r="F2027">
            <v>1105</v>
          </cell>
          <cell r="G2027">
            <v>1839</v>
          </cell>
          <cell r="H2027">
            <v>1206</v>
          </cell>
          <cell r="I2027">
            <v>1141</v>
          </cell>
          <cell r="J2027">
            <v>1275</v>
          </cell>
          <cell r="K2027">
            <v>1170</v>
          </cell>
          <cell r="L2027">
            <v>1236</v>
          </cell>
          <cell r="M2027">
            <v>1357</v>
          </cell>
          <cell r="N2027">
            <v>1652</v>
          </cell>
          <cell r="O2027">
            <v>1554</v>
          </cell>
          <cell r="P2027">
            <v>1655</v>
          </cell>
          <cell r="Q2027">
            <v>1672</v>
          </cell>
          <cell r="R2027">
            <v>1796</v>
          </cell>
          <cell r="S2027">
            <v>1686</v>
          </cell>
          <cell r="T2027">
            <v>1518</v>
          </cell>
          <cell r="U2027">
            <v>1510</v>
          </cell>
          <cell r="V2027">
            <v>1027</v>
          </cell>
          <cell r="W2027">
            <v>1008</v>
          </cell>
          <cell r="X2027">
            <v>1073</v>
          </cell>
          <cell r="Y2027">
            <v>1147</v>
          </cell>
          <cell r="Z2027">
            <v>1198</v>
          </cell>
          <cell r="AA2027">
            <v>1244</v>
          </cell>
          <cell r="AB2027">
            <v>1220</v>
          </cell>
          <cell r="AC2027">
            <v>983</v>
          </cell>
          <cell r="AD2027">
            <v>1049</v>
          </cell>
          <cell r="AE2027">
            <v>1085</v>
          </cell>
          <cell r="AF2027">
            <v>1099</v>
          </cell>
          <cell r="AG2027">
            <v>2711</v>
          </cell>
          <cell r="AH2027">
            <v>2700</v>
          </cell>
          <cell r="AI2027">
            <v>2457</v>
          </cell>
          <cell r="AJ2027">
            <v>2327</v>
          </cell>
        </row>
        <row r="2028">
          <cell r="E2028" t="str">
            <v>VT Industrial Misc. Petro Products</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row>
        <row r="2029">
          <cell r="E2029" t="str">
            <v>WA Industrial Misc. Petro Products</v>
          </cell>
          <cell r="F2029">
            <v>0</v>
          </cell>
          <cell r="G2029">
            <v>813</v>
          </cell>
          <cell r="H2029">
            <v>533</v>
          </cell>
          <cell r="I2029">
            <v>505</v>
          </cell>
          <cell r="J2029">
            <v>564</v>
          </cell>
          <cell r="K2029">
            <v>518</v>
          </cell>
          <cell r="L2029">
            <v>127</v>
          </cell>
          <cell r="M2029">
            <v>140</v>
          </cell>
          <cell r="N2029">
            <v>170</v>
          </cell>
          <cell r="O2029">
            <v>160</v>
          </cell>
          <cell r="P2029">
            <v>170</v>
          </cell>
          <cell r="Q2029">
            <v>363</v>
          </cell>
          <cell r="R2029">
            <v>390</v>
          </cell>
          <cell r="S2029">
            <v>366</v>
          </cell>
          <cell r="T2029">
            <v>330</v>
          </cell>
          <cell r="U2029">
            <v>328</v>
          </cell>
          <cell r="V2029">
            <v>377</v>
          </cell>
          <cell r="W2029">
            <v>370</v>
          </cell>
          <cell r="X2029">
            <v>394</v>
          </cell>
          <cell r="Y2029">
            <v>421</v>
          </cell>
          <cell r="Z2029">
            <v>440</v>
          </cell>
          <cell r="AA2029">
            <v>457</v>
          </cell>
          <cell r="AB2029">
            <v>448</v>
          </cell>
          <cell r="AC2029">
            <v>445</v>
          </cell>
          <cell r="AD2029">
            <v>475</v>
          </cell>
          <cell r="AE2029">
            <v>491</v>
          </cell>
          <cell r="AF2029">
            <v>497</v>
          </cell>
          <cell r="AG2029">
            <v>1202</v>
          </cell>
          <cell r="AH2029">
            <v>1197</v>
          </cell>
          <cell r="AI2029">
            <v>1090</v>
          </cell>
          <cell r="AJ2029">
            <v>1032</v>
          </cell>
        </row>
        <row r="2030">
          <cell r="E2030" t="str">
            <v>WI Industrial Misc. Petro Products</v>
          </cell>
          <cell r="F2030">
            <v>442</v>
          </cell>
          <cell r="G2030">
            <v>815</v>
          </cell>
          <cell r="H2030">
            <v>535</v>
          </cell>
          <cell r="I2030">
            <v>506</v>
          </cell>
          <cell r="J2030">
            <v>565</v>
          </cell>
          <cell r="K2030">
            <v>519</v>
          </cell>
          <cell r="L2030">
            <v>3376</v>
          </cell>
          <cell r="M2030">
            <v>3706</v>
          </cell>
          <cell r="N2030">
            <v>4512</v>
          </cell>
          <cell r="O2030">
            <v>4243</v>
          </cell>
          <cell r="P2030">
            <v>4520</v>
          </cell>
          <cell r="Q2030">
            <v>947</v>
          </cell>
          <cell r="R2030">
            <v>1017</v>
          </cell>
          <cell r="S2030">
            <v>955</v>
          </cell>
          <cell r="T2030">
            <v>860</v>
          </cell>
          <cell r="U2030">
            <v>855</v>
          </cell>
          <cell r="V2030">
            <v>571</v>
          </cell>
          <cell r="W2030">
            <v>560</v>
          </cell>
          <cell r="X2030">
            <v>596</v>
          </cell>
          <cell r="Y2030">
            <v>637</v>
          </cell>
          <cell r="Z2030">
            <v>666</v>
          </cell>
          <cell r="AA2030">
            <v>691</v>
          </cell>
          <cell r="AB2030">
            <v>678</v>
          </cell>
          <cell r="AC2030">
            <v>1549</v>
          </cell>
          <cell r="AD2030">
            <v>1653</v>
          </cell>
          <cell r="AE2030">
            <v>1709</v>
          </cell>
          <cell r="AF2030">
            <v>1731</v>
          </cell>
          <cell r="AG2030">
            <v>2508</v>
          </cell>
          <cell r="AH2030">
            <v>2497</v>
          </cell>
          <cell r="AI2030">
            <v>2273</v>
          </cell>
          <cell r="AJ2030">
            <v>2153</v>
          </cell>
        </row>
        <row r="2031">
          <cell r="E2031" t="str">
            <v>WV Industrial Misc. Petro Products</v>
          </cell>
          <cell r="F2031">
            <v>8945</v>
          </cell>
          <cell r="G2031">
            <v>6187</v>
          </cell>
          <cell r="H2031">
            <v>4056</v>
          </cell>
          <cell r="I2031">
            <v>3839</v>
          </cell>
          <cell r="J2031">
            <v>4291</v>
          </cell>
          <cell r="K2031">
            <v>3937</v>
          </cell>
          <cell r="L2031">
            <v>414</v>
          </cell>
          <cell r="M2031">
            <v>454</v>
          </cell>
          <cell r="N2031">
            <v>553</v>
          </cell>
          <cell r="O2031">
            <v>520</v>
          </cell>
          <cell r="P2031">
            <v>554</v>
          </cell>
          <cell r="Q2031">
            <v>2990</v>
          </cell>
          <cell r="R2031">
            <v>3212</v>
          </cell>
          <cell r="S2031">
            <v>3015</v>
          </cell>
          <cell r="T2031">
            <v>2715</v>
          </cell>
          <cell r="U2031">
            <v>2700</v>
          </cell>
          <cell r="V2031">
            <v>1347</v>
          </cell>
          <cell r="W2031">
            <v>1321</v>
          </cell>
          <cell r="X2031">
            <v>1406</v>
          </cell>
          <cell r="Y2031">
            <v>1503</v>
          </cell>
          <cell r="Z2031">
            <v>1571</v>
          </cell>
          <cell r="AA2031">
            <v>1631</v>
          </cell>
          <cell r="AB2031">
            <v>1599</v>
          </cell>
          <cell r="AC2031">
            <v>2342</v>
          </cell>
          <cell r="AD2031">
            <v>2500</v>
          </cell>
          <cell r="AE2031">
            <v>2585</v>
          </cell>
          <cell r="AF2031">
            <v>2618</v>
          </cell>
          <cell r="AG2031">
            <v>2711</v>
          </cell>
          <cell r="AH2031">
            <v>2700</v>
          </cell>
          <cell r="AI2031">
            <v>2457</v>
          </cell>
          <cell r="AJ2031">
            <v>2327</v>
          </cell>
        </row>
        <row r="2032">
          <cell r="E2032" t="str">
            <v>WY Industrial Misc. Petro Products</v>
          </cell>
          <cell r="F2032">
            <v>0</v>
          </cell>
          <cell r="G2032">
            <v>0</v>
          </cell>
          <cell r="H2032">
            <v>0</v>
          </cell>
          <cell r="I2032">
            <v>0</v>
          </cell>
          <cell r="J2032">
            <v>0</v>
          </cell>
          <cell r="K2032">
            <v>0</v>
          </cell>
          <cell r="L2032">
            <v>33</v>
          </cell>
          <cell r="M2032">
            <v>37</v>
          </cell>
          <cell r="N2032">
            <v>45</v>
          </cell>
          <cell r="O2032">
            <v>42</v>
          </cell>
          <cell r="P2032">
            <v>45</v>
          </cell>
          <cell r="Q2032">
            <v>229</v>
          </cell>
          <cell r="R2032">
            <v>246</v>
          </cell>
          <cell r="S2032">
            <v>231</v>
          </cell>
          <cell r="T2032">
            <v>208</v>
          </cell>
          <cell r="U2032">
            <v>207</v>
          </cell>
          <cell r="V2032">
            <v>251</v>
          </cell>
          <cell r="W2032">
            <v>246</v>
          </cell>
          <cell r="X2032">
            <v>262</v>
          </cell>
          <cell r="Y2032">
            <v>280</v>
          </cell>
          <cell r="Z2032">
            <v>292</v>
          </cell>
          <cell r="AA2032">
            <v>304</v>
          </cell>
          <cell r="AB2032">
            <v>298</v>
          </cell>
          <cell r="AC2032">
            <v>272</v>
          </cell>
          <cell r="AD2032">
            <v>290</v>
          </cell>
          <cell r="AE2032">
            <v>300</v>
          </cell>
          <cell r="AF2032">
            <v>304</v>
          </cell>
          <cell r="AG2032">
            <v>307</v>
          </cell>
          <cell r="AH2032">
            <v>306</v>
          </cell>
          <cell r="AI2032">
            <v>278</v>
          </cell>
          <cell r="AJ2032">
            <v>263</v>
          </cell>
        </row>
        <row r="2033">
          <cell r="E2033" t="str">
            <v>AK Industrial Natural Gasoline</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row>
        <row r="2034">
          <cell r="E2034" t="str">
            <v>AL Industrial Natural Gasoline</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row>
        <row r="2035">
          <cell r="E2035" t="str">
            <v>AR Industrial Natural Gasoline</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row>
        <row r="2036">
          <cell r="E2036" t="str">
            <v>AZ Industrial Natural Gasoline</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row>
        <row r="2037">
          <cell r="E2037" t="str">
            <v>CA Industrial Natural Gasoline</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row>
        <row r="2038">
          <cell r="E2038" t="str">
            <v>CO Industrial Natural Gasoline</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row>
        <row r="2039">
          <cell r="E2039" t="str">
            <v>CT Industrial Natural Gasoline</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row>
        <row r="2040">
          <cell r="E2040" t="str">
            <v>DC Industrial Natural Gasoline</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row>
        <row r="2041">
          <cell r="E2041" t="str">
            <v>DE Industrial Natural Gasoline</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row>
        <row r="2042">
          <cell r="E2042" t="str">
            <v>FL Industrial Natural Gasoline</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row>
        <row r="2043">
          <cell r="E2043" t="str">
            <v>GA Industrial Natural Gasoline</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row>
        <row r="2044">
          <cell r="E2044" t="str">
            <v>HI Industrial Natural Gasoline</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row>
        <row r="2045">
          <cell r="E2045" t="str">
            <v>IA Industrial Natural Gasoline</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row>
        <row r="2046">
          <cell r="E2046" t="str">
            <v>ID Industrial Natural Gasoline</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row>
        <row r="2047">
          <cell r="E2047" t="str">
            <v>IL Industrial Natural Gasoline</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row>
        <row r="2048">
          <cell r="E2048" t="str">
            <v>IN Industrial Natural Gasoline</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row>
        <row r="2049">
          <cell r="E2049" t="str">
            <v>KS Industrial Natural Gasoline</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row>
        <row r="2050">
          <cell r="E2050" t="str">
            <v>KY Industrial Natural Gasoline</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row>
        <row r="2051">
          <cell r="E2051" t="str">
            <v>LA Industrial Natural Gasoline</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row>
        <row r="2052">
          <cell r="E2052" t="str">
            <v>MA Industrial Natural Gasoline</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row>
        <row r="2053">
          <cell r="E2053" t="str">
            <v>MD Industrial Natural Gasoline</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row>
        <row r="2054">
          <cell r="E2054" t="str">
            <v>ME Industrial Natural Gasoline</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row>
        <row r="2055">
          <cell r="E2055" t="str">
            <v>MI Industrial Natural Gasoline</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row>
        <row r="2056">
          <cell r="E2056" t="str">
            <v>MN Industrial Natural Gasoline</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row>
        <row r="2057">
          <cell r="E2057" t="str">
            <v>MO Industrial Natural Gasoline</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row>
        <row r="2058">
          <cell r="E2058" t="str">
            <v>MS Industrial Natural Gasoline</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row>
        <row r="2059">
          <cell r="E2059" t="str">
            <v>MT Industrial Natural Gasoline</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row>
        <row r="2060">
          <cell r="E2060" t="str">
            <v>NC Industrial Natural Gasoline</v>
          </cell>
          <cell r="F2060">
            <v>0</v>
          </cell>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row>
        <row r="2061">
          <cell r="E2061" t="str">
            <v>ND Industrial Natural Gasoline</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row>
        <row r="2062">
          <cell r="E2062" t="str">
            <v>NE Industrial Natural Gasoline</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row>
        <row r="2063">
          <cell r="E2063" t="str">
            <v>NH Industrial Natural Gasoline</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row>
        <row r="2064">
          <cell r="E2064" t="str">
            <v>NJ Industrial Natural Gasoline</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row>
        <row r="2065">
          <cell r="E2065" t="str">
            <v>NM Industrial Natural Gasoline</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row>
        <row r="2066">
          <cell r="E2066" t="str">
            <v>NV Industrial Natural Gasoline</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row>
        <row r="2067">
          <cell r="E2067" t="str">
            <v>NY Industrial Natural Gasoline</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row>
        <row r="2068">
          <cell r="E2068" t="str">
            <v>OH Industrial Natural Gasoline</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row>
        <row r="2069">
          <cell r="E2069" t="str">
            <v>OK Industrial Natural Gasoline</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row>
        <row r="2070">
          <cell r="E2070" t="str">
            <v>OR Industrial Natural Gasoline</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row>
        <row r="2071">
          <cell r="E2071" t="str">
            <v>PA Industrial Natural Gasoline</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row>
        <row r="2072">
          <cell r="E2072" t="str">
            <v>RI Industrial Natural Gasoline</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row>
        <row r="2073">
          <cell r="E2073" t="str">
            <v>SC Industrial Natural Gasoline</v>
          </cell>
          <cell r="F2073">
            <v>0</v>
          </cell>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row>
        <row r="2074">
          <cell r="E2074" t="str">
            <v>SD Industrial Natural Gasoline</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row>
        <row r="2075">
          <cell r="E2075" t="str">
            <v>TN Industrial Natural Gasoline</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row>
        <row r="2076">
          <cell r="E2076" t="str">
            <v>TX Industrial Natural Gasoline</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row>
        <row r="2077">
          <cell r="E2077" t="str">
            <v>US Industrial Natural Gasoline</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row>
        <row r="2078">
          <cell r="E2078" t="str">
            <v>UT Industrial Natural Gasoline</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row>
        <row r="2079">
          <cell r="E2079" t="str">
            <v>VA Industrial Natural Gasoline</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row>
        <row r="2080">
          <cell r="E2080" t="str">
            <v>VT Industrial Natural Gasoline</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row>
        <row r="2081">
          <cell r="E2081" t="str">
            <v>WA Industrial Natural Gasoline</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row>
        <row r="2082">
          <cell r="E2082" t="str">
            <v>WI Industrial Natural Gasoline</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row>
        <row r="2083">
          <cell r="E2083" t="str">
            <v>WV Industrial Natural Gasoline</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row>
        <row r="2084">
          <cell r="E2084" t="str">
            <v>WY Industrial Natural Gasoline</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row>
        <row r="2085">
          <cell r="E2085" t="str">
            <v>AK Transportation Natural Gas</v>
          </cell>
          <cell r="F2085">
            <v>1616</v>
          </cell>
          <cell r="G2085">
            <v>2602</v>
          </cell>
          <cell r="H2085">
            <v>2870</v>
          </cell>
          <cell r="I2085">
            <v>2840</v>
          </cell>
          <cell r="J2085">
            <v>3027</v>
          </cell>
          <cell r="K2085">
            <v>2440</v>
          </cell>
          <cell r="L2085">
            <v>1990</v>
          </cell>
          <cell r="M2085">
            <v>4945</v>
          </cell>
          <cell r="N2085">
            <v>5566</v>
          </cell>
          <cell r="O2085">
            <v>7258</v>
          </cell>
          <cell r="P2085">
            <v>7575</v>
          </cell>
          <cell r="Q2085">
            <v>5136</v>
          </cell>
          <cell r="R2085">
            <v>4391</v>
          </cell>
          <cell r="S2085">
            <v>4096</v>
          </cell>
          <cell r="T2085">
            <v>3830</v>
          </cell>
          <cell r="U2085">
            <v>2665</v>
          </cell>
          <cell r="V2085">
            <v>2866</v>
          </cell>
          <cell r="W2085">
            <v>2156</v>
          </cell>
          <cell r="X2085">
            <v>2086</v>
          </cell>
          <cell r="Y2085">
            <v>2351</v>
          </cell>
          <cell r="Z2085">
            <v>3320</v>
          </cell>
          <cell r="AA2085">
            <v>3464</v>
          </cell>
          <cell r="AB2085">
            <v>4032</v>
          </cell>
          <cell r="AC2085">
            <v>554</v>
          </cell>
          <cell r="AD2085">
            <v>337</v>
          </cell>
          <cell r="AE2085">
            <v>626</v>
          </cell>
          <cell r="AF2085">
            <v>454</v>
          </cell>
          <cell r="AG2085">
            <v>349</v>
          </cell>
          <cell r="AH2085">
            <v>551</v>
          </cell>
          <cell r="AI2085">
            <v>357</v>
          </cell>
          <cell r="AJ2085">
            <v>382</v>
          </cell>
        </row>
        <row r="2086">
          <cell r="E2086" t="str">
            <v>AL Transportation Natural Gas</v>
          </cell>
          <cell r="F2086">
            <v>15063</v>
          </cell>
          <cell r="G2086">
            <v>16928</v>
          </cell>
          <cell r="H2086">
            <v>19168</v>
          </cell>
          <cell r="I2086">
            <v>16046</v>
          </cell>
          <cell r="J2086">
            <v>15373</v>
          </cell>
          <cell r="K2086">
            <v>20676</v>
          </cell>
          <cell r="L2086">
            <v>19808</v>
          </cell>
          <cell r="M2086">
            <v>21605</v>
          </cell>
          <cell r="N2086">
            <v>20789</v>
          </cell>
          <cell r="O2086">
            <v>22965</v>
          </cell>
          <cell r="P2086">
            <v>23693</v>
          </cell>
          <cell r="Q2086">
            <v>20704</v>
          </cell>
          <cell r="R2086">
            <v>22480</v>
          </cell>
          <cell r="S2086">
            <v>19574</v>
          </cell>
          <cell r="T2086">
            <v>16419</v>
          </cell>
          <cell r="U2086">
            <v>15586</v>
          </cell>
          <cell r="V2086">
            <v>15403</v>
          </cell>
          <cell r="W2086">
            <v>16192</v>
          </cell>
          <cell r="X2086">
            <v>16874</v>
          </cell>
          <cell r="Y2086">
            <v>19438</v>
          </cell>
          <cell r="Z2086">
            <v>22575</v>
          </cell>
          <cell r="AA2086">
            <v>23664</v>
          </cell>
          <cell r="AB2086">
            <v>25951</v>
          </cell>
          <cell r="AC2086">
            <v>22718</v>
          </cell>
          <cell r="AD2086">
            <v>19577</v>
          </cell>
          <cell r="AE2086">
            <v>22409</v>
          </cell>
          <cell r="AF2086">
            <v>21970</v>
          </cell>
          <cell r="AG2086">
            <v>21911</v>
          </cell>
          <cell r="AH2086">
            <v>26168</v>
          </cell>
          <cell r="AI2086">
            <v>24630</v>
          </cell>
          <cell r="AJ2086">
            <v>26261</v>
          </cell>
        </row>
        <row r="2087">
          <cell r="E2087" t="str">
            <v>AR Transportation Natural Gas</v>
          </cell>
          <cell r="F2087">
            <v>8709</v>
          </cell>
          <cell r="G2087">
            <v>8478</v>
          </cell>
          <cell r="H2087">
            <v>8140</v>
          </cell>
          <cell r="I2087">
            <v>9783</v>
          </cell>
          <cell r="J2087">
            <v>12125</v>
          </cell>
          <cell r="K2087">
            <v>12453</v>
          </cell>
          <cell r="L2087">
            <v>12882</v>
          </cell>
          <cell r="M2087">
            <v>11812</v>
          </cell>
          <cell r="N2087">
            <v>10527</v>
          </cell>
          <cell r="O2087">
            <v>9241</v>
          </cell>
          <cell r="P2087">
            <v>9025</v>
          </cell>
          <cell r="Q2087">
            <v>8917</v>
          </cell>
          <cell r="R2087">
            <v>8174</v>
          </cell>
          <cell r="S2087">
            <v>8785</v>
          </cell>
          <cell r="T2087">
            <v>8036</v>
          </cell>
          <cell r="U2087">
            <v>9039</v>
          </cell>
          <cell r="V2087">
            <v>10968</v>
          </cell>
          <cell r="W2087">
            <v>10345</v>
          </cell>
          <cell r="X2087">
            <v>10025</v>
          </cell>
          <cell r="Y2087">
            <v>9241</v>
          </cell>
          <cell r="Z2087">
            <v>9631</v>
          </cell>
          <cell r="AA2087">
            <v>11476</v>
          </cell>
          <cell r="AB2087">
            <v>10734</v>
          </cell>
          <cell r="AC2087">
            <v>11685</v>
          </cell>
          <cell r="AD2087">
            <v>11844</v>
          </cell>
          <cell r="AE2087">
            <v>8938</v>
          </cell>
          <cell r="AF2087">
            <v>8371</v>
          </cell>
          <cell r="AG2087">
            <v>6896</v>
          </cell>
          <cell r="AH2087">
            <v>7427</v>
          </cell>
          <cell r="AI2087">
            <v>7861</v>
          </cell>
          <cell r="AJ2087">
            <v>6296</v>
          </cell>
        </row>
        <row r="2088">
          <cell r="E2088" t="str">
            <v>AZ Transportation Natural Gas</v>
          </cell>
          <cell r="F2088">
            <v>26094</v>
          </cell>
          <cell r="G2088">
            <v>24149</v>
          </cell>
          <cell r="H2088">
            <v>24254</v>
          </cell>
          <cell r="I2088">
            <v>18013</v>
          </cell>
          <cell r="J2088">
            <v>25815</v>
          </cell>
          <cell r="K2088">
            <v>19318</v>
          </cell>
          <cell r="L2088">
            <v>17794</v>
          </cell>
          <cell r="M2088">
            <v>19395</v>
          </cell>
          <cell r="N2088">
            <v>20528</v>
          </cell>
          <cell r="O2088">
            <v>19606</v>
          </cell>
          <cell r="P2088">
            <v>21667</v>
          </cell>
          <cell r="Q2088">
            <v>23232</v>
          </cell>
          <cell r="R2088">
            <v>21535</v>
          </cell>
          <cell r="S2088">
            <v>19629</v>
          </cell>
          <cell r="T2088">
            <v>17494</v>
          </cell>
          <cell r="U2088">
            <v>19900</v>
          </cell>
          <cell r="V2088">
            <v>23030</v>
          </cell>
          <cell r="W2088">
            <v>22983</v>
          </cell>
          <cell r="X2088">
            <v>24832</v>
          </cell>
          <cell r="Y2088">
            <v>23361</v>
          </cell>
          <cell r="Z2088">
            <v>17754</v>
          </cell>
          <cell r="AA2088">
            <v>15063</v>
          </cell>
          <cell r="AB2088">
            <v>14369</v>
          </cell>
          <cell r="AC2088">
            <v>14724</v>
          </cell>
          <cell r="AD2088">
            <v>16170</v>
          </cell>
          <cell r="AE2088">
            <v>18208</v>
          </cell>
          <cell r="AF2088">
            <v>16851</v>
          </cell>
          <cell r="AG2088">
            <v>14865</v>
          </cell>
          <cell r="AH2088">
            <v>14549</v>
          </cell>
          <cell r="AI2088">
            <v>18076</v>
          </cell>
          <cell r="AJ2088">
            <v>18990</v>
          </cell>
        </row>
        <row r="2089">
          <cell r="E2089" t="str">
            <v>CA Transportation Natural Gas</v>
          </cell>
          <cell r="F2089">
            <v>20780</v>
          </cell>
          <cell r="G2089">
            <v>19006</v>
          </cell>
          <cell r="H2089">
            <v>15611</v>
          </cell>
          <cell r="I2089">
            <v>12826</v>
          </cell>
          <cell r="J2089">
            <v>12969</v>
          </cell>
          <cell r="K2089">
            <v>20001</v>
          </cell>
          <cell r="L2089">
            <v>20060</v>
          </cell>
          <cell r="M2089">
            <v>24434</v>
          </cell>
          <cell r="N2089">
            <v>10867</v>
          </cell>
          <cell r="O2089">
            <v>11611</v>
          </cell>
          <cell r="P2089">
            <v>11527</v>
          </cell>
          <cell r="Q2089">
            <v>13837</v>
          </cell>
          <cell r="R2089">
            <v>12648</v>
          </cell>
          <cell r="S2089">
            <v>12330</v>
          </cell>
          <cell r="T2089">
            <v>17144</v>
          </cell>
          <cell r="U2089">
            <v>20653</v>
          </cell>
          <cell r="V2089">
            <v>17297</v>
          </cell>
          <cell r="W2089">
            <v>20595</v>
          </cell>
          <cell r="X2089">
            <v>19987</v>
          </cell>
          <cell r="Y2089">
            <v>19706</v>
          </cell>
          <cell r="Z2089">
            <v>23814</v>
          </cell>
          <cell r="AA2089">
            <v>25415</v>
          </cell>
          <cell r="AB2089">
            <v>28136</v>
          </cell>
          <cell r="AC2089">
            <v>25234</v>
          </cell>
          <cell r="AD2089">
            <v>39631</v>
          </cell>
          <cell r="AE2089">
            <v>36827</v>
          </cell>
          <cell r="AF2089">
            <v>42655</v>
          </cell>
          <cell r="AG2089">
            <v>45925</v>
          </cell>
          <cell r="AH2089">
            <v>45395</v>
          </cell>
          <cell r="AI2089">
            <v>50252</v>
          </cell>
          <cell r="AJ2089">
            <v>43757</v>
          </cell>
        </row>
        <row r="2090">
          <cell r="E2090" t="str">
            <v>CO Transportation Natural Gas</v>
          </cell>
          <cell r="F2090">
            <v>9152</v>
          </cell>
          <cell r="G2090">
            <v>8607</v>
          </cell>
          <cell r="H2090">
            <v>8508</v>
          </cell>
          <cell r="I2090">
            <v>7810</v>
          </cell>
          <cell r="J2090">
            <v>10130</v>
          </cell>
          <cell r="K2090">
            <v>11630</v>
          </cell>
          <cell r="L2090">
            <v>11285</v>
          </cell>
          <cell r="M2090">
            <v>12839</v>
          </cell>
          <cell r="N2090">
            <v>9677</v>
          </cell>
          <cell r="O2090">
            <v>8853</v>
          </cell>
          <cell r="P2090">
            <v>9780</v>
          </cell>
          <cell r="Q2090">
            <v>10830</v>
          </cell>
          <cell r="R2090">
            <v>11595</v>
          </cell>
          <cell r="S2090">
            <v>10479</v>
          </cell>
          <cell r="T2090">
            <v>11105</v>
          </cell>
          <cell r="U2090">
            <v>13841</v>
          </cell>
          <cell r="V2090">
            <v>13485</v>
          </cell>
          <cell r="W2090">
            <v>14376</v>
          </cell>
          <cell r="X2090">
            <v>16273</v>
          </cell>
          <cell r="Y2090">
            <v>17570</v>
          </cell>
          <cell r="Z2090">
            <v>14589</v>
          </cell>
          <cell r="AA2090">
            <v>14677</v>
          </cell>
          <cell r="AB2090">
            <v>11498</v>
          </cell>
          <cell r="AC2090">
            <v>9694</v>
          </cell>
          <cell r="AD2090">
            <v>10183</v>
          </cell>
          <cell r="AE2090">
            <v>9808</v>
          </cell>
          <cell r="AF2090">
            <v>7964</v>
          </cell>
          <cell r="AG2090">
            <v>8599</v>
          </cell>
          <cell r="AH2090">
            <v>11434</v>
          </cell>
          <cell r="AI2090">
            <v>13717</v>
          </cell>
          <cell r="AJ2090">
            <v>11886</v>
          </cell>
        </row>
        <row r="2091">
          <cell r="E2091" t="str">
            <v>CT Transportation Natural Gas</v>
          </cell>
          <cell r="F2091">
            <v>502</v>
          </cell>
          <cell r="G2091">
            <v>539</v>
          </cell>
          <cell r="H2091">
            <v>632</v>
          </cell>
          <cell r="I2091">
            <v>504</v>
          </cell>
          <cell r="J2091">
            <v>753</v>
          </cell>
          <cell r="K2091">
            <v>1226</v>
          </cell>
          <cell r="L2091">
            <v>1494</v>
          </cell>
          <cell r="M2091">
            <v>2650</v>
          </cell>
          <cell r="N2091">
            <v>953</v>
          </cell>
          <cell r="O2091">
            <v>3136</v>
          </cell>
          <cell r="P2091">
            <v>3240</v>
          </cell>
          <cell r="Q2091">
            <v>3167</v>
          </cell>
          <cell r="R2091">
            <v>2730</v>
          </cell>
          <cell r="S2091">
            <v>3659</v>
          </cell>
          <cell r="T2091">
            <v>3676</v>
          </cell>
          <cell r="U2091">
            <v>3511</v>
          </cell>
          <cell r="V2091">
            <v>3345</v>
          </cell>
          <cell r="W2091">
            <v>4556</v>
          </cell>
          <cell r="X2091">
            <v>4394</v>
          </cell>
          <cell r="Y2091">
            <v>6017</v>
          </cell>
          <cell r="Z2091">
            <v>6952</v>
          </cell>
          <cell r="AA2091">
            <v>6503</v>
          </cell>
          <cell r="AB2091">
            <v>4924</v>
          </cell>
          <cell r="AC2091">
            <v>4513</v>
          </cell>
          <cell r="AD2091">
            <v>4846</v>
          </cell>
          <cell r="AE2091">
            <v>5255</v>
          </cell>
          <cell r="AF2091">
            <v>4480</v>
          </cell>
          <cell r="AG2091">
            <v>5790</v>
          </cell>
          <cell r="AH2091">
            <v>6191</v>
          </cell>
          <cell r="AI2091">
            <v>6977</v>
          </cell>
          <cell r="AJ2091">
            <v>7053</v>
          </cell>
        </row>
        <row r="2092">
          <cell r="E2092" t="str">
            <v>DC Transportation Natural Gas</v>
          </cell>
          <cell r="F2092">
            <v>255</v>
          </cell>
          <cell r="G2092">
            <v>267</v>
          </cell>
          <cell r="H2092">
            <v>268</v>
          </cell>
          <cell r="I2092">
            <v>277</v>
          </cell>
          <cell r="J2092">
            <v>245</v>
          </cell>
          <cell r="K2092">
            <v>279</v>
          </cell>
          <cell r="L2092">
            <v>273</v>
          </cell>
          <cell r="M2092">
            <v>297</v>
          </cell>
          <cell r="N2092">
            <v>311</v>
          </cell>
          <cell r="O2092">
            <v>309</v>
          </cell>
          <cell r="P2092">
            <v>317</v>
          </cell>
          <cell r="Q2092">
            <v>317</v>
          </cell>
          <cell r="R2092">
            <v>324</v>
          </cell>
          <cell r="S2092">
            <v>575</v>
          </cell>
          <cell r="T2092">
            <v>583</v>
          </cell>
          <cell r="U2092">
            <v>578</v>
          </cell>
          <cell r="V2092">
            <v>543</v>
          </cell>
          <cell r="W2092">
            <v>306</v>
          </cell>
          <cell r="X2092">
            <v>255</v>
          </cell>
          <cell r="Y2092">
            <v>1042</v>
          </cell>
          <cell r="Z2092">
            <v>1111</v>
          </cell>
          <cell r="AA2092">
            <v>2623</v>
          </cell>
          <cell r="AB2092">
            <v>1994</v>
          </cell>
          <cell r="AC2092">
            <v>2364</v>
          </cell>
          <cell r="AD2092">
            <v>2198</v>
          </cell>
          <cell r="AE2092">
            <v>1701</v>
          </cell>
          <cell r="AF2092">
            <v>1943</v>
          </cell>
          <cell r="AG2092">
            <v>1573</v>
          </cell>
          <cell r="AH2092">
            <v>1819</v>
          </cell>
          <cell r="AI2092">
            <v>2426</v>
          </cell>
          <cell r="AJ2092">
            <v>808</v>
          </cell>
        </row>
        <row r="2093">
          <cell r="E2093" t="str">
            <v>DE Transportation Natural Gas</v>
          </cell>
          <cell r="F2093">
            <v>4</v>
          </cell>
          <cell r="G2093">
            <v>4</v>
          </cell>
          <cell r="H2093">
            <v>4</v>
          </cell>
          <cell r="I2093">
            <v>4</v>
          </cell>
          <cell r="J2093">
            <v>14</v>
          </cell>
          <cell r="K2093">
            <v>20</v>
          </cell>
          <cell r="L2093">
            <v>25</v>
          </cell>
          <cell r="M2093">
            <v>37</v>
          </cell>
          <cell r="N2093">
            <v>48</v>
          </cell>
          <cell r="O2093">
            <v>87</v>
          </cell>
          <cell r="P2093">
            <v>106</v>
          </cell>
          <cell r="Q2093">
            <v>71</v>
          </cell>
          <cell r="R2093">
            <v>98</v>
          </cell>
          <cell r="S2093">
            <v>94</v>
          </cell>
          <cell r="T2093">
            <v>105</v>
          </cell>
          <cell r="U2093">
            <v>51</v>
          </cell>
          <cell r="V2093">
            <v>24</v>
          </cell>
          <cell r="W2093">
            <v>22</v>
          </cell>
          <cell r="X2093">
            <v>23</v>
          </cell>
          <cell r="Y2093">
            <v>24</v>
          </cell>
          <cell r="Z2093">
            <v>144</v>
          </cell>
          <cell r="AA2093">
            <v>479</v>
          </cell>
          <cell r="AB2093">
            <v>1076</v>
          </cell>
          <cell r="AC2093">
            <v>1016</v>
          </cell>
          <cell r="AD2093">
            <v>1100</v>
          </cell>
          <cell r="AE2093">
            <v>1186</v>
          </cell>
          <cell r="AF2093">
            <v>998</v>
          </cell>
          <cell r="AG2093">
            <v>911</v>
          </cell>
          <cell r="AH2093">
            <v>768</v>
          </cell>
          <cell r="AI2093">
            <v>591</v>
          </cell>
          <cell r="AJ2093">
            <v>609</v>
          </cell>
        </row>
        <row r="2094">
          <cell r="E2094" t="str">
            <v>FL Transportation Natural Gas</v>
          </cell>
          <cell r="F2094">
            <v>3024</v>
          </cell>
          <cell r="G2094">
            <v>3818</v>
          </cell>
          <cell r="H2094">
            <v>4850</v>
          </cell>
          <cell r="I2094">
            <v>4873</v>
          </cell>
          <cell r="J2094">
            <v>6096</v>
          </cell>
          <cell r="K2094">
            <v>8176</v>
          </cell>
          <cell r="L2094">
            <v>6594</v>
          </cell>
          <cell r="M2094">
            <v>6234</v>
          </cell>
          <cell r="N2094">
            <v>4315</v>
          </cell>
          <cell r="O2094">
            <v>7478</v>
          </cell>
          <cell r="P2094">
            <v>8323</v>
          </cell>
          <cell r="Q2094">
            <v>7462</v>
          </cell>
          <cell r="R2094">
            <v>11999</v>
          </cell>
          <cell r="S2094">
            <v>10581</v>
          </cell>
          <cell r="T2094">
            <v>11643</v>
          </cell>
          <cell r="U2094">
            <v>9940</v>
          </cell>
          <cell r="V2094">
            <v>12557</v>
          </cell>
          <cell r="W2094">
            <v>10703</v>
          </cell>
          <cell r="X2094">
            <v>9990</v>
          </cell>
          <cell r="Y2094">
            <v>10812</v>
          </cell>
          <cell r="Z2094">
            <v>23412</v>
          </cell>
          <cell r="AA2094">
            <v>13836</v>
          </cell>
          <cell r="AB2094">
            <v>16751</v>
          </cell>
          <cell r="AC2094">
            <v>12894</v>
          </cell>
          <cell r="AD2094">
            <v>3872</v>
          </cell>
          <cell r="AE2094">
            <v>17584</v>
          </cell>
          <cell r="AF2094">
            <v>19824</v>
          </cell>
          <cell r="AG2094">
            <v>21848</v>
          </cell>
          <cell r="AH2094">
            <v>21706</v>
          </cell>
          <cell r="AI2094">
            <v>22229</v>
          </cell>
          <cell r="AJ2094">
            <v>22096</v>
          </cell>
        </row>
        <row r="2095">
          <cell r="E2095" t="str">
            <v>GA Transportation Natural Gas</v>
          </cell>
          <cell r="F2095">
            <v>7540</v>
          </cell>
          <cell r="G2095">
            <v>7633</v>
          </cell>
          <cell r="H2095">
            <v>7689</v>
          </cell>
          <cell r="I2095">
            <v>7323</v>
          </cell>
          <cell r="J2095">
            <v>7317</v>
          </cell>
          <cell r="K2095">
            <v>8021</v>
          </cell>
          <cell r="L2095">
            <v>8883</v>
          </cell>
          <cell r="M2095">
            <v>8519</v>
          </cell>
          <cell r="N2095">
            <v>8160</v>
          </cell>
          <cell r="O2095">
            <v>9515</v>
          </cell>
          <cell r="P2095">
            <v>6206</v>
          </cell>
          <cell r="Q2095">
            <v>8204</v>
          </cell>
          <cell r="R2095">
            <v>8726</v>
          </cell>
          <cell r="S2095">
            <v>8149</v>
          </cell>
          <cell r="T2095">
            <v>7163</v>
          </cell>
          <cell r="U2095">
            <v>6862</v>
          </cell>
          <cell r="V2095">
            <v>7275</v>
          </cell>
          <cell r="W2095">
            <v>6402</v>
          </cell>
          <cell r="X2095">
            <v>7225</v>
          </cell>
          <cell r="Y2095">
            <v>7971</v>
          </cell>
          <cell r="Z2095">
            <v>9590</v>
          </cell>
          <cell r="AA2095">
            <v>11741</v>
          </cell>
          <cell r="AB2095">
            <v>11790</v>
          </cell>
          <cell r="AC2095">
            <v>9108</v>
          </cell>
          <cell r="AD2095">
            <v>8192</v>
          </cell>
          <cell r="AE2095">
            <v>9203</v>
          </cell>
          <cell r="AF2095">
            <v>8065</v>
          </cell>
          <cell r="AG2095">
            <v>9060</v>
          </cell>
          <cell r="AH2095">
            <v>17741</v>
          </cell>
          <cell r="AI2095">
            <v>7685</v>
          </cell>
          <cell r="AJ2095">
            <v>7736</v>
          </cell>
        </row>
        <row r="2096">
          <cell r="E2096" t="str">
            <v>HI Transportation Natural Gas</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2</v>
          </cell>
          <cell r="U2096">
            <v>3</v>
          </cell>
          <cell r="V2096">
            <v>2</v>
          </cell>
          <cell r="W2096">
            <v>3</v>
          </cell>
          <cell r="X2096">
            <v>2</v>
          </cell>
          <cell r="Y2096">
            <v>2</v>
          </cell>
          <cell r="Z2096">
            <v>2</v>
          </cell>
          <cell r="AA2096">
            <v>2</v>
          </cell>
          <cell r="AB2096">
            <v>3</v>
          </cell>
          <cell r="AC2096">
            <v>11</v>
          </cell>
          <cell r="AD2096">
            <v>1</v>
          </cell>
          <cell r="AE2096">
            <v>2</v>
          </cell>
          <cell r="AF2096">
            <v>2</v>
          </cell>
          <cell r="AG2096">
            <v>2</v>
          </cell>
          <cell r="AH2096">
            <v>2</v>
          </cell>
          <cell r="AI2096">
            <v>0</v>
          </cell>
          <cell r="AJ2096">
            <v>1</v>
          </cell>
        </row>
        <row r="2097">
          <cell r="E2097" t="str">
            <v>IA Transportation Natural Gas</v>
          </cell>
          <cell r="F2097">
            <v>9213</v>
          </cell>
          <cell r="G2097">
            <v>6701</v>
          </cell>
          <cell r="H2097">
            <v>6976</v>
          </cell>
          <cell r="I2097">
            <v>7364</v>
          </cell>
          <cell r="J2097">
            <v>10833</v>
          </cell>
          <cell r="K2097">
            <v>11121</v>
          </cell>
          <cell r="L2097">
            <v>12746</v>
          </cell>
          <cell r="M2097">
            <v>11442</v>
          </cell>
          <cell r="N2097">
            <v>8899</v>
          </cell>
          <cell r="O2097">
            <v>7937</v>
          </cell>
          <cell r="P2097">
            <v>8348</v>
          </cell>
          <cell r="Q2097">
            <v>9061</v>
          </cell>
          <cell r="R2097">
            <v>11048</v>
          </cell>
          <cell r="S2097">
            <v>9976</v>
          </cell>
          <cell r="T2097">
            <v>10283</v>
          </cell>
          <cell r="U2097">
            <v>11697</v>
          </cell>
          <cell r="V2097">
            <v>12685</v>
          </cell>
          <cell r="W2097">
            <v>12446</v>
          </cell>
          <cell r="X2097">
            <v>14242</v>
          </cell>
          <cell r="Y2097">
            <v>13942</v>
          </cell>
          <cell r="Z2097">
            <v>11106</v>
          </cell>
          <cell r="AA2097">
            <v>10907</v>
          </cell>
          <cell r="AB2097">
            <v>10282</v>
          </cell>
          <cell r="AC2097">
            <v>11746</v>
          </cell>
          <cell r="AD2097">
            <v>13237</v>
          </cell>
          <cell r="AE2097">
            <v>11527</v>
          </cell>
          <cell r="AF2097">
            <v>9427</v>
          </cell>
          <cell r="AG2097">
            <v>11085</v>
          </cell>
          <cell r="AH2097">
            <v>12990</v>
          </cell>
          <cell r="AI2097">
            <v>12721</v>
          </cell>
          <cell r="AJ2097">
            <v>10668</v>
          </cell>
        </row>
        <row r="2098">
          <cell r="E2098" t="str">
            <v>ID Transportation Natural Gas</v>
          </cell>
          <cell r="F2098">
            <v>5223</v>
          </cell>
          <cell r="G2098">
            <v>4740</v>
          </cell>
          <cell r="H2098">
            <v>3378</v>
          </cell>
          <cell r="I2098">
            <v>3925</v>
          </cell>
          <cell r="J2098">
            <v>4933</v>
          </cell>
          <cell r="K2098">
            <v>6577</v>
          </cell>
          <cell r="L2098">
            <v>6148</v>
          </cell>
          <cell r="M2098">
            <v>5381</v>
          </cell>
          <cell r="N2098">
            <v>5740</v>
          </cell>
          <cell r="O2098">
            <v>4721</v>
          </cell>
          <cell r="P2098">
            <v>6128</v>
          </cell>
          <cell r="Q2098">
            <v>6740</v>
          </cell>
          <cell r="R2098">
            <v>6221</v>
          </cell>
          <cell r="S2098">
            <v>4767</v>
          </cell>
          <cell r="T2098">
            <v>6099</v>
          </cell>
          <cell r="U2098">
            <v>5717</v>
          </cell>
          <cell r="V2098">
            <v>6894</v>
          </cell>
          <cell r="W2098">
            <v>7803</v>
          </cell>
          <cell r="X2098">
            <v>7096</v>
          </cell>
          <cell r="Y2098">
            <v>7262</v>
          </cell>
          <cell r="Z2098">
            <v>7916</v>
          </cell>
          <cell r="AA2098">
            <v>5426</v>
          </cell>
          <cell r="AB2098">
            <v>5953</v>
          </cell>
          <cell r="AC2098">
            <v>6228</v>
          </cell>
          <cell r="AD2098">
            <v>4122</v>
          </cell>
          <cell r="AE2098">
            <v>5335</v>
          </cell>
          <cell r="AF2098">
            <v>5950</v>
          </cell>
          <cell r="AG2098">
            <v>6189</v>
          </cell>
          <cell r="AH2098">
            <v>6868</v>
          </cell>
          <cell r="AI2098">
            <v>7773</v>
          </cell>
          <cell r="AJ2098">
            <v>6829</v>
          </cell>
        </row>
        <row r="2099">
          <cell r="E2099" t="str">
            <v>IL Transportation Natural Gas</v>
          </cell>
          <cell r="F2099">
            <v>12383</v>
          </cell>
          <cell r="G2099">
            <v>11287</v>
          </cell>
          <cell r="H2099">
            <v>11589</v>
          </cell>
          <cell r="I2099">
            <v>11934</v>
          </cell>
          <cell r="J2099">
            <v>14192</v>
          </cell>
          <cell r="K2099">
            <v>13579</v>
          </cell>
          <cell r="L2099">
            <v>14800</v>
          </cell>
          <cell r="M2099">
            <v>15046</v>
          </cell>
          <cell r="N2099">
            <v>13484</v>
          </cell>
          <cell r="O2099">
            <v>11838</v>
          </cell>
          <cell r="P2099">
            <v>13820</v>
          </cell>
          <cell r="Q2099">
            <v>11375</v>
          </cell>
          <cell r="R2099">
            <v>13670</v>
          </cell>
          <cell r="S2099">
            <v>10987</v>
          </cell>
          <cell r="T2099">
            <v>11742</v>
          </cell>
          <cell r="U2099">
            <v>11337</v>
          </cell>
          <cell r="V2099">
            <v>11315</v>
          </cell>
          <cell r="W2099">
            <v>11819</v>
          </cell>
          <cell r="X2099">
            <v>13695</v>
          </cell>
          <cell r="Y2099">
            <v>25192</v>
          </cell>
          <cell r="Z2099">
            <v>20312</v>
          </cell>
          <cell r="AA2099">
            <v>22327</v>
          </cell>
          <cell r="AB2099">
            <v>25274</v>
          </cell>
          <cell r="AC2099">
            <v>27662</v>
          </cell>
          <cell r="AD2099">
            <v>31784</v>
          </cell>
          <cell r="AE2099">
            <v>27765</v>
          </cell>
          <cell r="AF2099">
            <v>24822</v>
          </cell>
          <cell r="AG2099">
            <v>23298</v>
          </cell>
          <cell r="AH2099">
            <v>27113</v>
          </cell>
          <cell r="AI2099">
            <v>29700</v>
          </cell>
          <cell r="AJ2099">
            <v>21942</v>
          </cell>
        </row>
        <row r="2100">
          <cell r="E2100" t="str">
            <v>IN Transportation Natural Gas</v>
          </cell>
          <cell r="F2100">
            <v>8623</v>
          </cell>
          <cell r="G2100">
            <v>4732</v>
          </cell>
          <cell r="H2100">
            <v>4837</v>
          </cell>
          <cell r="I2100">
            <v>6919</v>
          </cell>
          <cell r="J2100">
            <v>7037</v>
          </cell>
          <cell r="K2100">
            <v>7786</v>
          </cell>
          <cell r="L2100">
            <v>12697</v>
          </cell>
          <cell r="M2100">
            <v>11098</v>
          </cell>
          <cell r="N2100">
            <v>7674</v>
          </cell>
          <cell r="O2100">
            <v>7682</v>
          </cell>
          <cell r="P2100">
            <v>6066</v>
          </cell>
          <cell r="Q2100">
            <v>7502</v>
          </cell>
          <cell r="R2100">
            <v>5621</v>
          </cell>
          <cell r="S2100">
            <v>7722</v>
          </cell>
          <cell r="T2100">
            <v>7393</v>
          </cell>
          <cell r="U2100">
            <v>6867</v>
          </cell>
          <cell r="V2100">
            <v>6554</v>
          </cell>
          <cell r="W2100">
            <v>7329</v>
          </cell>
          <cell r="X2100">
            <v>7276</v>
          </cell>
          <cell r="Y2100">
            <v>6775</v>
          </cell>
          <cell r="Z2100">
            <v>8837</v>
          </cell>
          <cell r="AA2100">
            <v>10401</v>
          </cell>
          <cell r="AB2100">
            <v>7311</v>
          </cell>
          <cell r="AC2100">
            <v>7557</v>
          </cell>
          <cell r="AD2100">
            <v>7494</v>
          </cell>
          <cell r="AE2100">
            <v>7331</v>
          </cell>
          <cell r="AF2100">
            <v>9430</v>
          </cell>
          <cell r="AG2100">
            <v>9511</v>
          </cell>
          <cell r="AH2100">
            <v>8319</v>
          </cell>
          <cell r="AI2100">
            <v>11784</v>
          </cell>
          <cell r="AJ2100">
            <v>9909</v>
          </cell>
        </row>
        <row r="2101">
          <cell r="E2101" t="str">
            <v>KS Transportation Natural Gas</v>
          </cell>
          <cell r="F2101">
            <v>40564</v>
          </cell>
          <cell r="G2101">
            <v>33243</v>
          </cell>
          <cell r="H2101">
            <v>28823</v>
          </cell>
          <cell r="I2101">
            <v>32932</v>
          </cell>
          <cell r="J2101">
            <v>31696</v>
          </cell>
          <cell r="K2101">
            <v>34739</v>
          </cell>
          <cell r="L2101">
            <v>38144</v>
          </cell>
          <cell r="M2101">
            <v>39202</v>
          </cell>
          <cell r="N2101">
            <v>32699</v>
          </cell>
          <cell r="O2101">
            <v>31604</v>
          </cell>
          <cell r="P2101">
            <v>29558</v>
          </cell>
          <cell r="Q2101">
            <v>25729</v>
          </cell>
          <cell r="R2101">
            <v>36443</v>
          </cell>
          <cell r="S2101">
            <v>33767</v>
          </cell>
          <cell r="T2101">
            <v>28999</v>
          </cell>
          <cell r="U2101">
            <v>29177</v>
          </cell>
          <cell r="V2101">
            <v>25547</v>
          </cell>
          <cell r="W2101">
            <v>25228</v>
          </cell>
          <cell r="X2101">
            <v>24446</v>
          </cell>
          <cell r="Y2101">
            <v>27009</v>
          </cell>
          <cell r="Z2101">
            <v>24783</v>
          </cell>
          <cell r="AA2101">
            <v>23703</v>
          </cell>
          <cell r="AB2101">
            <v>20291</v>
          </cell>
          <cell r="AC2101">
            <v>23003</v>
          </cell>
          <cell r="AD2101">
            <v>24828</v>
          </cell>
          <cell r="AE2101">
            <v>21871</v>
          </cell>
          <cell r="AF2101">
            <v>19155</v>
          </cell>
          <cell r="AG2101">
            <v>20363</v>
          </cell>
          <cell r="AH2101">
            <v>30684</v>
          </cell>
          <cell r="AI2101">
            <v>28049</v>
          </cell>
          <cell r="AJ2101">
            <v>20417</v>
          </cell>
        </row>
        <row r="2102">
          <cell r="E2102" t="str">
            <v>KY Transportation Natural Gas</v>
          </cell>
          <cell r="F2102">
            <v>25610</v>
          </cell>
          <cell r="G2102">
            <v>20923</v>
          </cell>
          <cell r="H2102">
            <v>16781</v>
          </cell>
          <cell r="I2102">
            <v>19948</v>
          </cell>
          <cell r="J2102">
            <v>24343</v>
          </cell>
          <cell r="K2102">
            <v>27442</v>
          </cell>
          <cell r="L2102">
            <v>27829</v>
          </cell>
          <cell r="M2102">
            <v>24052</v>
          </cell>
          <cell r="N2102">
            <v>16343</v>
          </cell>
          <cell r="O2102">
            <v>17234</v>
          </cell>
          <cell r="P2102">
            <v>14456</v>
          </cell>
          <cell r="Q2102">
            <v>15547</v>
          </cell>
          <cell r="R2102">
            <v>12517</v>
          </cell>
          <cell r="S2102">
            <v>14912</v>
          </cell>
          <cell r="T2102">
            <v>10614</v>
          </cell>
          <cell r="U2102">
            <v>8519</v>
          </cell>
          <cell r="V2102">
            <v>6711</v>
          </cell>
          <cell r="W2102">
            <v>12216</v>
          </cell>
          <cell r="X2102">
            <v>13423</v>
          </cell>
          <cell r="Y2102">
            <v>13021</v>
          </cell>
          <cell r="Z2102">
            <v>14132</v>
          </cell>
          <cell r="AA2102">
            <v>12796</v>
          </cell>
          <cell r="AB2102">
            <v>8874</v>
          </cell>
          <cell r="AC2102">
            <v>7359</v>
          </cell>
          <cell r="AD2102">
            <v>9607</v>
          </cell>
          <cell r="AE2102">
            <v>11742</v>
          </cell>
          <cell r="AF2102">
            <v>5776</v>
          </cell>
          <cell r="AG2102">
            <v>7769</v>
          </cell>
          <cell r="AH2102">
            <v>14949</v>
          </cell>
          <cell r="AI2102">
            <v>20153</v>
          </cell>
          <cell r="AJ2102">
            <v>24926</v>
          </cell>
        </row>
        <row r="2103">
          <cell r="E2103" t="str">
            <v>LA Transportation Natural Gas</v>
          </cell>
          <cell r="F2103">
            <v>58077</v>
          </cell>
          <cell r="G2103">
            <v>56220</v>
          </cell>
          <cell r="H2103">
            <v>56440</v>
          </cell>
          <cell r="I2103">
            <v>58237</v>
          </cell>
          <cell r="J2103">
            <v>65734</v>
          </cell>
          <cell r="K2103">
            <v>66911</v>
          </cell>
          <cell r="L2103">
            <v>70807</v>
          </cell>
          <cell r="M2103">
            <v>81239</v>
          </cell>
          <cell r="N2103">
            <v>65124</v>
          </cell>
          <cell r="O2103">
            <v>50366</v>
          </cell>
          <cell r="P2103">
            <v>53971</v>
          </cell>
          <cell r="Q2103">
            <v>49510</v>
          </cell>
          <cell r="R2103">
            <v>52443</v>
          </cell>
          <cell r="S2103">
            <v>48642</v>
          </cell>
          <cell r="T2103">
            <v>46569</v>
          </cell>
          <cell r="U2103">
            <v>43692</v>
          </cell>
          <cell r="V2103">
            <v>49837</v>
          </cell>
          <cell r="W2103">
            <v>54060</v>
          </cell>
          <cell r="X2103">
            <v>55338</v>
          </cell>
          <cell r="Y2103">
            <v>51386</v>
          </cell>
          <cell r="Z2103">
            <v>48038</v>
          </cell>
          <cell r="AA2103">
            <v>52861</v>
          </cell>
          <cell r="AB2103">
            <v>49945</v>
          </cell>
          <cell r="AC2103">
            <v>37419</v>
          </cell>
          <cell r="AD2103">
            <v>51897</v>
          </cell>
          <cell r="AE2103">
            <v>37451</v>
          </cell>
          <cell r="AF2103">
            <v>86691</v>
          </cell>
          <cell r="AG2103">
            <v>103337</v>
          </cell>
          <cell r="AH2103">
            <v>136180</v>
          </cell>
          <cell r="AI2103">
            <v>167982</v>
          </cell>
          <cell r="AJ2103">
            <v>184314</v>
          </cell>
        </row>
        <row r="2104">
          <cell r="E2104" t="str">
            <v>MA Transportation Natural Gas</v>
          </cell>
          <cell r="F2104">
            <v>1279</v>
          </cell>
          <cell r="G2104">
            <v>1572</v>
          </cell>
          <cell r="H2104">
            <v>1858</v>
          </cell>
          <cell r="I2104">
            <v>2357</v>
          </cell>
          <cell r="J2104">
            <v>1895</v>
          </cell>
          <cell r="K2104">
            <v>1969</v>
          </cell>
          <cell r="L2104">
            <v>2251</v>
          </cell>
          <cell r="M2104">
            <v>2543</v>
          </cell>
          <cell r="N2104">
            <v>2016</v>
          </cell>
          <cell r="O2104">
            <v>2922</v>
          </cell>
          <cell r="P2104">
            <v>2613</v>
          </cell>
          <cell r="Q2104">
            <v>3462</v>
          </cell>
          <cell r="R2104">
            <v>4500</v>
          </cell>
          <cell r="S2104">
            <v>2202</v>
          </cell>
          <cell r="T2104">
            <v>1982</v>
          </cell>
          <cell r="U2104">
            <v>2620</v>
          </cell>
          <cell r="V2104">
            <v>2236</v>
          </cell>
          <cell r="W2104">
            <v>2475</v>
          </cell>
          <cell r="X2104">
            <v>1940</v>
          </cell>
          <cell r="Y2104">
            <v>1919</v>
          </cell>
          <cell r="Z2104">
            <v>4715</v>
          </cell>
          <cell r="AA2104">
            <v>5573</v>
          </cell>
          <cell r="AB2104">
            <v>4625</v>
          </cell>
          <cell r="AC2104">
            <v>3571</v>
          </cell>
          <cell r="AD2104">
            <v>8733</v>
          </cell>
          <cell r="AE2104">
            <v>11476</v>
          </cell>
          <cell r="AF2104">
            <v>9128</v>
          </cell>
          <cell r="AG2104">
            <v>8624</v>
          </cell>
          <cell r="AH2104">
            <v>8519</v>
          </cell>
          <cell r="AI2104">
            <v>11721</v>
          </cell>
          <cell r="AJ2104">
            <v>8835</v>
          </cell>
        </row>
        <row r="2105">
          <cell r="E2105" t="str">
            <v>MD Transportation Natural Gas</v>
          </cell>
          <cell r="F2105">
            <v>2468</v>
          </cell>
          <cell r="G2105">
            <v>2582</v>
          </cell>
          <cell r="H2105">
            <v>2484</v>
          </cell>
          <cell r="I2105">
            <v>2534</v>
          </cell>
          <cell r="J2105">
            <v>2590</v>
          </cell>
          <cell r="K2105">
            <v>2954</v>
          </cell>
          <cell r="L2105">
            <v>2776</v>
          </cell>
          <cell r="M2105">
            <v>3311</v>
          </cell>
          <cell r="N2105">
            <v>3202</v>
          </cell>
          <cell r="O2105">
            <v>3469</v>
          </cell>
          <cell r="P2105">
            <v>3514</v>
          </cell>
          <cell r="Q2105">
            <v>3062</v>
          </cell>
          <cell r="R2105">
            <v>2797</v>
          </cell>
          <cell r="S2105">
            <v>3087</v>
          </cell>
          <cell r="T2105">
            <v>2843</v>
          </cell>
          <cell r="U2105">
            <v>2906</v>
          </cell>
          <cell r="V2105">
            <v>3355</v>
          </cell>
          <cell r="W2105">
            <v>3373</v>
          </cell>
          <cell r="X2105">
            <v>3536</v>
          </cell>
          <cell r="Y2105">
            <v>2825</v>
          </cell>
          <cell r="Z2105">
            <v>6704</v>
          </cell>
          <cell r="AA2105">
            <v>6461</v>
          </cell>
          <cell r="AB2105">
            <v>7906</v>
          </cell>
          <cell r="AC2105">
            <v>4513</v>
          </cell>
          <cell r="AD2105">
            <v>6932</v>
          </cell>
          <cell r="AE2105">
            <v>7827</v>
          </cell>
          <cell r="AF2105">
            <v>7976</v>
          </cell>
          <cell r="AG2105">
            <v>8741</v>
          </cell>
          <cell r="AH2105">
            <v>24051</v>
          </cell>
          <cell r="AI2105">
            <v>26963</v>
          </cell>
          <cell r="AJ2105">
            <v>26485</v>
          </cell>
        </row>
        <row r="2106">
          <cell r="E2106" t="str">
            <v>ME Transportation Natural Gas</v>
          </cell>
          <cell r="F2106">
            <v>5</v>
          </cell>
          <cell r="G2106">
            <v>3</v>
          </cell>
          <cell r="H2106">
            <v>9</v>
          </cell>
          <cell r="I2106">
            <v>11</v>
          </cell>
          <cell r="J2106">
            <v>19</v>
          </cell>
          <cell r="K2106">
            <v>111</v>
          </cell>
          <cell r="L2106">
            <v>18</v>
          </cell>
          <cell r="M2106">
            <v>123</v>
          </cell>
          <cell r="N2106">
            <v>0</v>
          </cell>
          <cell r="O2106">
            <v>0</v>
          </cell>
          <cell r="P2106">
            <v>932</v>
          </cell>
          <cell r="Q2106">
            <v>1370</v>
          </cell>
          <cell r="R2106">
            <v>914</v>
          </cell>
          <cell r="S2106">
            <v>898</v>
          </cell>
          <cell r="T2106">
            <v>685</v>
          </cell>
          <cell r="U2106">
            <v>612</v>
          </cell>
          <cell r="V2106">
            <v>520</v>
          </cell>
          <cell r="W2106">
            <v>806</v>
          </cell>
          <cell r="X2106">
            <v>1007</v>
          </cell>
          <cell r="Y2106">
            <v>873</v>
          </cell>
          <cell r="Z2106">
            <v>1821</v>
          </cell>
          <cell r="AA2106">
            <v>2500</v>
          </cell>
          <cell r="AB2106">
            <v>785</v>
          </cell>
          <cell r="AC2106">
            <v>871</v>
          </cell>
          <cell r="AD2106">
            <v>1350</v>
          </cell>
          <cell r="AE2106">
            <v>1030</v>
          </cell>
          <cell r="AF2106">
            <v>673</v>
          </cell>
          <cell r="AG2106">
            <v>704</v>
          </cell>
          <cell r="AH2106">
            <v>851</v>
          </cell>
          <cell r="AI2106">
            <v>1211</v>
          </cell>
          <cell r="AJ2106">
            <v>1112</v>
          </cell>
        </row>
        <row r="2107">
          <cell r="E2107" t="str">
            <v>MI Transportation Natural Gas</v>
          </cell>
          <cell r="F2107">
            <v>18725</v>
          </cell>
          <cell r="G2107">
            <v>20289</v>
          </cell>
          <cell r="H2107">
            <v>22485</v>
          </cell>
          <cell r="I2107">
            <v>24755</v>
          </cell>
          <cell r="J2107">
            <v>23366</v>
          </cell>
          <cell r="K2107">
            <v>25927</v>
          </cell>
          <cell r="L2107">
            <v>26881</v>
          </cell>
          <cell r="M2107">
            <v>24778</v>
          </cell>
          <cell r="N2107">
            <v>21880</v>
          </cell>
          <cell r="O2107">
            <v>23496</v>
          </cell>
          <cell r="P2107">
            <v>27549</v>
          </cell>
          <cell r="Q2107">
            <v>22982</v>
          </cell>
          <cell r="R2107">
            <v>27508</v>
          </cell>
          <cell r="S2107">
            <v>28266</v>
          </cell>
          <cell r="T2107">
            <v>28247</v>
          </cell>
          <cell r="U2107">
            <v>28261</v>
          </cell>
          <cell r="V2107">
            <v>26099</v>
          </cell>
          <cell r="W2107">
            <v>26642</v>
          </cell>
          <cell r="X2107">
            <v>24249</v>
          </cell>
          <cell r="Y2107">
            <v>24223</v>
          </cell>
          <cell r="Z2107">
            <v>25574</v>
          </cell>
          <cell r="AA2107">
            <v>24198</v>
          </cell>
          <cell r="AB2107">
            <v>21180</v>
          </cell>
          <cell r="AC2107">
            <v>19458</v>
          </cell>
          <cell r="AD2107">
            <v>21361</v>
          </cell>
          <cell r="AE2107">
            <v>20450</v>
          </cell>
          <cell r="AF2107">
            <v>16985</v>
          </cell>
          <cell r="AG2107">
            <v>20115</v>
          </cell>
          <cell r="AH2107">
            <v>22588</v>
          </cell>
          <cell r="AI2107">
            <v>30313</v>
          </cell>
          <cell r="AJ2107">
            <v>24694</v>
          </cell>
        </row>
        <row r="2108">
          <cell r="E2108" t="str">
            <v>MN Transportation Natural Gas</v>
          </cell>
          <cell r="F2108">
            <v>12063</v>
          </cell>
          <cell r="G2108">
            <v>13491</v>
          </cell>
          <cell r="H2108">
            <v>15112</v>
          </cell>
          <cell r="I2108">
            <v>16418</v>
          </cell>
          <cell r="J2108">
            <v>17514</v>
          </cell>
          <cell r="K2108">
            <v>19445</v>
          </cell>
          <cell r="L2108">
            <v>20139</v>
          </cell>
          <cell r="M2108">
            <v>19876</v>
          </cell>
          <cell r="N2108">
            <v>20518</v>
          </cell>
          <cell r="O2108">
            <v>22496</v>
          </cell>
          <cell r="P2108">
            <v>21414</v>
          </cell>
          <cell r="Q2108">
            <v>19336</v>
          </cell>
          <cell r="R2108">
            <v>23294</v>
          </cell>
          <cell r="S2108">
            <v>20505</v>
          </cell>
          <cell r="T2108">
            <v>20733</v>
          </cell>
          <cell r="U2108">
            <v>22543</v>
          </cell>
          <cell r="V2108">
            <v>20667</v>
          </cell>
          <cell r="W2108">
            <v>20324</v>
          </cell>
          <cell r="X2108">
            <v>18015</v>
          </cell>
          <cell r="Y2108">
            <v>12950</v>
          </cell>
          <cell r="Z2108">
            <v>15633</v>
          </cell>
          <cell r="AA2108">
            <v>15384</v>
          </cell>
          <cell r="AB2108">
            <v>13092</v>
          </cell>
          <cell r="AC2108">
            <v>11931</v>
          </cell>
          <cell r="AD2108">
            <v>13404</v>
          </cell>
          <cell r="AE2108">
            <v>10616</v>
          </cell>
          <cell r="AF2108">
            <v>11953</v>
          </cell>
          <cell r="AG2108">
            <v>13783</v>
          </cell>
          <cell r="AH2108">
            <v>14719</v>
          </cell>
          <cell r="AI2108">
            <v>13944</v>
          </cell>
          <cell r="AJ2108">
            <v>11730</v>
          </cell>
        </row>
        <row r="2109">
          <cell r="E2109" t="str">
            <v>MO Transportation Natural Gas</v>
          </cell>
          <cell r="F2109">
            <v>5360</v>
          </cell>
          <cell r="G2109">
            <v>2585</v>
          </cell>
          <cell r="H2109">
            <v>2313</v>
          </cell>
          <cell r="I2109">
            <v>9884</v>
          </cell>
          <cell r="J2109">
            <v>2920</v>
          </cell>
          <cell r="K2109">
            <v>7205</v>
          </cell>
          <cell r="L2109">
            <v>7581</v>
          </cell>
          <cell r="M2109">
            <v>7573</v>
          </cell>
          <cell r="N2109">
            <v>5627</v>
          </cell>
          <cell r="O2109">
            <v>6922</v>
          </cell>
          <cell r="P2109">
            <v>7773</v>
          </cell>
          <cell r="Q2109">
            <v>2043</v>
          </cell>
          <cell r="R2109">
            <v>2704</v>
          </cell>
          <cell r="S2109">
            <v>3187</v>
          </cell>
          <cell r="T2109">
            <v>3462</v>
          </cell>
          <cell r="U2109">
            <v>2686</v>
          </cell>
          <cell r="V2109">
            <v>2525</v>
          </cell>
          <cell r="W2109">
            <v>2831</v>
          </cell>
          <cell r="X2109">
            <v>7320</v>
          </cell>
          <cell r="Y2109">
            <v>3917</v>
          </cell>
          <cell r="Z2109">
            <v>5858</v>
          </cell>
          <cell r="AA2109">
            <v>7112</v>
          </cell>
          <cell r="AB2109">
            <v>5020</v>
          </cell>
          <cell r="AC2109">
            <v>5748</v>
          </cell>
          <cell r="AD2109">
            <v>6499</v>
          </cell>
          <cell r="AE2109">
            <v>6514</v>
          </cell>
          <cell r="AF2109">
            <v>6986</v>
          </cell>
          <cell r="AG2109">
            <v>7134</v>
          </cell>
          <cell r="AH2109">
            <v>9981</v>
          </cell>
          <cell r="AI2109">
            <v>8769</v>
          </cell>
          <cell r="AJ2109">
            <v>5129</v>
          </cell>
        </row>
        <row r="2110">
          <cell r="E2110" t="str">
            <v>MS Transportation Natural Gas</v>
          </cell>
          <cell r="F2110">
            <v>38967</v>
          </cell>
          <cell r="G2110">
            <v>35696</v>
          </cell>
          <cell r="H2110">
            <v>35031</v>
          </cell>
          <cell r="I2110">
            <v>38367</v>
          </cell>
          <cell r="J2110">
            <v>40383</v>
          </cell>
          <cell r="K2110">
            <v>42565</v>
          </cell>
          <cell r="L2110">
            <v>50648</v>
          </cell>
          <cell r="M2110">
            <v>46653</v>
          </cell>
          <cell r="N2110">
            <v>38230</v>
          </cell>
          <cell r="O2110">
            <v>32929</v>
          </cell>
          <cell r="P2110">
            <v>32242</v>
          </cell>
          <cell r="Q2110">
            <v>30950</v>
          </cell>
          <cell r="R2110">
            <v>27989</v>
          </cell>
          <cell r="S2110">
            <v>26964</v>
          </cell>
          <cell r="T2110">
            <v>22522</v>
          </cell>
          <cell r="U2110">
            <v>22117</v>
          </cell>
          <cell r="V2110">
            <v>22674</v>
          </cell>
          <cell r="W2110">
            <v>28112</v>
          </cell>
          <cell r="X2110">
            <v>29466</v>
          </cell>
          <cell r="Y2110">
            <v>29608</v>
          </cell>
          <cell r="Z2110">
            <v>28670</v>
          </cell>
          <cell r="AA2110">
            <v>29305</v>
          </cell>
          <cell r="AB2110">
            <v>49251</v>
          </cell>
          <cell r="AC2110">
            <v>23987</v>
          </cell>
          <cell r="AD2110">
            <v>21200</v>
          </cell>
          <cell r="AE2110">
            <v>22491</v>
          </cell>
          <cell r="AF2110">
            <v>20921</v>
          </cell>
          <cell r="AG2110">
            <v>20249</v>
          </cell>
          <cell r="AH2110">
            <v>27244</v>
          </cell>
          <cell r="AI2110">
            <v>28741</v>
          </cell>
          <cell r="AJ2110">
            <v>30895</v>
          </cell>
        </row>
        <row r="2111">
          <cell r="E2111" t="str">
            <v>MT Transportation Natural Gas</v>
          </cell>
          <cell r="F2111">
            <v>2106</v>
          </cell>
          <cell r="G2111">
            <v>2390</v>
          </cell>
          <cell r="H2111">
            <v>3096</v>
          </cell>
          <cell r="I2111">
            <v>3792</v>
          </cell>
          <cell r="J2111">
            <v>3638</v>
          </cell>
          <cell r="K2111">
            <v>4064</v>
          </cell>
          <cell r="L2111">
            <v>3539</v>
          </cell>
          <cell r="M2111">
            <v>3576</v>
          </cell>
          <cell r="N2111">
            <v>3878</v>
          </cell>
          <cell r="O2111">
            <v>6154</v>
          </cell>
          <cell r="P2111">
            <v>7883</v>
          </cell>
          <cell r="Q2111">
            <v>7701</v>
          </cell>
          <cell r="R2111">
            <v>7936</v>
          </cell>
          <cell r="S2111">
            <v>8606</v>
          </cell>
          <cell r="T2111">
            <v>8514</v>
          </cell>
          <cell r="U2111">
            <v>8279</v>
          </cell>
          <cell r="V2111">
            <v>7724</v>
          </cell>
          <cell r="W2111">
            <v>7941</v>
          </cell>
          <cell r="X2111">
            <v>7446</v>
          </cell>
          <cell r="Y2111">
            <v>5103</v>
          </cell>
          <cell r="Z2111">
            <v>7531</v>
          </cell>
          <cell r="AA2111">
            <v>6999</v>
          </cell>
          <cell r="AB2111">
            <v>7154</v>
          </cell>
          <cell r="AC2111">
            <v>7001</v>
          </cell>
          <cell r="AD2111">
            <v>4234</v>
          </cell>
          <cell r="AE2111">
            <v>4643</v>
          </cell>
          <cell r="AF2111">
            <v>4771</v>
          </cell>
          <cell r="AG2111">
            <v>3946</v>
          </cell>
          <cell r="AH2111">
            <v>4494</v>
          </cell>
          <cell r="AI2111">
            <v>3563</v>
          </cell>
          <cell r="AJ2111">
            <v>3538</v>
          </cell>
        </row>
        <row r="2112">
          <cell r="E2112" t="str">
            <v>NC Transportation Natural Gas</v>
          </cell>
          <cell r="F2112">
            <v>6484</v>
          </cell>
          <cell r="G2112">
            <v>6407</v>
          </cell>
          <cell r="H2112">
            <v>6668</v>
          </cell>
          <cell r="I2112">
            <v>6174</v>
          </cell>
          <cell r="J2112">
            <v>5974</v>
          </cell>
          <cell r="K2112">
            <v>6321</v>
          </cell>
          <cell r="L2112">
            <v>7663</v>
          </cell>
          <cell r="M2112">
            <v>7575</v>
          </cell>
          <cell r="N2112">
            <v>6974</v>
          </cell>
          <cell r="O2112">
            <v>6830</v>
          </cell>
          <cell r="P2112">
            <v>7439</v>
          </cell>
          <cell r="Q2112">
            <v>6900</v>
          </cell>
          <cell r="R2112">
            <v>6316</v>
          </cell>
          <cell r="S2112">
            <v>6436</v>
          </cell>
          <cell r="T2112">
            <v>5236</v>
          </cell>
          <cell r="U2112">
            <v>4482</v>
          </cell>
          <cell r="V2112">
            <v>4844</v>
          </cell>
          <cell r="W2112">
            <v>5167</v>
          </cell>
          <cell r="X2112">
            <v>5490</v>
          </cell>
          <cell r="Y2112">
            <v>8139</v>
          </cell>
          <cell r="Z2112">
            <v>8151</v>
          </cell>
          <cell r="AA2112">
            <v>7452</v>
          </cell>
          <cell r="AB2112">
            <v>5544</v>
          </cell>
          <cell r="AC2112">
            <v>4158</v>
          </cell>
          <cell r="AD2112">
            <v>4114</v>
          </cell>
          <cell r="AE2112">
            <v>4639</v>
          </cell>
          <cell r="AF2112">
            <v>2899</v>
          </cell>
          <cell r="AG2112">
            <v>3412</v>
          </cell>
          <cell r="AH2112">
            <v>4398</v>
          </cell>
          <cell r="AI2112">
            <v>4351</v>
          </cell>
          <cell r="AJ2112">
            <v>4982</v>
          </cell>
        </row>
        <row r="2113">
          <cell r="E2113" t="str">
            <v>ND Transportation Natural Gas</v>
          </cell>
          <cell r="F2113">
            <v>1828</v>
          </cell>
          <cell r="G2113">
            <v>2105</v>
          </cell>
          <cell r="H2113">
            <v>2881</v>
          </cell>
          <cell r="I2113">
            <v>4533</v>
          </cell>
          <cell r="J2113">
            <v>4531</v>
          </cell>
          <cell r="K2113">
            <v>4953</v>
          </cell>
          <cell r="L2113">
            <v>5072</v>
          </cell>
          <cell r="M2113">
            <v>5319</v>
          </cell>
          <cell r="N2113">
            <v>474</v>
          </cell>
          <cell r="O2113">
            <v>9990</v>
          </cell>
          <cell r="P2113">
            <v>10998</v>
          </cell>
          <cell r="Q2113">
            <v>14025</v>
          </cell>
          <cell r="R2113">
            <v>14341</v>
          </cell>
          <cell r="S2113">
            <v>14320</v>
          </cell>
          <cell r="T2113">
            <v>14425</v>
          </cell>
          <cell r="U2113">
            <v>13788</v>
          </cell>
          <cell r="V2113">
            <v>13598</v>
          </cell>
          <cell r="W2113">
            <v>13930</v>
          </cell>
          <cell r="X2113">
            <v>11967</v>
          </cell>
          <cell r="Y2113">
            <v>9358</v>
          </cell>
          <cell r="Z2113">
            <v>14502</v>
          </cell>
          <cell r="AA2113">
            <v>14567</v>
          </cell>
          <cell r="AB2113">
            <v>16635</v>
          </cell>
          <cell r="AC2113">
            <v>15959</v>
          </cell>
          <cell r="AD2113">
            <v>16767</v>
          </cell>
          <cell r="AE2113">
            <v>15543</v>
          </cell>
          <cell r="AF2113">
            <v>15652</v>
          </cell>
          <cell r="AG2113">
            <v>20205</v>
          </cell>
          <cell r="AH2113">
            <v>22254</v>
          </cell>
          <cell r="AI2113">
            <v>32186</v>
          </cell>
          <cell r="AJ2113">
            <v>29423</v>
          </cell>
        </row>
        <row r="2114">
          <cell r="E2114" t="str">
            <v>NE Transportation Natural Gas</v>
          </cell>
          <cell r="F2114">
            <v>3479</v>
          </cell>
          <cell r="G2114">
            <v>2333</v>
          </cell>
          <cell r="H2114">
            <v>2519</v>
          </cell>
          <cell r="I2114">
            <v>2479</v>
          </cell>
          <cell r="J2114">
            <v>3256</v>
          </cell>
          <cell r="K2114">
            <v>3365</v>
          </cell>
          <cell r="L2114">
            <v>4641</v>
          </cell>
          <cell r="M2114">
            <v>4289</v>
          </cell>
          <cell r="N2114">
            <v>2889</v>
          </cell>
          <cell r="O2114">
            <v>2952</v>
          </cell>
          <cell r="P2114">
            <v>3193</v>
          </cell>
          <cell r="Q2114">
            <v>3116</v>
          </cell>
          <cell r="R2114">
            <v>2677</v>
          </cell>
          <cell r="S2114">
            <v>5410</v>
          </cell>
          <cell r="T2114">
            <v>4083</v>
          </cell>
          <cell r="U2114">
            <v>4500</v>
          </cell>
          <cell r="V2114">
            <v>4587</v>
          </cell>
          <cell r="W2114">
            <v>5498</v>
          </cell>
          <cell r="X2114">
            <v>10063</v>
          </cell>
          <cell r="Y2114">
            <v>7064</v>
          </cell>
          <cell r="Z2114">
            <v>7389</v>
          </cell>
          <cell r="AA2114">
            <v>9410</v>
          </cell>
          <cell r="AB2114">
            <v>7783</v>
          </cell>
          <cell r="AC2114">
            <v>7250</v>
          </cell>
          <cell r="AD2114">
            <v>7453</v>
          </cell>
          <cell r="AE2114">
            <v>7518</v>
          </cell>
          <cell r="AF2114">
            <v>6812</v>
          </cell>
          <cell r="AG2114">
            <v>7884</v>
          </cell>
          <cell r="AH2114">
            <v>9996</v>
          </cell>
          <cell r="AI2114">
            <v>7595</v>
          </cell>
          <cell r="AJ2114">
            <v>6720</v>
          </cell>
        </row>
        <row r="2115">
          <cell r="E2115" t="str">
            <v>NH Transportation Natural Gas</v>
          </cell>
          <cell r="F2115">
            <v>22</v>
          </cell>
          <cell r="G2115">
            <v>33</v>
          </cell>
          <cell r="H2115">
            <v>82</v>
          </cell>
          <cell r="I2115">
            <v>344</v>
          </cell>
          <cell r="J2115">
            <v>1000</v>
          </cell>
          <cell r="K2115">
            <v>42</v>
          </cell>
          <cell r="L2115">
            <v>52</v>
          </cell>
          <cell r="M2115">
            <v>198</v>
          </cell>
          <cell r="N2115">
            <v>23</v>
          </cell>
          <cell r="O2115">
            <v>3</v>
          </cell>
          <cell r="P2115">
            <v>35</v>
          </cell>
          <cell r="Q2115">
            <v>27</v>
          </cell>
          <cell r="R2115">
            <v>64</v>
          </cell>
          <cell r="S2115">
            <v>27</v>
          </cell>
          <cell r="T2115">
            <v>24</v>
          </cell>
          <cell r="U2115">
            <v>33</v>
          </cell>
          <cell r="V2115">
            <v>31</v>
          </cell>
          <cell r="W2115">
            <v>30</v>
          </cell>
          <cell r="X2115">
            <v>23</v>
          </cell>
          <cell r="Y2115">
            <v>47</v>
          </cell>
          <cell r="Z2115">
            <v>284</v>
          </cell>
          <cell r="AA2115">
            <v>248</v>
          </cell>
          <cell r="AB2115">
            <v>66</v>
          </cell>
          <cell r="AC2115">
            <v>133</v>
          </cell>
          <cell r="AD2115">
            <v>160</v>
          </cell>
          <cell r="AE2115">
            <v>156</v>
          </cell>
          <cell r="AF2115">
            <v>301</v>
          </cell>
          <cell r="AG2115">
            <v>194</v>
          </cell>
          <cell r="AH2115">
            <v>187</v>
          </cell>
          <cell r="AI2115">
            <v>192</v>
          </cell>
          <cell r="AJ2115">
            <v>178</v>
          </cell>
        </row>
        <row r="2116">
          <cell r="E2116" t="str">
            <v>NJ Transportation Natural Gas</v>
          </cell>
          <cell r="F2116">
            <v>2688</v>
          </cell>
          <cell r="G2116">
            <v>2990</v>
          </cell>
          <cell r="H2116">
            <v>3658</v>
          </cell>
          <cell r="I2116">
            <v>3022</v>
          </cell>
          <cell r="J2116">
            <v>2664</v>
          </cell>
          <cell r="K2116">
            <v>2655</v>
          </cell>
          <cell r="L2116">
            <v>3328</v>
          </cell>
          <cell r="M2116">
            <v>3614</v>
          </cell>
          <cell r="N2116">
            <v>2997</v>
          </cell>
          <cell r="O2116">
            <v>4526</v>
          </cell>
          <cell r="P2116">
            <v>3273</v>
          </cell>
          <cell r="Q2116">
            <v>4192</v>
          </cell>
          <cell r="R2116">
            <v>1812</v>
          </cell>
          <cell r="S2116">
            <v>1975</v>
          </cell>
          <cell r="T2116">
            <v>1953</v>
          </cell>
          <cell r="U2116">
            <v>1570</v>
          </cell>
          <cell r="V2116">
            <v>1246</v>
          </cell>
          <cell r="W2116">
            <v>1746</v>
          </cell>
          <cell r="X2116">
            <v>2137</v>
          </cell>
          <cell r="Y2116">
            <v>1869</v>
          </cell>
          <cell r="Z2116">
            <v>5653</v>
          </cell>
          <cell r="AA2116">
            <v>5998</v>
          </cell>
          <cell r="AB2116">
            <v>4928</v>
          </cell>
          <cell r="AC2116">
            <v>6027</v>
          </cell>
          <cell r="AD2116">
            <v>12652</v>
          </cell>
          <cell r="AE2116">
            <v>6964</v>
          </cell>
          <cell r="AF2116">
            <v>6744</v>
          </cell>
          <cell r="AG2116">
            <v>6335</v>
          </cell>
          <cell r="AH2116">
            <v>6121</v>
          </cell>
          <cell r="AI2116">
            <v>9375</v>
          </cell>
          <cell r="AJ2116">
            <v>7378</v>
          </cell>
        </row>
        <row r="2117">
          <cell r="E2117" t="str">
            <v>NM Transportation Natural Gas</v>
          </cell>
          <cell r="F2117">
            <v>80384</v>
          </cell>
          <cell r="G2117">
            <v>74822</v>
          </cell>
          <cell r="H2117">
            <v>52510</v>
          </cell>
          <cell r="I2117">
            <v>64986</v>
          </cell>
          <cell r="J2117">
            <v>59189</v>
          </cell>
          <cell r="K2117">
            <v>58015</v>
          </cell>
          <cell r="L2117">
            <v>27998</v>
          </cell>
          <cell r="M2117">
            <v>63780</v>
          </cell>
          <cell r="N2117">
            <v>51402</v>
          </cell>
          <cell r="O2117">
            <v>47474</v>
          </cell>
          <cell r="P2117">
            <v>44488</v>
          </cell>
          <cell r="Q2117">
            <v>44454</v>
          </cell>
          <cell r="R2117">
            <v>40615</v>
          </cell>
          <cell r="S2117">
            <v>30140</v>
          </cell>
          <cell r="T2117">
            <v>28034</v>
          </cell>
          <cell r="U2117">
            <v>20427</v>
          </cell>
          <cell r="V2117">
            <v>18115</v>
          </cell>
          <cell r="W2117">
            <v>14050</v>
          </cell>
          <cell r="X2117">
            <v>14102</v>
          </cell>
          <cell r="Y2117">
            <v>12157</v>
          </cell>
          <cell r="Z2117">
            <v>9081</v>
          </cell>
          <cell r="AA2117">
            <v>7479</v>
          </cell>
          <cell r="AB2117">
            <v>7891</v>
          </cell>
          <cell r="AC2117">
            <v>9211</v>
          </cell>
          <cell r="AD2117">
            <v>9014</v>
          </cell>
          <cell r="AE2117">
            <v>9148</v>
          </cell>
          <cell r="AF2117">
            <v>8897</v>
          </cell>
          <cell r="AG2117">
            <v>9301</v>
          </cell>
          <cell r="AH2117">
            <v>10480</v>
          </cell>
          <cell r="AI2117">
            <v>12798</v>
          </cell>
          <cell r="AJ2117">
            <v>13574</v>
          </cell>
        </row>
        <row r="2118">
          <cell r="E2118" t="str">
            <v>NV Transportation Natural Gas</v>
          </cell>
          <cell r="F2118">
            <v>816</v>
          </cell>
          <cell r="G2118">
            <v>362</v>
          </cell>
          <cell r="H2118">
            <v>553</v>
          </cell>
          <cell r="I2118">
            <v>738</v>
          </cell>
          <cell r="J2118">
            <v>772</v>
          </cell>
          <cell r="K2118">
            <v>875</v>
          </cell>
          <cell r="L2118">
            <v>908</v>
          </cell>
          <cell r="M2118">
            <v>675</v>
          </cell>
          <cell r="N2118">
            <v>1131</v>
          </cell>
          <cell r="O2118">
            <v>1195</v>
          </cell>
          <cell r="P2118">
            <v>1323</v>
          </cell>
          <cell r="Q2118">
            <v>1354</v>
          </cell>
          <cell r="R2118">
            <v>1364</v>
          </cell>
          <cell r="S2118">
            <v>2343</v>
          </cell>
          <cell r="T2118">
            <v>2994</v>
          </cell>
          <cell r="U2118">
            <v>2816</v>
          </cell>
          <cell r="V2118">
            <v>3297</v>
          </cell>
          <cell r="W2118">
            <v>3506</v>
          </cell>
          <cell r="X2118">
            <v>3566</v>
          </cell>
          <cell r="Y2118">
            <v>3793</v>
          </cell>
          <cell r="Z2118">
            <v>3972</v>
          </cell>
          <cell r="AA2118">
            <v>4867</v>
          </cell>
          <cell r="AB2118">
            <v>7092</v>
          </cell>
          <cell r="AC2118">
            <v>5744</v>
          </cell>
          <cell r="AD2118">
            <v>6084</v>
          </cell>
          <cell r="AE2118">
            <v>5906</v>
          </cell>
          <cell r="AF2118">
            <v>5986</v>
          </cell>
          <cell r="AG2118">
            <v>5120</v>
          </cell>
          <cell r="AH2118">
            <v>5366</v>
          </cell>
          <cell r="AI2118">
            <v>5805</v>
          </cell>
          <cell r="AJ2118">
            <v>5241</v>
          </cell>
        </row>
        <row r="2119">
          <cell r="E2119" t="str">
            <v>NY Transportation Natural Gas</v>
          </cell>
          <cell r="F2119">
            <v>4873</v>
          </cell>
          <cell r="G2119">
            <v>5173</v>
          </cell>
          <cell r="H2119">
            <v>6183</v>
          </cell>
          <cell r="I2119">
            <v>6434</v>
          </cell>
          <cell r="J2119">
            <v>6388</v>
          </cell>
          <cell r="K2119">
            <v>8594</v>
          </cell>
          <cell r="L2119">
            <v>8382</v>
          </cell>
          <cell r="M2119">
            <v>7749</v>
          </cell>
          <cell r="N2119">
            <v>8168</v>
          </cell>
          <cell r="O2119">
            <v>8818</v>
          </cell>
          <cell r="P2119">
            <v>8516</v>
          </cell>
          <cell r="Q2119">
            <v>6210</v>
          </cell>
          <cell r="R2119">
            <v>9165</v>
          </cell>
          <cell r="S2119">
            <v>8574</v>
          </cell>
          <cell r="T2119">
            <v>8932</v>
          </cell>
          <cell r="U2119">
            <v>13112</v>
          </cell>
          <cell r="V2119">
            <v>14546</v>
          </cell>
          <cell r="W2119">
            <v>15955</v>
          </cell>
          <cell r="X2119">
            <v>16319</v>
          </cell>
          <cell r="Y2119">
            <v>15805</v>
          </cell>
          <cell r="Z2119">
            <v>19150</v>
          </cell>
          <cell r="AA2119">
            <v>23307</v>
          </cell>
          <cell r="AB2119">
            <v>22156</v>
          </cell>
          <cell r="AC2119">
            <v>20833</v>
          </cell>
          <cell r="AD2119">
            <v>34463</v>
          </cell>
          <cell r="AE2119">
            <v>36242</v>
          </cell>
          <cell r="AF2119">
            <v>28620</v>
          </cell>
          <cell r="AG2119">
            <v>26748</v>
          </cell>
          <cell r="AH2119">
            <v>28342</v>
          </cell>
          <cell r="AI2119">
            <v>31796</v>
          </cell>
          <cell r="AJ2119">
            <v>28542</v>
          </cell>
        </row>
        <row r="2120">
          <cell r="E2120" t="str">
            <v>OH Transportation Natural Gas</v>
          </cell>
          <cell r="F2120">
            <v>10456</v>
          </cell>
          <cell r="G2120">
            <v>9516</v>
          </cell>
          <cell r="H2120">
            <v>10023</v>
          </cell>
          <cell r="I2120">
            <v>10800</v>
          </cell>
          <cell r="J2120">
            <v>18691</v>
          </cell>
          <cell r="K2120">
            <v>18540</v>
          </cell>
          <cell r="L2120">
            <v>21184</v>
          </cell>
          <cell r="M2120">
            <v>20793</v>
          </cell>
          <cell r="N2120">
            <v>18703</v>
          </cell>
          <cell r="O2120">
            <v>18529</v>
          </cell>
          <cell r="P2120">
            <v>19756</v>
          </cell>
          <cell r="Q2120">
            <v>16709</v>
          </cell>
          <cell r="R2120">
            <v>17397</v>
          </cell>
          <cell r="S2120">
            <v>16090</v>
          </cell>
          <cell r="T2120">
            <v>14109</v>
          </cell>
          <cell r="U2120">
            <v>14401</v>
          </cell>
          <cell r="V2120">
            <v>13131</v>
          </cell>
          <cell r="W2120">
            <v>14571</v>
          </cell>
          <cell r="X2120">
            <v>11941</v>
          </cell>
          <cell r="Y2120">
            <v>17397</v>
          </cell>
          <cell r="Z2120">
            <v>16511</v>
          </cell>
          <cell r="AA2120">
            <v>14795</v>
          </cell>
          <cell r="AB2120">
            <v>9974</v>
          </cell>
          <cell r="AC2120">
            <v>10721</v>
          </cell>
          <cell r="AD2120">
            <v>16175</v>
          </cell>
          <cell r="AE2120">
            <v>21777</v>
          </cell>
          <cell r="AF2120">
            <v>19919</v>
          </cell>
          <cell r="AG2120">
            <v>31934</v>
          </cell>
          <cell r="AH2120">
            <v>31084</v>
          </cell>
          <cell r="AI2120">
            <v>34863</v>
          </cell>
          <cell r="AJ2120">
            <v>47264</v>
          </cell>
        </row>
        <row r="2121">
          <cell r="E2121" t="str">
            <v>OK Transportation Natural Gas</v>
          </cell>
          <cell r="F2121">
            <v>26577</v>
          </cell>
          <cell r="G2121">
            <v>25422</v>
          </cell>
          <cell r="H2121">
            <v>26305</v>
          </cell>
          <cell r="I2121">
            <v>27296</v>
          </cell>
          <cell r="J2121">
            <v>26967</v>
          </cell>
          <cell r="K2121">
            <v>31284</v>
          </cell>
          <cell r="L2121">
            <v>34612</v>
          </cell>
          <cell r="M2121">
            <v>26315</v>
          </cell>
          <cell r="N2121">
            <v>24907</v>
          </cell>
          <cell r="O2121">
            <v>24961</v>
          </cell>
          <cell r="P2121">
            <v>21863</v>
          </cell>
          <cell r="Q2121">
            <v>24952</v>
          </cell>
          <cell r="R2121">
            <v>24840</v>
          </cell>
          <cell r="S2121">
            <v>32307</v>
          </cell>
          <cell r="T2121">
            <v>32417</v>
          </cell>
          <cell r="U2121">
            <v>32610</v>
          </cell>
          <cell r="V2121">
            <v>32561</v>
          </cell>
          <cell r="W2121">
            <v>29503</v>
          </cell>
          <cell r="X2121">
            <v>28778</v>
          </cell>
          <cell r="Y2121">
            <v>30081</v>
          </cell>
          <cell r="Z2121">
            <v>31802</v>
          </cell>
          <cell r="AA2121">
            <v>32123</v>
          </cell>
          <cell r="AB2121">
            <v>34170</v>
          </cell>
          <cell r="AC2121">
            <v>43650</v>
          </cell>
          <cell r="AD2121">
            <v>49224</v>
          </cell>
          <cell r="AE2121">
            <v>49589</v>
          </cell>
          <cell r="AF2121">
            <v>52664</v>
          </cell>
          <cell r="AG2121">
            <v>53488</v>
          </cell>
          <cell r="AH2121">
            <v>59978</v>
          </cell>
          <cell r="AI2121">
            <v>60688</v>
          </cell>
          <cell r="AJ2121">
            <v>45983</v>
          </cell>
        </row>
        <row r="2122">
          <cell r="E2122" t="str">
            <v>OR Transportation Natural Gas</v>
          </cell>
          <cell r="F2122">
            <v>9219</v>
          </cell>
          <cell r="G2122">
            <v>9090</v>
          </cell>
          <cell r="H2122">
            <v>7094</v>
          </cell>
          <cell r="I2122">
            <v>5102</v>
          </cell>
          <cell r="J2122">
            <v>6085</v>
          </cell>
          <cell r="K2122">
            <v>7620</v>
          </cell>
          <cell r="L2122">
            <v>8339</v>
          </cell>
          <cell r="M2122">
            <v>13331</v>
          </cell>
          <cell r="N2122">
            <v>14057</v>
          </cell>
          <cell r="O2122">
            <v>10914</v>
          </cell>
          <cell r="P2122">
            <v>12202</v>
          </cell>
          <cell r="Q2122">
            <v>11379</v>
          </cell>
          <cell r="R2122">
            <v>9421</v>
          </cell>
          <cell r="S2122">
            <v>7235</v>
          </cell>
          <cell r="T2122">
            <v>9886</v>
          </cell>
          <cell r="U2122">
            <v>7731</v>
          </cell>
          <cell r="V2122">
            <v>8719</v>
          </cell>
          <cell r="W2122">
            <v>10020</v>
          </cell>
          <cell r="X2122">
            <v>7727</v>
          </cell>
          <cell r="Y2122">
            <v>8463</v>
          </cell>
          <cell r="Z2122">
            <v>6629</v>
          </cell>
          <cell r="AA2122">
            <v>5303</v>
          </cell>
          <cell r="AB2122">
            <v>4803</v>
          </cell>
          <cell r="AC2122">
            <v>4289</v>
          </cell>
          <cell r="AD2122">
            <v>3975</v>
          </cell>
          <cell r="AE2122">
            <v>5016</v>
          </cell>
          <cell r="AF2122">
            <v>5411</v>
          </cell>
          <cell r="AG2122">
            <v>5734</v>
          </cell>
          <cell r="AH2122">
            <v>6869</v>
          </cell>
          <cell r="AI2122">
            <v>6206</v>
          </cell>
          <cell r="AJ2122">
            <v>7470</v>
          </cell>
        </row>
        <row r="2123">
          <cell r="E2123" t="str">
            <v>PA Transportation Natural Gas</v>
          </cell>
          <cell r="F2123">
            <v>35752</v>
          </cell>
          <cell r="G2123">
            <v>35329</v>
          </cell>
          <cell r="H2123">
            <v>39999</v>
          </cell>
          <cell r="I2123">
            <v>37707</v>
          </cell>
          <cell r="J2123">
            <v>39407</v>
          </cell>
          <cell r="K2123">
            <v>39317</v>
          </cell>
          <cell r="L2123">
            <v>42175</v>
          </cell>
          <cell r="M2123">
            <v>40581</v>
          </cell>
          <cell r="N2123">
            <v>33992</v>
          </cell>
          <cell r="O2123">
            <v>38261</v>
          </cell>
          <cell r="P2123">
            <v>40213</v>
          </cell>
          <cell r="Q2123">
            <v>35259</v>
          </cell>
          <cell r="R2123">
            <v>38985</v>
          </cell>
          <cell r="S2123">
            <v>35440</v>
          </cell>
          <cell r="T2123">
            <v>30733</v>
          </cell>
          <cell r="U2123">
            <v>32312</v>
          </cell>
          <cell r="V2123">
            <v>28802</v>
          </cell>
          <cell r="W2123">
            <v>36515</v>
          </cell>
          <cell r="X2123">
            <v>38976</v>
          </cell>
          <cell r="Y2123">
            <v>43343</v>
          </cell>
          <cell r="Z2123">
            <v>49517</v>
          </cell>
          <cell r="AA2123">
            <v>53553</v>
          </cell>
          <cell r="AB2123">
            <v>39121</v>
          </cell>
          <cell r="AC2123">
            <v>40050</v>
          </cell>
          <cell r="AD2123">
            <v>44642</v>
          </cell>
          <cell r="AE2123">
            <v>45700</v>
          </cell>
          <cell r="AF2123">
            <v>42547</v>
          </cell>
          <cell r="AG2123">
            <v>46208</v>
          </cell>
          <cell r="AH2123">
            <v>48893</v>
          </cell>
          <cell r="AI2123">
            <v>52681</v>
          </cell>
          <cell r="AJ2123">
            <v>49479</v>
          </cell>
        </row>
        <row r="2124">
          <cell r="E2124" t="str">
            <v>RI Transportation Natural Gas</v>
          </cell>
          <cell r="F2124">
            <v>129</v>
          </cell>
          <cell r="G2124">
            <v>174</v>
          </cell>
          <cell r="H2124">
            <v>370</v>
          </cell>
          <cell r="I2124">
            <v>229</v>
          </cell>
          <cell r="J2124">
            <v>389</v>
          </cell>
          <cell r="K2124">
            <v>649</v>
          </cell>
          <cell r="L2124">
            <v>774</v>
          </cell>
          <cell r="M2124">
            <v>887</v>
          </cell>
          <cell r="N2124">
            <v>382</v>
          </cell>
          <cell r="O2124">
            <v>285</v>
          </cell>
          <cell r="P2124">
            <v>349</v>
          </cell>
          <cell r="Q2124">
            <v>329</v>
          </cell>
          <cell r="R2124">
            <v>382</v>
          </cell>
          <cell r="S2124">
            <v>441</v>
          </cell>
          <cell r="T2124">
            <v>371</v>
          </cell>
          <cell r="U2124">
            <v>846</v>
          </cell>
          <cell r="V2124">
            <v>973</v>
          </cell>
          <cell r="W2124">
            <v>977</v>
          </cell>
          <cell r="X2124">
            <v>985</v>
          </cell>
          <cell r="Y2124">
            <v>1011</v>
          </cell>
          <cell r="Z2124">
            <v>1591</v>
          </cell>
          <cell r="AA2124">
            <v>1114</v>
          </cell>
          <cell r="AB2124">
            <v>1142</v>
          </cell>
          <cell r="AC2124">
            <v>1196</v>
          </cell>
          <cell r="AD2124">
            <v>3197</v>
          </cell>
          <cell r="AE2124">
            <v>3288</v>
          </cell>
          <cell r="AF2124">
            <v>2734</v>
          </cell>
          <cell r="AG2124">
            <v>3019</v>
          </cell>
          <cell r="AH2124">
            <v>2538</v>
          </cell>
          <cell r="AI2124">
            <v>2567</v>
          </cell>
          <cell r="AJ2124">
            <v>2340</v>
          </cell>
        </row>
        <row r="2125">
          <cell r="E2125" t="str">
            <v>SC Transportation Natural Gas</v>
          </cell>
          <cell r="F2125">
            <v>2939</v>
          </cell>
          <cell r="G2125">
            <v>2884</v>
          </cell>
          <cell r="H2125">
            <v>2978</v>
          </cell>
          <cell r="I2125">
            <v>2835</v>
          </cell>
          <cell r="J2125">
            <v>2750</v>
          </cell>
          <cell r="K2125">
            <v>3020</v>
          </cell>
          <cell r="L2125">
            <v>3241</v>
          </cell>
          <cell r="M2125">
            <v>3043</v>
          </cell>
          <cell r="N2125">
            <v>3283</v>
          </cell>
          <cell r="O2125">
            <v>3708</v>
          </cell>
          <cell r="P2125">
            <v>3578</v>
          </cell>
          <cell r="Q2125">
            <v>3052</v>
          </cell>
          <cell r="R2125">
            <v>3280</v>
          </cell>
          <cell r="S2125">
            <v>2936</v>
          </cell>
          <cell r="T2125">
            <v>2620</v>
          </cell>
          <cell r="U2125">
            <v>2525</v>
          </cell>
          <cell r="V2125">
            <v>2387</v>
          </cell>
          <cell r="W2125">
            <v>2714</v>
          </cell>
          <cell r="X2125">
            <v>2702</v>
          </cell>
          <cell r="Y2125">
            <v>2946</v>
          </cell>
          <cell r="Z2125">
            <v>3537</v>
          </cell>
          <cell r="AA2125">
            <v>3490</v>
          </cell>
          <cell r="AB2125">
            <v>3492</v>
          </cell>
          <cell r="AC2125">
            <v>2593</v>
          </cell>
          <cell r="AD2125">
            <v>2507</v>
          </cell>
          <cell r="AE2125">
            <v>2653</v>
          </cell>
          <cell r="AF2125">
            <v>2946</v>
          </cell>
          <cell r="AG2125">
            <v>2436</v>
          </cell>
          <cell r="AH2125">
            <v>2886</v>
          </cell>
          <cell r="AI2125">
            <v>2388</v>
          </cell>
          <cell r="AJ2125">
            <v>2057</v>
          </cell>
        </row>
        <row r="2126">
          <cell r="E2126" t="str">
            <v>SD Transportation Natural Gas</v>
          </cell>
          <cell r="F2126">
            <v>112</v>
          </cell>
          <cell r="G2126">
            <v>347</v>
          </cell>
          <cell r="H2126">
            <v>1772</v>
          </cell>
          <cell r="I2126">
            <v>2603</v>
          </cell>
          <cell r="J2126">
            <v>2572</v>
          </cell>
          <cell r="K2126">
            <v>2771</v>
          </cell>
          <cell r="L2126">
            <v>2939</v>
          </cell>
          <cell r="M2126">
            <v>3010</v>
          </cell>
          <cell r="N2126">
            <v>2839</v>
          </cell>
          <cell r="O2126">
            <v>6061</v>
          </cell>
          <cell r="P2126">
            <v>6302</v>
          </cell>
          <cell r="Q2126">
            <v>5759</v>
          </cell>
          <cell r="R2126">
            <v>6075</v>
          </cell>
          <cell r="S2126">
            <v>6354</v>
          </cell>
          <cell r="T2126">
            <v>6252</v>
          </cell>
          <cell r="U2126">
            <v>5791</v>
          </cell>
          <cell r="V2126">
            <v>5437</v>
          </cell>
          <cell r="W2126">
            <v>5704</v>
          </cell>
          <cell r="X2126">
            <v>4699</v>
          </cell>
          <cell r="Y2126">
            <v>3247</v>
          </cell>
          <cell r="Z2126">
            <v>5835</v>
          </cell>
          <cell r="AA2126">
            <v>6726</v>
          </cell>
          <cell r="AB2126">
            <v>6516</v>
          </cell>
          <cell r="AC2126">
            <v>7102</v>
          </cell>
          <cell r="AD2126">
            <v>5436</v>
          </cell>
          <cell r="AE2126">
            <v>6188</v>
          </cell>
          <cell r="AF2126">
            <v>6761</v>
          </cell>
          <cell r="AG2126">
            <v>6908</v>
          </cell>
          <cell r="AH2126">
            <v>6950</v>
          </cell>
          <cell r="AI2126">
            <v>7074</v>
          </cell>
          <cell r="AJ2126">
            <v>5603</v>
          </cell>
        </row>
        <row r="2127">
          <cell r="E2127" t="str">
            <v>TN Transportation Natural Gas</v>
          </cell>
          <cell r="F2127">
            <v>20284</v>
          </cell>
          <cell r="G2127">
            <v>16278</v>
          </cell>
          <cell r="H2127">
            <v>16950</v>
          </cell>
          <cell r="I2127">
            <v>19377</v>
          </cell>
          <cell r="J2127">
            <v>18758</v>
          </cell>
          <cell r="K2127">
            <v>18348</v>
          </cell>
          <cell r="L2127">
            <v>25131</v>
          </cell>
          <cell r="M2127">
            <v>24000</v>
          </cell>
          <cell r="N2127">
            <v>16988</v>
          </cell>
          <cell r="O2127">
            <v>15683</v>
          </cell>
          <cell r="P2127">
            <v>14391</v>
          </cell>
          <cell r="Q2127">
            <v>14345</v>
          </cell>
          <cell r="R2127">
            <v>11929</v>
          </cell>
          <cell r="S2127">
            <v>13306</v>
          </cell>
          <cell r="T2127">
            <v>10943</v>
          </cell>
          <cell r="U2127">
            <v>9528</v>
          </cell>
          <cell r="V2127">
            <v>9047</v>
          </cell>
          <cell r="W2127">
            <v>10387</v>
          </cell>
          <cell r="X2127">
            <v>10633</v>
          </cell>
          <cell r="Y2127">
            <v>12064</v>
          </cell>
          <cell r="Z2127">
            <v>10330</v>
          </cell>
          <cell r="AA2127">
            <v>11847</v>
          </cell>
          <cell r="AB2127">
            <v>10047</v>
          </cell>
          <cell r="AC2127">
            <v>6874</v>
          </cell>
          <cell r="AD2127">
            <v>7644</v>
          </cell>
          <cell r="AE2127">
            <v>8486</v>
          </cell>
          <cell r="AF2127">
            <v>7151</v>
          </cell>
          <cell r="AG2127">
            <v>5796</v>
          </cell>
          <cell r="AH2127">
            <v>8795</v>
          </cell>
          <cell r="AI2127">
            <v>15684</v>
          </cell>
          <cell r="AJ2127">
            <v>18092</v>
          </cell>
        </row>
        <row r="2128">
          <cell r="E2128" t="str">
            <v>TX Transportation Natural Gas</v>
          </cell>
          <cell r="F2128">
            <v>110526</v>
          </cell>
          <cell r="G2128">
            <v>85247</v>
          </cell>
          <cell r="H2128">
            <v>85138</v>
          </cell>
          <cell r="I2128">
            <v>84733</v>
          </cell>
          <cell r="J2128">
            <v>100020</v>
          </cell>
          <cell r="K2128">
            <v>85690</v>
          </cell>
          <cell r="L2128">
            <v>78795</v>
          </cell>
          <cell r="M2128">
            <v>84837</v>
          </cell>
          <cell r="N2128">
            <v>69914</v>
          </cell>
          <cell r="O2128">
            <v>74045</v>
          </cell>
          <cell r="P2128">
            <v>65177</v>
          </cell>
          <cell r="Q2128">
            <v>73003</v>
          </cell>
          <cell r="R2128">
            <v>93796</v>
          </cell>
          <cell r="S2128">
            <v>60103</v>
          </cell>
          <cell r="T2128">
            <v>59866</v>
          </cell>
          <cell r="U2128">
            <v>85397</v>
          </cell>
          <cell r="V2128">
            <v>89414</v>
          </cell>
          <cell r="W2128">
            <v>93938</v>
          </cell>
          <cell r="X2128">
            <v>114418</v>
          </cell>
          <cell r="Y2128">
            <v>122353</v>
          </cell>
          <cell r="Z2128">
            <v>84860</v>
          </cell>
          <cell r="AA2128">
            <v>90210</v>
          </cell>
          <cell r="AB2128">
            <v>144648</v>
          </cell>
          <cell r="AC2128">
            <v>304643</v>
          </cell>
          <cell r="AD2128">
            <v>109035</v>
          </cell>
          <cell r="AE2128">
            <v>92418</v>
          </cell>
          <cell r="AF2128">
            <v>92088</v>
          </cell>
          <cell r="AG2128">
            <v>88766</v>
          </cell>
          <cell r="AH2128">
            <v>123124</v>
          </cell>
          <cell r="AI2128">
            <v>179908</v>
          </cell>
          <cell r="AJ2128">
            <v>196091</v>
          </cell>
        </row>
        <row r="2129">
          <cell r="E2129" t="str">
            <v>US Transportation Natural Gas</v>
          </cell>
          <cell r="F2129">
            <v>682744</v>
          </cell>
          <cell r="G2129">
            <v>621810</v>
          </cell>
          <cell r="H2129">
            <v>610580</v>
          </cell>
          <cell r="I2129">
            <v>646010</v>
          </cell>
          <cell r="J2129">
            <v>709703</v>
          </cell>
          <cell r="K2129">
            <v>727798</v>
          </cell>
          <cell r="L2129">
            <v>740468</v>
          </cell>
          <cell r="M2129">
            <v>789878</v>
          </cell>
          <cell r="N2129">
            <v>666552</v>
          </cell>
          <cell r="O2129">
            <v>675002</v>
          </cell>
          <cell r="P2129">
            <v>673616</v>
          </cell>
          <cell r="Q2129">
            <v>655507</v>
          </cell>
          <cell r="R2129">
            <v>698694</v>
          </cell>
          <cell r="S2129">
            <v>627336</v>
          </cell>
          <cell r="T2129">
            <v>602590</v>
          </cell>
          <cell r="U2129">
            <v>624976</v>
          </cell>
          <cell r="V2129">
            <v>626779</v>
          </cell>
          <cell r="W2129">
            <v>665156</v>
          </cell>
          <cell r="X2129">
            <v>693744</v>
          </cell>
          <cell r="Y2129">
            <v>716864</v>
          </cell>
          <cell r="Z2129">
            <v>720931</v>
          </cell>
          <cell r="AA2129">
            <v>736007</v>
          </cell>
          <cell r="AB2129">
            <v>781761</v>
          </cell>
          <cell r="AC2129">
            <v>888140</v>
          </cell>
          <cell r="AD2129">
            <v>762235</v>
          </cell>
          <cell r="AE2129">
            <v>747400</v>
          </cell>
          <cell r="AF2129">
            <v>758188</v>
          </cell>
          <cell r="AG2129">
            <v>800958</v>
          </cell>
          <cell r="AH2129">
            <v>962477</v>
          </cell>
          <cell r="AI2129">
            <v>1112937</v>
          </cell>
          <cell r="AJ2129">
            <v>1095757</v>
          </cell>
        </row>
        <row r="2130">
          <cell r="E2130" t="str">
            <v>UT Transportation Natural Gas</v>
          </cell>
          <cell r="F2130">
            <v>953</v>
          </cell>
          <cell r="G2130">
            <v>934</v>
          </cell>
          <cell r="H2130">
            <v>1547</v>
          </cell>
          <cell r="I2130">
            <v>2921</v>
          </cell>
          <cell r="J2130">
            <v>3215</v>
          </cell>
          <cell r="K2130">
            <v>3315</v>
          </cell>
          <cell r="L2130">
            <v>4148</v>
          </cell>
          <cell r="M2130">
            <v>3345</v>
          </cell>
          <cell r="N2130">
            <v>3583</v>
          </cell>
          <cell r="O2130">
            <v>3643</v>
          </cell>
          <cell r="P2130">
            <v>3703</v>
          </cell>
          <cell r="Q2130">
            <v>4879</v>
          </cell>
          <cell r="R2130">
            <v>6855</v>
          </cell>
          <cell r="S2130">
            <v>8467</v>
          </cell>
          <cell r="T2130">
            <v>9443</v>
          </cell>
          <cell r="U2130">
            <v>9532</v>
          </cell>
          <cell r="V2130">
            <v>11990</v>
          </cell>
          <cell r="W2130">
            <v>12860</v>
          </cell>
          <cell r="X2130">
            <v>12472</v>
          </cell>
          <cell r="Y2130">
            <v>10872</v>
          </cell>
          <cell r="Z2130">
            <v>11046</v>
          </cell>
          <cell r="AA2130">
            <v>12122</v>
          </cell>
          <cell r="AB2130">
            <v>13789</v>
          </cell>
          <cell r="AC2130">
            <v>14343</v>
          </cell>
          <cell r="AD2130">
            <v>15057</v>
          </cell>
          <cell r="AE2130">
            <v>14954</v>
          </cell>
          <cell r="AF2130">
            <v>13306</v>
          </cell>
          <cell r="AG2130">
            <v>11777</v>
          </cell>
          <cell r="AH2130">
            <v>13199</v>
          </cell>
          <cell r="AI2130">
            <v>13645</v>
          </cell>
          <cell r="AJ2130">
            <v>12886</v>
          </cell>
        </row>
        <row r="2131">
          <cell r="E2131" t="str">
            <v>VA Transportation Natural Gas</v>
          </cell>
          <cell r="F2131">
            <v>7239</v>
          </cell>
          <cell r="G2131">
            <v>6918</v>
          </cell>
          <cell r="H2131">
            <v>6708</v>
          </cell>
          <cell r="I2131">
            <v>6062</v>
          </cell>
          <cell r="J2131">
            <v>6650</v>
          </cell>
          <cell r="K2131">
            <v>6566</v>
          </cell>
          <cell r="L2131">
            <v>8199</v>
          </cell>
          <cell r="M2131">
            <v>7879</v>
          </cell>
          <cell r="N2131">
            <v>7333</v>
          </cell>
          <cell r="O2131">
            <v>8526</v>
          </cell>
          <cell r="P2131">
            <v>8492</v>
          </cell>
          <cell r="Q2131">
            <v>8103</v>
          </cell>
          <cell r="R2131">
            <v>8407</v>
          </cell>
          <cell r="S2131">
            <v>7449</v>
          </cell>
          <cell r="T2131">
            <v>5998</v>
          </cell>
          <cell r="U2131">
            <v>5328</v>
          </cell>
          <cell r="V2131">
            <v>5777</v>
          </cell>
          <cell r="W2131">
            <v>7321</v>
          </cell>
          <cell r="X2131">
            <v>8923</v>
          </cell>
          <cell r="Y2131">
            <v>9286</v>
          </cell>
          <cell r="Z2131">
            <v>10494</v>
          </cell>
          <cell r="AA2131">
            <v>14597</v>
          </cell>
          <cell r="AB2131">
            <v>10049</v>
          </cell>
          <cell r="AC2131">
            <v>9005</v>
          </cell>
          <cell r="AD2131">
            <v>8010</v>
          </cell>
          <cell r="AE2131">
            <v>8611</v>
          </cell>
          <cell r="AF2131">
            <v>9209</v>
          </cell>
          <cell r="AG2131">
            <v>10089</v>
          </cell>
          <cell r="AH2131">
            <v>11162</v>
          </cell>
          <cell r="AI2131">
            <v>14675</v>
          </cell>
          <cell r="AJ2131">
            <v>11557</v>
          </cell>
        </row>
        <row r="2132">
          <cell r="E2132" t="str">
            <v>VT Transportation Natural Gas</v>
          </cell>
          <cell r="F2132">
            <v>5</v>
          </cell>
          <cell r="G2132">
            <v>3</v>
          </cell>
          <cell r="H2132">
            <v>12</v>
          </cell>
          <cell r="I2132">
            <v>14</v>
          </cell>
          <cell r="J2132">
            <v>15</v>
          </cell>
          <cell r="K2132">
            <v>24</v>
          </cell>
          <cell r="L2132">
            <v>31</v>
          </cell>
          <cell r="M2132">
            <v>166</v>
          </cell>
          <cell r="N2132">
            <v>9</v>
          </cell>
          <cell r="O2132">
            <v>9</v>
          </cell>
          <cell r="P2132">
            <v>16</v>
          </cell>
          <cell r="Q2132">
            <v>15</v>
          </cell>
          <cell r="R2132">
            <v>15</v>
          </cell>
          <cell r="S2132">
            <v>15</v>
          </cell>
          <cell r="T2132">
            <v>15</v>
          </cell>
          <cell r="U2132">
            <v>15</v>
          </cell>
          <cell r="V2132">
            <v>15</v>
          </cell>
          <cell r="W2132">
            <v>16</v>
          </cell>
          <cell r="X2132">
            <v>16</v>
          </cell>
          <cell r="Y2132">
            <v>18</v>
          </cell>
          <cell r="Z2132">
            <v>17</v>
          </cell>
          <cell r="AA2132">
            <v>56</v>
          </cell>
          <cell r="AB2132">
            <v>118</v>
          </cell>
          <cell r="AC2132">
            <v>93</v>
          </cell>
          <cell r="AD2132">
            <v>129</v>
          </cell>
          <cell r="AE2132">
            <v>142</v>
          </cell>
          <cell r="AF2132">
            <v>142</v>
          </cell>
          <cell r="AG2132">
            <v>8</v>
          </cell>
          <cell r="AH2132">
            <v>10</v>
          </cell>
          <cell r="AI2132">
            <v>23</v>
          </cell>
          <cell r="AJ2132">
            <v>33</v>
          </cell>
        </row>
        <row r="2133">
          <cell r="E2133" t="str">
            <v>WA Transportation Natural Gas</v>
          </cell>
          <cell r="F2133">
            <v>5256</v>
          </cell>
          <cell r="G2133">
            <v>5321</v>
          </cell>
          <cell r="H2133">
            <v>3217</v>
          </cell>
          <cell r="I2133">
            <v>4450</v>
          </cell>
          <cell r="J2133">
            <v>6777</v>
          </cell>
          <cell r="K2133">
            <v>9090</v>
          </cell>
          <cell r="L2133">
            <v>7255</v>
          </cell>
          <cell r="M2133">
            <v>9404</v>
          </cell>
          <cell r="N2133">
            <v>9703</v>
          </cell>
          <cell r="O2133">
            <v>8296</v>
          </cell>
          <cell r="P2133">
            <v>6554</v>
          </cell>
          <cell r="Q2133">
            <v>9661</v>
          </cell>
          <cell r="R2133">
            <v>6841</v>
          </cell>
          <cell r="S2133">
            <v>7060</v>
          </cell>
          <cell r="T2133">
            <v>9474</v>
          </cell>
          <cell r="U2133">
            <v>8957</v>
          </cell>
          <cell r="V2133">
            <v>7266</v>
          </cell>
          <cell r="W2133">
            <v>8108</v>
          </cell>
          <cell r="X2133">
            <v>7312</v>
          </cell>
          <cell r="Y2133">
            <v>8249</v>
          </cell>
          <cell r="Z2133">
            <v>8286</v>
          </cell>
          <cell r="AA2133">
            <v>7363</v>
          </cell>
          <cell r="AB2133">
            <v>9981</v>
          </cell>
          <cell r="AC2133">
            <v>10912</v>
          </cell>
          <cell r="AD2133">
            <v>9919</v>
          </cell>
          <cell r="AE2133">
            <v>13257</v>
          </cell>
          <cell r="AF2133">
            <v>13441</v>
          </cell>
          <cell r="AG2133">
            <v>13512</v>
          </cell>
          <cell r="AH2133">
            <v>14726</v>
          </cell>
          <cell r="AI2133">
            <v>14069</v>
          </cell>
          <cell r="AJ2133">
            <v>12705</v>
          </cell>
        </row>
        <row r="2134">
          <cell r="E2134" t="str">
            <v>WI Transportation Natural Gas</v>
          </cell>
          <cell r="F2134">
            <v>4440</v>
          </cell>
          <cell r="G2134">
            <v>4454</v>
          </cell>
          <cell r="H2134">
            <v>4047</v>
          </cell>
          <cell r="I2134">
            <v>3705</v>
          </cell>
          <cell r="J2134">
            <v>10009</v>
          </cell>
          <cell r="K2134">
            <v>4297</v>
          </cell>
          <cell r="L2134">
            <v>4321</v>
          </cell>
          <cell r="M2134">
            <v>4601</v>
          </cell>
          <cell r="N2134">
            <v>4463</v>
          </cell>
          <cell r="O2134">
            <v>4365</v>
          </cell>
          <cell r="P2134">
            <v>4280</v>
          </cell>
          <cell r="Q2134">
            <v>3099</v>
          </cell>
          <cell r="R2134">
            <v>4054</v>
          </cell>
          <cell r="S2134">
            <v>3813</v>
          </cell>
          <cell r="T2134">
            <v>3612</v>
          </cell>
          <cell r="U2134">
            <v>3810</v>
          </cell>
          <cell r="V2134">
            <v>3214</v>
          </cell>
          <cell r="W2134">
            <v>2965</v>
          </cell>
          <cell r="X2134">
            <v>2750</v>
          </cell>
          <cell r="Y2134">
            <v>1738</v>
          </cell>
          <cell r="Z2134">
            <v>3059</v>
          </cell>
          <cell r="AA2134">
            <v>2704</v>
          </cell>
          <cell r="AB2134">
            <v>1875</v>
          </cell>
          <cell r="AC2134">
            <v>2982</v>
          </cell>
          <cell r="AD2134">
            <v>3969</v>
          </cell>
          <cell r="AE2134">
            <v>3668</v>
          </cell>
          <cell r="AF2134">
            <v>3861</v>
          </cell>
          <cell r="AG2134">
            <v>4152</v>
          </cell>
          <cell r="AH2134">
            <v>4583</v>
          </cell>
          <cell r="AI2134">
            <v>4841</v>
          </cell>
          <cell r="AJ2134">
            <v>4359</v>
          </cell>
        </row>
        <row r="2135">
          <cell r="E2135" t="str">
            <v>WV Transportation Natural Gas</v>
          </cell>
          <cell r="F2135">
            <v>9316</v>
          </cell>
          <cell r="G2135">
            <v>8912</v>
          </cell>
          <cell r="H2135">
            <v>17799</v>
          </cell>
          <cell r="I2135">
            <v>22645</v>
          </cell>
          <cell r="J2135">
            <v>32127</v>
          </cell>
          <cell r="K2135">
            <v>28098</v>
          </cell>
          <cell r="L2135">
            <v>34546</v>
          </cell>
          <cell r="M2135">
            <v>34644</v>
          </cell>
          <cell r="N2135">
            <v>32968</v>
          </cell>
          <cell r="O2135">
            <v>31657</v>
          </cell>
          <cell r="P2135">
            <v>34998</v>
          </cell>
          <cell r="Q2135">
            <v>32535</v>
          </cell>
          <cell r="R2135">
            <v>36067</v>
          </cell>
          <cell r="S2135">
            <v>19666</v>
          </cell>
          <cell r="T2135">
            <v>20148</v>
          </cell>
          <cell r="U2135">
            <v>21028</v>
          </cell>
          <cell r="V2135">
            <v>21191</v>
          </cell>
          <cell r="W2135">
            <v>22437</v>
          </cell>
          <cell r="X2135">
            <v>19636</v>
          </cell>
          <cell r="Y2135">
            <v>23954</v>
          </cell>
          <cell r="Z2135">
            <v>23238</v>
          </cell>
          <cell r="AA2135">
            <v>23250</v>
          </cell>
          <cell r="AB2135">
            <v>34491</v>
          </cell>
          <cell r="AC2135">
            <v>31854</v>
          </cell>
          <cell r="AD2135">
            <v>31969</v>
          </cell>
          <cell r="AE2135">
            <v>31994</v>
          </cell>
          <cell r="AF2135">
            <v>22361</v>
          </cell>
          <cell r="AG2135">
            <v>20913</v>
          </cell>
          <cell r="AH2135">
            <v>21057</v>
          </cell>
          <cell r="AI2135">
            <v>27079</v>
          </cell>
          <cell r="AJ2135">
            <v>32139</v>
          </cell>
        </row>
        <row r="2136">
          <cell r="E2136" t="str">
            <v>WY Transportation Natural Gas</v>
          </cell>
          <cell r="F2136">
            <v>5560</v>
          </cell>
          <cell r="G2136">
            <v>8275</v>
          </cell>
          <cell r="H2136">
            <v>8364</v>
          </cell>
          <cell r="I2136">
            <v>7145</v>
          </cell>
          <cell r="J2136">
            <v>6542</v>
          </cell>
          <cell r="K2136">
            <v>7714</v>
          </cell>
          <cell r="L2136">
            <v>8644</v>
          </cell>
          <cell r="M2136">
            <v>11183</v>
          </cell>
          <cell r="N2136">
            <v>12316</v>
          </cell>
          <cell r="O2136">
            <v>14444</v>
          </cell>
          <cell r="P2136">
            <v>14754</v>
          </cell>
          <cell r="Q2136">
            <v>13904</v>
          </cell>
          <cell r="R2136">
            <v>13690</v>
          </cell>
          <cell r="S2136">
            <v>14989</v>
          </cell>
          <cell r="T2136">
            <v>13131</v>
          </cell>
          <cell r="U2136">
            <v>14775</v>
          </cell>
          <cell r="V2136">
            <v>14449</v>
          </cell>
          <cell r="W2136">
            <v>15196</v>
          </cell>
          <cell r="X2136">
            <v>17649</v>
          </cell>
          <cell r="Y2136">
            <v>20071</v>
          </cell>
          <cell r="Z2136">
            <v>21473</v>
          </cell>
          <cell r="AA2136">
            <v>18530</v>
          </cell>
          <cell r="AB2136">
            <v>17250</v>
          </cell>
          <cell r="AC2136">
            <v>15951</v>
          </cell>
          <cell r="AD2136">
            <v>16007</v>
          </cell>
          <cell r="AE2136">
            <v>13732</v>
          </cell>
          <cell r="AF2136">
            <v>13515</v>
          </cell>
          <cell r="AG2136">
            <v>14441</v>
          </cell>
          <cell r="AH2136">
            <v>16180</v>
          </cell>
          <cell r="AI2136">
            <v>14263</v>
          </cell>
          <cell r="AJ2136">
            <v>14362</v>
          </cell>
        </row>
        <row r="2137">
          <cell r="E2137" t="str">
            <v>AK Commercial Natural Gas</v>
          </cell>
          <cell r="F2137">
            <v>20451</v>
          </cell>
          <cell r="G2137">
            <v>20937</v>
          </cell>
          <cell r="H2137">
            <v>21343</v>
          </cell>
          <cell r="I2137">
            <v>19872</v>
          </cell>
          <cell r="J2137">
            <v>20719</v>
          </cell>
          <cell r="K2137">
            <v>25134</v>
          </cell>
          <cell r="L2137">
            <v>27017</v>
          </cell>
          <cell r="M2137">
            <v>26903</v>
          </cell>
          <cell r="N2137">
            <v>27045</v>
          </cell>
          <cell r="O2137">
            <v>27662</v>
          </cell>
          <cell r="P2137">
            <v>27201</v>
          </cell>
          <cell r="Q2137">
            <v>16015</v>
          </cell>
          <cell r="R2137">
            <v>15747</v>
          </cell>
          <cell r="S2137">
            <v>17338</v>
          </cell>
          <cell r="T2137">
            <v>18442</v>
          </cell>
          <cell r="U2137">
            <v>16968</v>
          </cell>
          <cell r="V2137">
            <v>18633</v>
          </cell>
          <cell r="W2137">
            <v>18867</v>
          </cell>
          <cell r="X2137">
            <v>17128</v>
          </cell>
          <cell r="Y2137">
            <v>16701</v>
          </cell>
          <cell r="Z2137">
            <v>15998</v>
          </cell>
          <cell r="AA2137">
            <v>19647</v>
          </cell>
          <cell r="AB2137">
            <v>20135</v>
          </cell>
          <cell r="AC2137">
            <v>18711</v>
          </cell>
          <cell r="AD2137">
            <v>17942</v>
          </cell>
          <cell r="AE2137">
            <v>18491</v>
          </cell>
          <cell r="AF2137">
            <v>15970</v>
          </cell>
          <cell r="AG2137">
            <v>15355</v>
          </cell>
          <cell r="AH2137">
            <v>14100</v>
          </cell>
          <cell r="AI2137">
            <v>14318</v>
          </cell>
          <cell r="AJ2137">
            <v>16330</v>
          </cell>
        </row>
        <row r="2138">
          <cell r="E2138" t="str">
            <v>AL Commercial Natural Gas</v>
          </cell>
          <cell r="F2138">
            <v>24992</v>
          </cell>
          <cell r="G2138">
            <v>24353</v>
          </cell>
          <cell r="H2138">
            <v>25941</v>
          </cell>
          <cell r="I2138">
            <v>26499</v>
          </cell>
          <cell r="J2138">
            <v>26297</v>
          </cell>
          <cell r="K2138">
            <v>26993</v>
          </cell>
          <cell r="L2138">
            <v>29961</v>
          </cell>
          <cell r="M2138">
            <v>33701</v>
          </cell>
          <cell r="N2138">
            <v>26721</v>
          </cell>
          <cell r="O2138">
            <v>28570</v>
          </cell>
          <cell r="P2138">
            <v>26706</v>
          </cell>
          <cell r="Q2138">
            <v>27247</v>
          </cell>
          <cell r="R2138">
            <v>25745</v>
          </cell>
          <cell r="S2138">
            <v>26106</v>
          </cell>
          <cell r="T2138">
            <v>27119</v>
          </cell>
          <cell r="U2138">
            <v>25791</v>
          </cell>
          <cell r="V2138">
            <v>25067</v>
          </cell>
          <cell r="W2138">
            <v>24035</v>
          </cell>
          <cell r="X2138">
            <v>25793</v>
          </cell>
          <cell r="Y2138">
            <v>24946</v>
          </cell>
          <cell r="Z2138">
            <v>27492</v>
          </cell>
          <cell r="AA2138">
            <v>25555</v>
          </cell>
          <cell r="AB2138">
            <v>21896</v>
          </cell>
          <cell r="AC2138">
            <v>25734</v>
          </cell>
          <cell r="AD2138">
            <v>28124</v>
          </cell>
          <cell r="AE2138">
            <v>25856</v>
          </cell>
          <cell r="AF2138">
            <v>24172</v>
          </cell>
          <cell r="AG2138">
            <v>23558</v>
          </cell>
          <cell r="AH2138">
            <v>27359</v>
          </cell>
          <cell r="AI2138">
            <v>25570</v>
          </cell>
          <cell r="AJ2138">
            <v>23603</v>
          </cell>
        </row>
        <row r="2139">
          <cell r="E2139" t="str">
            <v>AR Commercial Natural Gas</v>
          </cell>
          <cell r="F2139">
            <v>25321</v>
          </cell>
          <cell r="G2139">
            <v>26417</v>
          </cell>
          <cell r="H2139">
            <v>25486</v>
          </cell>
          <cell r="I2139">
            <v>29362</v>
          </cell>
          <cell r="J2139">
            <v>28004</v>
          </cell>
          <cell r="K2139">
            <v>29724</v>
          </cell>
          <cell r="L2139">
            <v>31823</v>
          </cell>
          <cell r="M2139">
            <v>29852</v>
          </cell>
          <cell r="N2139">
            <v>28759</v>
          </cell>
          <cell r="O2139">
            <v>28397</v>
          </cell>
          <cell r="P2139">
            <v>33806</v>
          </cell>
          <cell r="Q2139">
            <v>32455</v>
          </cell>
          <cell r="R2139">
            <v>33731</v>
          </cell>
          <cell r="S2139">
            <v>32721</v>
          </cell>
          <cell r="T2139">
            <v>30093</v>
          </cell>
          <cell r="U2139">
            <v>31822</v>
          </cell>
          <cell r="V2139">
            <v>32252</v>
          </cell>
          <cell r="W2139">
            <v>32493</v>
          </cell>
          <cell r="X2139">
            <v>37245</v>
          </cell>
          <cell r="Y2139">
            <v>36792</v>
          </cell>
          <cell r="Z2139">
            <v>40531</v>
          </cell>
          <cell r="AA2139">
            <v>40584</v>
          </cell>
          <cell r="AB2139">
            <v>41851</v>
          </cell>
          <cell r="AC2139">
            <v>48553</v>
          </cell>
          <cell r="AD2139">
            <v>51246</v>
          </cell>
          <cell r="AE2139">
            <v>48248</v>
          </cell>
          <cell r="AF2139">
            <v>46382</v>
          </cell>
          <cell r="AG2139">
            <v>48190</v>
          </cell>
          <cell r="AH2139">
            <v>56224</v>
          </cell>
          <cell r="AI2139">
            <v>55846</v>
          </cell>
          <cell r="AJ2139">
            <v>53396</v>
          </cell>
        </row>
        <row r="2140">
          <cell r="E2140" t="str">
            <v>AZ Commercial Natural Gas</v>
          </cell>
          <cell r="F2140">
            <v>29319</v>
          </cell>
          <cell r="G2140">
            <v>28274</v>
          </cell>
          <cell r="H2140">
            <v>27935</v>
          </cell>
          <cell r="I2140">
            <v>28345</v>
          </cell>
          <cell r="J2140">
            <v>30005</v>
          </cell>
          <cell r="K2140">
            <v>29282</v>
          </cell>
          <cell r="L2140">
            <v>29280</v>
          </cell>
          <cell r="M2140">
            <v>30819</v>
          </cell>
          <cell r="N2140">
            <v>32318</v>
          </cell>
          <cell r="O2140">
            <v>31801</v>
          </cell>
          <cell r="P2140">
            <v>32461</v>
          </cell>
          <cell r="Q2140">
            <v>31315</v>
          </cell>
          <cell r="R2140">
            <v>32258</v>
          </cell>
          <cell r="S2140">
            <v>32702</v>
          </cell>
          <cell r="T2140">
            <v>33730</v>
          </cell>
          <cell r="U2140">
            <v>32632</v>
          </cell>
          <cell r="V2140">
            <v>33408</v>
          </cell>
          <cell r="W2140">
            <v>33533</v>
          </cell>
          <cell r="X2140">
            <v>33368</v>
          </cell>
          <cell r="Y2140">
            <v>32785</v>
          </cell>
          <cell r="Z2140">
            <v>32479</v>
          </cell>
          <cell r="AA2140">
            <v>33057</v>
          </cell>
          <cell r="AB2140">
            <v>32179</v>
          </cell>
          <cell r="AC2140">
            <v>33749</v>
          </cell>
          <cell r="AD2140">
            <v>31439</v>
          </cell>
          <cell r="AE2140">
            <v>31891</v>
          </cell>
          <cell r="AF2140">
            <v>35423</v>
          </cell>
          <cell r="AG2140">
            <v>32649</v>
          </cell>
          <cell r="AH2140">
            <v>33073</v>
          </cell>
          <cell r="AI2140">
            <v>35780</v>
          </cell>
          <cell r="AJ2140">
            <v>32468</v>
          </cell>
        </row>
        <row r="2141">
          <cell r="E2141" t="str">
            <v>CA Commercial Natural Gas</v>
          </cell>
          <cell r="F2141">
            <v>294207</v>
          </cell>
          <cell r="G2141">
            <v>295187</v>
          </cell>
          <cell r="H2141">
            <v>292581</v>
          </cell>
          <cell r="I2141">
            <v>259816</v>
          </cell>
          <cell r="J2141">
            <v>267027</v>
          </cell>
          <cell r="K2141">
            <v>281816</v>
          </cell>
          <cell r="L2141">
            <v>243122</v>
          </cell>
          <cell r="M2141">
            <v>258267</v>
          </cell>
          <cell r="N2141">
            <v>298056</v>
          </cell>
          <cell r="O2141">
            <v>248298</v>
          </cell>
          <cell r="P2141">
            <v>235677</v>
          </cell>
          <cell r="Q2141">
            <v>249600</v>
          </cell>
          <cell r="R2141">
            <v>242898</v>
          </cell>
          <cell r="S2141">
            <v>237552</v>
          </cell>
          <cell r="T2141">
            <v>236222</v>
          </cell>
          <cell r="U2141">
            <v>238473</v>
          </cell>
          <cell r="V2141">
            <v>250003</v>
          </cell>
          <cell r="W2141">
            <v>258379</v>
          </cell>
          <cell r="X2141">
            <v>257986</v>
          </cell>
          <cell r="Y2141">
            <v>254462</v>
          </cell>
          <cell r="Z2141">
            <v>253329</v>
          </cell>
          <cell r="AA2141">
            <v>250867</v>
          </cell>
          <cell r="AB2141">
            <v>258277</v>
          </cell>
          <cell r="AC2141">
            <v>261502</v>
          </cell>
          <cell r="AD2141">
            <v>244411</v>
          </cell>
          <cell r="AE2141">
            <v>244468</v>
          </cell>
          <cell r="AF2141">
            <v>245346</v>
          </cell>
          <cell r="AG2141">
            <v>245783</v>
          </cell>
          <cell r="AH2141">
            <v>256345</v>
          </cell>
          <cell r="AI2141">
            <v>264692</v>
          </cell>
          <cell r="AJ2141">
            <v>240498</v>
          </cell>
        </row>
        <row r="2142">
          <cell r="E2142" t="str">
            <v>CO Commercial Natural Gas</v>
          </cell>
          <cell r="F2142">
            <v>66489</v>
          </cell>
          <cell r="G2142">
            <v>70965</v>
          </cell>
          <cell r="H2142">
            <v>67702</v>
          </cell>
          <cell r="I2142">
            <v>72293</v>
          </cell>
          <cell r="J2142">
            <v>65872</v>
          </cell>
          <cell r="K2142">
            <v>67585</v>
          </cell>
          <cell r="L2142">
            <v>69960</v>
          </cell>
          <cell r="M2142">
            <v>69708</v>
          </cell>
          <cell r="N2142">
            <v>63528</v>
          </cell>
          <cell r="O2142">
            <v>59367</v>
          </cell>
          <cell r="P2142">
            <v>60753</v>
          </cell>
          <cell r="Q2142">
            <v>65358</v>
          </cell>
          <cell r="R2142">
            <v>67429</v>
          </cell>
          <cell r="S2142">
            <v>63225</v>
          </cell>
          <cell r="T2142">
            <v>62356</v>
          </cell>
          <cell r="U2142">
            <v>63809</v>
          </cell>
          <cell r="V2142">
            <v>61661</v>
          </cell>
          <cell r="W2142">
            <v>64973</v>
          </cell>
          <cell r="X2142">
            <v>66817</v>
          </cell>
          <cell r="Y2142">
            <v>63362</v>
          </cell>
          <cell r="Z2142">
            <v>58642</v>
          </cell>
          <cell r="AA2142">
            <v>57579</v>
          </cell>
          <cell r="AB2142">
            <v>53756</v>
          </cell>
          <cell r="AC2142">
            <v>60782</v>
          </cell>
          <cell r="AD2142">
            <v>60625</v>
          </cell>
          <cell r="AE2142">
            <v>56980</v>
          </cell>
          <cell r="AF2142">
            <v>57378</v>
          </cell>
          <cell r="AG2142">
            <v>55874</v>
          </cell>
          <cell r="AH2142">
            <v>59810</v>
          </cell>
          <cell r="AI2142">
            <v>66656</v>
          </cell>
          <cell r="AJ2142">
            <v>61238</v>
          </cell>
        </row>
        <row r="2143">
          <cell r="E2143" t="str">
            <v>CT Commercial Natural Gas</v>
          </cell>
          <cell r="F2143">
            <v>30390</v>
          </cell>
          <cell r="G2143">
            <v>27671</v>
          </cell>
          <cell r="H2143">
            <v>30666</v>
          </cell>
          <cell r="I2143">
            <v>32275</v>
          </cell>
          <cell r="J2143">
            <v>40302</v>
          </cell>
          <cell r="K2143">
            <v>39003</v>
          </cell>
          <cell r="L2143">
            <v>40927</v>
          </cell>
          <cell r="M2143">
            <v>43814</v>
          </cell>
          <cell r="N2143">
            <v>43433</v>
          </cell>
          <cell r="O2143">
            <v>48690</v>
          </cell>
          <cell r="P2143">
            <v>49855</v>
          </cell>
          <cell r="Q2143">
            <v>45401</v>
          </cell>
          <cell r="R2143">
            <v>41515</v>
          </cell>
          <cell r="S2143">
            <v>39774</v>
          </cell>
          <cell r="T2143">
            <v>36374</v>
          </cell>
          <cell r="U2143">
            <v>36662</v>
          </cell>
          <cell r="V2143">
            <v>33524</v>
          </cell>
          <cell r="W2143">
            <v>36823</v>
          </cell>
          <cell r="X2143">
            <v>38438</v>
          </cell>
          <cell r="Y2143">
            <v>40656</v>
          </cell>
          <cell r="Z2143">
            <v>41689</v>
          </cell>
          <cell r="AA2143">
            <v>46067</v>
          </cell>
          <cell r="AB2143">
            <v>43677</v>
          </cell>
          <cell r="AC2143">
            <v>47324</v>
          </cell>
          <cell r="AD2143">
            <v>52643</v>
          </cell>
          <cell r="AE2143">
            <v>53855</v>
          </cell>
          <cell r="AF2143">
            <v>51657</v>
          </cell>
          <cell r="AG2143">
            <v>54014</v>
          </cell>
          <cell r="AH2143">
            <v>59939</v>
          </cell>
          <cell r="AI2143">
            <v>59386</v>
          </cell>
          <cell r="AJ2143">
            <v>54023</v>
          </cell>
        </row>
        <row r="2144">
          <cell r="E2144" t="str">
            <v>DC Commercial Natural Gas</v>
          </cell>
          <cell r="F2144">
            <v>13581</v>
          </cell>
          <cell r="G2144">
            <v>15644</v>
          </cell>
          <cell r="H2144">
            <v>16216</v>
          </cell>
          <cell r="I2144">
            <v>16343</v>
          </cell>
          <cell r="J2144">
            <v>14904</v>
          </cell>
          <cell r="K2144">
            <v>17137</v>
          </cell>
          <cell r="L2144">
            <v>16494</v>
          </cell>
          <cell r="M2144">
            <v>18390</v>
          </cell>
          <cell r="N2144">
            <v>17317</v>
          </cell>
          <cell r="O2144">
            <v>18212</v>
          </cell>
          <cell r="P2144">
            <v>18207</v>
          </cell>
          <cell r="Q2144">
            <v>16976</v>
          </cell>
          <cell r="R2144">
            <v>18772</v>
          </cell>
          <cell r="S2144">
            <v>17560</v>
          </cell>
          <cell r="T2144">
            <v>17854</v>
          </cell>
          <cell r="U2144">
            <v>18602</v>
          </cell>
          <cell r="V2144">
            <v>17535</v>
          </cell>
          <cell r="W2144">
            <v>19818</v>
          </cell>
          <cell r="X2144">
            <v>18927</v>
          </cell>
          <cell r="Y2144">
            <v>19360</v>
          </cell>
          <cell r="Z2144">
            <v>18807</v>
          </cell>
          <cell r="AA2144">
            <v>17160</v>
          </cell>
          <cell r="AB2144">
            <v>15809</v>
          </cell>
          <cell r="AC2144">
            <v>17751</v>
          </cell>
          <cell r="AD2144">
            <v>18250</v>
          </cell>
          <cell r="AE2144">
            <v>17866</v>
          </cell>
          <cell r="AF2144">
            <v>16337</v>
          </cell>
          <cell r="AG2144">
            <v>16666</v>
          </cell>
          <cell r="AH2144">
            <v>17219</v>
          </cell>
          <cell r="AI2144">
            <v>16689</v>
          </cell>
          <cell r="AJ2144">
            <v>15569</v>
          </cell>
        </row>
        <row r="2145">
          <cell r="E2145" t="str">
            <v>DE Commercial Natural Gas</v>
          </cell>
          <cell r="F2145">
            <v>4079</v>
          </cell>
          <cell r="G2145">
            <v>4281</v>
          </cell>
          <cell r="H2145">
            <v>5149</v>
          </cell>
          <cell r="I2145">
            <v>5380</v>
          </cell>
          <cell r="J2145">
            <v>5654</v>
          </cell>
          <cell r="K2145">
            <v>5947</v>
          </cell>
          <cell r="L2145">
            <v>6933</v>
          </cell>
          <cell r="M2145">
            <v>6841</v>
          </cell>
          <cell r="N2145">
            <v>5935</v>
          </cell>
          <cell r="O2145">
            <v>6533</v>
          </cell>
          <cell r="P2145">
            <v>5336</v>
          </cell>
          <cell r="Q2145">
            <v>5867</v>
          </cell>
          <cell r="R2145">
            <v>7750</v>
          </cell>
          <cell r="S2145">
            <v>8756</v>
          </cell>
          <cell r="T2145">
            <v>8769</v>
          </cell>
          <cell r="U2145">
            <v>8693</v>
          </cell>
          <cell r="V2145">
            <v>8436</v>
          </cell>
          <cell r="W2145">
            <v>8951</v>
          </cell>
          <cell r="X2145">
            <v>9158</v>
          </cell>
          <cell r="Y2145">
            <v>12053</v>
          </cell>
          <cell r="Z2145">
            <v>12495</v>
          </cell>
          <cell r="AA2145">
            <v>10784</v>
          </cell>
          <cell r="AB2145">
            <v>10319</v>
          </cell>
          <cell r="AC2145">
            <v>11691</v>
          </cell>
          <cell r="AD2145">
            <v>12541</v>
          </cell>
          <cell r="AE2145">
            <v>12350</v>
          </cell>
          <cell r="AF2145">
            <v>12977</v>
          </cell>
          <cell r="AG2145">
            <v>14022</v>
          </cell>
          <cell r="AH2145">
            <v>16276</v>
          </cell>
          <cell r="AI2145">
            <v>16263</v>
          </cell>
          <cell r="AJ2145">
            <v>15399</v>
          </cell>
        </row>
        <row r="2146">
          <cell r="E2146" t="str">
            <v>FL Commercial Natural Gas</v>
          </cell>
          <cell r="F2146">
            <v>39349</v>
          </cell>
          <cell r="G2146">
            <v>43126</v>
          </cell>
          <cell r="H2146">
            <v>45884</v>
          </cell>
          <cell r="I2146">
            <v>45224</v>
          </cell>
          <cell r="J2146">
            <v>45064</v>
          </cell>
          <cell r="K2146">
            <v>43199</v>
          </cell>
          <cell r="L2146">
            <v>46671</v>
          </cell>
          <cell r="M2146">
            <v>38831</v>
          </cell>
          <cell r="N2146">
            <v>39707</v>
          </cell>
          <cell r="O2146">
            <v>37941</v>
          </cell>
          <cell r="P2146">
            <v>53090</v>
          </cell>
          <cell r="Q2146">
            <v>52490</v>
          </cell>
          <cell r="R2146">
            <v>57802</v>
          </cell>
          <cell r="S2146">
            <v>56545</v>
          </cell>
          <cell r="T2146">
            <v>58332</v>
          </cell>
          <cell r="U2146">
            <v>59867</v>
          </cell>
          <cell r="V2146">
            <v>52221</v>
          </cell>
          <cell r="W2146">
            <v>52915</v>
          </cell>
          <cell r="X2146">
            <v>52508</v>
          </cell>
          <cell r="Y2146">
            <v>51919</v>
          </cell>
          <cell r="Z2146">
            <v>55374</v>
          </cell>
          <cell r="AA2146">
            <v>54342</v>
          </cell>
          <cell r="AB2146">
            <v>55683</v>
          </cell>
          <cell r="AC2146">
            <v>61035</v>
          </cell>
          <cell r="AD2146">
            <v>64460</v>
          </cell>
          <cell r="AE2146">
            <v>61734</v>
          </cell>
          <cell r="AF2146">
            <v>64199</v>
          </cell>
          <cell r="AG2146">
            <v>63320</v>
          </cell>
          <cell r="AH2146">
            <v>65589</v>
          </cell>
          <cell r="AI2146">
            <v>64857</v>
          </cell>
          <cell r="AJ2146">
            <v>58710</v>
          </cell>
        </row>
        <row r="2147">
          <cell r="E2147" t="str">
            <v>GA Commercial Natural Gas</v>
          </cell>
          <cell r="F2147">
            <v>50823</v>
          </cell>
          <cell r="G2147">
            <v>52414</v>
          </cell>
          <cell r="H2147">
            <v>55207</v>
          </cell>
          <cell r="I2147">
            <v>59080</v>
          </cell>
          <cell r="J2147">
            <v>55673</v>
          </cell>
          <cell r="K2147">
            <v>58004</v>
          </cell>
          <cell r="L2147">
            <v>62787</v>
          </cell>
          <cell r="M2147">
            <v>58813</v>
          </cell>
          <cell r="N2147">
            <v>56921</v>
          </cell>
          <cell r="O2147">
            <v>44759</v>
          </cell>
          <cell r="P2147">
            <v>59865</v>
          </cell>
          <cell r="Q2147">
            <v>52393</v>
          </cell>
          <cell r="R2147">
            <v>49873</v>
          </cell>
          <cell r="S2147">
            <v>51753</v>
          </cell>
          <cell r="T2147">
            <v>56636</v>
          </cell>
          <cell r="U2147">
            <v>54762</v>
          </cell>
          <cell r="V2147">
            <v>49562</v>
          </cell>
          <cell r="W2147">
            <v>49995</v>
          </cell>
          <cell r="X2147">
            <v>52719</v>
          </cell>
          <cell r="Y2147">
            <v>54883</v>
          </cell>
          <cell r="Z2147">
            <v>61450</v>
          </cell>
          <cell r="AA2147">
            <v>57645</v>
          </cell>
          <cell r="AB2147">
            <v>52707</v>
          </cell>
          <cell r="AC2147">
            <v>58066</v>
          </cell>
          <cell r="AD2147">
            <v>60029</v>
          </cell>
          <cell r="AE2147">
            <v>55005</v>
          </cell>
          <cell r="AF2147">
            <v>52773</v>
          </cell>
          <cell r="AG2147">
            <v>50571</v>
          </cell>
          <cell r="AH2147">
            <v>58080</v>
          </cell>
          <cell r="AI2147">
            <v>55033</v>
          </cell>
          <cell r="AJ2147">
            <v>52374</v>
          </cell>
        </row>
        <row r="2148">
          <cell r="E2148" t="str">
            <v>HI Commercial Natural Gas</v>
          </cell>
          <cell r="F2148">
            <v>2378</v>
          </cell>
          <cell r="G2148">
            <v>2320</v>
          </cell>
          <cell r="H2148">
            <v>2301</v>
          </cell>
          <cell r="I2148">
            <v>2255</v>
          </cell>
          <cell r="J2148">
            <v>2313</v>
          </cell>
          <cell r="K2148">
            <v>2304</v>
          </cell>
          <cell r="L2148">
            <v>2254</v>
          </cell>
          <cell r="M2148">
            <v>1804</v>
          </cell>
          <cell r="N2148">
            <v>1845</v>
          </cell>
          <cell r="O2148">
            <v>1845</v>
          </cell>
          <cell r="P2148">
            <v>1854</v>
          </cell>
          <cell r="Q2148">
            <v>1812</v>
          </cell>
          <cell r="R2148">
            <v>1823</v>
          </cell>
          <cell r="S2148">
            <v>1833</v>
          </cell>
          <cell r="T2148">
            <v>1889</v>
          </cell>
          <cell r="U2148">
            <v>1905</v>
          </cell>
          <cell r="V2148">
            <v>1898</v>
          </cell>
          <cell r="W2148">
            <v>1904</v>
          </cell>
          <cell r="X2148">
            <v>1845</v>
          </cell>
          <cell r="Y2148">
            <v>1822</v>
          </cell>
          <cell r="Z2148">
            <v>1848</v>
          </cell>
          <cell r="AA2148">
            <v>1853</v>
          </cell>
          <cell r="AB2148">
            <v>1935</v>
          </cell>
          <cell r="AC2148">
            <v>1884</v>
          </cell>
          <cell r="AD2148">
            <v>1852</v>
          </cell>
          <cell r="AE2148">
            <v>1874</v>
          </cell>
          <cell r="AF2148">
            <v>2339</v>
          </cell>
          <cell r="AG2148">
            <v>2385</v>
          </cell>
          <cell r="AH2148">
            <v>2502</v>
          </cell>
          <cell r="AI2148">
            <v>2483</v>
          </cell>
          <cell r="AJ2148">
            <v>1647</v>
          </cell>
        </row>
        <row r="2149">
          <cell r="E2149" t="str">
            <v>IA Commercial Natural Gas</v>
          </cell>
          <cell r="F2149">
            <v>44255</v>
          </cell>
          <cell r="G2149">
            <v>46978</v>
          </cell>
          <cell r="H2149">
            <v>46278</v>
          </cell>
          <cell r="I2149">
            <v>50480</v>
          </cell>
          <cell r="J2149">
            <v>48302</v>
          </cell>
          <cell r="K2149">
            <v>50572</v>
          </cell>
          <cell r="L2149">
            <v>54899</v>
          </cell>
          <cell r="M2149">
            <v>50643</v>
          </cell>
          <cell r="N2149">
            <v>43499</v>
          </cell>
          <cell r="O2149">
            <v>45759</v>
          </cell>
          <cell r="P2149">
            <v>45834</v>
          </cell>
          <cell r="Q2149">
            <v>46064</v>
          </cell>
          <cell r="R2149">
            <v>46558</v>
          </cell>
          <cell r="S2149">
            <v>48219</v>
          </cell>
          <cell r="T2149">
            <v>46214</v>
          </cell>
          <cell r="U2149">
            <v>45435</v>
          </cell>
          <cell r="V2149">
            <v>43974</v>
          </cell>
          <cell r="W2149">
            <v>46838</v>
          </cell>
          <cell r="X2149">
            <v>56658</v>
          </cell>
          <cell r="Y2149">
            <v>57093</v>
          </cell>
          <cell r="Z2149">
            <v>51976</v>
          </cell>
          <cell r="AA2149">
            <v>52338</v>
          </cell>
          <cell r="AB2149">
            <v>44360</v>
          </cell>
          <cell r="AC2149">
            <v>58243</v>
          </cell>
          <cell r="AD2149">
            <v>59724</v>
          </cell>
          <cell r="AE2149">
            <v>51756</v>
          </cell>
          <cell r="AF2149">
            <v>52177</v>
          </cell>
          <cell r="AG2149">
            <v>52468</v>
          </cell>
          <cell r="AH2149">
            <v>60197</v>
          </cell>
          <cell r="AI2149">
            <v>61642</v>
          </cell>
          <cell r="AJ2149">
            <v>54154</v>
          </cell>
        </row>
        <row r="2150">
          <cell r="E2150" t="str">
            <v>ID Commercial Natural Gas</v>
          </cell>
          <cell r="F2150">
            <v>8774</v>
          </cell>
          <cell r="G2150">
            <v>9898</v>
          </cell>
          <cell r="H2150">
            <v>9200</v>
          </cell>
          <cell r="I2150">
            <v>11080</v>
          </cell>
          <cell r="J2150">
            <v>10472</v>
          </cell>
          <cell r="K2150">
            <v>10671</v>
          </cell>
          <cell r="L2150">
            <v>11851</v>
          </cell>
          <cell r="M2150">
            <v>11786</v>
          </cell>
          <cell r="N2150">
            <v>12122</v>
          </cell>
          <cell r="O2150">
            <v>13094</v>
          </cell>
          <cell r="P2150">
            <v>13745</v>
          </cell>
          <cell r="Q2150">
            <v>13862</v>
          </cell>
          <cell r="R2150">
            <v>13999</v>
          </cell>
          <cell r="S2150">
            <v>12390</v>
          </cell>
          <cell r="T2150">
            <v>13528</v>
          </cell>
          <cell r="U2150">
            <v>13930</v>
          </cell>
          <cell r="V2150">
            <v>14204</v>
          </cell>
          <cell r="W2150">
            <v>14614</v>
          </cell>
          <cell r="X2150">
            <v>16727</v>
          </cell>
          <cell r="Y2150">
            <v>16107</v>
          </cell>
          <cell r="Z2150">
            <v>15360</v>
          </cell>
          <cell r="AA2150">
            <v>17152</v>
          </cell>
          <cell r="AB2150">
            <v>16084</v>
          </cell>
          <cell r="AC2150">
            <v>18955</v>
          </cell>
          <cell r="AD2150">
            <v>17266</v>
          </cell>
          <cell r="AE2150">
            <v>17310</v>
          </cell>
          <cell r="AF2150">
            <v>18386</v>
          </cell>
          <cell r="AG2150">
            <v>20684</v>
          </cell>
          <cell r="AH2150">
            <v>19892</v>
          </cell>
          <cell r="AI2150">
            <v>21673</v>
          </cell>
          <cell r="AJ2150">
            <v>20548</v>
          </cell>
        </row>
        <row r="2151">
          <cell r="E2151" t="str">
            <v>IL Commercial Natural Gas</v>
          </cell>
          <cell r="F2151">
            <v>204671</v>
          </cell>
          <cell r="G2151">
            <v>197523</v>
          </cell>
          <cell r="H2151">
            <v>200504</v>
          </cell>
          <cell r="I2151">
            <v>207431</v>
          </cell>
          <cell r="J2151">
            <v>201697</v>
          </cell>
          <cell r="K2151">
            <v>207905</v>
          </cell>
          <cell r="L2151">
            <v>222193</v>
          </cell>
          <cell r="M2151">
            <v>207159</v>
          </cell>
          <cell r="N2151">
            <v>178560</v>
          </cell>
          <cell r="O2151">
            <v>192671</v>
          </cell>
          <cell r="P2151">
            <v>206229</v>
          </cell>
          <cell r="Q2151">
            <v>192922</v>
          </cell>
          <cell r="R2151">
            <v>207254</v>
          </cell>
          <cell r="S2151">
            <v>214888</v>
          </cell>
          <cell r="T2151">
            <v>206822</v>
          </cell>
          <cell r="U2151">
            <v>204844</v>
          </cell>
          <cell r="V2151">
            <v>199438</v>
          </cell>
          <cell r="W2151">
            <v>206311</v>
          </cell>
          <cell r="X2151">
            <v>225455</v>
          </cell>
          <cell r="Y2151">
            <v>225617</v>
          </cell>
          <cell r="Z2151">
            <v>199553</v>
          </cell>
          <cell r="AA2151">
            <v>217897</v>
          </cell>
          <cell r="AB2151">
            <v>190157</v>
          </cell>
          <cell r="AC2151">
            <v>234539</v>
          </cell>
          <cell r="AD2151">
            <v>252023</v>
          </cell>
          <cell r="AE2151">
            <v>221670</v>
          </cell>
          <cell r="AF2151">
            <v>219407</v>
          </cell>
          <cell r="AG2151">
            <v>222377</v>
          </cell>
          <cell r="AH2151">
            <v>249054</v>
          </cell>
          <cell r="AI2151">
            <v>255419</v>
          </cell>
          <cell r="AJ2151">
            <v>223652</v>
          </cell>
        </row>
        <row r="2152">
          <cell r="E2152" t="str">
            <v>IN Commercial Natural Gas</v>
          </cell>
          <cell r="F2152">
            <v>68448</v>
          </cell>
          <cell r="G2152">
            <v>69359</v>
          </cell>
          <cell r="H2152">
            <v>73530</v>
          </cell>
          <cell r="I2152">
            <v>79062</v>
          </cell>
          <cell r="J2152">
            <v>76791</v>
          </cell>
          <cell r="K2152">
            <v>83708</v>
          </cell>
          <cell r="L2152">
            <v>88412</v>
          </cell>
          <cell r="M2152">
            <v>82646</v>
          </cell>
          <cell r="N2152">
            <v>74361</v>
          </cell>
          <cell r="O2152">
            <v>74967</v>
          </cell>
          <cell r="P2152">
            <v>92657</v>
          </cell>
          <cell r="Q2152">
            <v>80376</v>
          </cell>
          <cell r="R2152">
            <v>82986</v>
          </cell>
          <cell r="S2152">
            <v>95119</v>
          </cell>
          <cell r="T2152">
            <v>85622</v>
          </cell>
          <cell r="U2152">
            <v>77591</v>
          </cell>
          <cell r="V2152">
            <v>72298</v>
          </cell>
          <cell r="W2152">
            <v>77268</v>
          </cell>
          <cell r="X2152">
            <v>85954</v>
          </cell>
          <cell r="Y2152">
            <v>79960</v>
          </cell>
          <cell r="Z2152">
            <v>76825</v>
          </cell>
          <cell r="AA2152">
            <v>76918</v>
          </cell>
          <cell r="AB2152">
            <v>67475</v>
          </cell>
          <cell r="AC2152">
            <v>83785</v>
          </cell>
          <cell r="AD2152">
            <v>92516</v>
          </cell>
          <cell r="AE2152">
            <v>79357</v>
          </cell>
          <cell r="AF2152">
            <v>76786</v>
          </cell>
          <cell r="AG2152">
            <v>78358</v>
          </cell>
          <cell r="AH2152">
            <v>90146</v>
          </cell>
          <cell r="AI2152">
            <v>92792</v>
          </cell>
          <cell r="AJ2152">
            <v>85627</v>
          </cell>
        </row>
        <row r="2153">
          <cell r="E2153" t="str">
            <v>KS Commercial Natural Gas</v>
          </cell>
          <cell r="F2153">
            <v>55995</v>
          </cell>
          <cell r="G2153">
            <v>59168</v>
          </cell>
          <cell r="H2153">
            <v>53279</v>
          </cell>
          <cell r="I2153">
            <v>55303</v>
          </cell>
          <cell r="J2153">
            <v>52179</v>
          </cell>
          <cell r="K2153">
            <v>53285</v>
          </cell>
          <cell r="L2153">
            <v>57049</v>
          </cell>
          <cell r="M2153">
            <v>41575</v>
          </cell>
          <cell r="N2153">
            <v>41525</v>
          </cell>
          <cell r="O2153">
            <v>38764</v>
          </cell>
          <cell r="P2153">
            <v>40603</v>
          </cell>
          <cell r="Q2153">
            <v>37730</v>
          </cell>
          <cell r="R2153">
            <v>39135</v>
          </cell>
          <cell r="S2153">
            <v>38252</v>
          </cell>
          <cell r="T2153">
            <v>37270</v>
          </cell>
          <cell r="U2153">
            <v>30039</v>
          </cell>
          <cell r="V2153">
            <v>28038</v>
          </cell>
          <cell r="W2153">
            <v>31090</v>
          </cell>
          <cell r="X2153">
            <v>34733</v>
          </cell>
          <cell r="Y2153">
            <v>33151</v>
          </cell>
          <cell r="Z2153">
            <v>32412</v>
          </cell>
          <cell r="AA2153">
            <v>32769</v>
          </cell>
          <cell r="AB2153">
            <v>26019</v>
          </cell>
          <cell r="AC2153">
            <v>33792</v>
          </cell>
          <cell r="AD2153">
            <v>37031</v>
          </cell>
          <cell r="AE2153">
            <v>38326</v>
          </cell>
          <cell r="AF2153">
            <v>35931</v>
          </cell>
          <cell r="AG2153">
            <v>35791</v>
          </cell>
          <cell r="AH2153">
            <v>41799</v>
          </cell>
          <cell r="AI2153">
            <v>43107</v>
          </cell>
          <cell r="AJ2153">
            <v>41239</v>
          </cell>
        </row>
        <row r="2154">
          <cell r="E2154" t="str">
            <v>KY Commercial Natural Gas</v>
          </cell>
          <cell r="F2154">
            <v>33080</v>
          </cell>
          <cell r="G2154">
            <v>35285</v>
          </cell>
          <cell r="H2154">
            <v>37475</v>
          </cell>
          <cell r="I2154">
            <v>39634</v>
          </cell>
          <cell r="J2154">
            <v>39025</v>
          </cell>
          <cell r="K2154">
            <v>42328</v>
          </cell>
          <cell r="L2154">
            <v>42989</v>
          </cell>
          <cell r="M2154">
            <v>40570</v>
          </cell>
          <cell r="N2154">
            <v>33579</v>
          </cell>
          <cell r="O2154">
            <v>36956</v>
          </cell>
          <cell r="P2154">
            <v>40231</v>
          </cell>
          <cell r="Q2154">
            <v>36568</v>
          </cell>
          <cell r="R2154">
            <v>37264</v>
          </cell>
          <cell r="S2154">
            <v>39634</v>
          </cell>
          <cell r="T2154">
            <v>38291</v>
          </cell>
          <cell r="U2154">
            <v>37954</v>
          </cell>
          <cell r="V2154">
            <v>33537</v>
          </cell>
          <cell r="W2154">
            <v>35315</v>
          </cell>
          <cell r="X2154">
            <v>38484</v>
          </cell>
          <cell r="Y2154">
            <v>36731</v>
          </cell>
          <cell r="Z2154">
            <v>37948</v>
          </cell>
          <cell r="AA2154">
            <v>35548</v>
          </cell>
          <cell r="AB2154">
            <v>31734</v>
          </cell>
          <cell r="AC2154">
            <v>38345</v>
          </cell>
          <cell r="AD2154">
            <v>41022</v>
          </cell>
          <cell r="AE2154">
            <v>36190</v>
          </cell>
          <cell r="AF2154">
            <v>34497</v>
          </cell>
          <cell r="AG2154">
            <v>34306</v>
          </cell>
          <cell r="AH2154">
            <v>40433</v>
          </cell>
          <cell r="AI2154">
            <v>39218</v>
          </cell>
          <cell r="AJ2154">
            <v>35647</v>
          </cell>
        </row>
        <row r="2155">
          <cell r="E2155" t="str">
            <v>LA Commercial Natural Gas</v>
          </cell>
          <cell r="F2155">
            <v>25968</v>
          </cell>
          <cell r="G2155">
            <v>26681</v>
          </cell>
          <cell r="H2155">
            <v>29706</v>
          </cell>
          <cell r="I2155">
            <v>26063</v>
          </cell>
          <cell r="J2155">
            <v>25122</v>
          </cell>
          <cell r="K2155">
            <v>24624</v>
          </cell>
          <cell r="L2155">
            <v>26887</v>
          </cell>
          <cell r="M2155">
            <v>29068</v>
          </cell>
          <cell r="N2155">
            <v>25896</v>
          </cell>
          <cell r="O2155">
            <v>25615</v>
          </cell>
          <cell r="P2155">
            <v>27327</v>
          </cell>
          <cell r="Q2155">
            <v>25192</v>
          </cell>
          <cell r="R2155">
            <v>26361</v>
          </cell>
          <cell r="S2155">
            <v>25964</v>
          </cell>
          <cell r="T2155">
            <v>25507</v>
          </cell>
          <cell r="U2155">
            <v>26193</v>
          </cell>
          <cell r="V2155">
            <v>23088</v>
          </cell>
          <cell r="W2155">
            <v>24681</v>
          </cell>
          <cell r="X2155">
            <v>23686</v>
          </cell>
          <cell r="Y2155">
            <v>24353</v>
          </cell>
          <cell r="Z2155">
            <v>27663</v>
          </cell>
          <cell r="AA2155">
            <v>26401</v>
          </cell>
          <cell r="AB2155">
            <v>26667</v>
          </cell>
          <cell r="AC2155">
            <v>29374</v>
          </cell>
          <cell r="AD2155">
            <v>32092</v>
          </cell>
          <cell r="AE2155">
            <v>30993</v>
          </cell>
          <cell r="AF2155">
            <v>29577</v>
          </cell>
          <cell r="AG2155">
            <v>28912</v>
          </cell>
          <cell r="AH2155">
            <v>35583</v>
          </cell>
          <cell r="AI2155">
            <v>33592</v>
          </cell>
          <cell r="AJ2155">
            <v>30314</v>
          </cell>
        </row>
        <row r="2156">
          <cell r="E2156" t="str">
            <v>MA Commercial Natural Gas</v>
          </cell>
          <cell r="F2156">
            <v>52401</v>
          </cell>
          <cell r="G2156">
            <v>55296</v>
          </cell>
          <cell r="H2156">
            <v>66877</v>
          </cell>
          <cell r="I2156">
            <v>68084</v>
          </cell>
          <cell r="J2156">
            <v>86581</v>
          </cell>
          <cell r="K2156">
            <v>84395</v>
          </cell>
          <cell r="L2156">
            <v>98688</v>
          </cell>
          <cell r="M2156">
            <v>107865</v>
          </cell>
          <cell r="N2156">
            <v>91465</v>
          </cell>
          <cell r="O2156">
            <v>69058</v>
          </cell>
          <cell r="P2156">
            <v>66628</v>
          </cell>
          <cell r="Q2156">
            <v>64475</v>
          </cell>
          <cell r="R2156">
            <v>67028</v>
          </cell>
          <cell r="S2156">
            <v>64350</v>
          </cell>
          <cell r="T2156">
            <v>58494</v>
          </cell>
          <cell r="U2156">
            <v>57496</v>
          </cell>
          <cell r="V2156">
            <v>52792</v>
          </cell>
          <cell r="W2156">
            <v>62464</v>
          </cell>
          <cell r="X2156">
            <v>73239</v>
          </cell>
          <cell r="Y2156">
            <v>73737</v>
          </cell>
          <cell r="Z2156">
            <v>74468</v>
          </cell>
          <cell r="AA2156">
            <v>83399</v>
          </cell>
          <cell r="AB2156">
            <v>75517</v>
          </cell>
          <cell r="AC2156">
            <v>103041</v>
          </cell>
          <cell r="AD2156">
            <v>108332</v>
          </cell>
          <cell r="AE2156">
            <v>108253</v>
          </cell>
          <cell r="AF2156">
            <v>108019</v>
          </cell>
          <cell r="AG2156">
            <v>112741</v>
          </cell>
          <cell r="AH2156">
            <v>122412</v>
          </cell>
          <cell r="AI2156">
            <v>125322</v>
          </cell>
          <cell r="AJ2156">
            <v>112887</v>
          </cell>
        </row>
        <row r="2157">
          <cell r="E2157" t="str">
            <v>MD Commercial Natural Gas</v>
          </cell>
          <cell r="F2157">
            <v>24705</v>
          </cell>
          <cell r="G2157">
            <v>39070</v>
          </cell>
          <cell r="H2157">
            <v>43607</v>
          </cell>
          <cell r="I2157">
            <v>44834</v>
          </cell>
          <cell r="J2157">
            <v>45468</v>
          </cell>
          <cell r="K2157">
            <v>48049</v>
          </cell>
          <cell r="L2157">
            <v>47169</v>
          </cell>
          <cell r="M2157">
            <v>51484</v>
          </cell>
          <cell r="N2157">
            <v>59480</v>
          </cell>
          <cell r="O2157">
            <v>60056</v>
          </cell>
          <cell r="P2157">
            <v>57498</v>
          </cell>
          <cell r="Q2157">
            <v>62041</v>
          </cell>
          <cell r="R2157">
            <v>66321</v>
          </cell>
          <cell r="S2157">
            <v>73239</v>
          </cell>
          <cell r="T2157">
            <v>72776</v>
          </cell>
          <cell r="U2157">
            <v>73060</v>
          </cell>
          <cell r="V2157">
            <v>65184</v>
          </cell>
          <cell r="W2157">
            <v>73484</v>
          </cell>
          <cell r="X2157">
            <v>72903</v>
          </cell>
          <cell r="Y2157">
            <v>71600</v>
          </cell>
          <cell r="Z2157">
            <v>69298</v>
          </cell>
          <cell r="AA2157">
            <v>69374</v>
          </cell>
          <cell r="AB2157">
            <v>66569</v>
          </cell>
          <cell r="AC2157">
            <v>74228</v>
          </cell>
          <cell r="AD2157">
            <v>78848</v>
          </cell>
          <cell r="AE2157">
            <v>74110</v>
          </cell>
          <cell r="AF2157">
            <v>74088</v>
          </cell>
          <cell r="AG2157">
            <v>75700</v>
          </cell>
          <cell r="AH2157">
            <v>80732</v>
          </cell>
          <cell r="AI2157">
            <v>79808</v>
          </cell>
          <cell r="AJ2157">
            <v>72873</v>
          </cell>
        </row>
        <row r="2158">
          <cell r="E2158" t="str">
            <v>ME Commercial Natural Gas</v>
          </cell>
          <cell r="F2158">
            <v>1686</v>
          </cell>
          <cell r="G2158">
            <v>1870</v>
          </cell>
          <cell r="H2158">
            <v>2238</v>
          </cell>
          <cell r="I2158">
            <v>2344</v>
          </cell>
          <cell r="J2158">
            <v>2415</v>
          </cell>
          <cell r="K2158">
            <v>2465</v>
          </cell>
          <cell r="L2158">
            <v>2607</v>
          </cell>
          <cell r="M2158">
            <v>2751</v>
          </cell>
          <cell r="N2158">
            <v>2497</v>
          </cell>
          <cell r="O2158">
            <v>2597</v>
          </cell>
          <cell r="P2158">
            <v>3194</v>
          </cell>
          <cell r="Q2158">
            <v>3109</v>
          </cell>
          <cell r="R2158">
            <v>5382</v>
          </cell>
          <cell r="S2158">
            <v>5000</v>
          </cell>
          <cell r="T2158">
            <v>5012</v>
          </cell>
          <cell r="U2158">
            <v>5019</v>
          </cell>
          <cell r="V2158">
            <v>4954</v>
          </cell>
          <cell r="W2158">
            <v>6157</v>
          </cell>
          <cell r="X2158">
            <v>6270</v>
          </cell>
          <cell r="Y2158">
            <v>5778</v>
          </cell>
          <cell r="Z2158">
            <v>6055</v>
          </cell>
          <cell r="AA2158">
            <v>6867</v>
          </cell>
          <cell r="AB2158">
            <v>7525</v>
          </cell>
          <cell r="AC2158">
            <v>8398</v>
          </cell>
          <cell r="AD2158">
            <v>9327</v>
          </cell>
          <cell r="AE2158">
            <v>10380</v>
          </cell>
          <cell r="AF2158">
            <v>8814</v>
          </cell>
          <cell r="AG2158">
            <v>9247</v>
          </cell>
          <cell r="AH2158">
            <v>9938</v>
          </cell>
          <cell r="AI2158">
            <v>10285</v>
          </cell>
          <cell r="AJ2158">
            <v>9289</v>
          </cell>
        </row>
        <row r="2159">
          <cell r="E2159" t="str">
            <v>MI Commercial Natural Gas</v>
          </cell>
          <cell r="F2159">
            <v>166501</v>
          </cell>
          <cell r="G2159">
            <v>171437</v>
          </cell>
          <cell r="H2159">
            <v>179873</v>
          </cell>
          <cell r="I2159">
            <v>186525</v>
          </cell>
          <cell r="J2159">
            <v>189530</v>
          </cell>
          <cell r="K2159">
            <v>201923</v>
          </cell>
          <cell r="L2159">
            <v>208262</v>
          </cell>
          <cell r="M2159">
            <v>200006</v>
          </cell>
          <cell r="N2159">
            <v>171055</v>
          </cell>
          <cell r="O2159">
            <v>186803</v>
          </cell>
          <cell r="P2159">
            <v>193586</v>
          </cell>
          <cell r="Q2159">
            <v>179129</v>
          </cell>
          <cell r="R2159">
            <v>179701</v>
          </cell>
          <cell r="S2159">
            <v>191698</v>
          </cell>
          <cell r="T2159">
            <v>179597</v>
          </cell>
          <cell r="U2159">
            <v>177230</v>
          </cell>
          <cell r="V2159">
            <v>156666</v>
          </cell>
          <cell r="W2159">
            <v>167367</v>
          </cell>
          <cell r="X2159">
            <v>176264</v>
          </cell>
          <cell r="Y2159">
            <v>167230</v>
          </cell>
          <cell r="Z2159">
            <v>154839</v>
          </cell>
          <cell r="AA2159">
            <v>165824</v>
          </cell>
          <cell r="AB2159">
            <v>147050</v>
          </cell>
          <cell r="AC2159">
            <v>175117</v>
          </cell>
          <cell r="AD2159">
            <v>189871</v>
          </cell>
          <cell r="AE2159">
            <v>173941</v>
          </cell>
          <cell r="AF2159">
            <v>165392</v>
          </cell>
          <cell r="AG2159">
            <v>170052</v>
          </cell>
          <cell r="AH2159">
            <v>188881</v>
          </cell>
          <cell r="AI2159">
            <v>192251</v>
          </cell>
          <cell r="AJ2159">
            <v>170201</v>
          </cell>
        </row>
        <row r="2160">
          <cell r="E2160" t="str">
            <v>MN Commercial Natural Gas</v>
          </cell>
          <cell r="F2160">
            <v>78311</v>
          </cell>
          <cell r="G2160">
            <v>86901</v>
          </cell>
          <cell r="H2160">
            <v>83283</v>
          </cell>
          <cell r="I2160">
            <v>87578</v>
          </cell>
          <cell r="J2160">
            <v>84854</v>
          </cell>
          <cell r="K2160">
            <v>91841</v>
          </cell>
          <cell r="L2160">
            <v>100322</v>
          </cell>
          <cell r="M2160">
            <v>93901</v>
          </cell>
          <cell r="N2160">
            <v>83889</v>
          </cell>
          <cell r="O2160">
            <v>89739</v>
          </cell>
          <cell r="P2160">
            <v>96781</v>
          </cell>
          <cell r="Q2160">
            <v>94939</v>
          </cell>
          <cell r="R2160">
            <v>105124</v>
          </cell>
          <cell r="S2160">
            <v>102276</v>
          </cell>
          <cell r="T2160">
            <v>97218</v>
          </cell>
          <cell r="U2160">
            <v>97091</v>
          </cell>
          <cell r="V2160">
            <v>88625</v>
          </cell>
          <cell r="W2160">
            <v>93108</v>
          </cell>
          <cell r="X2160">
            <v>101876</v>
          </cell>
          <cell r="Y2160">
            <v>99120</v>
          </cell>
          <cell r="Z2160">
            <v>90860</v>
          </cell>
          <cell r="AA2160">
            <v>95314</v>
          </cell>
          <cell r="AB2160">
            <v>84748</v>
          </cell>
          <cell r="AC2160">
            <v>108331</v>
          </cell>
          <cell r="AD2160">
            <v>114481</v>
          </cell>
          <cell r="AE2160">
            <v>96565</v>
          </cell>
          <cell r="AF2160">
            <v>95828</v>
          </cell>
          <cell r="AG2160">
            <v>102822</v>
          </cell>
          <cell r="AH2160">
            <v>115068</v>
          </cell>
          <cell r="AI2160">
            <v>119124</v>
          </cell>
          <cell r="AJ2160">
            <v>106720</v>
          </cell>
        </row>
        <row r="2161">
          <cell r="E2161" t="str">
            <v>MO Commercial Natural Gas</v>
          </cell>
          <cell r="F2161">
            <v>60034</v>
          </cell>
          <cell r="G2161">
            <v>63741</v>
          </cell>
          <cell r="H2161">
            <v>61078</v>
          </cell>
          <cell r="I2161">
            <v>69940</v>
          </cell>
          <cell r="J2161">
            <v>66595</v>
          </cell>
          <cell r="K2161">
            <v>65538</v>
          </cell>
          <cell r="L2161">
            <v>73598</v>
          </cell>
          <cell r="M2161">
            <v>70518</v>
          </cell>
          <cell r="N2161">
            <v>62653</v>
          </cell>
          <cell r="O2161">
            <v>63920</v>
          </cell>
          <cell r="P2161">
            <v>63620</v>
          </cell>
          <cell r="Q2161">
            <v>65332</v>
          </cell>
          <cell r="R2161">
            <v>62664</v>
          </cell>
          <cell r="S2161">
            <v>62363</v>
          </cell>
          <cell r="T2161">
            <v>62977</v>
          </cell>
          <cell r="U2161">
            <v>61565</v>
          </cell>
          <cell r="V2161">
            <v>57881</v>
          </cell>
          <cell r="W2161">
            <v>60376</v>
          </cell>
          <cell r="X2161">
            <v>65405</v>
          </cell>
          <cell r="Y2161">
            <v>61781</v>
          </cell>
          <cell r="Z2161">
            <v>61520</v>
          </cell>
          <cell r="AA2161">
            <v>62811</v>
          </cell>
          <cell r="AB2161">
            <v>55186</v>
          </cell>
          <cell r="AC2161">
            <v>65433</v>
          </cell>
          <cell r="AD2161">
            <v>73892</v>
          </cell>
          <cell r="AE2161">
            <v>61929</v>
          </cell>
          <cell r="AF2161">
            <v>58281</v>
          </cell>
          <cell r="AG2161">
            <v>58224</v>
          </cell>
          <cell r="AH2161">
            <v>70917</v>
          </cell>
          <cell r="AI2161">
            <v>69388</v>
          </cell>
          <cell r="AJ2161">
            <v>61739</v>
          </cell>
        </row>
        <row r="2162">
          <cell r="E2162" t="str">
            <v>MS Commercial Natural Gas</v>
          </cell>
          <cell r="F2162">
            <v>18121</v>
          </cell>
          <cell r="G2162">
            <v>18282</v>
          </cell>
          <cell r="H2162">
            <v>18888</v>
          </cell>
          <cell r="I2162">
            <v>19642</v>
          </cell>
          <cell r="J2162">
            <v>19828</v>
          </cell>
          <cell r="K2162">
            <v>20324</v>
          </cell>
          <cell r="L2162">
            <v>22877</v>
          </cell>
          <cell r="M2162">
            <v>22861</v>
          </cell>
          <cell r="N2162">
            <v>22469</v>
          </cell>
          <cell r="O2162">
            <v>21053</v>
          </cell>
          <cell r="P2162">
            <v>22607</v>
          </cell>
          <cell r="Q2162">
            <v>22059</v>
          </cell>
          <cell r="R2162">
            <v>21985</v>
          </cell>
          <cell r="S2162">
            <v>23759</v>
          </cell>
          <cell r="T2162">
            <v>22764</v>
          </cell>
          <cell r="U2162">
            <v>21479</v>
          </cell>
          <cell r="V2162">
            <v>19899</v>
          </cell>
          <cell r="W2162">
            <v>21376</v>
          </cell>
          <cell r="X2162">
            <v>20734</v>
          </cell>
          <cell r="Y2162">
            <v>19523</v>
          </cell>
          <cell r="Z2162">
            <v>21593</v>
          </cell>
          <cell r="AA2162">
            <v>20581</v>
          </cell>
          <cell r="AB2162">
            <v>18111</v>
          </cell>
          <cell r="AC2162">
            <v>19729</v>
          </cell>
          <cell r="AD2162">
            <v>22816</v>
          </cell>
          <cell r="AE2162">
            <v>20235</v>
          </cell>
          <cell r="AF2162">
            <v>18628</v>
          </cell>
          <cell r="AG2162">
            <v>18262</v>
          </cell>
          <cell r="AH2162">
            <v>21582</v>
          </cell>
          <cell r="AI2162">
            <v>20978</v>
          </cell>
          <cell r="AJ2162">
            <v>18821</v>
          </cell>
        </row>
        <row r="2163">
          <cell r="E2163" t="str">
            <v>MT Commercial Natural Gas</v>
          </cell>
          <cell r="F2163">
            <v>12490</v>
          </cell>
          <cell r="G2163">
            <v>13215</v>
          </cell>
          <cell r="H2163">
            <v>11818</v>
          </cell>
          <cell r="I2163">
            <v>14125</v>
          </cell>
          <cell r="J2163">
            <v>13289</v>
          </cell>
          <cell r="K2163">
            <v>13893</v>
          </cell>
          <cell r="L2163">
            <v>15266</v>
          </cell>
          <cell r="M2163">
            <v>14342</v>
          </cell>
          <cell r="N2163">
            <v>13288</v>
          </cell>
          <cell r="O2163">
            <v>12378</v>
          </cell>
          <cell r="P2163">
            <v>13858</v>
          </cell>
          <cell r="Q2163">
            <v>13537</v>
          </cell>
          <cell r="R2163">
            <v>15013</v>
          </cell>
          <cell r="S2163">
            <v>15470</v>
          </cell>
          <cell r="T2163">
            <v>13756</v>
          </cell>
          <cell r="U2163">
            <v>13662</v>
          </cell>
          <cell r="V2163">
            <v>13405</v>
          </cell>
          <cell r="W2163">
            <v>13443</v>
          </cell>
          <cell r="X2163">
            <v>14569</v>
          </cell>
          <cell r="Y2163">
            <v>23833</v>
          </cell>
          <cell r="Z2163">
            <v>20703</v>
          </cell>
          <cell r="AA2163">
            <v>22693</v>
          </cell>
          <cell r="AB2163">
            <v>19685</v>
          </cell>
          <cell r="AC2163">
            <v>21686</v>
          </cell>
          <cell r="AD2163">
            <v>22096</v>
          </cell>
          <cell r="AE2163">
            <v>20144</v>
          </cell>
          <cell r="AF2163">
            <v>22038</v>
          </cell>
          <cell r="AG2163">
            <v>24342</v>
          </cell>
          <cell r="AH2163">
            <v>27441</v>
          </cell>
          <cell r="AI2163">
            <v>29174</v>
          </cell>
          <cell r="AJ2163">
            <v>27479</v>
          </cell>
        </row>
        <row r="2164">
          <cell r="E2164" t="str">
            <v>NC Commercial Natural Gas</v>
          </cell>
          <cell r="F2164">
            <v>32280</v>
          </cell>
          <cell r="G2164">
            <v>35411</v>
          </cell>
          <cell r="H2164">
            <v>37657</v>
          </cell>
          <cell r="I2164">
            <v>38681</v>
          </cell>
          <cell r="J2164">
            <v>40344</v>
          </cell>
          <cell r="K2164">
            <v>38602</v>
          </cell>
          <cell r="L2164">
            <v>41929</v>
          </cell>
          <cell r="M2164">
            <v>39400</v>
          </cell>
          <cell r="N2164">
            <v>37919</v>
          </cell>
          <cell r="O2164">
            <v>39379</v>
          </cell>
          <cell r="P2164">
            <v>44438</v>
          </cell>
          <cell r="Q2164">
            <v>40220</v>
          </cell>
          <cell r="R2164">
            <v>41671</v>
          </cell>
          <cell r="S2164">
            <v>46137</v>
          </cell>
          <cell r="T2164">
            <v>46994</v>
          </cell>
          <cell r="U2164">
            <v>49447</v>
          </cell>
          <cell r="V2164">
            <v>47931</v>
          </cell>
          <cell r="W2164">
            <v>46952</v>
          </cell>
          <cell r="X2164">
            <v>50009</v>
          </cell>
          <cell r="Y2164">
            <v>52637</v>
          </cell>
          <cell r="Z2164">
            <v>57213</v>
          </cell>
          <cell r="AA2164">
            <v>50574</v>
          </cell>
          <cell r="AB2164">
            <v>49651</v>
          </cell>
          <cell r="AC2164">
            <v>56053</v>
          </cell>
          <cell r="AD2164">
            <v>61436</v>
          </cell>
          <cell r="AE2164">
            <v>57052</v>
          </cell>
          <cell r="AF2164">
            <v>57804</v>
          </cell>
          <cell r="AG2164">
            <v>55651</v>
          </cell>
          <cell r="AH2164">
            <v>59693</v>
          </cell>
          <cell r="AI2164">
            <v>59111</v>
          </cell>
          <cell r="AJ2164">
            <v>53900</v>
          </cell>
        </row>
        <row r="2165">
          <cell r="E2165" t="str">
            <v>ND Commercial Natural Gas</v>
          </cell>
          <cell r="F2165">
            <v>10564</v>
          </cell>
          <cell r="G2165">
            <v>11226</v>
          </cell>
          <cell r="H2165">
            <v>10198</v>
          </cell>
          <cell r="I2165">
            <v>11281</v>
          </cell>
          <cell r="J2165">
            <v>11408</v>
          </cell>
          <cell r="K2165">
            <v>12226</v>
          </cell>
          <cell r="L2165">
            <v>12770</v>
          </cell>
          <cell r="M2165">
            <v>11414</v>
          </cell>
          <cell r="N2165">
            <v>10465</v>
          </cell>
          <cell r="O2165">
            <v>10474</v>
          </cell>
          <cell r="P2165">
            <v>11447</v>
          </cell>
          <cell r="Q2165">
            <v>10760</v>
          </cell>
          <cell r="R2165">
            <v>11710</v>
          </cell>
          <cell r="S2165">
            <v>11050</v>
          </cell>
          <cell r="T2165">
            <v>10693</v>
          </cell>
          <cell r="U2165">
            <v>10260</v>
          </cell>
          <cell r="V2165">
            <v>9767</v>
          </cell>
          <cell r="W2165">
            <v>10769</v>
          </cell>
          <cell r="X2165">
            <v>11567</v>
          </cell>
          <cell r="Y2165">
            <v>11591</v>
          </cell>
          <cell r="Z2165">
            <v>10869</v>
          </cell>
          <cell r="AA2165">
            <v>11774</v>
          </cell>
          <cell r="AB2165">
            <v>11038</v>
          </cell>
          <cell r="AC2165">
            <v>14147</v>
          </cell>
          <cell r="AD2165">
            <v>15196</v>
          </cell>
          <cell r="AE2165">
            <v>13385</v>
          </cell>
          <cell r="AF2165">
            <v>12846</v>
          </cell>
          <cell r="AG2165">
            <v>14027</v>
          </cell>
          <cell r="AH2165">
            <v>15627</v>
          </cell>
          <cell r="AI2165">
            <v>17047</v>
          </cell>
          <cell r="AJ2165">
            <v>15609</v>
          </cell>
        </row>
        <row r="2166">
          <cell r="E2166" t="str">
            <v>NE Commercial Natural Gas</v>
          </cell>
          <cell r="F2166">
            <v>35899</v>
          </cell>
          <cell r="G2166">
            <v>39687</v>
          </cell>
          <cell r="H2166">
            <v>33766</v>
          </cell>
          <cell r="I2166">
            <v>33867</v>
          </cell>
          <cell r="J2166">
            <v>38353</v>
          </cell>
          <cell r="K2166">
            <v>39218</v>
          </cell>
          <cell r="L2166">
            <v>41116</v>
          </cell>
          <cell r="M2166">
            <v>33777</v>
          </cell>
          <cell r="N2166">
            <v>28992</v>
          </cell>
          <cell r="O2166">
            <v>27547</v>
          </cell>
          <cell r="P2166">
            <v>29039</v>
          </cell>
          <cell r="Q2166">
            <v>28260</v>
          </cell>
          <cell r="R2166">
            <v>28419</v>
          </cell>
          <cell r="S2166">
            <v>28579</v>
          </cell>
          <cell r="T2166">
            <v>30147</v>
          </cell>
          <cell r="U2166">
            <v>27670</v>
          </cell>
          <cell r="V2166">
            <v>28436</v>
          </cell>
          <cell r="W2166">
            <v>30613</v>
          </cell>
          <cell r="X2166">
            <v>35204</v>
          </cell>
          <cell r="Y2166">
            <v>32180</v>
          </cell>
          <cell r="Z2166">
            <v>32122</v>
          </cell>
          <cell r="AA2166">
            <v>32470</v>
          </cell>
          <cell r="AB2166">
            <v>27003</v>
          </cell>
          <cell r="AC2166">
            <v>33383</v>
          </cell>
          <cell r="AD2166">
            <v>33773</v>
          </cell>
          <cell r="AE2166">
            <v>31140</v>
          </cell>
          <cell r="AF2166">
            <v>28556</v>
          </cell>
          <cell r="AG2166">
            <v>30783</v>
          </cell>
          <cell r="AH2166">
            <v>37471</v>
          </cell>
          <cell r="AI2166">
            <v>37854</v>
          </cell>
          <cell r="AJ2166">
            <v>33715</v>
          </cell>
        </row>
        <row r="2167">
          <cell r="E2167" t="str">
            <v>NH Commercial Natural Gas</v>
          </cell>
          <cell r="F2167">
            <v>5144</v>
          </cell>
          <cell r="G2167">
            <v>5064</v>
          </cell>
          <cell r="H2167">
            <v>5913</v>
          </cell>
          <cell r="I2167">
            <v>6203</v>
          </cell>
          <cell r="J2167">
            <v>6495</v>
          </cell>
          <cell r="K2167">
            <v>6580</v>
          </cell>
          <cell r="L2167">
            <v>7234</v>
          </cell>
          <cell r="M2167">
            <v>7570</v>
          </cell>
          <cell r="N2167">
            <v>6883</v>
          </cell>
          <cell r="O2167">
            <v>7276</v>
          </cell>
          <cell r="P2167">
            <v>8803</v>
          </cell>
          <cell r="Q2167">
            <v>7803</v>
          </cell>
          <cell r="R2167">
            <v>9208</v>
          </cell>
          <cell r="S2167">
            <v>10060</v>
          </cell>
          <cell r="T2167">
            <v>9330</v>
          </cell>
          <cell r="U2167">
            <v>10043</v>
          </cell>
          <cell r="V2167">
            <v>8657</v>
          </cell>
          <cell r="W2167">
            <v>9594</v>
          </cell>
          <cell r="X2167">
            <v>10246</v>
          </cell>
          <cell r="Y2167">
            <v>10274</v>
          </cell>
          <cell r="Z2167">
            <v>8677</v>
          </cell>
          <cell r="AA2167">
            <v>9220</v>
          </cell>
          <cell r="AB2167">
            <v>8392</v>
          </cell>
          <cell r="AC2167">
            <v>9485</v>
          </cell>
          <cell r="AD2167">
            <v>9702</v>
          </cell>
          <cell r="AE2167">
            <v>9918</v>
          </cell>
          <cell r="AF2167">
            <v>8766</v>
          </cell>
          <cell r="AG2167">
            <v>9356</v>
          </cell>
          <cell r="AH2167">
            <v>10450</v>
          </cell>
          <cell r="AI2167">
            <v>10459</v>
          </cell>
          <cell r="AJ2167">
            <v>9330</v>
          </cell>
        </row>
        <row r="2168">
          <cell r="E2168" t="str">
            <v>NJ Commercial Natural Gas</v>
          </cell>
          <cell r="F2168">
            <v>118405</v>
          </cell>
          <cell r="G2168">
            <v>124266</v>
          </cell>
          <cell r="H2168">
            <v>134251</v>
          </cell>
          <cell r="I2168">
            <v>134006</v>
          </cell>
          <cell r="J2168">
            <v>137594</v>
          </cell>
          <cell r="K2168">
            <v>143777</v>
          </cell>
          <cell r="L2168">
            <v>156031</v>
          </cell>
          <cell r="M2168">
            <v>174673</v>
          </cell>
          <cell r="N2168">
            <v>152101</v>
          </cell>
          <cell r="O2168">
            <v>170293</v>
          </cell>
          <cell r="P2168">
            <v>164252</v>
          </cell>
          <cell r="Q2168">
            <v>136463</v>
          </cell>
          <cell r="R2168">
            <v>151885</v>
          </cell>
          <cell r="S2168">
            <v>165827</v>
          </cell>
          <cell r="T2168">
            <v>175382</v>
          </cell>
          <cell r="U2168">
            <v>176677</v>
          </cell>
          <cell r="V2168">
            <v>158029</v>
          </cell>
          <cell r="W2168">
            <v>174712</v>
          </cell>
          <cell r="X2168">
            <v>174209</v>
          </cell>
          <cell r="Y2168">
            <v>185627</v>
          </cell>
          <cell r="Z2168">
            <v>186208</v>
          </cell>
          <cell r="AA2168">
            <v>196797</v>
          </cell>
          <cell r="AB2168">
            <v>179510</v>
          </cell>
          <cell r="AC2168">
            <v>179959</v>
          </cell>
          <cell r="AD2168">
            <v>211290</v>
          </cell>
          <cell r="AE2168">
            <v>171004</v>
          </cell>
          <cell r="AF2168">
            <v>159826</v>
          </cell>
          <cell r="AG2168">
            <v>155128</v>
          </cell>
          <cell r="AH2168">
            <v>174055</v>
          </cell>
          <cell r="AI2168">
            <v>161814</v>
          </cell>
          <cell r="AJ2168">
            <v>143787</v>
          </cell>
        </row>
        <row r="2169">
          <cell r="E2169" t="str">
            <v>NM Commercial Natural Gas</v>
          </cell>
          <cell r="F2169">
            <v>25030</v>
          </cell>
          <cell r="G2169">
            <v>26049</v>
          </cell>
          <cell r="H2169">
            <v>29080</v>
          </cell>
          <cell r="I2169">
            <v>29080</v>
          </cell>
          <cell r="J2169">
            <v>24956</v>
          </cell>
          <cell r="K2169">
            <v>24418</v>
          </cell>
          <cell r="L2169">
            <v>27383</v>
          </cell>
          <cell r="M2169">
            <v>28017</v>
          </cell>
          <cell r="N2169">
            <v>26631</v>
          </cell>
          <cell r="O2169">
            <v>26431</v>
          </cell>
          <cell r="P2169">
            <v>26137</v>
          </cell>
          <cell r="Q2169">
            <v>26411</v>
          </cell>
          <cell r="R2169">
            <v>24769</v>
          </cell>
          <cell r="S2169">
            <v>24288</v>
          </cell>
          <cell r="T2169">
            <v>26109</v>
          </cell>
          <cell r="U2169">
            <v>24780</v>
          </cell>
          <cell r="V2169">
            <v>23904</v>
          </cell>
          <cell r="W2169">
            <v>25527</v>
          </cell>
          <cell r="X2169">
            <v>25888</v>
          </cell>
          <cell r="Y2169">
            <v>25398</v>
          </cell>
          <cell r="Z2169">
            <v>25675</v>
          </cell>
          <cell r="AA2169">
            <v>25591</v>
          </cell>
          <cell r="AB2169">
            <v>25458</v>
          </cell>
          <cell r="AC2169">
            <v>27607</v>
          </cell>
          <cell r="AD2169">
            <v>26574</v>
          </cell>
          <cell r="AE2169">
            <v>25999</v>
          </cell>
          <cell r="AF2169">
            <v>26048</v>
          </cell>
          <cell r="AG2169">
            <v>24591</v>
          </cell>
          <cell r="AH2169">
            <v>26852</v>
          </cell>
          <cell r="AI2169">
            <v>30591</v>
          </cell>
          <cell r="AJ2169">
            <v>26167</v>
          </cell>
        </row>
        <row r="2170">
          <cell r="E2170" t="str">
            <v>NV Commercial Natural Gas</v>
          </cell>
          <cell r="F2170">
            <v>15540</v>
          </cell>
          <cell r="G2170">
            <v>17575</v>
          </cell>
          <cell r="H2170">
            <v>16633</v>
          </cell>
          <cell r="I2170">
            <v>18049</v>
          </cell>
          <cell r="J2170">
            <v>19212</v>
          </cell>
          <cell r="K2170">
            <v>19326</v>
          </cell>
          <cell r="L2170">
            <v>21237</v>
          </cell>
          <cell r="M2170">
            <v>22547</v>
          </cell>
          <cell r="N2170">
            <v>24435</v>
          </cell>
          <cell r="O2170">
            <v>23174</v>
          </cell>
          <cell r="P2170">
            <v>26352</v>
          </cell>
          <cell r="Q2170">
            <v>23446</v>
          </cell>
          <cell r="R2170">
            <v>23443</v>
          </cell>
          <cell r="S2170">
            <v>24951</v>
          </cell>
          <cell r="T2170">
            <v>27729</v>
          </cell>
          <cell r="U2170">
            <v>27707</v>
          </cell>
          <cell r="V2170">
            <v>29095</v>
          </cell>
          <cell r="W2170">
            <v>29250</v>
          </cell>
          <cell r="X2170">
            <v>29886</v>
          </cell>
          <cell r="Y2170">
            <v>30402</v>
          </cell>
          <cell r="Z2170">
            <v>30573</v>
          </cell>
          <cell r="AA2170">
            <v>31508</v>
          </cell>
          <cell r="AB2170">
            <v>30039</v>
          </cell>
          <cell r="AC2170">
            <v>32298</v>
          </cell>
          <cell r="AD2170">
            <v>30074</v>
          </cell>
          <cell r="AE2170">
            <v>31060</v>
          </cell>
          <cell r="AF2170">
            <v>32402</v>
          </cell>
          <cell r="AG2170">
            <v>33477</v>
          </cell>
          <cell r="AH2170">
            <v>33960</v>
          </cell>
          <cell r="AI2170">
            <v>36642</v>
          </cell>
          <cell r="AJ2170">
            <v>26795</v>
          </cell>
        </row>
        <row r="2171">
          <cell r="E2171" t="str">
            <v>NY Commercial Natural Gas</v>
          </cell>
          <cell r="F2171">
            <v>200703</v>
          </cell>
          <cell r="G2171">
            <v>205021</v>
          </cell>
          <cell r="H2171">
            <v>223575</v>
          </cell>
          <cell r="I2171">
            <v>227176</v>
          </cell>
          <cell r="J2171">
            <v>229568</v>
          </cell>
          <cell r="K2171">
            <v>238543</v>
          </cell>
          <cell r="L2171">
            <v>259905</v>
          </cell>
          <cell r="M2171">
            <v>329539</v>
          </cell>
          <cell r="N2171">
            <v>345255</v>
          </cell>
          <cell r="O2171">
            <v>370435</v>
          </cell>
          <cell r="P2171">
            <v>377693</v>
          </cell>
          <cell r="Q2171">
            <v>358876</v>
          </cell>
          <cell r="R2171">
            <v>371263</v>
          </cell>
          <cell r="S2171">
            <v>348799</v>
          </cell>
          <cell r="T2171">
            <v>368891</v>
          </cell>
          <cell r="U2171">
            <v>282994</v>
          </cell>
          <cell r="V2171">
            <v>265681</v>
          </cell>
          <cell r="W2171">
            <v>291865</v>
          </cell>
          <cell r="X2171">
            <v>296435</v>
          </cell>
          <cell r="Y2171">
            <v>286839</v>
          </cell>
          <cell r="Z2171">
            <v>294137</v>
          </cell>
          <cell r="AA2171">
            <v>298879</v>
          </cell>
          <cell r="AB2171">
            <v>278947</v>
          </cell>
          <cell r="AC2171">
            <v>311216</v>
          </cell>
          <cell r="AD2171">
            <v>330862</v>
          </cell>
          <cell r="AE2171">
            <v>321411</v>
          </cell>
          <cell r="AF2171">
            <v>312179</v>
          </cell>
          <cell r="AG2171">
            <v>320411</v>
          </cell>
          <cell r="AH2171">
            <v>341037</v>
          </cell>
          <cell r="AI2171">
            <v>333194</v>
          </cell>
          <cell r="AJ2171">
            <v>298641</v>
          </cell>
        </row>
        <row r="2172">
          <cell r="E2172" t="str">
            <v>OH Commercial Natural Gas</v>
          </cell>
          <cell r="F2172">
            <v>149250</v>
          </cell>
          <cell r="G2172">
            <v>156977</v>
          </cell>
          <cell r="H2172">
            <v>166431</v>
          </cell>
          <cell r="I2172">
            <v>170284</v>
          </cell>
          <cell r="J2172">
            <v>172977</v>
          </cell>
          <cell r="K2172">
            <v>181837</v>
          </cell>
          <cell r="L2172">
            <v>197194</v>
          </cell>
          <cell r="M2172">
            <v>192129</v>
          </cell>
          <cell r="N2172">
            <v>162923</v>
          </cell>
          <cell r="O2172">
            <v>173810</v>
          </cell>
          <cell r="P2172">
            <v>185436</v>
          </cell>
          <cell r="Q2172">
            <v>179856</v>
          </cell>
          <cell r="R2172">
            <v>169540</v>
          </cell>
          <cell r="S2172">
            <v>186088</v>
          </cell>
          <cell r="T2172">
            <v>177962</v>
          </cell>
          <cell r="U2172">
            <v>173942</v>
          </cell>
          <cell r="V2172">
            <v>152699</v>
          </cell>
          <cell r="W2172">
            <v>166559</v>
          </cell>
          <cell r="X2172">
            <v>173786</v>
          </cell>
          <cell r="Y2172">
            <v>167268</v>
          </cell>
          <cell r="Z2172">
            <v>161791</v>
          </cell>
          <cell r="AA2172">
            <v>166465</v>
          </cell>
          <cell r="AB2172">
            <v>150404</v>
          </cell>
          <cell r="AC2172">
            <v>174535</v>
          </cell>
          <cell r="AD2172">
            <v>194152</v>
          </cell>
          <cell r="AE2172">
            <v>178307</v>
          </cell>
          <cell r="AF2172">
            <v>163844</v>
          </cell>
          <cell r="AG2172">
            <v>168456</v>
          </cell>
          <cell r="AH2172">
            <v>190915</v>
          </cell>
          <cell r="AI2172">
            <v>189282</v>
          </cell>
          <cell r="AJ2172">
            <v>173494</v>
          </cell>
        </row>
        <row r="2173">
          <cell r="E2173" t="str">
            <v>OK Commercial Natural Gas</v>
          </cell>
          <cell r="F2173">
            <v>37990</v>
          </cell>
          <cell r="G2173">
            <v>40110</v>
          </cell>
          <cell r="H2173">
            <v>35935</v>
          </cell>
          <cell r="I2173">
            <v>41624</v>
          </cell>
          <cell r="J2173">
            <v>37449</v>
          </cell>
          <cell r="K2173">
            <v>40219</v>
          </cell>
          <cell r="L2173">
            <v>47194</v>
          </cell>
          <cell r="M2173">
            <v>45350</v>
          </cell>
          <cell r="N2173">
            <v>44092</v>
          </cell>
          <cell r="O2173">
            <v>40382</v>
          </cell>
          <cell r="P2173">
            <v>43476</v>
          </cell>
          <cell r="Q2173">
            <v>41633</v>
          </cell>
          <cell r="R2173">
            <v>41419</v>
          </cell>
          <cell r="S2173">
            <v>38609</v>
          </cell>
          <cell r="T2173">
            <v>38246</v>
          </cell>
          <cell r="U2173">
            <v>40534</v>
          </cell>
          <cell r="V2173">
            <v>36676</v>
          </cell>
          <cell r="W2173">
            <v>42044</v>
          </cell>
          <cell r="X2173">
            <v>42192</v>
          </cell>
          <cell r="Y2173">
            <v>42776</v>
          </cell>
          <cell r="Z2173">
            <v>43106</v>
          </cell>
          <cell r="AA2173">
            <v>41582</v>
          </cell>
          <cell r="AB2173">
            <v>37279</v>
          </cell>
          <cell r="AC2173">
            <v>45804</v>
          </cell>
          <cell r="AD2173">
            <v>48841</v>
          </cell>
          <cell r="AE2173">
            <v>43921</v>
          </cell>
          <cell r="AF2173">
            <v>38850</v>
          </cell>
          <cell r="AG2173">
            <v>39447</v>
          </cell>
          <cell r="AH2173">
            <v>48505</v>
          </cell>
          <cell r="AI2173">
            <v>50334</v>
          </cell>
          <cell r="AJ2173">
            <v>43697</v>
          </cell>
        </row>
        <row r="2174">
          <cell r="E2174" t="str">
            <v>OR Commercial Natural Gas</v>
          </cell>
          <cell r="F2174">
            <v>20913</v>
          </cell>
          <cell r="G2174">
            <v>23014</v>
          </cell>
          <cell r="H2174">
            <v>20318</v>
          </cell>
          <cell r="I2174">
            <v>25023</v>
          </cell>
          <cell r="J2174">
            <v>24024</v>
          </cell>
          <cell r="K2174">
            <v>23417</v>
          </cell>
          <cell r="L2174">
            <v>26712</v>
          </cell>
          <cell r="M2174">
            <v>26751</v>
          </cell>
          <cell r="N2174">
            <v>27285</v>
          </cell>
          <cell r="O2174">
            <v>30229</v>
          </cell>
          <cell r="P2174">
            <v>29481</v>
          </cell>
          <cell r="Q2174">
            <v>28690</v>
          </cell>
          <cell r="R2174">
            <v>28417</v>
          </cell>
          <cell r="S2174">
            <v>26294</v>
          </cell>
          <cell r="T2174">
            <v>26438</v>
          </cell>
          <cell r="U2174">
            <v>28627</v>
          </cell>
          <cell r="V2174">
            <v>28840</v>
          </cell>
          <cell r="W2174">
            <v>29960</v>
          </cell>
          <cell r="X2174">
            <v>31202</v>
          </cell>
          <cell r="Y2174">
            <v>30504</v>
          </cell>
          <cell r="Z2174">
            <v>27461</v>
          </cell>
          <cell r="AA2174">
            <v>31034</v>
          </cell>
          <cell r="AB2174">
            <v>29451</v>
          </cell>
          <cell r="AC2174">
            <v>30832</v>
          </cell>
          <cell r="AD2174">
            <v>29185</v>
          </cell>
          <cell r="AE2174">
            <v>26962</v>
          </cell>
          <cell r="AF2174">
            <v>28570</v>
          </cell>
          <cell r="AG2174">
            <v>33987</v>
          </cell>
          <cell r="AH2174">
            <v>30969</v>
          </cell>
          <cell r="AI2174">
            <v>34103</v>
          </cell>
          <cell r="AJ2174">
            <v>29933</v>
          </cell>
        </row>
        <row r="2175">
          <cell r="E2175" t="str">
            <v>PA Commercial Natural Gas</v>
          </cell>
          <cell r="F2175">
            <v>130622</v>
          </cell>
          <cell r="G2175">
            <v>129949</v>
          </cell>
          <cell r="H2175">
            <v>139103</v>
          </cell>
          <cell r="I2175">
            <v>136658</v>
          </cell>
          <cell r="J2175">
            <v>143466</v>
          </cell>
          <cell r="K2175">
            <v>148806</v>
          </cell>
          <cell r="L2175">
            <v>159911</v>
          </cell>
          <cell r="M2175">
            <v>149163</v>
          </cell>
          <cell r="N2175">
            <v>135755</v>
          </cell>
          <cell r="O2175">
            <v>148410</v>
          </cell>
          <cell r="P2175">
            <v>150410</v>
          </cell>
          <cell r="Q2175">
            <v>143941</v>
          </cell>
          <cell r="R2175">
            <v>141340</v>
          </cell>
          <cell r="S2175">
            <v>155445</v>
          </cell>
          <cell r="T2175">
            <v>148204</v>
          </cell>
          <cell r="U2175">
            <v>150849</v>
          </cell>
          <cell r="V2175">
            <v>135369</v>
          </cell>
          <cell r="W2175">
            <v>151481</v>
          </cell>
          <cell r="X2175">
            <v>150241</v>
          </cell>
          <cell r="Y2175">
            <v>149830</v>
          </cell>
          <cell r="Z2175">
            <v>146902</v>
          </cell>
          <cell r="AA2175">
            <v>146752</v>
          </cell>
          <cell r="AB2175">
            <v>132519</v>
          </cell>
          <cell r="AC2175">
            <v>156594</v>
          </cell>
          <cell r="AD2175">
            <v>167738</v>
          </cell>
          <cell r="AE2175">
            <v>159442</v>
          </cell>
          <cell r="AF2175">
            <v>148851</v>
          </cell>
          <cell r="AG2175">
            <v>152220</v>
          </cell>
          <cell r="AH2175">
            <v>171616</v>
          </cell>
          <cell r="AI2175">
            <v>167982</v>
          </cell>
          <cell r="AJ2175">
            <v>154048</v>
          </cell>
        </row>
        <row r="2176">
          <cell r="E2176" t="str">
            <v>RI Commercial Natural Gas</v>
          </cell>
          <cell r="F2176">
            <v>8288</v>
          </cell>
          <cell r="G2176">
            <v>8492</v>
          </cell>
          <cell r="H2176">
            <v>9231</v>
          </cell>
          <cell r="I2176">
            <v>9472</v>
          </cell>
          <cell r="J2176">
            <v>12456</v>
          </cell>
          <cell r="K2176">
            <v>12410</v>
          </cell>
          <cell r="L2176">
            <v>13525</v>
          </cell>
          <cell r="M2176">
            <v>12745</v>
          </cell>
          <cell r="N2176">
            <v>11788</v>
          </cell>
          <cell r="O2176">
            <v>12163</v>
          </cell>
          <cell r="P2176">
            <v>13583</v>
          </cell>
          <cell r="Q2176">
            <v>13184</v>
          </cell>
          <cell r="R2176">
            <v>11815</v>
          </cell>
          <cell r="S2176">
            <v>11689</v>
          </cell>
          <cell r="T2176">
            <v>11593</v>
          </cell>
          <cell r="U2176">
            <v>11271</v>
          </cell>
          <cell r="V2176">
            <v>10120</v>
          </cell>
          <cell r="W2176">
            <v>11547</v>
          </cell>
          <cell r="X2176">
            <v>11106</v>
          </cell>
          <cell r="Y2176">
            <v>10982</v>
          </cell>
          <cell r="Z2176">
            <v>10699</v>
          </cell>
          <cell r="AA2176">
            <v>11102</v>
          </cell>
          <cell r="AB2176">
            <v>10396</v>
          </cell>
          <cell r="AC2176">
            <v>11996</v>
          </cell>
          <cell r="AD2176">
            <v>13554</v>
          </cell>
          <cell r="AE2176">
            <v>12354</v>
          </cell>
          <cell r="AF2176">
            <v>11076</v>
          </cell>
          <cell r="AG2176">
            <v>11684</v>
          </cell>
          <cell r="AH2176">
            <v>13112</v>
          </cell>
          <cell r="AI2176">
            <v>12783</v>
          </cell>
          <cell r="AJ2176">
            <v>11129</v>
          </cell>
        </row>
        <row r="2177">
          <cell r="E2177" t="str">
            <v>SC Commercial Natural Gas</v>
          </cell>
          <cell r="F2177">
            <v>15828</v>
          </cell>
          <cell r="G2177">
            <v>16224</v>
          </cell>
          <cell r="H2177">
            <v>17094</v>
          </cell>
          <cell r="I2177">
            <v>17509</v>
          </cell>
          <cell r="J2177">
            <v>18427</v>
          </cell>
          <cell r="K2177">
            <v>19380</v>
          </cell>
          <cell r="L2177">
            <v>20940</v>
          </cell>
          <cell r="M2177">
            <v>20170</v>
          </cell>
          <cell r="N2177">
            <v>20506</v>
          </cell>
          <cell r="O2177">
            <v>21162</v>
          </cell>
          <cell r="P2177">
            <v>22736</v>
          </cell>
          <cell r="Q2177">
            <v>21533</v>
          </cell>
          <cell r="R2177">
            <v>21722</v>
          </cell>
          <cell r="S2177">
            <v>23189</v>
          </cell>
          <cell r="T2177">
            <v>23040</v>
          </cell>
          <cell r="U2177">
            <v>22880</v>
          </cell>
          <cell r="V2177">
            <v>21474</v>
          </cell>
          <cell r="W2177">
            <v>21690</v>
          </cell>
          <cell r="X2177">
            <v>23024</v>
          </cell>
          <cell r="Y2177">
            <v>22641</v>
          </cell>
          <cell r="Z2177">
            <v>24666</v>
          </cell>
          <cell r="AA2177">
            <v>22588</v>
          </cell>
          <cell r="AB2177">
            <v>21834</v>
          </cell>
          <cell r="AC2177">
            <v>24292</v>
          </cell>
          <cell r="AD2177">
            <v>25994</v>
          </cell>
          <cell r="AE2177">
            <v>24473</v>
          </cell>
          <cell r="AF2177">
            <v>24482</v>
          </cell>
          <cell r="AG2177">
            <v>23875</v>
          </cell>
          <cell r="AH2177">
            <v>26211</v>
          </cell>
          <cell r="AI2177">
            <v>26412</v>
          </cell>
          <cell r="AJ2177">
            <v>24620</v>
          </cell>
        </row>
        <row r="2178">
          <cell r="E2178" t="str">
            <v>SD Commercial Natural Gas</v>
          </cell>
          <cell r="F2178">
            <v>8690</v>
          </cell>
          <cell r="G2178">
            <v>9644</v>
          </cell>
          <cell r="H2178">
            <v>9259</v>
          </cell>
          <cell r="I2178">
            <v>10835</v>
          </cell>
          <cell r="J2178">
            <v>10377</v>
          </cell>
          <cell r="K2178">
            <v>10834</v>
          </cell>
          <cell r="L2178">
            <v>11760</v>
          </cell>
          <cell r="M2178">
            <v>10609</v>
          </cell>
          <cell r="N2178">
            <v>9346</v>
          </cell>
          <cell r="O2178">
            <v>9612</v>
          </cell>
          <cell r="P2178">
            <v>10154</v>
          </cell>
          <cell r="Q2178">
            <v>9664</v>
          </cell>
          <cell r="R2178">
            <v>10254</v>
          </cell>
          <cell r="S2178">
            <v>10408</v>
          </cell>
          <cell r="T2178">
            <v>9986</v>
          </cell>
          <cell r="U2178">
            <v>9886</v>
          </cell>
          <cell r="V2178">
            <v>9552</v>
          </cell>
          <cell r="W2178">
            <v>10362</v>
          </cell>
          <cell r="X2178">
            <v>11395</v>
          </cell>
          <cell r="Y2178">
            <v>11587</v>
          </cell>
          <cell r="Z2178">
            <v>11080</v>
          </cell>
          <cell r="AA2178">
            <v>11157</v>
          </cell>
          <cell r="AB2178">
            <v>9496</v>
          </cell>
          <cell r="AC2178">
            <v>12528</v>
          </cell>
          <cell r="AD2178">
            <v>12816</v>
          </cell>
          <cell r="AE2178">
            <v>10995</v>
          </cell>
          <cell r="AF2178">
            <v>11020</v>
          </cell>
          <cell r="AG2178">
            <v>11403</v>
          </cell>
          <cell r="AH2178">
            <v>13413</v>
          </cell>
          <cell r="AI2178">
            <v>14526</v>
          </cell>
          <cell r="AJ2178">
            <v>12783</v>
          </cell>
        </row>
        <row r="2179">
          <cell r="E2179" t="str">
            <v>TN Commercial Natural Gas</v>
          </cell>
          <cell r="F2179">
            <v>45077</v>
          </cell>
          <cell r="G2179">
            <v>47470</v>
          </cell>
          <cell r="H2179">
            <v>47975</v>
          </cell>
          <cell r="I2179">
            <v>52534</v>
          </cell>
          <cell r="J2179">
            <v>52386</v>
          </cell>
          <cell r="K2179">
            <v>52828</v>
          </cell>
          <cell r="L2179">
            <v>60371</v>
          </cell>
          <cell r="M2179">
            <v>56830</v>
          </cell>
          <cell r="N2179">
            <v>53976</v>
          </cell>
          <cell r="O2179">
            <v>53996</v>
          </cell>
          <cell r="P2179">
            <v>55344</v>
          </cell>
          <cell r="Q2179">
            <v>54970</v>
          </cell>
          <cell r="R2179">
            <v>55434</v>
          </cell>
          <cell r="S2179">
            <v>58444</v>
          </cell>
          <cell r="T2179">
            <v>55993</v>
          </cell>
          <cell r="U2179">
            <v>56179</v>
          </cell>
          <cell r="V2179">
            <v>53512</v>
          </cell>
          <cell r="W2179">
            <v>53017</v>
          </cell>
          <cell r="X2179">
            <v>56105</v>
          </cell>
          <cell r="Y2179">
            <v>53331</v>
          </cell>
          <cell r="Z2179">
            <v>57501</v>
          </cell>
          <cell r="AA2179">
            <v>52937</v>
          </cell>
          <cell r="AB2179">
            <v>45611</v>
          </cell>
          <cell r="AC2179">
            <v>54912</v>
          </cell>
          <cell r="AD2179">
            <v>59054</v>
          </cell>
          <cell r="AE2179">
            <v>54934</v>
          </cell>
          <cell r="AF2179">
            <v>51734</v>
          </cell>
          <cell r="AG2179">
            <v>50988</v>
          </cell>
          <cell r="AH2179">
            <v>61136</v>
          </cell>
          <cell r="AI2179">
            <v>59324</v>
          </cell>
          <cell r="AJ2179">
            <v>54802</v>
          </cell>
        </row>
        <row r="2180">
          <cell r="E2180" t="str">
            <v>TX Commercial Natural Gas</v>
          </cell>
          <cell r="F2180">
            <v>179596</v>
          </cell>
          <cell r="G2180">
            <v>188219</v>
          </cell>
          <cell r="H2180">
            <v>193919</v>
          </cell>
          <cell r="I2180">
            <v>180982</v>
          </cell>
          <cell r="J2180">
            <v>187938</v>
          </cell>
          <cell r="K2180">
            <v>218454</v>
          </cell>
          <cell r="L2180">
            <v>185095</v>
          </cell>
          <cell r="M2180">
            <v>222842</v>
          </cell>
          <cell r="N2180">
            <v>178049</v>
          </cell>
          <cell r="O2180">
            <v>178186</v>
          </cell>
          <cell r="P2180">
            <v>196820</v>
          </cell>
          <cell r="Q2180">
            <v>175920</v>
          </cell>
          <cell r="R2180">
            <v>233779</v>
          </cell>
          <cell r="S2180">
            <v>224901</v>
          </cell>
          <cell r="T2180">
            <v>198860</v>
          </cell>
          <cell r="U2180">
            <v>164445</v>
          </cell>
          <cell r="V2180">
            <v>151233</v>
          </cell>
          <cell r="W2180">
            <v>165489</v>
          </cell>
          <cell r="X2180">
            <v>171573</v>
          </cell>
          <cell r="Y2180">
            <v>171453</v>
          </cell>
          <cell r="Z2180">
            <v>195021</v>
          </cell>
          <cell r="AA2180">
            <v>189642</v>
          </cell>
          <cell r="AB2180">
            <v>165874</v>
          </cell>
          <cell r="AC2180">
            <v>178090</v>
          </cell>
          <cell r="AD2180">
            <v>191180</v>
          </cell>
          <cell r="AE2180">
            <v>182097</v>
          </cell>
          <cell r="AF2180">
            <v>169242</v>
          </cell>
          <cell r="AG2180">
            <v>169467</v>
          </cell>
          <cell r="AH2180">
            <v>220208</v>
          </cell>
          <cell r="AI2180">
            <v>203219</v>
          </cell>
          <cell r="AJ2180">
            <v>176532</v>
          </cell>
        </row>
        <row r="2181">
          <cell r="E2181" t="str">
            <v>US Commercial Natural Gas</v>
          </cell>
          <cell r="F2181">
            <v>2697844</v>
          </cell>
          <cell r="G2181">
            <v>2806642</v>
          </cell>
          <cell r="H2181">
            <v>2882823</v>
          </cell>
          <cell r="I2181">
            <v>2944305</v>
          </cell>
          <cell r="J2181">
            <v>2978127</v>
          </cell>
          <cell r="K2181">
            <v>3116504</v>
          </cell>
          <cell r="L2181">
            <v>3250942</v>
          </cell>
          <cell r="M2181">
            <v>3306403</v>
          </cell>
          <cell r="N2181">
            <v>3098129</v>
          </cell>
          <cell r="O2181">
            <v>3131943</v>
          </cell>
          <cell r="P2181">
            <v>3261417</v>
          </cell>
          <cell r="Q2181">
            <v>3108603</v>
          </cell>
          <cell r="R2181">
            <v>3222670</v>
          </cell>
          <cell r="S2181">
            <v>3271427</v>
          </cell>
          <cell r="T2181">
            <v>3211021</v>
          </cell>
          <cell r="U2181">
            <v>3083117</v>
          </cell>
          <cell r="V2181">
            <v>2908370</v>
          </cell>
          <cell r="W2181">
            <v>3095322</v>
          </cell>
          <cell r="X2181">
            <v>3234984</v>
          </cell>
          <cell r="Y2181">
            <v>3198538</v>
          </cell>
          <cell r="Z2181">
            <v>3172591</v>
          </cell>
          <cell r="AA2181">
            <v>3226216</v>
          </cell>
          <cell r="AB2181">
            <v>2968399</v>
          </cell>
          <cell r="AC2181">
            <v>3390846</v>
          </cell>
          <cell r="AD2181">
            <v>3583689</v>
          </cell>
          <cell r="AE2181">
            <v>3326693</v>
          </cell>
          <cell r="AF2181">
            <v>3234870</v>
          </cell>
          <cell r="AG2181">
            <v>3291082</v>
          </cell>
          <cell r="AH2181">
            <v>3654958</v>
          </cell>
          <cell r="AI2181">
            <v>3660922</v>
          </cell>
          <cell r="AJ2181">
            <v>3303625</v>
          </cell>
        </row>
        <row r="2182">
          <cell r="E2182" t="str">
            <v>UT Commercial Natural Gas</v>
          </cell>
          <cell r="F2182">
            <v>17655</v>
          </cell>
          <cell r="G2182">
            <v>20697</v>
          </cell>
          <cell r="H2182">
            <v>17894</v>
          </cell>
          <cell r="I2182">
            <v>24426</v>
          </cell>
          <cell r="J2182">
            <v>28325</v>
          </cell>
          <cell r="K2182">
            <v>28537</v>
          </cell>
          <cell r="L2182">
            <v>30802</v>
          </cell>
          <cell r="M2182">
            <v>32449</v>
          </cell>
          <cell r="N2182">
            <v>32391</v>
          </cell>
          <cell r="O2182">
            <v>32056</v>
          </cell>
          <cell r="P2182">
            <v>32892</v>
          </cell>
          <cell r="Q2182">
            <v>32543</v>
          </cell>
          <cell r="R2182">
            <v>35517</v>
          </cell>
          <cell r="S2182">
            <v>33067</v>
          </cell>
          <cell r="T2182">
            <v>32913</v>
          </cell>
          <cell r="U2182">
            <v>36297</v>
          </cell>
          <cell r="V2182">
            <v>35997</v>
          </cell>
          <cell r="W2182">
            <v>36370</v>
          </cell>
          <cell r="X2182">
            <v>39957</v>
          </cell>
          <cell r="Y2182">
            <v>38749</v>
          </cell>
          <cell r="Z2182">
            <v>40268</v>
          </cell>
          <cell r="AA2182">
            <v>42032</v>
          </cell>
          <cell r="AB2182">
            <v>36965</v>
          </cell>
          <cell r="AC2182">
            <v>43452</v>
          </cell>
          <cell r="AD2182">
            <v>39874</v>
          </cell>
          <cell r="AE2182">
            <v>37439</v>
          </cell>
          <cell r="AF2182">
            <v>40826</v>
          </cell>
          <cell r="AG2182">
            <v>43053</v>
          </cell>
          <cell r="AH2182">
            <v>44158</v>
          </cell>
          <cell r="AI2182">
            <v>49574</v>
          </cell>
          <cell r="AJ2182">
            <v>46125</v>
          </cell>
        </row>
        <row r="2183">
          <cell r="E2183" t="str">
            <v>VA Commercial Natural Gas</v>
          </cell>
          <cell r="F2183">
            <v>42788</v>
          </cell>
          <cell r="G2183">
            <v>45951</v>
          </cell>
          <cell r="H2183">
            <v>52751</v>
          </cell>
          <cell r="I2183">
            <v>55345</v>
          </cell>
          <cell r="J2183">
            <v>55031</v>
          </cell>
          <cell r="K2183">
            <v>58697</v>
          </cell>
          <cell r="L2183">
            <v>61590</v>
          </cell>
          <cell r="M2183">
            <v>64602</v>
          </cell>
          <cell r="N2183">
            <v>60837</v>
          </cell>
          <cell r="O2183">
            <v>63836</v>
          </cell>
          <cell r="P2183">
            <v>68386</v>
          </cell>
          <cell r="Q2183">
            <v>62090</v>
          </cell>
          <cell r="R2183">
            <v>64926</v>
          </cell>
          <cell r="S2183">
            <v>66391</v>
          </cell>
          <cell r="T2183">
            <v>66496</v>
          </cell>
          <cell r="U2183">
            <v>68620</v>
          </cell>
          <cell r="V2183">
            <v>64554</v>
          </cell>
          <cell r="W2183">
            <v>68912</v>
          </cell>
          <cell r="X2183">
            <v>69507</v>
          </cell>
          <cell r="Y2183">
            <v>70099</v>
          </cell>
          <cell r="Z2183">
            <v>70669</v>
          </cell>
          <cell r="AA2183">
            <v>65967</v>
          </cell>
          <cell r="AB2183">
            <v>62327</v>
          </cell>
          <cell r="AC2183">
            <v>70638</v>
          </cell>
          <cell r="AD2183">
            <v>75749</v>
          </cell>
          <cell r="AE2183">
            <v>72417</v>
          </cell>
          <cell r="AF2183">
            <v>70953</v>
          </cell>
          <cell r="AG2183">
            <v>71924</v>
          </cell>
          <cell r="AH2183">
            <v>78566</v>
          </cell>
          <cell r="AI2183">
            <v>75324</v>
          </cell>
          <cell r="AJ2183">
            <v>71528</v>
          </cell>
        </row>
        <row r="2184">
          <cell r="E2184" t="str">
            <v>VT Commercial Natural Gas</v>
          </cell>
          <cell r="F2184">
            <v>2013</v>
          </cell>
          <cell r="G2184">
            <v>2033</v>
          </cell>
          <cell r="H2184">
            <v>2309</v>
          </cell>
          <cell r="I2184">
            <v>2377</v>
          </cell>
          <cell r="J2184">
            <v>2658</v>
          </cell>
          <cell r="K2184">
            <v>2661</v>
          </cell>
          <cell r="L2184">
            <v>2867</v>
          </cell>
          <cell r="M2184">
            <v>3088</v>
          </cell>
          <cell r="N2184">
            <v>3015</v>
          </cell>
          <cell r="O2184">
            <v>2337</v>
          </cell>
          <cell r="P2184">
            <v>2627</v>
          </cell>
          <cell r="Q2184">
            <v>2503</v>
          </cell>
          <cell r="R2184">
            <v>2480</v>
          </cell>
          <cell r="S2184">
            <v>2774</v>
          </cell>
          <cell r="T2184">
            <v>2734</v>
          </cell>
          <cell r="U2184">
            <v>2621</v>
          </cell>
          <cell r="V2184">
            <v>2376</v>
          </cell>
          <cell r="W2184">
            <v>2633</v>
          </cell>
          <cell r="X2184">
            <v>2508</v>
          </cell>
          <cell r="Y2184">
            <v>2495</v>
          </cell>
          <cell r="Z2184">
            <v>2401</v>
          </cell>
          <cell r="AA2184">
            <v>2499</v>
          </cell>
          <cell r="AB2184">
            <v>2342</v>
          </cell>
          <cell r="AC2184">
            <v>4819</v>
          </cell>
          <cell r="AD2184">
            <v>4912</v>
          </cell>
          <cell r="AE2184">
            <v>6066</v>
          </cell>
          <cell r="AF2184">
            <v>6401</v>
          </cell>
          <cell r="AG2184">
            <v>6391</v>
          </cell>
          <cell r="AH2184">
            <v>7606</v>
          </cell>
          <cell r="AI2184">
            <v>7605</v>
          </cell>
          <cell r="AJ2184">
            <v>7260</v>
          </cell>
        </row>
        <row r="2185">
          <cell r="E2185" t="str">
            <v>WA Commercial Natural Gas</v>
          </cell>
          <cell r="F2185">
            <v>39831</v>
          </cell>
          <cell r="G2185">
            <v>43033</v>
          </cell>
          <cell r="H2185">
            <v>39049</v>
          </cell>
          <cell r="I2185">
            <v>45288</v>
          </cell>
          <cell r="J2185">
            <v>44828</v>
          </cell>
          <cell r="K2185">
            <v>44364</v>
          </cell>
          <cell r="L2185">
            <v>49995</v>
          </cell>
          <cell r="M2185">
            <v>48963</v>
          </cell>
          <cell r="N2185">
            <v>47688</v>
          </cell>
          <cell r="O2185">
            <v>53458</v>
          </cell>
          <cell r="P2185">
            <v>52603</v>
          </cell>
          <cell r="Q2185">
            <v>59149</v>
          </cell>
          <cell r="R2185">
            <v>47831</v>
          </cell>
          <cell r="S2185">
            <v>49105</v>
          </cell>
          <cell r="T2185">
            <v>49806</v>
          </cell>
          <cell r="U2185">
            <v>51214</v>
          </cell>
          <cell r="V2185">
            <v>52828</v>
          </cell>
          <cell r="W2185">
            <v>55052</v>
          </cell>
          <cell r="X2185">
            <v>57897</v>
          </cell>
          <cell r="Y2185">
            <v>57378</v>
          </cell>
          <cell r="Z2185">
            <v>53016</v>
          </cell>
          <cell r="AA2185">
            <v>58135</v>
          </cell>
          <cell r="AB2185">
            <v>54988</v>
          </cell>
          <cell r="AC2185">
            <v>57655</v>
          </cell>
          <cell r="AD2185">
            <v>56877</v>
          </cell>
          <cell r="AE2185">
            <v>53112</v>
          </cell>
          <cell r="AF2185">
            <v>55699</v>
          </cell>
          <cell r="AG2185">
            <v>64894</v>
          </cell>
          <cell r="AH2185">
            <v>61953</v>
          </cell>
          <cell r="AI2185">
            <v>66198</v>
          </cell>
          <cell r="AJ2185">
            <v>60246</v>
          </cell>
        </row>
        <row r="2186">
          <cell r="E2186" t="str">
            <v>WI Commercial Natural Gas</v>
          </cell>
          <cell r="F2186">
            <v>66731</v>
          </cell>
          <cell r="G2186">
            <v>72012</v>
          </cell>
          <cell r="H2186">
            <v>71954</v>
          </cell>
          <cell r="I2186">
            <v>77925</v>
          </cell>
          <cell r="J2186">
            <v>79548</v>
          </cell>
          <cell r="K2186">
            <v>85812</v>
          </cell>
          <cell r="L2186">
            <v>95032</v>
          </cell>
          <cell r="M2186">
            <v>89683</v>
          </cell>
          <cell r="N2186">
            <v>82198</v>
          </cell>
          <cell r="O2186">
            <v>82646</v>
          </cell>
          <cell r="P2186">
            <v>81942</v>
          </cell>
          <cell r="Q2186">
            <v>76744</v>
          </cell>
          <cell r="R2186">
            <v>86567</v>
          </cell>
          <cell r="S2186">
            <v>87950</v>
          </cell>
          <cell r="T2186">
            <v>82808</v>
          </cell>
          <cell r="U2186">
            <v>87244</v>
          </cell>
          <cell r="V2186">
            <v>87286</v>
          </cell>
          <cell r="W2186">
            <v>90222</v>
          </cell>
          <cell r="X2186">
            <v>98496</v>
          </cell>
          <cell r="Y2186">
            <v>92728</v>
          </cell>
          <cell r="Z2186">
            <v>83024</v>
          </cell>
          <cell r="AA2186">
            <v>88287</v>
          </cell>
          <cell r="AB2186">
            <v>78464</v>
          </cell>
          <cell r="AC2186">
            <v>102141</v>
          </cell>
          <cell r="AD2186">
            <v>110962</v>
          </cell>
          <cell r="AE2186">
            <v>94398</v>
          </cell>
          <cell r="AF2186">
            <v>92739</v>
          </cell>
          <cell r="AG2186">
            <v>94094</v>
          </cell>
          <cell r="AH2186">
            <v>104847</v>
          </cell>
          <cell r="AI2186">
            <v>106619</v>
          </cell>
          <cell r="AJ2186">
            <v>96420</v>
          </cell>
        </row>
        <row r="2187">
          <cell r="E2187" t="str">
            <v>WV Commercial Natural Gas</v>
          </cell>
          <cell r="F2187">
            <v>22912</v>
          </cell>
          <cell r="G2187">
            <v>22581</v>
          </cell>
          <cell r="H2187">
            <v>26009</v>
          </cell>
          <cell r="I2187">
            <v>25968</v>
          </cell>
          <cell r="J2187">
            <v>26580</v>
          </cell>
          <cell r="K2187">
            <v>27454</v>
          </cell>
          <cell r="L2187">
            <v>29738</v>
          </cell>
          <cell r="M2187">
            <v>27677</v>
          </cell>
          <cell r="N2187">
            <v>26565</v>
          </cell>
          <cell r="O2187">
            <v>28807</v>
          </cell>
          <cell r="P2187">
            <v>27952</v>
          </cell>
          <cell r="Q2187">
            <v>29617</v>
          </cell>
          <cell r="R2187">
            <v>26271</v>
          </cell>
          <cell r="S2187">
            <v>28446</v>
          </cell>
          <cell r="T2187">
            <v>26637</v>
          </cell>
          <cell r="U2187">
            <v>26778</v>
          </cell>
          <cell r="V2187">
            <v>26279</v>
          </cell>
          <cell r="W2187">
            <v>24334</v>
          </cell>
          <cell r="X2187">
            <v>27159</v>
          </cell>
          <cell r="Y2187">
            <v>25717</v>
          </cell>
          <cell r="Z2187">
            <v>26809</v>
          </cell>
          <cell r="AA2187">
            <v>26120</v>
          </cell>
          <cell r="AB2187">
            <v>24462</v>
          </cell>
          <cell r="AC2187">
            <v>26112</v>
          </cell>
          <cell r="AD2187">
            <v>26320</v>
          </cell>
          <cell r="AE2187">
            <v>25315</v>
          </cell>
          <cell r="AF2187">
            <v>24935</v>
          </cell>
          <cell r="AG2187">
            <v>24293</v>
          </cell>
          <cell r="AH2187">
            <v>27361</v>
          </cell>
          <cell r="AI2187">
            <v>25615</v>
          </cell>
          <cell r="AJ2187">
            <v>23428</v>
          </cell>
        </row>
        <row r="2188">
          <cell r="E2188" t="str">
            <v>WY Commercial Natural Gas</v>
          </cell>
          <cell r="F2188">
            <v>9276</v>
          </cell>
          <cell r="G2188">
            <v>9647</v>
          </cell>
          <cell r="H2188">
            <v>8473</v>
          </cell>
          <cell r="I2188">
            <v>10843</v>
          </cell>
          <cell r="J2188">
            <v>9748</v>
          </cell>
          <cell r="K2188">
            <v>10453</v>
          </cell>
          <cell r="L2188">
            <v>10314</v>
          </cell>
          <cell r="M2188">
            <v>11497</v>
          </cell>
          <cell r="N2188">
            <v>11112</v>
          </cell>
          <cell r="O2188">
            <v>10340</v>
          </cell>
          <cell r="P2188">
            <v>10204</v>
          </cell>
          <cell r="Q2188">
            <v>10066</v>
          </cell>
          <cell r="R2188">
            <v>10873</v>
          </cell>
          <cell r="S2188">
            <v>10449</v>
          </cell>
          <cell r="T2188">
            <v>10367</v>
          </cell>
          <cell r="U2188">
            <v>9576</v>
          </cell>
          <cell r="V2188">
            <v>9893</v>
          </cell>
          <cell r="W2188">
            <v>9790</v>
          </cell>
          <cell r="X2188">
            <v>10500</v>
          </cell>
          <cell r="Y2188">
            <v>10697</v>
          </cell>
          <cell r="Z2188">
            <v>11501</v>
          </cell>
          <cell r="AA2188">
            <v>12079</v>
          </cell>
          <cell r="AB2188">
            <v>10840</v>
          </cell>
          <cell r="AC2188">
            <v>12521</v>
          </cell>
          <cell r="AD2188">
            <v>12678</v>
          </cell>
          <cell r="AE2188">
            <v>13716</v>
          </cell>
          <cell r="AF2188">
            <v>14423</v>
          </cell>
          <cell r="AG2188">
            <v>14812</v>
          </cell>
          <cell r="AH2188">
            <v>14644</v>
          </cell>
          <cell r="AI2188">
            <v>13963</v>
          </cell>
          <cell r="AJ2188">
            <v>13190</v>
          </cell>
        </row>
        <row r="2189">
          <cell r="E2189" t="str">
            <v>AK Electric Power Natural Gas</v>
          </cell>
          <cell r="F2189">
            <v>35295</v>
          </cell>
          <cell r="G2189">
            <v>31428</v>
          </cell>
          <cell r="H2189">
            <v>28998</v>
          </cell>
          <cell r="I2189">
            <v>28039</v>
          </cell>
          <cell r="J2189">
            <v>29071</v>
          </cell>
          <cell r="K2189">
            <v>29911</v>
          </cell>
          <cell r="L2189">
            <v>31227</v>
          </cell>
          <cell r="M2189">
            <v>33591</v>
          </cell>
          <cell r="N2189">
            <v>28862</v>
          </cell>
          <cell r="O2189">
            <v>30595</v>
          </cell>
          <cell r="P2189">
            <v>35672</v>
          </cell>
          <cell r="Q2189">
            <v>32721</v>
          </cell>
          <cell r="R2189">
            <v>32000</v>
          </cell>
          <cell r="S2189">
            <v>34555</v>
          </cell>
          <cell r="T2189">
            <v>37890</v>
          </cell>
          <cell r="U2189">
            <v>39506</v>
          </cell>
          <cell r="V2189">
            <v>43573</v>
          </cell>
          <cell r="W2189">
            <v>41172</v>
          </cell>
          <cell r="X2189">
            <v>43449</v>
          </cell>
          <cell r="Y2189">
            <v>38314</v>
          </cell>
          <cell r="Z2189">
            <v>39963</v>
          </cell>
          <cell r="AA2189">
            <v>42344</v>
          </cell>
          <cell r="AB2189">
            <v>40266</v>
          </cell>
          <cell r="AC2189">
            <v>34003</v>
          </cell>
          <cell r="AD2189">
            <v>31986</v>
          </cell>
          <cell r="AE2189">
            <v>30230</v>
          </cell>
          <cell r="AF2189">
            <v>28232</v>
          </cell>
          <cell r="AG2189">
            <v>28992</v>
          </cell>
          <cell r="AH2189">
            <v>25364</v>
          </cell>
          <cell r="AI2189">
            <v>24442</v>
          </cell>
          <cell r="AJ2189">
            <v>22908</v>
          </cell>
        </row>
        <row r="2190">
          <cell r="E2190" t="str">
            <v>AL Electric Power Natural Gas</v>
          </cell>
          <cell r="F2190">
            <v>5656</v>
          </cell>
          <cell r="G2190">
            <v>5262</v>
          </cell>
          <cell r="H2190">
            <v>4953</v>
          </cell>
          <cell r="I2190">
            <v>6270</v>
          </cell>
          <cell r="J2190">
            <v>5664</v>
          </cell>
          <cell r="K2190">
            <v>9013</v>
          </cell>
          <cell r="L2190">
            <v>7772</v>
          </cell>
          <cell r="M2190">
            <v>12184</v>
          </cell>
          <cell r="N2190">
            <v>28573</v>
          </cell>
          <cell r="O2190">
            <v>25950</v>
          </cell>
          <cell r="P2190">
            <v>43363</v>
          </cell>
          <cell r="Q2190">
            <v>71622</v>
          </cell>
          <cell r="R2190">
            <v>115193</v>
          </cell>
          <cell r="S2190">
            <v>88485</v>
          </cell>
          <cell r="T2190">
            <v>119970</v>
          </cell>
          <cell r="U2190">
            <v>107631</v>
          </cell>
          <cell r="V2190">
            <v>149728</v>
          </cell>
          <cell r="W2190">
            <v>181500</v>
          </cell>
          <cell r="X2190">
            <v>168893</v>
          </cell>
          <cell r="Y2190">
            <v>232717</v>
          </cell>
          <cell r="Z2190">
            <v>287408</v>
          </cell>
          <cell r="AA2190">
            <v>349434</v>
          </cell>
          <cell r="AB2190">
            <v>407721</v>
          </cell>
          <cell r="AC2190">
            <v>339804</v>
          </cell>
          <cell r="AD2190">
            <v>355113</v>
          </cell>
          <cell r="AE2190">
            <v>410109</v>
          </cell>
          <cell r="AF2190">
            <v>425641</v>
          </cell>
          <cell r="AG2190">
            <v>391987</v>
          </cell>
          <cell r="AH2190">
            <v>443242</v>
          </cell>
          <cell r="AI2190">
            <v>430679</v>
          </cell>
          <cell r="AJ2190">
            <v>408621</v>
          </cell>
        </row>
        <row r="2191">
          <cell r="E2191" t="str">
            <v>AR Electric Power Natural Gas</v>
          </cell>
          <cell r="F2191">
            <v>32657</v>
          </cell>
          <cell r="G2191">
            <v>28456</v>
          </cell>
          <cell r="H2191">
            <v>27691</v>
          </cell>
          <cell r="I2191">
            <v>21790</v>
          </cell>
          <cell r="J2191">
            <v>25574</v>
          </cell>
          <cell r="K2191">
            <v>33377</v>
          </cell>
          <cell r="L2191">
            <v>34795</v>
          </cell>
          <cell r="M2191">
            <v>25425</v>
          </cell>
          <cell r="N2191">
            <v>41357</v>
          </cell>
          <cell r="O2191">
            <v>41082</v>
          </cell>
          <cell r="P2191">
            <v>35292</v>
          </cell>
          <cell r="Q2191">
            <v>27070</v>
          </cell>
          <cell r="R2191">
            <v>43124</v>
          </cell>
          <cell r="S2191">
            <v>58174</v>
          </cell>
          <cell r="T2191">
            <v>41334</v>
          </cell>
          <cell r="U2191">
            <v>50404</v>
          </cell>
          <cell r="V2191">
            <v>73045</v>
          </cell>
          <cell r="W2191">
            <v>65218</v>
          </cell>
          <cell r="X2191">
            <v>66231</v>
          </cell>
          <cell r="Y2191">
            <v>85317</v>
          </cell>
          <cell r="Z2191">
            <v>98514</v>
          </cell>
          <cell r="AA2191">
            <v>109196</v>
          </cell>
          <cell r="AB2191">
            <v>131825</v>
          </cell>
          <cell r="AC2191">
            <v>95845</v>
          </cell>
          <cell r="AD2191">
            <v>74137</v>
          </cell>
          <cell r="AE2191">
            <v>113099</v>
          </cell>
          <cell r="AF2191">
            <v>139024</v>
          </cell>
          <cell r="AG2191">
            <v>130272</v>
          </cell>
          <cell r="AH2191">
            <v>155902</v>
          </cell>
          <cell r="AI2191">
            <v>163318</v>
          </cell>
          <cell r="AJ2191">
            <v>138729</v>
          </cell>
        </row>
        <row r="2192">
          <cell r="E2192" t="str">
            <v>AZ Electric Power Natural Gas</v>
          </cell>
          <cell r="F2192">
            <v>25021</v>
          </cell>
          <cell r="G2192">
            <v>23912</v>
          </cell>
          <cell r="H2192">
            <v>31875</v>
          </cell>
          <cell r="I2192">
            <v>21034</v>
          </cell>
          <cell r="J2192">
            <v>26740</v>
          </cell>
          <cell r="K2192">
            <v>22657</v>
          </cell>
          <cell r="L2192">
            <v>22891</v>
          </cell>
          <cell r="M2192">
            <v>27060</v>
          </cell>
          <cell r="N2192">
            <v>42865</v>
          </cell>
          <cell r="O2192">
            <v>55399</v>
          </cell>
          <cell r="P2192">
            <v>97449</v>
          </cell>
          <cell r="Q2192">
            <v>132001</v>
          </cell>
          <cell r="R2192">
            <v>148020</v>
          </cell>
          <cell r="S2192">
            <v>171564</v>
          </cell>
          <cell r="T2192">
            <v>245082</v>
          </cell>
          <cell r="U2192">
            <v>222772</v>
          </cell>
          <cell r="V2192">
            <v>253243</v>
          </cell>
          <cell r="W2192">
            <v>286297</v>
          </cell>
          <cell r="X2192">
            <v>291571</v>
          </cell>
          <cell r="Y2192">
            <v>267698</v>
          </cell>
          <cell r="Z2192">
            <v>227944</v>
          </cell>
          <cell r="AA2192">
            <v>183896</v>
          </cell>
          <cell r="AB2192">
            <v>233668</v>
          </cell>
          <cell r="AC2192">
            <v>228437</v>
          </cell>
          <cell r="AD2192">
            <v>211640</v>
          </cell>
          <cell r="AE2192">
            <v>257855</v>
          </cell>
          <cell r="AF2192">
            <v>264473</v>
          </cell>
          <cell r="AG2192">
            <v>232643</v>
          </cell>
          <cell r="AH2192">
            <v>296459</v>
          </cell>
          <cell r="AI2192">
            <v>367765</v>
          </cell>
          <cell r="AJ2192">
            <v>399827</v>
          </cell>
        </row>
        <row r="2193">
          <cell r="E2193" t="str">
            <v>CA Electric Power Natural Gas</v>
          </cell>
          <cell r="F2193">
            <v>648938</v>
          </cell>
          <cell r="G2193">
            <v>646499</v>
          </cell>
          <cell r="H2193">
            <v>788628</v>
          </cell>
          <cell r="I2193">
            <v>694233</v>
          </cell>
          <cell r="J2193">
            <v>834865</v>
          </cell>
          <cell r="K2193">
            <v>619972</v>
          </cell>
          <cell r="L2193">
            <v>538602</v>
          </cell>
          <cell r="M2193">
            <v>607929</v>
          </cell>
          <cell r="N2193">
            <v>664042</v>
          </cell>
          <cell r="O2193">
            <v>739182</v>
          </cell>
          <cell r="P2193">
            <v>911244</v>
          </cell>
          <cell r="Q2193">
            <v>999529</v>
          </cell>
          <cell r="R2193">
            <v>742308</v>
          </cell>
          <cell r="S2193">
            <v>721848</v>
          </cell>
          <cell r="T2193">
            <v>793193</v>
          </cell>
          <cell r="U2193">
            <v>709314</v>
          </cell>
          <cell r="V2193">
            <v>795842</v>
          </cell>
          <cell r="W2193">
            <v>860408</v>
          </cell>
          <cell r="X2193">
            <v>882428</v>
          </cell>
          <cell r="Y2193">
            <v>830777</v>
          </cell>
          <cell r="Z2193">
            <v>755324</v>
          </cell>
          <cell r="AA2193">
            <v>630122</v>
          </cell>
          <cell r="AB2193">
            <v>876854</v>
          </cell>
          <cell r="AC2193">
            <v>849409</v>
          </cell>
          <cell r="AD2193">
            <v>858977</v>
          </cell>
          <cell r="AE2193">
            <v>833745</v>
          </cell>
          <cell r="AF2193">
            <v>688781</v>
          </cell>
          <cell r="AG2193">
            <v>621234</v>
          </cell>
          <cell r="AH2193">
            <v>635418</v>
          </cell>
          <cell r="AI2193">
            <v>587611</v>
          </cell>
          <cell r="AJ2193">
            <v>635462</v>
          </cell>
        </row>
        <row r="2194">
          <cell r="E2194" t="str">
            <v>CO Electric Power Natural Gas</v>
          </cell>
          <cell r="F2194">
            <v>13432</v>
          </cell>
          <cell r="G2194">
            <v>13473</v>
          </cell>
          <cell r="H2194">
            <v>13445</v>
          </cell>
          <cell r="I2194">
            <v>12967</v>
          </cell>
          <cell r="J2194">
            <v>20407</v>
          </cell>
          <cell r="K2194">
            <v>24085</v>
          </cell>
          <cell r="L2194">
            <v>29075</v>
          </cell>
          <cell r="M2194">
            <v>27936</v>
          </cell>
          <cell r="N2194">
            <v>34736</v>
          </cell>
          <cell r="O2194">
            <v>43107</v>
          </cell>
          <cell r="P2194">
            <v>66799</v>
          </cell>
          <cell r="Q2194">
            <v>89962</v>
          </cell>
          <cell r="R2194">
            <v>79516</v>
          </cell>
          <cell r="S2194">
            <v>80516</v>
          </cell>
          <cell r="T2194">
            <v>86787</v>
          </cell>
          <cell r="U2194">
            <v>95866</v>
          </cell>
          <cell r="V2194">
            <v>96532</v>
          </cell>
          <cell r="W2194">
            <v>128437</v>
          </cell>
          <cell r="X2194">
            <v>110429</v>
          </cell>
          <cell r="Y2194">
            <v>119160</v>
          </cell>
          <cell r="Z2194">
            <v>95210</v>
          </cell>
          <cell r="AA2194">
            <v>88084</v>
          </cell>
          <cell r="AB2194">
            <v>90079</v>
          </cell>
          <cell r="AC2194">
            <v>93978</v>
          </cell>
          <cell r="AD2194">
            <v>101851</v>
          </cell>
          <cell r="AE2194">
            <v>99410</v>
          </cell>
          <cell r="AF2194">
            <v>104972</v>
          </cell>
          <cell r="AG2194">
            <v>105741</v>
          </cell>
          <cell r="AH2194">
            <v>138525</v>
          </cell>
          <cell r="AI2194">
            <v>146107</v>
          </cell>
          <cell r="AJ2194">
            <v>154009</v>
          </cell>
        </row>
        <row r="2195">
          <cell r="E2195" t="str">
            <v>CT Electric Power Natural Gas</v>
          </cell>
          <cell r="F2195">
            <v>13074</v>
          </cell>
          <cell r="G2195">
            <v>15617</v>
          </cell>
          <cell r="H2195">
            <v>13914</v>
          </cell>
          <cell r="I2195">
            <v>11921</v>
          </cell>
          <cell r="J2195">
            <v>18847</v>
          </cell>
          <cell r="K2195">
            <v>29547</v>
          </cell>
          <cell r="L2195">
            <v>18328</v>
          </cell>
          <cell r="M2195">
            <v>24946</v>
          </cell>
          <cell r="N2195">
            <v>20948</v>
          </cell>
          <cell r="O2195">
            <v>31990</v>
          </cell>
          <cell r="P2195">
            <v>34829</v>
          </cell>
          <cell r="Q2195">
            <v>32601</v>
          </cell>
          <cell r="R2195">
            <v>66423</v>
          </cell>
          <cell r="S2195">
            <v>42890</v>
          </cell>
          <cell r="T2195">
            <v>59727</v>
          </cell>
          <cell r="U2195">
            <v>64618</v>
          </cell>
          <cell r="V2195">
            <v>76747</v>
          </cell>
          <cell r="W2195">
            <v>74500</v>
          </cell>
          <cell r="X2195">
            <v>60155</v>
          </cell>
          <cell r="Y2195">
            <v>71720</v>
          </cell>
          <cell r="Z2195">
            <v>86627</v>
          </cell>
          <cell r="AA2195">
            <v>110514</v>
          </cell>
          <cell r="AB2195">
            <v>117541</v>
          </cell>
          <cell r="AC2195">
            <v>109999</v>
          </cell>
          <cell r="AD2195">
            <v>102964</v>
          </cell>
          <cell r="AE2195">
            <v>123181</v>
          </cell>
          <cell r="AF2195">
            <v>126241</v>
          </cell>
          <cell r="AG2195">
            <v>111655</v>
          </cell>
          <cell r="AH2195">
            <v>139856</v>
          </cell>
          <cell r="AI2195">
            <v>147715</v>
          </cell>
          <cell r="AJ2195">
            <v>162680</v>
          </cell>
        </row>
        <row r="2196">
          <cell r="E2196" t="str">
            <v>DC Electric Power Natural Gas</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1023</v>
          </cell>
          <cell r="AB2196">
            <v>0</v>
          </cell>
          <cell r="AC2196">
            <v>0</v>
          </cell>
          <cell r="AD2196">
            <v>0</v>
          </cell>
          <cell r="AE2196">
            <v>0</v>
          </cell>
          <cell r="AF2196">
            <v>0</v>
          </cell>
          <cell r="AG2196">
            <v>0</v>
          </cell>
          <cell r="AH2196">
            <v>0</v>
          </cell>
          <cell r="AI2196">
            <v>0</v>
          </cell>
          <cell r="AJ2196">
            <v>0</v>
          </cell>
        </row>
        <row r="2197">
          <cell r="E2197" t="str">
            <v>DE Electric Power Natural Gas</v>
          </cell>
          <cell r="F2197">
            <v>11531</v>
          </cell>
          <cell r="G2197">
            <v>15602</v>
          </cell>
          <cell r="H2197">
            <v>8611</v>
          </cell>
          <cell r="I2197">
            <v>8948</v>
          </cell>
          <cell r="J2197">
            <v>18035</v>
          </cell>
          <cell r="K2197">
            <v>27876</v>
          </cell>
          <cell r="L2197">
            <v>24169</v>
          </cell>
          <cell r="M2197">
            <v>16647</v>
          </cell>
          <cell r="N2197">
            <v>10811</v>
          </cell>
          <cell r="O2197">
            <v>19508</v>
          </cell>
          <cell r="P2197">
            <v>8511</v>
          </cell>
          <cell r="Q2197">
            <v>15685</v>
          </cell>
          <cell r="R2197">
            <v>17757</v>
          </cell>
          <cell r="S2197">
            <v>12210</v>
          </cell>
          <cell r="T2197">
            <v>13490</v>
          </cell>
          <cell r="U2197">
            <v>13353</v>
          </cell>
          <cell r="V2197">
            <v>9872</v>
          </cell>
          <cell r="W2197">
            <v>13974</v>
          </cell>
          <cell r="X2197">
            <v>11563</v>
          </cell>
          <cell r="Y2197">
            <v>11256</v>
          </cell>
          <cell r="Z2197">
            <v>24891</v>
          </cell>
          <cell r="AA2197">
            <v>39789</v>
          </cell>
          <cell r="AB2197">
            <v>54664</v>
          </cell>
          <cell r="AC2197">
            <v>43648</v>
          </cell>
          <cell r="AD2197">
            <v>48750</v>
          </cell>
          <cell r="AE2197">
            <v>47565</v>
          </cell>
          <cell r="AF2197">
            <v>56342</v>
          </cell>
          <cell r="AG2197">
            <v>46528</v>
          </cell>
          <cell r="AH2197">
            <v>37651</v>
          </cell>
          <cell r="AI2197">
            <v>29121</v>
          </cell>
          <cell r="AJ2197">
            <v>30364</v>
          </cell>
        </row>
        <row r="2198">
          <cell r="E2198" t="str">
            <v>FL Electric Power Natural Gas</v>
          </cell>
          <cell r="F2198">
            <v>191639</v>
          </cell>
          <cell r="G2198">
            <v>204152</v>
          </cell>
          <cell r="H2198">
            <v>205664</v>
          </cell>
          <cell r="I2198">
            <v>190425</v>
          </cell>
          <cell r="J2198">
            <v>215022</v>
          </cell>
          <cell r="K2198">
            <v>374454</v>
          </cell>
          <cell r="L2198">
            <v>341069</v>
          </cell>
          <cell r="M2198">
            <v>353280</v>
          </cell>
          <cell r="N2198">
            <v>339674</v>
          </cell>
          <cell r="O2198">
            <v>380704</v>
          </cell>
          <cell r="P2198">
            <v>377526</v>
          </cell>
          <cell r="Q2198">
            <v>389950</v>
          </cell>
          <cell r="R2198">
            <v>535170</v>
          </cell>
          <cell r="S2198">
            <v>553485</v>
          </cell>
          <cell r="T2198">
            <v>604037</v>
          </cell>
          <cell r="U2198">
            <v>652071</v>
          </cell>
          <cell r="V2198">
            <v>762892</v>
          </cell>
          <cell r="W2198">
            <v>794434</v>
          </cell>
          <cell r="X2198">
            <v>820012</v>
          </cell>
          <cell r="Y2198">
            <v>935701</v>
          </cell>
          <cell r="Z2198">
            <v>999482</v>
          </cell>
          <cell r="AA2198">
            <v>1059418</v>
          </cell>
          <cell r="AB2198">
            <v>1155145</v>
          </cell>
          <cell r="AC2198">
            <v>1050503</v>
          </cell>
          <cell r="AD2198">
            <v>1058227</v>
          </cell>
          <cell r="AE2198">
            <v>1184190</v>
          </cell>
          <cell r="AF2198">
            <v>1207869</v>
          </cell>
          <cell r="AG2198">
            <v>1213642</v>
          </cell>
          <cell r="AH2198">
            <v>1294916</v>
          </cell>
          <cell r="AI2198">
            <v>1351480</v>
          </cell>
          <cell r="AJ2198">
            <v>1394330</v>
          </cell>
        </row>
        <row r="2199">
          <cell r="E2199" t="str">
            <v>GA Electric Power Natural Gas</v>
          </cell>
          <cell r="F2199">
            <v>1979</v>
          </cell>
          <cell r="G2199">
            <v>859</v>
          </cell>
          <cell r="H2199">
            <v>1190</v>
          </cell>
          <cell r="I2199">
            <v>3096</v>
          </cell>
          <cell r="J2199">
            <v>1377</v>
          </cell>
          <cell r="K2199">
            <v>11395</v>
          </cell>
          <cell r="L2199">
            <v>5916</v>
          </cell>
          <cell r="M2199">
            <v>17215</v>
          </cell>
          <cell r="N2199">
            <v>34220</v>
          </cell>
          <cell r="O2199">
            <v>33374</v>
          </cell>
          <cell r="P2199">
            <v>42704</v>
          </cell>
          <cell r="Q2199">
            <v>35330</v>
          </cell>
          <cell r="R2199">
            <v>57825</v>
          </cell>
          <cell r="S2199">
            <v>33045</v>
          </cell>
          <cell r="T2199">
            <v>47306</v>
          </cell>
          <cell r="U2199">
            <v>75567</v>
          </cell>
          <cell r="V2199">
            <v>99238</v>
          </cell>
          <cell r="W2199">
            <v>126607</v>
          </cell>
          <cell r="X2199">
            <v>99700</v>
          </cell>
          <cell r="Y2199">
            <v>147456</v>
          </cell>
          <cell r="Z2199">
            <v>179090</v>
          </cell>
          <cell r="AA2199">
            <v>199891</v>
          </cell>
          <cell r="AB2199">
            <v>312656</v>
          </cell>
          <cell r="AC2199">
            <v>284247</v>
          </cell>
          <cell r="AD2199">
            <v>297025</v>
          </cell>
          <cell r="AE2199">
            <v>366509</v>
          </cell>
          <cell r="AF2199">
            <v>391261</v>
          </cell>
          <cell r="AG2199">
            <v>381812</v>
          </cell>
          <cell r="AH2199">
            <v>384379</v>
          </cell>
          <cell r="AI2199">
            <v>438067</v>
          </cell>
          <cell r="AJ2199">
            <v>439637</v>
          </cell>
        </row>
        <row r="2200">
          <cell r="E2200" t="str">
            <v>HI Electric Power Natural Gas</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row>
        <row r="2201">
          <cell r="E2201" t="str">
            <v>IA Electric Power Natural Gas</v>
          </cell>
          <cell r="F2201">
            <v>4199</v>
          </cell>
          <cell r="G2201">
            <v>4508</v>
          </cell>
          <cell r="H2201">
            <v>2947</v>
          </cell>
          <cell r="I2201">
            <v>4636</v>
          </cell>
          <cell r="J2201">
            <v>3410</v>
          </cell>
          <cell r="K2201">
            <v>4686</v>
          </cell>
          <cell r="L2201">
            <v>3384</v>
          </cell>
          <cell r="M2201">
            <v>4158</v>
          </cell>
          <cell r="N2201">
            <v>6022</v>
          </cell>
          <cell r="O2201">
            <v>5293</v>
          </cell>
          <cell r="P2201">
            <v>4776</v>
          </cell>
          <cell r="Q2201">
            <v>5832</v>
          </cell>
          <cell r="R2201">
            <v>5285</v>
          </cell>
          <cell r="S2201">
            <v>4297</v>
          </cell>
          <cell r="T2201">
            <v>8278</v>
          </cell>
          <cell r="U2201">
            <v>21356</v>
          </cell>
          <cell r="V2201">
            <v>19715</v>
          </cell>
          <cell r="W2201">
            <v>26157</v>
          </cell>
          <cell r="X2201">
            <v>17830</v>
          </cell>
          <cell r="Y2201">
            <v>10100</v>
          </cell>
          <cell r="Z2201">
            <v>12684</v>
          </cell>
          <cell r="AA2201">
            <v>10006</v>
          </cell>
          <cell r="AB2201">
            <v>16868</v>
          </cell>
          <cell r="AC2201">
            <v>12364</v>
          </cell>
          <cell r="AD2201">
            <v>10987</v>
          </cell>
          <cell r="AE2201">
            <v>17145</v>
          </cell>
          <cell r="AF2201">
            <v>22081</v>
          </cell>
          <cell r="AG2201">
            <v>31199</v>
          </cell>
          <cell r="AH2201">
            <v>50811</v>
          </cell>
          <cell r="AI2201">
            <v>51055</v>
          </cell>
          <cell r="AJ2201">
            <v>47443</v>
          </cell>
        </row>
        <row r="2202">
          <cell r="E2202" t="str">
            <v>ID Electric Power Natural Gas</v>
          </cell>
          <cell r="F2202">
            <v>0</v>
          </cell>
          <cell r="G2202">
            <v>0</v>
          </cell>
          <cell r="H2202">
            <v>0</v>
          </cell>
          <cell r="I2202">
            <v>0</v>
          </cell>
          <cell r="J2202">
            <v>0</v>
          </cell>
          <cell r="K2202">
            <v>0</v>
          </cell>
          <cell r="L2202">
            <v>189</v>
          </cell>
          <cell r="M2202">
            <v>1843</v>
          </cell>
          <cell r="N2202">
            <v>1822</v>
          </cell>
          <cell r="O2202">
            <v>1837</v>
          </cell>
          <cell r="P2202">
            <v>1780</v>
          </cell>
          <cell r="Q2202">
            <v>10780</v>
          </cell>
          <cell r="R2202">
            <v>2662</v>
          </cell>
          <cell r="S2202">
            <v>9618</v>
          </cell>
          <cell r="T2202">
            <v>12230</v>
          </cell>
          <cell r="U2202">
            <v>11667</v>
          </cell>
          <cell r="V2202">
            <v>9869</v>
          </cell>
          <cell r="W2202">
            <v>12815</v>
          </cell>
          <cell r="X2202">
            <v>12731</v>
          </cell>
          <cell r="Y2202">
            <v>12754</v>
          </cell>
          <cell r="Z2202">
            <v>12583</v>
          </cell>
          <cell r="AA2202">
            <v>8392</v>
          </cell>
          <cell r="AB2202">
            <v>13761</v>
          </cell>
          <cell r="AC2202">
            <v>25131</v>
          </cell>
          <cell r="AD2202">
            <v>18619</v>
          </cell>
          <cell r="AE2202">
            <v>28076</v>
          </cell>
          <cell r="AF2202">
            <v>23635</v>
          </cell>
          <cell r="AG2202">
            <v>21344</v>
          </cell>
          <cell r="AH2202">
            <v>24228</v>
          </cell>
          <cell r="AI2202">
            <v>32011</v>
          </cell>
          <cell r="AJ2202">
            <v>31028</v>
          </cell>
        </row>
        <row r="2203">
          <cell r="E2203" t="str">
            <v>IL Electric Power Natural Gas</v>
          </cell>
          <cell r="F2203">
            <v>9425</v>
          </cell>
          <cell r="G2203">
            <v>13257</v>
          </cell>
          <cell r="H2203">
            <v>9611</v>
          </cell>
          <cell r="I2203">
            <v>16436</v>
          </cell>
          <cell r="J2203">
            <v>35443</v>
          </cell>
          <cell r="K2203">
            <v>39890</v>
          </cell>
          <cell r="L2203">
            <v>26320</v>
          </cell>
          <cell r="M2203">
            <v>45408</v>
          </cell>
          <cell r="N2203">
            <v>57645</v>
          </cell>
          <cell r="O2203">
            <v>54936</v>
          </cell>
          <cell r="P2203">
            <v>48119</v>
          </cell>
          <cell r="Q2203">
            <v>47839</v>
          </cell>
          <cell r="R2203">
            <v>82819</v>
          </cell>
          <cell r="S2203">
            <v>32645</v>
          </cell>
          <cell r="T2203">
            <v>31383</v>
          </cell>
          <cell r="U2203">
            <v>59598</v>
          </cell>
          <cell r="V2203">
            <v>43690</v>
          </cell>
          <cell r="W2203">
            <v>63987</v>
          </cell>
          <cell r="X2203">
            <v>35245</v>
          </cell>
          <cell r="Y2203">
            <v>33841</v>
          </cell>
          <cell r="Z2203">
            <v>46576</v>
          </cell>
          <cell r="AA2203">
            <v>48384</v>
          </cell>
          <cell r="AB2203">
            <v>90330</v>
          </cell>
          <cell r="AC2203">
            <v>52996</v>
          </cell>
          <cell r="AD2203">
            <v>43145</v>
          </cell>
          <cell r="AE2203">
            <v>85521</v>
          </cell>
          <cell r="AF2203">
            <v>148834</v>
          </cell>
          <cell r="AG2203">
            <v>145446</v>
          </cell>
          <cell r="AH2203">
            <v>142826</v>
          </cell>
          <cell r="AI2203">
            <v>176474</v>
          </cell>
          <cell r="AJ2203">
            <v>239835</v>
          </cell>
        </row>
        <row r="2204">
          <cell r="E2204" t="str">
            <v>IN Electric Power Natural Gas</v>
          </cell>
          <cell r="F2204">
            <v>6649</v>
          </cell>
          <cell r="G2204">
            <v>10060</v>
          </cell>
          <cell r="H2204">
            <v>7785</v>
          </cell>
          <cell r="I2204">
            <v>5742</v>
          </cell>
          <cell r="J2204">
            <v>9217</v>
          </cell>
          <cell r="K2204">
            <v>8519</v>
          </cell>
          <cell r="L2204">
            <v>4442</v>
          </cell>
          <cell r="M2204">
            <v>4756</v>
          </cell>
          <cell r="N2204">
            <v>13903</v>
          </cell>
          <cell r="O2204">
            <v>12750</v>
          </cell>
          <cell r="P2204">
            <v>14756</v>
          </cell>
          <cell r="Q2204">
            <v>18124</v>
          </cell>
          <cell r="R2204">
            <v>36000</v>
          </cell>
          <cell r="S2204">
            <v>27243</v>
          </cell>
          <cell r="T2204">
            <v>23297</v>
          </cell>
          <cell r="U2204">
            <v>36003</v>
          </cell>
          <cell r="V2204">
            <v>27625</v>
          </cell>
          <cell r="W2204">
            <v>38416</v>
          </cell>
          <cell r="X2204">
            <v>34798</v>
          </cell>
          <cell r="Y2204">
            <v>37034</v>
          </cell>
          <cell r="Z2204">
            <v>61761</v>
          </cell>
          <cell r="AA2204">
            <v>86240</v>
          </cell>
          <cell r="AB2204">
            <v>116617</v>
          </cell>
          <cell r="AC2204">
            <v>82590</v>
          </cell>
          <cell r="AD2204">
            <v>84802</v>
          </cell>
          <cell r="AE2204">
            <v>133618</v>
          </cell>
          <cell r="AF2204">
            <v>182590</v>
          </cell>
          <cell r="AG2204">
            <v>139896</v>
          </cell>
          <cell r="AH2204">
            <v>206154</v>
          </cell>
          <cell r="AI2204">
            <v>233950</v>
          </cell>
          <cell r="AJ2204">
            <v>241962</v>
          </cell>
        </row>
        <row r="2205">
          <cell r="E2205" t="str">
            <v>KS Electric Power Natural Gas</v>
          </cell>
          <cell r="F2205">
            <v>27135</v>
          </cell>
          <cell r="G2205">
            <v>35307</v>
          </cell>
          <cell r="H2205">
            <v>13752</v>
          </cell>
          <cell r="I2205">
            <v>21298</v>
          </cell>
          <cell r="J2205">
            <v>26997</v>
          </cell>
          <cell r="K2205">
            <v>27640</v>
          </cell>
          <cell r="L2205">
            <v>22729</v>
          </cell>
          <cell r="M2205">
            <v>25457</v>
          </cell>
          <cell r="N2205">
            <v>37086</v>
          </cell>
          <cell r="O2205">
            <v>36273</v>
          </cell>
          <cell r="P2205">
            <v>33893</v>
          </cell>
          <cell r="Q2205">
            <v>23506</v>
          </cell>
          <cell r="R2205">
            <v>21401</v>
          </cell>
          <cell r="S2205">
            <v>14537</v>
          </cell>
          <cell r="T2205">
            <v>10523</v>
          </cell>
          <cell r="U2205">
            <v>14228</v>
          </cell>
          <cell r="V2205">
            <v>22809</v>
          </cell>
          <cell r="W2205">
            <v>26068</v>
          </cell>
          <cell r="X2205">
            <v>27074</v>
          </cell>
          <cell r="Y2205">
            <v>32482</v>
          </cell>
          <cell r="Z2205">
            <v>28370</v>
          </cell>
          <cell r="AA2205">
            <v>31039</v>
          </cell>
          <cell r="AB2205">
            <v>33174</v>
          </cell>
          <cell r="AC2205">
            <v>23713</v>
          </cell>
          <cell r="AD2205">
            <v>18817</v>
          </cell>
          <cell r="AE2205">
            <v>15260</v>
          </cell>
          <cell r="AF2205">
            <v>21148</v>
          </cell>
          <cell r="AG2205">
            <v>21276</v>
          </cell>
          <cell r="AH2205">
            <v>29211</v>
          </cell>
          <cell r="AI2205">
            <v>28762</v>
          </cell>
          <cell r="AJ2205">
            <v>24657</v>
          </cell>
        </row>
        <row r="2206">
          <cell r="E2206" t="str">
            <v>KY Electric Power Natural Gas</v>
          </cell>
          <cell r="F2206">
            <v>289</v>
          </cell>
          <cell r="G2206">
            <v>232</v>
          </cell>
          <cell r="H2206">
            <v>274</v>
          </cell>
          <cell r="I2206">
            <v>274</v>
          </cell>
          <cell r="J2206">
            <v>357</v>
          </cell>
          <cell r="K2206">
            <v>884</v>
          </cell>
          <cell r="L2206">
            <v>1870</v>
          </cell>
          <cell r="M2206">
            <v>2238</v>
          </cell>
          <cell r="N2206">
            <v>5908</v>
          </cell>
          <cell r="O2206">
            <v>5796</v>
          </cell>
          <cell r="P2206">
            <v>4286</v>
          </cell>
          <cell r="Q2206">
            <v>4542</v>
          </cell>
          <cell r="R2206">
            <v>14037</v>
          </cell>
          <cell r="S2206">
            <v>3752</v>
          </cell>
          <cell r="T2206">
            <v>4956</v>
          </cell>
          <cell r="U2206">
            <v>17738</v>
          </cell>
          <cell r="V2206">
            <v>12631</v>
          </cell>
          <cell r="W2206">
            <v>19896</v>
          </cell>
          <cell r="X2206">
            <v>9824</v>
          </cell>
          <cell r="Y2206">
            <v>8603</v>
          </cell>
          <cell r="Z2206">
            <v>19715</v>
          </cell>
          <cell r="AA2206">
            <v>15860</v>
          </cell>
          <cell r="AB2206">
            <v>31877</v>
          </cell>
          <cell r="AC2206">
            <v>14973</v>
          </cell>
          <cell r="AD2206">
            <v>27657</v>
          </cell>
          <cell r="AE2206">
            <v>53010</v>
          </cell>
          <cell r="AF2206">
            <v>68524</v>
          </cell>
          <cell r="AG2206">
            <v>84936</v>
          </cell>
          <cell r="AH2206">
            <v>117730</v>
          </cell>
          <cell r="AI2206">
            <v>117935</v>
          </cell>
          <cell r="AJ2206">
            <v>107625</v>
          </cell>
        </row>
        <row r="2207">
          <cell r="E2207" t="str">
            <v>LA Electric Power Natural Gas</v>
          </cell>
          <cell r="F2207">
            <v>298620</v>
          </cell>
          <cell r="G2207">
            <v>282376</v>
          </cell>
          <cell r="H2207">
            <v>271417</v>
          </cell>
          <cell r="I2207">
            <v>255012</v>
          </cell>
          <cell r="J2207">
            <v>291545</v>
          </cell>
          <cell r="K2207">
            <v>338437</v>
          </cell>
          <cell r="L2207">
            <v>264714</v>
          </cell>
          <cell r="M2207">
            <v>288909</v>
          </cell>
          <cell r="N2207">
            <v>333578</v>
          </cell>
          <cell r="O2207">
            <v>334729</v>
          </cell>
          <cell r="P2207">
            <v>315288</v>
          </cell>
          <cell r="Q2207">
            <v>252900</v>
          </cell>
          <cell r="R2207">
            <v>332550</v>
          </cell>
          <cell r="S2207">
            <v>244060</v>
          </cell>
          <cell r="T2207">
            <v>252476</v>
          </cell>
          <cell r="U2207">
            <v>293470</v>
          </cell>
          <cell r="V2207">
            <v>203256</v>
          </cell>
          <cell r="W2207">
            <v>231730</v>
          </cell>
          <cell r="X2207">
            <v>244048</v>
          </cell>
          <cell r="Y2207">
            <v>229178</v>
          </cell>
          <cell r="Z2207">
            <v>276781</v>
          </cell>
          <cell r="AA2207">
            <v>299598</v>
          </cell>
          <cell r="AB2207">
            <v>328476</v>
          </cell>
          <cell r="AC2207">
            <v>273312</v>
          </cell>
          <cell r="AD2207">
            <v>272974</v>
          </cell>
          <cell r="AE2207">
            <v>352436</v>
          </cell>
          <cell r="AF2207">
            <v>340719</v>
          </cell>
          <cell r="AG2207">
            <v>287063</v>
          </cell>
          <cell r="AH2207">
            <v>308929</v>
          </cell>
          <cell r="AI2207">
            <v>352107</v>
          </cell>
          <cell r="AJ2207">
            <v>365391</v>
          </cell>
        </row>
        <row r="2208">
          <cell r="E2208" t="str">
            <v>MA Electric Power Natural Gas</v>
          </cell>
          <cell r="F2208">
            <v>63770</v>
          </cell>
          <cell r="G2208">
            <v>63010</v>
          </cell>
          <cell r="H2208">
            <v>77705</v>
          </cell>
          <cell r="I2208">
            <v>80067</v>
          </cell>
          <cell r="J2208">
            <v>103237</v>
          </cell>
          <cell r="K2208">
            <v>131587</v>
          </cell>
          <cell r="L2208">
            <v>105685</v>
          </cell>
          <cell r="M2208">
            <v>120584</v>
          </cell>
          <cell r="N2208">
            <v>106016</v>
          </cell>
          <cell r="O2208">
            <v>94523</v>
          </cell>
          <cell r="P2208">
            <v>91165</v>
          </cell>
          <cell r="Q2208">
            <v>99835</v>
          </cell>
          <cell r="R2208">
            <v>131012</v>
          </cell>
          <cell r="S2208">
            <v>173961</v>
          </cell>
          <cell r="T2208">
            <v>162470</v>
          </cell>
          <cell r="U2208">
            <v>157439</v>
          </cell>
          <cell r="V2208">
            <v>174419</v>
          </cell>
          <cell r="W2208">
            <v>189928</v>
          </cell>
          <cell r="X2208">
            <v>160265</v>
          </cell>
          <cell r="Y2208">
            <v>155305</v>
          </cell>
          <cell r="Z2208">
            <v>192712</v>
          </cell>
          <cell r="AA2208">
            <v>193158</v>
          </cell>
          <cell r="AB2208">
            <v>186141</v>
          </cell>
          <cell r="AC2208">
            <v>159815</v>
          </cell>
          <cell r="AD2208">
            <v>138960</v>
          </cell>
          <cell r="AE2208">
            <v>161256</v>
          </cell>
          <cell r="AF2208">
            <v>161067</v>
          </cell>
          <cell r="AG2208">
            <v>167886</v>
          </cell>
          <cell r="AH2208">
            <v>137982</v>
          </cell>
          <cell r="AI2208">
            <v>116144</v>
          </cell>
          <cell r="AJ2208">
            <v>107928</v>
          </cell>
        </row>
        <row r="2209">
          <cell r="E2209" t="str">
            <v>MD Electric Power Natural Gas</v>
          </cell>
          <cell r="F2209">
            <v>21651</v>
          </cell>
          <cell r="G2209">
            <v>22088</v>
          </cell>
          <cell r="H2209">
            <v>15800</v>
          </cell>
          <cell r="I2209">
            <v>10455</v>
          </cell>
          <cell r="J2209">
            <v>15823</v>
          </cell>
          <cell r="K2209">
            <v>19537</v>
          </cell>
          <cell r="L2209">
            <v>12306</v>
          </cell>
          <cell r="M2209">
            <v>16096</v>
          </cell>
          <cell r="N2209">
            <v>22347</v>
          </cell>
          <cell r="O2209">
            <v>23685</v>
          </cell>
          <cell r="P2209">
            <v>30119</v>
          </cell>
          <cell r="Q2209">
            <v>18097</v>
          </cell>
          <cell r="R2209">
            <v>23221</v>
          </cell>
          <cell r="S2209">
            <v>11409</v>
          </cell>
          <cell r="T2209">
            <v>12532</v>
          </cell>
          <cell r="U2209">
            <v>21472</v>
          </cell>
          <cell r="V2209">
            <v>22846</v>
          </cell>
          <cell r="W2209">
            <v>24110</v>
          </cell>
          <cell r="X2209">
            <v>20537</v>
          </cell>
          <cell r="Y2209">
            <v>18904</v>
          </cell>
          <cell r="Z2209">
            <v>31776</v>
          </cell>
          <cell r="AA2209">
            <v>21587</v>
          </cell>
          <cell r="AB2209">
            <v>50907</v>
          </cell>
          <cell r="AC2209">
            <v>25948</v>
          </cell>
          <cell r="AD2209">
            <v>21390</v>
          </cell>
          <cell r="AE2209">
            <v>41832</v>
          </cell>
          <cell r="AF2209">
            <v>52029</v>
          </cell>
          <cell r="AG2209">
            <v>53051</v>
          </cell>
          <cell r="AH2209">
            <v>101314</v>
          </cell>
          <cell r="AI2209">
            <v>100245</v>
          </cell>
          <cell r="AJ2209">
            <v>99182</v>
          </cell>
        </row>
        <row r="2210">
          <cell r="E2210" t="str">
            <v>ME Electric Power Natural Gas</v>
          </cell>
          <cell r="F2210">
            <v>196</v>
          </cell>
          <cell r="G2210">
            <v>184</v>
          </cell>
          <cell r="H2210">
            <v>128</v>
          </cell>
          <cell r="I2210">
            <v>144</v>
          </cell>
          <cell r="J2210">
            <v>133</v>
          </cell>
          <cell r="K2210">
            <v>104</v>
          </cell>
          <cell r="L2210">
            <v>50</v>
          </cell>
          <cell r="M2210">
            <v>43</v>
          </cell>
          <cell r="N2210">
            <v>55</v>
          </cell>
          <cell r="O2210">
            <v>518</v>
          </cell>
          <cell r="P2210">
            <v>27758</v>
          </cell>
          <cell r="Q2210">
            <v>82730</v>
          </cell>
          <cell r="R2210">
            <v>94229</v>
          </cell>
          <cell r="S2210">
            <v>62893</v>
          </cell>
          <cell r="T2210">
            <v>65737</v>
          </cell>
          <cell r="U2210">
            <v>51177</v>
          </cell>
          <cell r="V2210">
            <v>42588</v>
          </cell>
          <cell r="W2210">
            <v>35835</v>
          </cell>
          <cell r="X2210">
            <v>38703</v>
          </cell>
          <cell r="Y2210">
            <v>38543</v>
          </cell>
          <cell r="Z2210">
            <v>42371</v>
          </cell>
          <cell r="AA2210">
            <v>35342</v>
          </cell>
          <cell r="AB2210">
            <v>29488</v>
          </cell>
          <cell r="AC2210">
            <v>21362</v>
          </cell>
          <cell r="AD2210">
            <v>24397</v>
          </cell>
          <cell r="AE2210">
            <v>18398</v>
          </cell>
          <cell r="AF2210">
            <v>22833</v>
          </cell>
          <cell r="AG2210">
            <v>13989</v>
          </cell>
          <cell r="AH2210">
            <v>14450</v>
          </cell>
          <cell r="AI2210">
            <v>9755</v>
          </cell>
          <cell r="AJ2210">
            <v>10109</v>
          </cell>
        </row>
        <row r="2211">
          <cell r="E2211" t="str">
            <v>MI Electric Power Natural Gas</v>
          </cell>
          <cell r="F2211">
            <v>69139</v>
          </cell>
          <cell r="G2211">
            <v>72778</v>
          </cell>
          <cell r="H2211">
            <v>82615</v>
          </cell>
          <cell r="I2211">
            <v>88141</v>
          </cell>
          <cell r="J2211">
            <v>92412</v>
          </cell>
          <cell r="K2211">
            <v>105085</v>
          </cell>
          <cell r="L2211">
            <v>122096</v>
          </cell>
          <cell r="M2211">
            <v>124548</v>
          </cell>
          <cell r="N2211">
            <v>131386</v>
          </cell>
          <cell r="O2211">
            <v>134100</v>
          </cell>
          <cell r="P2211">
            <v>125972</v>
          </cell>
          <cell r="Q2211">
            <v>131702</v>
          </cell>
          <cell r="R2211">
            <v>147296</v>
          </cell>
          <cell r="S2211">
            <v>104634</v>
          </cell>
          <cell r="T2211">
            <v>135474</v>
          </cell>
          <cell r="U2211">
            <v>132625</v>
          </cell>
          <cell r="V2211">
            <v>110391</v>
          </cell>
          <cell r="W2211">
            <v>125463</v>
          </cell>
          <cell r="X2211">
            <v>94815</v>
          </cell>
          <cell r="Y2211">
            <v>85127</v>
          </cell>
          <cell r="Z2211">
            <v>114841</v>
          </cell>
          <cell r="AA2211">
            <v>114498</v>
          </cell>
          <cell r="AB2211">
            <v>184389</v>
          </cell>
          <cell r="AC2211">
            <v>113033</v>
          </cell>
          <cell r="AD2211">
            <v>114280</v>
          </cell>
          <cell r="AE2211">
            <v>170740</v>
          </cell>
          <cell r="AF2211">
            <v>251612</v>
          </cell>
          <cell r="AG2211">
            <v>220925</v>
          </cell>
          <cell r="AH2211">
            <v>266003</v>
          </cell>
          <cell r="AI2211">
            <v>291575</v>
          </cell>
          <cell r="AJ2211">
            <v>317677</v>
          </cell>
        </row>
        <row r="2212">
          <cell r="E2212" t="str">
            <v>MN Electric Power Natural Gas</v>
          </cell>
          <cell r="F2212">
            <v>5388</v>
          </cell>
          <cell r="G2212">
            <v>5956</v>
          </cell>
          <cell r="H2212">
            <v>4977</v>
          </cell>
          <cell r="I2212">
            <v>3997</v>
          </cell>
          <cell r="J2212">
            <v>5923</v>
          </cell>
          <cell r="K2212">
            <v>8415</v>
          </cell>
          <cell r="L2212">
            <v>5348</v>
          </cell>
          <cell r="M2212">
            <v>6192</v>
          </cell>
          <cell r="N2212">
            <v>13631</v>
          </cell>
          <cell r="O2212">
            <v>11534</v>
          </cell>
          <cell r="P2212">
            <v>10072</v>
          </cell>
          <cell r="Q2212">
            <v>10848</v>
          </cell>
          <cell r="R2212">
            <v>13253</v>
          </cell>
          <cell r="S2212">
            <v>16823</v>
          </cell>
          <cell r="T2212">
            <v>12855</v>
          </cell>
          <cell r="U2212">
            <v>26252</v>
          </cell>
          <cell r="V2212">
            <v>25081</v>
          </cell>
          <cell r="W2212">
            <v>35068</v>
          </cell>
          <cell r="X2212">
            <v>25229</v>
          </cell>
          <cell r="Y2212">
            <v>23923</v>
          </cell>
          <cell r="Z2212">
            <v>36449</v>
          </cell>
          <cell r="AA2212">
            <v>28484</v>
          </cell>
          <cell r="AB2212">
            <v>58303</v>
          </cell>
          <cell r="AC2212">
            <v>50950</v>
          </cell>
          <cell r="AD2212">
            <v>31690</v>
          </cell>
          <cell r="AE2212">
            <v>55870</v>
          </cell>
          <cell r="AF2212">
            <v>68423</v>
          </cell>
          <cell r="AG2212">
            <v>51584</v>
          </cell>
          <cell r="AH2212">
            <v>67556</v>
          </cell>
          <cell r="AI2212">
            <v>94108</v>
          </cell>
          <cell r="AJ2212">
            <v>93037</v>
          </cell>
        </row>
        <row r="2213">
          <cell r="E2213" t="str">
            <v>MO Electric Power Natural Gas</v>
          </cell>
          <cell r="F2213">
            <v>3597</v>
          </cell>
          <cell r="G2213">
            <v>12894</v>
          </cell>
          <cell r="H2213">
            <v>2382</v>
          </cell>
          <cell r="I2213">
            <v>4945</v>
          </cell>
          <cell r="J2213">
            <v>4369</v>
          </cell>
          <cell r="K2213">
            <v>12934</v>
          </cell>
          <cell r="L2213">
            <v>5278</v>
          </cell>
          <cell r="M2213">
            <v>7575</v>
          </cell>
          <cell r="N2213">
            <v>16301</v>
          </cell>
          <cell r="O2213">
            <v>19685</v>
          </cell>
          <cell r="P2213">
            <v>30909</v>
          </cell>
          <cell r="Q2213">
            <v>36054</v>
          </cell>
          <cell r="R2213">
            <v>30172</v>
          </cell>
          <cell r="S2213">
            <v>22135</v>
          </cell>
          <cell r="T2213">
            <v>25119</v>
          </cell>
          <cell r="U2213">
            <v>32515</v>
          </cell>
          <cell r="V2213">
            <v>33285</v>
          </cell>
          <cell r="W2213">
            <v>42015</v>
          </cell>
          <cell r="X2213">
            <v>43772</v>
          </cell>
          <cell r="Y2213">
            <v>30329</v>
          </cell>
          <cell r="Z2213">
            <v>40900</v>
          </cell>
          <cell r="AA2213">
            <v>38438</v>
          </cell>
          <cell r="AB2213">
            <v>51919</v>
          </cell>
          <cell r="AC2213">
            <v>38164</v>
          </cell>
          <cell r="AD2213">
            <v>36086</v>
          </cell>
          <cell r="AE2213">
            <v>39828</v>
          </cell>
          <cell r="AF2213">
            <v>53947</v>
          </cell>
          <cell r="AG2213">
            <v>48400</v>
          </cell>
          <cell r="AH2213">
            <v>64972</v>
          </cell>
          <cell r="AI2213">
            <v>69801</v>
          </cell>
          <cell r="AJ2213">
            <v>69883</v>
          </cell>
        </row>
        <row r="2214">
          <cell r="E2214" t="str">
            <v>MS Electric Power Natural Gas</v>
          </cell>
          <cell r="F2214">
            <v>67383</v>
          </cell>
          <cell r="G2214">
            <v>63968</v>
          </cell>
          <cell r="H2214">
            <v>55666</v>
          </cell>
          <cell r="I2214">
            <v>40878</v>
          </cell>
          <cell r="J2214">
            <v>85691</v>
          </cell>
          <cell r="K2214">
            <v>115066</v>
          </cell>
          <cell r="L2214">
            <v>85950</v>
          </cell>
          <cell r="M2214">
            <v>75317</v>
          </cell>
          <cell r="N2214">
            <v>78975</v>
          </cell>
          <cell r="O2214">
            <v>108962</v>
          </cell>
          <cell r="P2214">
            <v>103452</v>
          </cell>
          <cell r="Q2214">
            <v>153729</v>
          </cell>
          <cell r="R2214">
            <v>167833</v>
          </cell>
          <cell r="S2214">
            <v>99268</v>
          </cell>
          <cell r="T2214">
            <v>110894</v>
          </cell>
          <cell r="U2214">
            <v>139860</v>
          </cell>
          <cell r="V2214">
            <v>144440</v>
          </cell>
          <cell r="W2214">
            <v>188667</v>
          </cell>
          <cell r="X2214">
            <v>171430</v>
          </cell>
          <cell r="Y2214">
            <v>186212</v>
          </cell>
          <cell r="Z2214">
            <v>237415</v>
          </cell>
          <cell r="AA2214">
            <v>245260</v>
          </cell>
          <cell r="AB2214">
            <v>294122</v>
          </cell>
          <cell r="AC2214">
            <v>238228</v>
          </cell>
          <cell r="AD2214">
            <v>243158</v>
          </cell>
          <cell r="AE2214">
            <v>341453</v>
          </cell>
          <cell r="AF2214">
            <v>379093</v>
          </cell>
          <cell r="AG2214">
            <v>351191</v>
          </cell>
          <cell r="AH2214">
            <v>377458</v>
          </cell>
          <cell r="AI2214">
            <v>371871</v>
          </cell>
          <cell r="AJ2214">
            <v>402895</v>
          </cell>
        </row>
        <row r="2215">
          <cell r="E2215" t="str">
            <v>MT Electric Power Natural Gas</v>
          </cell>
          <cell r="F2215">
            <v>484</v>
          </cell>
          <cell r="G2215">
            <v>288</v>
          </cell>
          <cell r="H2215">
            <v>246</v>
          </cell>
          <cell r="I2215">
            <v>292</v>
          </cell>
          <cell r="J2215">
            <v>663</v>
          </cell>
          <cell r="K2215">
            <v>403</v>
          </cell>
          <cell r="L2215">
            <v>489</v>
          </cell>
          <cell r="M2215">
            <v>432</v>
          </cell>
          <cell r="N2215">
            <v>540</v>
          </cell>
          <cell r="O2215">
            <v>300</v>
          </cell>
          <cell r="P2215">
            <v>195</v>
          </cell>
          <cell r="Q2215">
            <v>163</v>
          </cell>
          <cell r="R2215">
            <v>116</v>
          </cell>
          <cell r="S2215">
            <v>249</v>
          </cell>
          <cell r="T2215">
            <v>198</v>
          </cell>
          <cell r="U2215">
            <v>215</v>
          </cell>
          <cell r="V2215">
            <v>549</v>
          </cell>
          <cell r="W2215">
            <v>1045</v>
          </cell>
          <cell r="X2215">
            <v>524</v>
          </cell>
          <cell r="Y2215">
            <v>668</v>
          </cell>
          <cell r="Z2215">
            <v>718</v>
          </cell>
          <cell r="AA2215">
            <v>4756</v>
          </cell>
          <cell r="AB2215">
            <v>5503</v>
          </cell>
          <cell r="AC2215">
            <v>7434</v>
          </cell>
          <cell r="AD2215">
            <v>5775</v>
          </cell>
          <cell r="AE2215">
            <v>6706</v>
          </cell>
          <cell r="AF2215">
            <v>5546</v>
          </cell>
          <cell r="AG2215">
            <v>4850</v>
          </cell>
          <cell r="AH2215">
            <v>5343</v>
          </cell>
          <cell r="AI2215">
            <v>5699</v>
          </cell>
          <cell r="AJ2215">
            <v>3557</v>
          </cell>
        </row>
        <row r="2216">
          <cell r="E2216" t="str">
            <v>NC Electric Power Natural Gas</v>
          </cell>
          <cell r="F2216">
            <v>2903</v>
          </cell>
          <cell r="G2216">
            <v>4228</v>
          </cell>
          <cell r="H2216">
            <v>4464</v>
          </cell>
          <cell r="I2216">
            <v>3371</v>
          </cell>
          <cell r="J2216">
            <v>1572</v>
          </cell>
          <cell r="K2216">
            <v>5796</v>
          </cell>
          <cell r="L2216">
            <v>3688</v>
          </cell>
          <cell r="M2216">
            <v>6072</v>
          </cell>
          <cell r="N2216">
            <v>14041</v>
          </cell>
          <cell r="O2216">
            <v>12689</v>
          </cell>
          <cell r="P2216">
            <v>13165</v>
          </cell>
          <cell r="Q2216">
            <v>16638</v>
          </cell>
          <cell r="R2216">
            <v>32186</v>
          </cell>
          <cell r="S2216">
            <v>14443</v>
          </cell>
          <cell r="T2216">
            <v>21621</v>
          </cell>
          <cell r="U2216">
            <v>27381</v>
          </cell>
          <cell r="V2216">
            <v>28743</v>
          </cell>
          <cell r="W2216">
            <v>40685</v>
          </cell>
          <cell r="X2216">
            <v>36375</v>
          </cell>
          <cell r="Y2216">
            <v>40212</v>
          </cell>
          <cell r="Z2216">
            <v>73574</v>
          </cell>
          <cell r="AA2216">
            <v>90231</v>
          </cell>
          <cell r="AB2216">
            <v>151823</v>
          </cell>
          <cell r="AC2216">
            <v>202953</v>
          </cell>
          <cell r="AD2216">
            <v>209105</v>
          </cell>
          <cell r="AE2216">
            <v>278746</v>
          </cell>
          <cell r="AF2216">
            <v>303649</v>
          </cell>
          <cell r="AG2216">
            <v>288294</v>
          </cell>
          <cell r="AH2216">
            <v>339597</v>
          </cell>
          <cell r="AI2216">
            <v>313003</v>
          </cell>
          <cell r="AJ2216">
            <v>313394</v>
          </cell>
        </row>
        <row r="2217">
          <cell r="E2217" t="str">
            <v>ND Electric Power Natural Gas</v>
          </cell>
          <cell r="F2217">
            <v>2</v>
          </cell>
          <cell r="G2217">
            <v>1</v>
          </cell>
          <cell r="H2217">
            <v>1</v>
          </cell>
          <cell r="I2217">
            <v>1</v>
          </cell>
          <cell r="J2217">
            <v>3</v>
          </cell>
          <cell r="K2217">
            <v>1</v>
          </cell>
          <cell r="L2217">
            <v>4</v>
          </cell>
          <cell r="M2217">
            <v>2</v>
          </cell>
          <cell r="N2217">
            <v>0</v>
          </cell>
          <cell r="O2217">
            <v>0</v>
          </cell>
          <cell r="P2217">
            <v>0</v>
          </cell>
          <cell r="Q2217">
            <v>3</v>
          </cell>
          <cell r="R2217">
            <v>1</v>
          </cell>
          <cell r="S2217">
            <v>0</v>
          </cell>
          <cell r="T2217">
            <v>4</v>
          </cell>
          <cell r="U2217">
            <v>1</v>
          </cell>
          <cell r="V2217">
            <v>2</v>
          </cell>
          <cell r="W2217">
            <v>3</v>
          </cell>
          <cell r="X2217">
            <v>1</v>
          </cell>
          <cell r="Y2217">
            <v>1</v>
          </cell>
          <cell r="Z2217">
            <v>2</v>
          </cell>
          <cell r="AA2217">
            <v>0</v>
          </cell>
          <cell r="AB2217">
            <v>1</v>
          </cell>
          <cell r="AC2217">
            <v>374</v>
          </cell>
          <cell r="AD2217">
            <v>2094</v>
          </cell>
          <cell r="AE2217">
            <v>7048</v>
          </cell>
          <cell r="AF2217">
            <v>11832</v>
          </cell>
          <cell r="AG2217">
            <v>7535</v>
          </cell>
          <cell r="AH2217">
            <v>10526</v>
          </cell>
          <cell r="AI2217">
            <v>15819</v>
          </cell>
          <cell r="AJ2217">
            <v>16515</v>
          </cell>
        </row>
        <row r="2218">
          <cell r="E2218" t="str">
            <v>NE Electric Power Natural Gas</v>
          </cell>
          <cell r="F2218">
            <v>3613</v>
          </cell>
          <cell r="G2218">
            <v>3517</v>
          </cell>
          <cell r="H2218">
            <v>1862</v>
          </cell>
          <cell r="I2218">
            <v>1863</v>
          </cell>
          <cell r="J2218">
            <v>3044</v>
          </cell>
          <cell r="K2218">
            <v>3081</v>
          </cell>
          <cell r="L2218">
            <v>2335</v>
          </cell>
          <cell r="M2218">
            <v>2713</v>
          </cell>
          <cell r="N2218">
            <v>5119</v>
          </cell>
          <cell r="O2218">
            <v>4626</v>
          </cell>
          <cell r="P2218">
            <v>5604</v>
          </cell>
          <cell r="Q2218">
            <v>4383</v>
          </cell>
          <cell r="R2218">
            <v>4830</v>
          </cell>
          <cell r="S2218">
            <v>4578</v>
          </cell>
          <cell r="T2218">
            <v>3296</v>
          </cell>
          <cell r="U2218">
            <v>8047</v>
          </cell>
          <cell r="V2218">
            <v>7829</v>
          </cell>
          <cell r="W2218">
            <v>11082</v>
          </cell>
          <cell r="X2218">
            <v>7273</v>
          </cell>
          <cell r="Y2218">
            <v>3326</v>
          </cell>
          <cell r="Z2218">
            <v>3961</v>
          </cell>
          <cell r="AA2218">
            <v>4261</v>
          </cell>
          <cell r="AB2218">
            <v>7865</v>
          </cell>
          <cell r="AC2218">
            <v>4723</v>
          </cell>
          <cell r="AD2218">
            <v>4340</v>
          </cell>
          <cell r="AE2218">
            <v>4516</v>
          </cell>
          <cell r="AF2218">
            <v>6171</v>
          </cell>
          <cell r="AG2218">
            <v>6569</v>
          </cell>
          <cell r="AH2218">
            <v>9745</v>
          </cell>
          <cell r="AI2218">
            <v>12934</v>
          </cell>
          <cell r="AJ2218">
            <v>11575</v>
          </cell>
        </row>
        <row r="2219">
          <cell r="E2219" t="str">
            <v>NH Electric Power Natural Gas</v>
          </cell>
          <cell r="F2219">
            <v>0</v>
          </cell>
          <cell r="G2219">
            <v>0</v>
          </cell>
          <cell r="H2219">
            <v>644</v>
          </cell>
          <cell r="I2219">
            <v>138</v>
          </cell>
          <cell r="J2219">
            <v>1296</v>
          </cell>
          <cell r="K2219">
            <v>2289</v>
          </cell>
          <cell r="L2219">
            <v>3</v>
          </cell>
          <cell r="M2219">
            <v>574</v>
          </cell>
          <cell r="N2219">
            <v>154</v>
          </cell>
          <cell r="O2219">
            <v>584</v>
          </cell>
          <cell r="P2219">
            <v>837</v>
          </cell>
          <cell r="Q2219">
            <v>566</v>
          </cell>
          <cell r="R2219">
            <v>1148</v>
          </cell>
          <cell r="S2219">
            <v>29933</v>
          </cell>
          <cell r="T2219">
            <v>39471</v>
          </cell>
          <cell r="U2219">
            <v>47967</v>
          </cell>
          <cell r="V2219">
            <v>43122</v>
          </cell>
          <cell r="W2219">
            <v>41170</v>
          </cell>
          <cell r="X2219">
            <v>51080</v>
          </cell>
          <cell r="Y2219">
            <v>39422</v>
          </cell>
          <cell r="Z2219">
            <v>40480</v>
          </cell>
          <cell r="AA2219">
            <v>48752</v>
          </cell>
          <cell r="AB2219">
            <v>52017</v>
          </cell>
          <cell r="AC2219">
            <v>30521</v>
          </cell>
          <cell r="AD2219">
            <v>32214</v>
          </cell>
          <cell r="AE2219">
            <v>43955</v>
          </cell>
          <cell r="AF2219">
            <v>34795</v>
          </cell>
          <cell r="AG2219">
            <v>26738</v>
          </cell>
          <cell r="AH2219">
            <v>22213</v>
          </cell>
          <cell r="AI2219">
            <v>26276</v>
          </cell>
          <cell r="AJ2219">
            <v>26883</v>
          </cell>
        </row>
        <row r="2220">
          <cell r="E2220" t="str">
            <v>NJ Electric Power Natural Gas</v>
          </cell>
          <cell r="F2220">
            <v>68543</v>
          </cell>
          <cell r="G2220">
            <v>98640</v>
          </cell>
          <cell r="H2220">
            <v>120112</v>
          </cell>
          <cell r="I2220">
            <v>130550</v>
          </cell>
          <cell r="J2220">
            <v>149132</v>
          </cell>
          <cell r="K2220">
            <v>156899</v>
          </cell>
          <cell r="L2220">
            <v>132625</v>
          </cell>
          <cell r="M2220">
            <v>139501</v>
          </cell>
          <cell r="N2220">
            <v>140139</v>
          </cell>
          <cell r="O2220">
            <v>145916</v>
          </cell>
          <cell r="P2220">
            <v>139614</v>
          </cell>
          <cell r="Q2220">
            <v>132515</v>
          </cell>
          <cell r="R2220">
            <v>165397</v>
          </cell>
          <cell r="S2220">
            <v>134732</v>
          </cell>
          <cell r="T2220">
            <v>146057</v>
          </cell>
          <cell r="U2220">
            <v>129430</v>
          </cell>
          <cell r="V2220">
            <v>135265</v>
          </cell>
          <cell r="W2220">
            <v>162807</v>
          </cell>
          <cell r="X2220">
            <v>175268</v>
          </cell>
          <cell r="Y2220">
            <v>168869</v>
          </cell>
          <cell r="Z2220">
            <v>204211</v>
          </cell>
          <cell r="AA2220">
            <v>204780</v>
          </cell>
          <cell r="AB2220">
            <v>233514</v>
          </cell>
          <cell r="AC2220">
            <v>224951</v>
          </cell>
          <cell r="AD2220">
            <v>258620</v>
          </cell>
          <cell r="AE2220">
            <v>294969</v>
          </cell>
          <cell r="AF2220">
            <v>339097</v>
          </cell>
          <cell r="AG2220">
            <v>285329</v>
          </cell>
          <cell r="AH2220">
            <v>295139</v>
          </cell>
          <cell r="AI2220">
            <v>303045</v>
          </cell>
          <cell r="AJ2220">
            <v>234082</v>
          </cell>
        </row>
        <row r="2221">
          <cell r="E2221" t="str">
            <v>NM Electric Power Natural Gas</v>
          </cell>
          <cell r="F2221">
            <v>26335</v>
          </cell>
          <cell r="G2221">
            <v>28633</v>
          </cell>
          <cell r="H2221">
            <v>22922</v>
          </cell>
          <cell r="I2221">
            <v>28238</v>
          </cell>
          <cell r="J2221">
            <v>33022</v>
          </cell>
          <cell r="K2221">
            <v>32626</v>
          </cell>
          <cell r="L2221">
            <v>35088</v>
          </cell>
          <cell r="M2221">
            <v>40283</v>
          </cell>
          <cell r="N2221">
            <v>45339</v>
          </cell>
          <cell r="O2221">
            <v>42846</v>
          </cell>
          <cell r="P2221">
            <v>46509</v>
          </cell>
          <cell r="Q2221">
            <v>48109</v>
          </cell>
          <cell r="R2221">
            <v>37403</v>
          </cell>
          <cell r="S2221">
            <v>37861</v>
          </cell>
          <cell r="T2221">
            <v>31478</v>
          </cell>
          <cell r="U2221">
            <v>41433</v>
          </cell>
          <cell r="V2221">
            <v>55938</v>
          </cell>
          <cell r="W2221">
            <v>62140</v>
          </cell>
          <cell r="X2221">
            <v>69930</v>
          </cell>
          <cell r="Y2221">
            <v>72031</v>
          </cell>
          <cell r="Z2221">
            <v>72232</v>
          </cell>
          <cell r="AA2221">
            <v>74960</v>
          </cell>
          <cell r="AB2221">
            <v>76396</v>
          </cell>
          <cell r="AC2221">
            <v>76978</v>
          </cell>
          <cell r="AD2221">
            <v>79540</v>
          </cell>
          <cell r="AE2221">
            <v>81244</v>
          </cell>
          <cell r="AF2221">
            <v>85374</v>
          </cell>
          <cell r="AG2221">
            <v>78800</v>
          </cell>
          <cell r="AH2221">
            <v>102186</v>
          </cell>
          <cell r="AI2221">
            <v>106565</v>
          </cell>
          <cell r="AJ2221">
            <v>102288</v>
          </cell>
        </row>
        <row r="2222">
          <cell r="E2222" t="str">
            <v>NV Electric Power Natural Gas</v>
          </cell>
          <cell r="F2222">
            <v>25103</v>
          </cell>
          <cell r="G2222">
            <v>23491</v>
          </cell>
          <cell r="H2222">
            <v>35659</v>
          </cell>
          <cell r="I2222">
            <v>41005</v>
          </cell>
          <cell r="J2222">
            <v>56963</v>
          </cell>
          <cell r="K2222">
            <v>63655</v>
          </cell>
          <cell r="L2222">
            <v>73493</v>
          </cell>
          <cell r="M2222">
            <v>77710</v>
          </cell>
          <cell r="N2222">
            <v>87085</v>
          </cell>
          <cell r="O2222">
            <v>93891</v>
          </cell>
          <cell r="P2222">
            <v>123932</v>
          </cell>
          <cell r="Q2222">
            <v>111338</v>
          </cell>
          <cell r="R2222">
            <v>111780</v>
          </cell>
          <cell r="S2222">
            <v>118693</v>
          </cell>
          <cell r="T2222">
            <v>141092</v>
          </cell>
          <cell r="U2222">
            <v>153146</v>
          </cell>
          <cell r="V2222">
            <v>171759</v>
          </cell>
          <cell r="W2222">
            <v>176598</v>
          </cell>
          <cell r="X2222">
            <v>188184</v>
          </cell>
          <cell r="Y2222">
            <v>198127</v>
          </cell>
          <cell r="Z2222">
            <v>181286</v>
          </cell>
          <cell r="AA2222">
            <v>166667</v>
          </cell>
          <cell r="AB2222">
            <v>194179</v>
          </cell>
          <cell r="AC2222">
            <v>187416</v>
          </cell>
          <cell r="AD2222">
            <v>172458</v>
          </cell>
          <cell r="AE2222">
            <v>218703</v>
          </cell>
          <cell r="AF2222">
            <v>218506</v>
          </cell>
          <cell r="AG2222">
            <v>204142</v>
          </cell>
          <cell r="AH2222">
            <v>207309</v>
          </cell>
          <cell r="AI2222">
            <v>201667</v>
          </cell>
          <cell r="AJ2222">
            <v>210995</v>
          </cell>
        </row>
        <row r="2223">
          <cell r="E2223" t="str">
            <v>NY Electric Power Natural Gas</v>
          </cell>
          <cell r="F2223">
            <v>236776</v>
          </cell>
          <cell r="G2223">
            <v>235665</v>
          </cell>
          <cell r="H2223">
            <v>261582</v>
          </cell>
          <cell r="I2223">
            <v>247591</v>
          </cell>
          <cell r="J2223">
            <v>297020</v>
          </cell>
          <cell r="K2223">
            <v>440396</v>
          </cell>
          <cell r="L2223">
            <v>326937</v>
          </cell>
          <cell r="M2223">
            <v>422897</v>
          </cell>
          <cell r="N2223">
            <v>386314</v>
          </cell>
          <cell r="O2223">
            <v>442966</v>
          </cell>
          <cell r="P2223">
            <v>380101</v>
          </cell>
          <cell r="Q2223">
            <v>364136</v>
          </cell>
          <cell r="R2223">
            <v>372540</v>
          </cell>
          <cell r="S2223">
            <v>267121</v>
          </cell>
          <cell r="T2223">
            <v>264240</v>
          </cell>
          <cell r="U2223">
            <v>310587</v>
          </cell>
          <cell r="V2223">
            <v>395505</v>
          </cell>
          <cell r="W2223">
            <v>416890</v>
          </cell>
          <cell r="X2223">
            <v>407253</v>
          </cell>
          <cell r="Y2223">
            <v>375594</v>
          </cell>
          <cell r="Z2223">
            <v>433703</v>
          </cell>
          <cell r="AA2223">
            <v>443569</v>
          </cell>
          <cell r="AB2223">
            <v>513642</v>
          </cell>
          <cell r="AC2223">
            <v>469493</v>
          </cell>
          <cell r="AD2223">
            <v>466028</v>
          </cell>
          <cell r="AE2223">
            <v>485977</v>
          </cell>
          <cell r="AF2223">
            <v>486453</v>
          </cell>
          <cell r="AG2223">
            <v>397383</v>
          </cell>
          <cell r="AH2223">
            <v>428066</v>
          </cell>
          <cell r="AI2223">
            <v>390433</v>
          </cell>
          <cell r="AJ2223">
            <v>436794</v>
          </cell>
        </row>
        <row r="2224">
          <cell r="E2224" t="str">
            <v>OH Electric Power Natural Gas</v>
          </cell>
          <cell r="F2224">
            <v>1268</v>
          </cell>
          <cell r="G2224">
            <v>3268</v>
          </cell>
          <cell r="H2224">
            <v>3048</v>
          </cell>
          <cell r="I2224">
            <v>2809</v>
          </cell>
          <cell r="J2224">
            <v>3042</v>
          </cell>
          <cell r="K2224">
            <v>7632</v>
          </cell>
          <cell r="L2224">
            <v>2963</v>
          </cell>
          <cell r="M2224">
            <v>3561</v>
          </cell>
          <cell r="N2224">
            <v>8158</v>
          </cell>
          <cell r="O2224">
            <v>11626</v>
          </cell>
          <cell r="P2224">
            <v>10319</v>
          </cell>
          <cell r="Q2224">
            <v>10743</v>
          </cell>
          <cell r="R2224">
            <v>23275</v>
          </cell>
          <cell r="S2224">
            <v>19403</v>
          </cell>
          <cell r="T2224">
            <v>18786</v>
          </cell>
          <cell r="U2224">
            <v>28753</v>
          </cell>
          <cell r="V2224">
            <v>23900</v>
          </cell>
          <cell r="W2224">
            <v>38496</v>
          </cell>
          <cell r="X2224">
            <v>24283</v>
          </cell>
          <cell r="Y2224">
            <v>38901</v>
          </cell>
          <cell r="Z2224">
            <v>59837</v>
          </cell>
          <cell r="AA2224">
            <v>95478</v>
          </cell>
          <cell r="AB2224">
            <v>175851</v>
          </cell>
          <cell r="AC2224">
            <v>166793</v>
          </cell>
          <cell r="AD2224">
            <v>182453</v>
          </cell>
          <cell r="AE2224">
            <v>220671</v>
          </cell>
          <cell r="AF2224">
            <v>225084</v>
          </cell>
          <cell r="AG2224">
            <v>219682</v>
          </cell>
          <cell r="AH2224">
            <v>341399</v>
          </cell>
          <cell r="AI2224">
            <v>386139</v>
          </cell>
          <cell r="AJ2224">
            <v>396204</v>
          </cell>
        </row>
        <row r="2225">
          <cell r="E2225" t="str">
            <v>OK Electric Power Natural Gas</v>
          </cell>
          <cell r="F2225">
            <v>183600</v>
          </cell>
          <cell r="G2225">
            <v>181708</v>
          </cell>
          <cell r="H2225">
            <v>162385</v>
          </cell>
          <cell r="I2225">
            <v>166020</v>
          </cell>
          <cell r="J2225">
            <v>165976</v>
          </cell>
          <cell r="K2225">
            <v>166302</v>
          </cell>
          <cell r="L2225">
            <v>147548</v>
          </cell>
          <cell r="M2225">
            <v>139759</v>
          </cell>
          <cell r="N2225">
            <v>186624</v>
          </cell>
          <cell r="O2225">
            <v>181968</v>
          </cell>
          <cell r="P2225">
            <v>180883</v>
          </cell>
          <cell r="Q2225">
            <v>179236</v>
          </cell>
          <cell r="R2225">
            <v>199729</v>
          </cell>
          <cell r="S2225">
            <v>202499</v>
          </cell>
          <cell r="T2225">
            <v>206168</v>
          </cell>
          <cell r="U2225">
            <v>249492</v>
          </cell>
          <cell r="V2225">
            <v>287049</v>
          </cell>
          <cell r="W2225">
            <v>294882</v>
          </cell>
          <cell r="X2225">
            <v>292228</v>
          </cell>
          <cell r="Y2225">
            <v>294192</v>
          </cell>
          <cell r="Z2225">
            <v>298734</v>
          </cell>
          <cell r="AA2225">
            <v>273635</v>
          </cell>
          <cell r="AB2225">
            <v>326477</v>
          </cell>
          <cell r="AC2225">
            <v>256717</v>
          </cell>
          <cell r="AD2225">
            <v>215996</v>
          </cell>
          <cell r="AE2225">
            <v>266704</v>
          </cell>
          <cell r="AF2225">
            <v>290883</v>
          </cell>
          <cell r="AG2225">
            <v>237898</v>
          </cell>
          <cell r="AH2225">
            <v>326840</v>
          </cell>
          <cell r="AI2225">
            <v>349308</v>
          </cell>
          <cell r="AJ2225">
            <v>345820</v>
          </cell>
        </row>
        <row r="2226">
          <cell r="E2226" t="str">
            <v>OR Electric Power Natural Gas</v>
          </cell>
          <cell r="F2226">
            <v>7586</v>
          </cell>
          <cell r="G2226">
            <v>11743</v>
          </cell>
          <cell r="H2226">
            <v>14937</v>
          </cell>
          <cell r="I2226">
            <v>17489</v>
          </cell>
          <cell r="J2226">
            <v>27068</v>
          </cell>
          <cell r="K2226">
            <v>19721</v>
          </cell>
          <cell r="L2226">
            <v>26857</v>
          </cell>
          <cell r="M2226">
            <v>24558</v>
          </cell>
          <cell r="N2226">
            <v>53887</v>
          </cell>
          <cell r="O2226">
            <v>50471</v>
          </cell>
          <cell r="P2226">
            <v>70669</v>
          </cell>
          <cell r="Q2226">
            <v>84261</v>
          </cell>
          <cell r="R2226">
            <v>56793</v>
          </cell>
          <cell r="S2226">
            <v>75977</v>
          </cell>
          <cell r="T2226">
            <v>90544</v>
          </cell>
          <cell r="U2226">
            <v>89761</v>
          </cell>
          <cell r="V2226">
            <v>77038</v>
          </cell>
          <cell r="W2226">
            <v>104874</v>
          </cell>
          <cell r="X2226">
            <v>119029</v>
          </cell>
          <cell r="Y2226">
            <v>111098</v>
          </cell>
          <cell r="Z2226">
            <v>111386</v>
          </cell>
          <cell r="AA2226">
            <v>61347</v>
          </cell>
          <cell r="AB2226">
            <v>83180</v>
          </cell>
          <cell r="AC2226">
            <v>104571</v>
          </cell>
          <cell r="AD2226">
            <v>92780</v>
          </cell>
          <cell r="AE2226">
            <v>118345</v>
          </cell>
          <cell r="AF2226">
            <v>111722</v>
          </cell>
          <cell r="AG2226">
            <v>109689</v>
          </cell>
          <cell r="AH2226">
            <v>129964</v>
          </cell>
          <cell r="AI2226">
            <v>151379</v>
          </cell>
          <cell r="AJ2226">
            <v>137212</v>
          </cell>
        </row>
        <row r="2227">
          <cell r="E2227" t="str">
            <v>PA Electric Power Natural Gas</v>
          </cell>
          <cell r="F2227">
            <v>13972</v>
          </cell>
          <cell r="G2227">
            <v>7534</v>
          </cell>
          <cell r="H2227">
            <v>13303</v>
          </cell>
          <cell r="I2227">
            <v>23750</v>
          </cell>
          <cell r="J2227">
            <v>29903</v>
          </cell>
          <cell r="K2227">
            <v>40618</v>
          </cell>
          <cell r="L2227">
            <v>26449</v>
          </cell>
          <cell r="M2227">
            <v>20974</v>
          </cell>
          <cell r="N2227">
            <v>31126</v>
          </cell>
          <cell r="O2227">
            <v>32496</v>
          </cell>
          <cell r="P2227">
            <v>21298</v>
          </cell>
          <cell r="Q2227">
            <v>23390</v>
          </cell>
          <cell r="R2227">
            <v>51662</v>
          </cell>
          <cell r="S2227">
            <v>42848</v>
          </cell>
          <cell r="T2227">
            <v>79010</v>
          </cell>
          <cell r="U2227">
            <v>83531</v>
          </cell>
          <cell r="V2227">
            <v>104400</v>
          </cell>
          <cell r="W2227">
            <v>148313</v>
          </cell>
          <cell r="X2227">
            <v>145766</v>
          </cell>
          <cell r="Y2227">
            <v>216642</v>
          </cell>
          <cell r="Z2227">
            <v>252182</v>
          </cell>
          <cell r="AA2227">
            <v>314973</v>
          </cell>
          <cell r="AB2227">
            <v>406963</v>
          </cell>
          <cell r="AC2227">
            <v>378099</v>
          </cell>
          <cell r="AD2227">
            <v>404325</v>
          </cell>
          <cell r="AE2227">
            <v>456219</v>
          </cell>
          <cell r="AF2227">
            <v>520118</v>
          </cell>
          <cell r="AG2227">
            <v>544924</v>
          </cell>
          <cell r="AH2227">
            <v>557750</v>
          </cell>
          <cell r="AI2227">
            <v>696798</v>
          </cell>
          <cell r="AJ2227">
            <v>859161</v>
          </cell>
        </row>
        <row r="2228">
          <cell r="E2228" t="str">
            <v>RI Electric Power Natural Gas</v>
          </cell>
          <cell r="F2228">
            <v>9339</v>
          </cell>
          <cell r="G2228">
            <v>23996</v>
          </cell>
          <cell r="H2228">
            <v>39266</v>
          </cell>
          <cell r="I2228">
            <v>36926</v>
          </cell>
          <cell r="J2228">
            <v>38978</v>
          </cell>
          <cell r="K2228">
            <v>36579</v>
          </cell>
          <cell r="L2228">
            <v>63786</v>
          </cell>
          <cell r="M2228">
            <v>62736</v>
          </cell>
          <cell r="N2228">
            <v>61533</v>
          </cell>
          <cell r="O2228">
            <v>55598</v>
          </cell>
          <cell r="P2228">
            <v>49909</v>
          </cell>
          <cell r="Q2228">
            <v>60288</v>
          </cell>
          <cell r="R2228">
            <v>54962</v>
          </cell>
          <cell r="S2228">
            <v>42940</v>
          </cell>
          <cell r="T2228">
            <v>36714</v>
          </cell>
          <cell r="U2228">
            <v>44847</v>
          </cell>
          <cell r="V2228">
            <v>43759</v>
          </cell>
          <cell r="W2228">
            <v>52710</v>
          </cell>
          <cell r="X2228">
            <v>54067</v>
          </cell>
          <cell r="Y2228">
            <v>56616</v>
          </cell>
          <cell r="Z2228">
            <v>57871</v>
          </cell>
          <cell r="AA2228">
            <v>65342</v>
          </cell>
          <cell r="AB2228">
            <v>62455</v>
          </cell>
          <cell r="AC2228">
            <v>47877</v>
          </cell>
          <cell r="AD2228">
            <v>46099</v>
          </cell>
          <cell r="AE2228">
            <v>51400</v>
          </cell>
          <cell r="AF2228">
            <v>48193</v>
          </cell>
          <cell r="AG2228">
            <v>52231</v>
          </cell>
          <cell r="AH2228">
            <v>58882</v>
          </cell>
          <cell r="AI2228">
            <v>53023</v>
          </cell>
          <cell r="AJ2228">
            <v>60087</v>
          </cell>
        </row>
        <row r="2229">
          <cell r="E2229" t="str">
            <v>SC Electric Power Natural Gas</v>
          </cell>
          <cell r="F2229">
            <v>7141</v>
          </cell>
          <cell r="G2229">
            <v>10069</v>
          </cell>
          <cell r="H2229">
            <v>1835</v>
          </cell>
          <cell r="I2229">
            <v>1892</v>
          </cell>
          <cell r="J2229">
            <v>3075</v>
          </cell>
          <cell r="K2229">
            <v>6769</v>
          </cell>
          <cell r="L2229">
            <v>1230</v>
          </cell>
          <cell r="M2229">
            <v>2785</v>
          </cell>
          <cell r="N2229">
            <v>8972</v>
          </cell>
          <cell r="O2229">
            <v>11090</v>
          </cell>
          <cell r="P2229">
            <v>8820</v>
          </cell>
          <cell r="Q2229">
            <v>11347</v>
          </cell>
          <cell r="R2229">
            <v>37745</v>
          </cell>
          <cell r="S2229">
            <v>13856</v>
          </cell>
          <cell r="T2229">
            <v>32321</v>
          </cell>
          <cell r="U2229">
            <v>46581</v>
          </cell>
          <cell r="V2229">
            <v>52155</v>
          </cell>
          <cell r="W2229">
            <v>52654</v>
          </cell>
          <cell r="X2229">
            <v>47814</v>
          </cell>
          <cell r="Y2229">
            <v>77142</v>
          </cell>
          <cell r="Z2229">
            <v>89532</v>
          </cell>
          <cell r="AA2229">
            <v>103331</v>
          </cell>
          <cell r="AB2229">
            <v>119127</v>
          </cell>
          <cell r="AC2229">
            <v>95662</v>
          </cell>
          <cell r="AD2229">
            <v>89503</v>
          </cell>
          <cell r="AE2229">
            <v>140142</v>
          </cell>
          <cell r="AF2229">
            <v>137440</v>
          </cell>
          <cell r="AG2229">
            <v>139557</v>
          </cell>
          <cell r="AH2229">
            <v>178054</v>
          </cell>
          <cell r="AI2229">
            <v>187731</v>
          </cell>
          <cell r="AJ2229">
            <v>188539</v>
          </cell>
        </row>
        <row r="2230">
          <cell r="E2230" t="str">
            <v>SD Electric Power Natural Gas</v>
          </cell>
          <cell r="F2230">
            <v>242</v>
          </cell>
          <cell r="G2230">
            <v>179</v>
          </cell>
          <cell r="H2230">
            <v>49</v>
          </cell>
          <cell r="I2230">
            <v>190</v>
          </cell>
          <cell r="J2230">
            <v>161</v>
          </cell>
          <cell r="K2230">
            <v>947</v>
          </cell>
          <cell r="L2230">
            <v>737</v>
          </cell>
          <cell r="M2230">
            <v>1764</v>
          </cell>
          <cell r="N2230">
            <v>2927</v>
          </cell>
          <cell r="O2230">
            <v>2575</v>
          </cell>
          <cell r="P2230">
            <v>3678</v>
          </cell>
          <cell r="Q2230">
            <v>4615</v>
          </cell>
          <cell r="R2230">
            <v>1240</v>
          </cell>
          <cell r="S2230">
            <v>2174</v>
          </cell>
          <cell r="T2230">
            <v>1648</v>
          </cell>
          <cell r="U2230">
            <v>3597</v>
          </cell>
          <cell r="V2230">
            <v>3363</v>
          </cell>
          <cell r="W2230">
            <v>4277</v>
          </cell>
          <cell r="X2230">
            <v>2648</v>
          </cell>
          <cell r="Y2230">
            <v>913</v>
          </cell>
          <cell r="Z2230">
            <v>1611</v>
          </cell>
          <cell r="AA2230">
            <v>1591</v>
          </cell>
          <cell r="AB2230">
            <v>2527</v>
          </cell>
          <cell r="AC2230">
            <v>4195</v>
          </cell>
          <cell r="AD2230">
            <v>4018</v>
          </cell>
          <cell r="AE2230">
            <v>6473</v>
          </cell>
          <cell r="AF2230">
            <v>7852</v>
          </cell>
          <cell r="AG2230">
            <v>6063</v>
          </cell>
          <cell r="AH2230">
            <v>9815</v>
          </cell>
          <cell r="AI2230">
            <v>9891</v>
          </cell>
          <cell r="AJ2230">
            <v>9537</v>
          </cell>
        </row>
        <row r="2231">
          <cell r="E2231" t="str">
            <v>TN Electric Power Natural Gas</v>
          </cell>
          <cell r="F2231">
            <v>580</v>
          </cell>
          <cell r="G2231">
            <v>216</v>
          </cell>
          <cell r="H2231">
            <v>298</v>
          </cell>
          <cell r="I2231">
            <v>1567</v>
          </cell>
          <cell r="J2231">
            <v>1043</v>
          </cell>
          <cell r="K2231">
            <v>2094</v>
          </cell>
          <cell r="L2231">
            <v>581</v>
          </cell>
          <cell r="M2231">
            <v>1667</v>
          </cell>
          <cell r="N2231">
            <v>6347</v>
          </cell>
          <cell r="O2231">
            <v>6013</v>
          </cell>
          <cell r="P2231">
            <v>5423</v>
          </cell>
          <cell r="Q2231">
            <v>2577</v>
          </cell>
          <cell r="R2231">
            <v>2655</v>
          </cell>
          <cell r="S2231">
            <v>5800</v>
          </cell>
          <cell r="T2231">
            <v>2320</v>
          </cell>
          <cell r="U2231">
            <v>5758</v>
          </cell>
          <cell r="V2231">
            <v>6877</v>
          </cell>
          <cell r="W2231">
            <v>7481</v>
          </cell>
          <cell r="X2231">
            <v>4534</v>
          </cell>
          <cell r="Y2231">
            <v>3775</v>
          </cell>
          <cell r="Z2231">
            <v>22608</v>
          </cell>
          <cell r="AA2231">
            <v>26451</v>
          </cell>
          <cell r="AB2231">
            <v>63585</v>
          </cell>
          <cell r="AC2231">
            <v>37308</v>
          </cell>
          <cell r="AD2231">
            <v>45989</v>
          </cell>
          <cell r="AE2231">
            <v>70184</v>
          </cell>
          <cell r="AF2231">
            <v>88257</v>
          </cell>
          <cell r="AG2231">
            <v>75778</v>
          </cell>
          <cell r="AH2231">
            <v>103092</v>
          </cell>
          <cell r="AI2231">
            <v>118725</v>
          </cell>
          <cell r="AJ2231">
            <v>104984</v>
          </cell>
        </row>
        <row r="2232">
          <cell r="E2232" t="str">
            <v>TX Electric Power Natural Gas</v>
          </cell>
          <cell r="F2232">
            <v>1174039</v>
          </cell>
          <cell r="G2232">
            <v>1166833</v>
          </cell>
          <cell r="H2232">
            <v>1134448</v>
          </cell>
          <cell r="I2232">
            <v>1243646</v>
          </cell>
          <cell r="J2232">
            <v>1217139</v>
          </cell>
          <cell r="K2232">
            <v>1237655</v>
          </cell>
          <cell r="L2232">
            <v>1235134</v>
          </cell>
          <cell r="M2232">
            <v>1259990</v>
          </cell>
          <cell r="N2232">
            <v>1475569</v>
          </cell>
          <cell r="O2232">
            <v>1476355</v>
          </cell>
          <cell r="P2232">
            <v>1610708</v>
          </cell>
          <cell r="Q2232">
            <v>1551627</v>
          </cell>
          <cell r="R2232">
            <v>1579375</v>
          </cell>
          <cell r="S2232">
            <v>1483822</v>
          </cell>
          <cell r="T2232">
            <v>1426117</v>
          </cell>
          <cell r="U2232">
            <v>1507392</v>
          </cell>
          <cell r="V2232">
            <v>1501245</v>
          </cell>
          <cell r="W2232">
            <v>1507800</v>
          </cell>
          <cell r="X2232">
            <v>1472660</v>
          </cell>
          <cell r="Y2232">
            <v>1415850</v>
          </cell>
          <cell r="Z2232">
            <v>1375275</v>
          </cell>
          <cell r="AA2232">
            <v>1483987</v>
          </cell>
          <cell r="AB2232">
            <v>1550460</v>
          </cell>
          <cell r="AC2232">
            <v>1455086</v>
          </cell>
          <cell r="AD2232">
            <v>1461971</v>
          </cell>
          <cell r="AE2232">
            <v>1675718</v>
          </cell>
          <cell r="AF2232">
            <v>1579983</v>
          </cell>
          <cell r="AG2232">
            <v>1411641</v>
          </cell>
          <cell r="AH2232">
            <v>1689371</v>
          </cell>
          <cell r="AI2232">
            <v>1828831</v>
          </cell>
          <cell r="AJ2232">
            <v>1773446</v>
          </cell>
        </row>
        <row r="2233">
          <cell r="E2233" t="str">
            <v>US Electric Power Natural Gas</v>
          </cell>
          <cell r="F2233">
            <v>3333026</v>
          </cell>
          <cell r="G2233">
            <v>3399114</v>
          </cell>
          <cell r="H2233">
            <v>3534751</v>
          </cell>
          <cell r="I2233">
            <v>3559399</v>
          </cell>
          <cell r="J2233">
            <v>3999649</v>
          </cell>
          <cell r="K2233">
            <v>4326582</v>
          </cell>
          <cell r="L2233">
            <v>3881836</v>
          </cell>
          <cell r="M2233">
            <v>4146566</v>
          </cell>
          <cell r="N2233">
            <v>4697507</v>
          </cell>
          <cell r="O2233">
            <v>4923553</v>
          </cell>
          <cell r="P2233">
            <v>5317691</v>
          </cell>
          <cell r="Q2233">
            <v>5495837</v>
          </cell>
          <cell r="R2233">
            <v>5789323</v>
          </cell>
          <cell r="S2233">
            <v>5259181</v>
          </cell>
          <cell r="T2233">
            <v>5608613</v>
          </cell>
          <cell r="U2233">
            <v>6035810</v>
          </cell>
          <cell r="V2233">
            <v>6393820</v>
          </cell>
          <cell r="W2233">
            <v>7028340</v>
          </cell>
          <cell r="X2233">
            <v>6849356</v>
          </cell>
          <cell r="Y2233">
            <v>7043916</v>
          </cell>
          <cell r="Z2233">
            <v>7550276</v>
          </cell>
          <cell r="AA2233">
            <v>7733627</v>
          </cell>
          <cell r="AB2233">
            <v>9312820</v>
          </cell>
          <cell r="AC2233">
            <v>8397689</v>
          </cell>
          <cell r="AD2233">
            <v>8384516</v>
          </cell>
          <cell r="AE2233">
            <v>9945330</v>
          </cell>
          <cell r="AF2233">
            <v>10325030</v>
          </cell>
          <cell r="AG2233">
            <v>9578309</v>
          </cell>
          <cell r="AH2233">
            <v>10942466</v>
          </cell>
          <cell r="AI2233">
            <v>11675619</v>
          </cell>
          <cell r="AJ2233">
            <v>12010976</v>
          </cell>
        </row>
        <row r="2234">
          <cell r="E2234" t="str">
            <v>UT Electric Power Natural Gas</v>
          </cell>
          <cell r="F2234">
            <v>931</v>
          </cell>
          <cell r="G2234">
            <v>5479</v>
          </cell>
          <cell r="H2234">
            <v>6976</v>
          </cell>
          <cell r="I2234">
            <v>6629</v>
          </cell>
          <cell r="J2234">
            <v>9260</v>
          </cell>
          <cell r="K2234">
            <v>9132</v>
          </cell>
          <cell r="L2234">
            <v>4164</v>
          </cell>
          <cell r="M2234">
            <v>4184</v>
          </cell>
          <cell r="N2234">
            <v>6158</v>
          </cell>
          <cell r="O2234">
            <v>6708</v>
          </cell>
          <cell r="P2234">
            <v>11012</v>
          </cell>
          <cell r="Q2234">
            <v>15844</v>
          </cell>
          <cell r="R2234">
            <v>15521</v>
          </cell>
          <cell r="S2234">
            <v>14546</v>
          </cell>
          <cell r="T2234">
            <v>9426</v>
          </cell>
          <cell r="U2234">
            <v>12781</v>
          </cell>
          <cell r="V2234">
            <v>30396</v>
          </cell>
          <cell r="W2234">
            <v>58750</v>
          </cell>
          <cell r="X2234">
            <v>58074</v>
          </cell>
          <cell r="Y2234">
            <v>51758</v>
          </cell>
          <cell r="Z2234">
            <v>50240</v>
          </cell>
          <cell r="AA2234">
            <v>41435</v>
          </cell>
          <cell r="AB2234">
            <v>48759</v>
          </cell>
          <cell r="AC2234">
            <v>51128</v>
          </cell>
          <cell r="AD2234">
            <v>60454</v>
          </cell>
          <cell r="AE2234">
            <v>58477</v>
          </cell>
          <cell r="AF2234">
            <v>61638</v>
          </cell>
          <cell r="AG2234">
            <v>42298</v>
          </cell>
          <cell r="AH2234">
            <v>63190</v>
          </cell>
          <cell r="AI2234">
            <v>70235</v>
          </cell>
          <cell r="AJ2234">
            <v>69829</v>
          </cell>
        </row>
        <row r="2235">
          <cell r="E2235" t="str">
            <v>VA Electric Power Natural Gas</v>
          </cell>
          <cell r="F2235">
            <v>10068</v>
          </cell>
          <cell r="G2235">
            <v>16493</v>
          </cell>
          <cell r="H2235">
            <v>24671</v>
          </cell>
          <cell r="I2235">
            <v>41520</v>
          </cell>
          <cell r="J2235">
            <v>41890</v>
          </cell>
          <cell r="K2235">
            <v>46418</v>
          </cell>
          <cell r="L2235">
            <v>32685</v>
          </cell>
          <cell r="M2235">
            <v>19936</v>
          </cell>
          <cell r="N2235">
            <v>39251</v>
          </cell>
          <cell r="O2235">
            <v>42864</v>
          </cell>
          <cell r="P2235">
            <v>38075</v>
          </cell>
          <cell r="Q2235">
            <v>34110</v>
          </cell>
          <cell r="R2235">
            <v>35786</v>
          </cell>
          <cell r="S2235">
            <v>36230</v>
          </cell>
          <cell r="T2235">
            <v>50096</v>
          </cell>
          <cell r="U2235">
            <v>69103</v>
          </cell>
          <cell r="V2235">
            <v>62092</v>
          </cell>
          <cell r="W2235">
            <v>93255</v>
          </cell>
          <cell r="X2235">
            <v>80060</v>
          </cell>
          <cell r="Y2235">
            <v>98400</v>
          </cell>
          <cell r="Z2235">
            <v>144255</v>
          </cell>
          <cell r="AA2235">
            <v>146309</v>
          </cell>
          <cell r="AB2235">
            <v>196074</v>
          </cell>
          <cell r="AC2235">
            <v>177551</v>
          </cell>
          <cell r="AD2235">
            <v>165522</v>
          </cell>
          <cell r="AE2235">
            <v>256877</v>
          </cell>
          <cell r="AF2235">
            <v>310799</v>
          </cell>
          <cell r="AG2235">
            <v>327383</v>
          </cell>
          <cell r="AH2235">
            <v>374014</v>
          </cell>
          <cell r="AI2235">
            <v>428593</v>
          </cell>
          <cell r="AJ2235">
            <v>468959</v>
          </cell>
        </row>
        <row r="2236">
          <cell r="E2236" t="str">
            <v>VT Electric Power Natural Gas</v>
          </cell>
          <cell r="F2236">
            <v>704</v>
          </cell>
          <cell r="G2236">
            <v>1078</v>
          </cell>
          <cell r="H2236">
            <v>791</v>
          </cell>
          <cell r="I2236">
            <v>268</v>
          </cell>
          <cell r="J2236">
            <v>166</v>
          </cell>
          <cell r="K2236">
            <v>138</v>
          </cell>
          <cell r="L2236">
            <v>25</v>
          </cell>
          <cell r="M2236">
            <v>36</v>
          </cell>
          <cell r="N2236">
            <v>191</v>
          </cell>
          <cell r="O2236">
            <v>253</v>
          </cell>
          <cell r="P2236">
            <v>1036</v>
          </cell>
          <cell r="Q2236">
            <v>117</v>
          </cell>
          <cell r="R2236">
            <v>38</v>
          </cell>
          <cell r="S2236">
            <v>31</v>
          </cell>
          <cell r="T2236">
            <v>52</v>
          </cell>
          <cell r="U2236">
            <v>29</v>
          </cell>
          <cell r="V2236">
            <v>31</v>
          </cell>
          <cell r="W2236">
            <v>26</v>
          </cell>
          <cell r="X2236">
            <v>38</v>
          </cell>
          <cell r="Y2236">
            <v>64</v>
          </cell>
          <cell r="Z2236">
            <v>56</v>
          </cell>
          <cell r="AA2236">
            <v>50</v>
          </cell>
          <cell r="AB2236">
            <v>38</v>
          </cell>
          <cell r="AC2236">
            <v>44</v>
          </cell>
          <cell r="AD2236">
            <v>36</v>
          </cell>
          <cell r="AE2236">
            <v>20</v>
          </cell>
          <cell r="AF2236">
            <v>15</v>
          </cell>
          <cell r="AG2236">
            <v>13</v>
          </cell>
          <cell r="AH2236">
            <v>11</v>
          </cell>
          <cell r="AI2236">
            <v>13</v>
          </cell>
          <cell r="AJ2236">
            <v>15</v>
          </cell>
        </row>
        <row r="2237">
          <cell r="E2237" t="str">
            <v>WA Electric Power Natural Gas</v>
          </cell>
          <cell r="F2237">
            <v>196</v>
          </cell>
          <cell r="G2237">
            <v>1179</v>
          </cell>
          <cell r="H2237">
            <v>11629</v>
          </cell>
          <cell r="I2237">
            <v>28783</v>
          </cell>
          <cell r="J2237">
            <v>43921</v>
          </cell>
          <cell r="K2237">
            <v>41395</v>
          </cell>
          <cell r="L2237">
            <v>42911</v>
          </cell>
          <cell r="M2237">
            <v>28365</v>
          </cell>
          <cell r="N2237">
            <v>41772</v>
          </cell>
          <cell r="O2237">
            <v>33909</v>
          </cell>
          <cell r="P2237">
            <v>76287</v>
          </cell>
          <cell r="Q2237">
            <v>88622</v>
          </cell>
          <cell r="R2237">
            <v>40580</v>
          </cell>
          <cell r="S2237">
            <v>59073</v>
          </cell>
          <cell r="T2237">
            <v>67681</v>
          </cell>
          <cell r="U2237">
            <v>67343</v>
          </cell>
          <cell r="V2237">
            <v>60310</v>
          </cell>
          <cell r="W2237">
            <v>58641</v>
          </cell>
          <cell r="X2237">
            <v>76792</v>
          </cell>
          <cell r="Y2237">
            <v>94008</v>
          </cell>
          <cell r="Z2237">
            <v>81926</v>
          </cell>
          <cell r="AA2237">
            <v>40365</v>
          </cell>
          <cell r="AB2237">
            <v>44250</v>
          </cell>
          <cell r="AC2237">
            <v>89573</v>
          </cell>
          <cell r="AD2237">
            <v>88155</v>
          </cell>
          <cell r="AE2237">
            <v>103505</v>
          </cell>
          <cell r="AF2237">
            <v>87946</v>
          </cell>
          <cell r="AG2237">
            <v>87075</v>
          </cell>
          <cell r="AH2237">
            <v>83296</v>
          </cell>
          <cell r="AI2237">
            <v>115167</v>
          </cell>
          <cell r="AJ2237">
            <v>102712</v>
          </cell>
        </row>
        <row r="2238">
          <cell r="E2238" t="str">
            <v>WI Electric Power Natural Gas</v>
          </cell>
          <cell r="F2238">
            <v>2726</v>
          </cell>
          <cell r="G2238">
            <v>2747</v>
          </cell>
          <cell r="H2238">
            <v>2920</v>
          </cell>
          <cell r="I2238">
            <v>3647</v>
          </cell>
          <cell r="J2238">
            <v>4462</v>
          </cell>
          <cell r="K2238">
            <v>10081</v>
          </cell>
          <cell r="L2238">
            <v>7485</v>
          </cell>
          <cell r="M2238">
            <v>16042</v>
          </cell>
          <cell r="N2238">
            <v>24697</v>
          </cell>
          <cell r="O2238">
            <v>21620</v>
          </cell>
          <cell r="P2238">
            <v>21472</v>
          </cell>
          <cell r="Q2238">
            <v>22722</v>
          </cell>
          <cell r="R2238">
            <v>20025</v>
          </cell>
          <cell r="S2238">
            <v>23804</v>
          </cell>
          <cell r="T2238">
            <v>21238</v>
          </cell>
          <cell r="U2238">
            <v>59222</v>
          </cell>
          <cell r="V2238">
            <v>44484</v>
          </cell>
          <cell r="W2238">
            <v>55074</v>
          </cell>
          <cell r="X2238">
            <v>41713</v>
          </cell>
          <cell r="Y2238">
            <v>41624</v>
          </cell>
          <cell r="Z2238">
            <v>43076</v>
          </cell>
          <cell r="AA2238">
            <v>48280</v>
          </cell>
          <cell r="AB2238">
            <v>88409</v>
          </cell>
          <cell r="AC2238">
            <v>62314</v>
          </cell>
          <cell r="AD2238">
            <v>61589</v>
          </cell>
          <cell r="AE2238">
            <v>102997</v>
          </cell>
          <cell r="AF2238">
            <v>121819</v>
          </cell>
          <cell r="AG2238">
            <v>109171</v>
          </cell>
          <cell r="AH2238">
            <v>131826</v>
          </cell>
          <cell r="AI2238">
            <v>151255</v>
          </cell>
          <cell r="AJ2238">
            <v>164737</v>
          </cell>
        </row>
        <row r="2239">
          <cell r="E2239" t="str">
            <v>WV Electric Power Natural Gas</v>
          </cell>
          <cell r="F2239">
            <v>139</v>
          </cell>
          <cell r="G2239">
            <v>172</v>
          </cell>
          <cell r="H2239">
            <v>589</v>
          </cell>
          <cell r="I2239">
            <v>378</v>
          </cell>
          <cell r="J2239">
            <v>558</v>
          </cell>
          <cell r="K2239">
            <v>749</v>
          </cell>
          <cell r="L2239">
            <v>323</v>
          </cell>
          <cell r="M2239">
            <v>590</v>
          </cell>
          <cell r="N2239">
            <v>517</v>
          </cell>
          <cell r="O2239">
            <v>502</v>
          </cell>
          <cell r="P2239">
            <v>519</v>
          </cell>
          <cell r="Q2239">
            <v>2688</v>
          </cell>
          <cell r="R2239">
            <v>1954</v>
          </cell>
          <cell r="S2239">
            <v>2202</v>
          </cell>
          <cell r="T2239">
            <v>1491</v>
          </cell>
          <cell r="U2239">
            <v>2377</v>
          </cell>
          <cell r="V2239">
            <v>3834</v>
          </cell>
          <cell r="W2239">
            <v>4005</v>
          </cell>
          <cell r="X2239">
            <v>1970</v>
          </cell>
          <cell r="Y2239">
            <v>1164</v>
          </cell>
          <cell r="Z2239">
            <v>1550</v>
          </cell>
          <cell r="AA2239">
            <v>2673</v>
          </cell>
          <cell r="AB2239">
            <v>2453</v>
          </cell>
          <cell r="AC2239">
            <v>2960</v>
          </cell>
          <cell r="AD2239">
            <v>6984</v>
          </cell>
          <cell r="AE2239">
            <v>14117</v>
          </cell>
          <cell r="AF2239">
            <v>10901</v>
          </cell>
          <cell r="AG2239">
            <v>11204</v>
          </cell>
          <cell r="AH2239">
            <v>11531</v>
          </cell>
          <cell r="AI2239">
            <v>17545</v>
          </cell>
          <cell r="AJ2239">
            <v>22435</v>
          </cell>
        </row>
        <row r="2240">
          <cell r="E2240" t="str">
            <v>WY Electric Power Natural Gas</v>
          </cell>
          <cell r="F2240">
            <v>71</v>
          </cell>
          <cell r="G2240">
            <v>80</v>
          </cell>
          <cell r="H2240">
            <v>86</v>
          </cell>
          <cell r="I2240">
            <v>91</v>
          </cell>
          <cell r="J2240">
            <v>134</v>
          </cell>
          <cell r="K2240">
            <v>134</v>
          </cell>
          <cell r="L2240">
            <v>91</v>
          </cell>
          <cell r="M2240">
            <v>99</v>
          </cell>
          <cell r="N2240">
            <v>283</v>
          </cell>
          <cell r="O2240">
            <v>174</v>
          </cell>
          <cell r="P2240">
            <v>1893</v>
          </cell>
          <cell r="Q2240">
            <v>2811</v>
          </cell>
          <cell r="R2240">
            <v>3475</v>
          </cell>
          <cell r="S2240">
            <v>2322</v>
          </cell>
          <cell r="T2240">
            <v>503</v>
          </cell>
          <cell r="U2240">
            <v>533</v>
          </cell>
          <cell r="V2240">
            <v>819</v>
          </cell>
          <cell r="W2240">
            <v>1977</v>
          </cell>
          <cell r="X2240">
            <v>1061</v>
          </cell>
          <cell r="Y2240">
            <v>1064</v>
          </cell>
          <cell r="Z2240">
            <v>586</v>
          </cell>
          <cell r="AA2240">
            <v>410</v>
          </cell>
          <cell r="AB2240">
            <v>484</v>
          </cell>
          <cell r="AC2240">
            <v>517</v>
          </cell>
          <cell r="AD2240">
            <v>834</v>
          </cell>
          <cell r="AE2240">
            <v>1283</v>
          </cell>
          <cell r="AF2240">
            <v>1586</v>
          </cell>
          <cell r="AG2240">
            <v>1371</v>
          </cell>
          <cell r="AH2240">
            <v>1967</v>
          </cell>
          <cell r="AI2240">
            <v>3448</v>
          </cell>
          <cell r="AJ2240">
            <v>5995</v>
          </cell>
        </row>
        <row r="2241">
          <cell r="E2241" t="str">
            <v>AK Industrial Natural Gas</v>
          </cell>
          <cell r="F2241">
            <v>243203.67260166685</v>
          </cell>
          <cell r="G2241">
            <v>284028.85208680737</v>
          </cell>
          <cell r="H2241">
            <v>299630.59086056333</v>
          </cell>
          <cell r="I2241">
            <v>295651.1575946146</v>
          </cell>
          <cell r="J2241">
            <v>284105.89014927152</v>
          </cell>
          <cell r="K2241">
            <v>341425.96165540942</v>
          </cell>
          <cell r="L2241">
            <v>349281.03885578044</v>
          </cell>
          <cell r="M2241">
            <v>327787.88483863167</v>
          </cell>
          <cell r="N2241">
            <v>338778.95936792024</v>
          </cell>
          <cell r="O2241">
            <v>320376.12862182874</v>
          </cell>
          <cell r="P2241">
            <v>334889.45685620891</v>
          </cell>
          <cell r="Q2241">
            <v>329048.37260370678</v>
          </cell>
          <cell r="R2241">
            <v>337912.20976379764</v>
          </cell>
          <cell r="S2241">
            <v>330980.49257054279</v>
          </cell>
          <cell r="T2241">
            <v>316852.1652535543</v>
          </cell>
          <cell r="U2241">
            <v>343623.92064841185</v>
          </cell>
          <cell r="V2241">
            <v>278727.50913088862</v>
          </cell>
          <cell r="W2241">
            <v>278593.02348042309</v>
          </cell>
          <cell r="X2241">
            <v>250765.71604057922</v>
          </cell>
          <cell r="Y2241">
            <v>257768.28992234997</v>
          </cell>
          <cell r="Z2241">
            <v>248120.17924053231</v>
          </cell>
          <cell r="AA2241">
            <v>245011.06343713406</v>
          </cell>
          <cell r="AB2241">
            <v>252164.10683885013</v>
          </cell>
          <cell r="AC2241">
            <v>251498.6645295365</v>
          </cell>
          <cell r="AD2241">
            <v>253160.12345812499</v>
          </cell>
          <cell r="AE2241">
            <v>257097.33389505857</v>
          </cell>
          <cell r="AF2241">
            <v>259591.67743266423</v>
          </cell>
          <cell r="AG2241">
            <v>268990.50589636993</v>
          </cell>
          <cell r="AH2241">
            <v>276903.25490207493</v>
          </cell>
          <cell r="AI2241">
            <v>275462.9869663908</v>
          </cell>
          <cell r="AJ2241">
            <v>300583.52528236876</v>
          </cell>
        </row>
        <row r="2242">
          <cell r="E2242" t="str">
            <v>AL Industrial Natural Gas</v>
          </cell>
          <cell r="F2242">
            <v>151980.56948394806</v>
          </cell>
          <cell r="G2242">
            <v>159258.45216393267</v>
          </cell>
          <cell r="H2242">
            <v>177169.6667563401</v>
          </cell>
          <cell r="I2242">
            <v>190747.03056119877</v>
          </cell>
          <cell r="J2242">
            <v>190184.93546822254</v>
          </cell>
          <cell r="K2242">
            <v>213107.77371815086</v>
          </cell>
          <cell r="L2242">
            <v>210909.67905583198</v>
          </cell>
          <cell r="M2242">
            <v>208625.38958062851</v>
          </cell>
          <cell r="N2242">
            <v>206194.93819580087</v>
          </cell>
          <cell r="O2242">
            <v>214501.50048481117</v>
          </cell>
          <cell r="P2242">
            <v>214782.46615908496</v>
          </cell>
          <cell r="Q2242">
            <v>166930.64239509287</v>
          </cell>
          <cell r="R2242">
            <v>171342.61513688171</v>
          </cell>
          <cell r="S2242">
            <v>172150.73389022407</v>
          </cell>
          <cell r="T2242">
            <v>176411.47587164375</v>
          </cell>
          <cell r="U2242">
            <v>164453.9256397906</v>
          </cell>
          <cell r="V2242">
            <v>165993.85402593724</v>
          </cell>
          <cell r="W2242">
            <v>165708.81213130848</v>
          </cell>
          <cell r="X2242">
            <v>158396.59112494349</v>
          </cell>
          <cell r="Y2242">
            <v>147139.21422729356</v>
          </cell>
          <cell r="Z2242">
            <v>158455.11828186168</v>
          </cell>
          <cell r="AA2242">
            <v>167419.69019084566</v>
          </cell>
          <cell r="AB2242">
            <v>187114.72761640669</v>
          </cell>
          <cell r="AC2242">
            <v>195283.39747638695</v>
          </cell>
          <cell r="AD2242">
            <v>201471.10079260418</v>
          </cell>
          <cell r="AE2242">
            <v>202543.55218516485</v>
          </cell>
          <cell r="AF2242">
            <v>207053.62014009219</v>
          </cell>
          <cell r="AG2242">
            <v>208748.8641462728</v>
          </cell>
          <cell r="AH2242">
            <v>229451.31424298289</v>
          </cell>
          <cell r="AI2242">
            <v>227174.04962582875</v>
          </cell>
          <cell r="AJ2242">
            <v>216249.94335451935</v>
          </cell>
        </row>
        <row r="2243">
          <cell r="E2243" t="str">
            <v>AR Industrial Natural Gas</v>
          </cell>
          <cell r="F2243">
            <v>121847.35075356466</v>
          </cell>
          <cell r="G2243">
            <v>102472.79361067171</v>
          </cell>
          <cell r="H2243">
            <v>118921.7936403725</v>
          </cell>
          <cell r="I2243">
            <v>119256.05124565</v>
          </cell>
          <cell r="J2243">
            <v>131744.76713907762</v>
          </cell>
          <cell r="K2243">
            <v>143989.5089828998</v>
          </cell>
          <cell r="L2243">
            <v>140685.3607051755</v>
          </cell>
          <cell r="M2243">
            <v>146313.45557793538</v>
          </cell>
          <cell r="N2243">
            <v>145142.90628132393</v>
          </cell>
          <cell r="O2243">
            <v>133982.79459532318</v>
          </cell>
          <cell r="P2243">
            <v>128604.51045221773</v>
          </cell>
          <cell r="Q2243">
            <v>120637.25466896241</v>
          </cell>
          <cell r="R2243">
            <v>117728.11375967054</v>
          </cell>
          <cell r="S2243">
            <v>111681.38090535796</v>
          </cell>
          <cell r="T2243">
            <v>99406.222351786695</v>
          </cell>
          <cell r="U2243">
            <v>87868.651442644477</v>
          </cell>
          <cell r="V2243">
            <v>88591.069673231381</v>
          </cell>
          <cell r="W2243">
            <v>85020.970665953166</v>
          </cell>
          <cell r="X2243">
            <v>85835.126731341865</v>
          </cell>
          <cell r="Y2243">
            <v>80380.139166943758</v>
          </cell>
          <cell r="Z2243">
            <v>86530.864558488742</v>
          </cell>
          <cell r="AA2243">
            <v>90159.384280770144</v>
          </cell>
          <cell r="AB2243">
            <v>86619.857652447725</v>
          </cell>
          <cell r="AC2243">
            <v>93103.001151453238</v>
          </cell>
          <cell r="AD2243">
            <v>94210.225537286358</v>
          </cell>
          <cell r="AE2243">
            <v>89964.156018452399</v>
          </cell>
          <cell r="AF2243">
            <v>91265.834637828346</v>
          </cell>
          <cell r="AG2243">
            <v>102211.07416640763</v>
          </cell>
          <cell r="AH2243">
            <v>107557.7962294419</v>
          </cell>
          <cell r="AI2243">
            <v>105896.21915539243</v>
          </cell>
          <cell r="AJ2243">
            <v>102015.19155647981</v>
          </cell>
        </row>
        <row r="2244">
          <cell r="E2244" t="str">
            <v>AZ Industrial Natural Gas</v>
          </cell>
          <cell r="F2244">
            <v>18089.238942821008</v>
          </cell>
          <cell r="G2244">
            <v>18709.725650496381</v>
          </cell>
          <cell r="H2244">
            <v>19356.277507457813</v>
          </cell>
          <cell r="I2244">
            <v>20705.348959405539</v>
          </cell>
          <cell r="J2244">
            <v>25255.983384942378</v>
          </cell>
          <cell r="K2244">
            <v>27288.242583287069</v>
          </cell>
          <cell r="L2244">
            <v>25963.584520028537</v>
          </cell>
          <cell r="M2244">
            <v>27140.503383427251</v>
          </cell>
          <cell r="N2244">
            <v>27181.530248809009</v>
          </cell>
          <cell r="O2244">
            <v>25935.987425606094</v>
          </cell>
          <cell r="P2244">
            <v>20478.364478826352</v>
          </cell>
          <cell r="Q2244">
            <v>20579.647093473715</v>
          </cell>
          <cell r="R2244">
            <v>16791.865847937112</v>
          </cell>
          <cell r="S2244">
            <v>14947.01427312552</v>
          </cell>
          <cell r="T2244">
            <v>20284.531143095632</v>
          </cell>
          <cell r="U2244">
            <v>16721.276809119459</v>
          </cell>
          <cell r="V2244">
            <v>18088.913609813371</v>
          </cell>
          <cell r="W2244">
            <v>19088.43792380406</v>
          </cell>
          <cell r="X2244">
            <v>20020.085466698638</v>
          </cell>
          <cell r="Y2244">
            <v>17691.715826606291</v>
          </cell>
          <cell r="Z2244">
            <v>18917.217471174914</v>
          </cell>
          <cell r="AA2244">
            <v>21257.804701898978</v>
          </cell>
          <cell r="AB2244">
            <v>22338.093933668242</v>
          </cell>
          <cell r="AC2244">
            <v>21981.431107066957</v>
          </cell>
          <cell r="AD2244">
            <v>22505.296978117069</v>
          </cell>
          <cell r="AE2244">
            <v>20599.025473960093</v>
          </cell>
          <cell r="AF2244">
            <v>19911.754470258005</v>
          </cell>
          <cell r="AG2244">
            <v>19403.263523276495</v>
          </cell>
          <cell r="AH2244">
            <v>19155.299765412808</v>
          </cell>
          <cell r="AI2244">
            <v>18468.505132221082</v>
          </cell>
          <cell r="AJ2244">
            <v>18812.979310175775</v>
          </cell>
        </row>
        <row r="2245">
          <cell r="E2245" t="str">
            <v>CA Industrial Natural Gas</v>
          </cell>
          <cell r="F2245">
            <v>576241.89075860346</v>
          </cell>
          <cell r="G2245">
            <v>688258.34705062991</v>
          </cell>
          <cell r="H2245">
            <v>667892.4619608277</v>
          </cell>
          <cell r="I2245">
            <v>689338.51632308052</v>
          </cell>
          <cell r="J2245">
            <v>652727.47005622019</v>
          </cell>
          <cell r="K2245">
            <v>669029.97747935099</v>
          </cell>
          <cell r="L2245">
            <v>690557.19372552505</v>
          </cell>
          <cell r="M2245">
            <v>767446.92829950852</v>
          </cell>
          <cell r="N2245">
            <v>819811.37137790909</v>
          </cell>
          <cell r="O2245">
            <v>757963.15103157191</v>
          </cell>
          <cell r="P2245">
            <v>766698.7110942055</v>
          </cell>
          <cell r="Q2245">
            <v>702226.48609646561</v>
          </cell>
          <cell r="R2245">
            <v>767029.57359528635</v>
          </cell>
          <cell r="S2245">
            <v>808156.85455393966</v>
          </cell>
          <cell r="T2245">
            <v>859088.11671706557</v>
          </cell>
          <cell r="U2245">
            <v>808559.04635770712</v>
          </cell>
          <cell r="V2245">
            <v>778514.50168059825</v>
          </cell>
          <cell r="W2245">
            <v>788971.47726549197</v>
          </cell>
          <cell r="X2245">
            <v>781507.50914896675</v>
          </cell>
          <cell r="Y2245">
            <v>766668.42118003999</v>
          </cell>
          <cell r="Z2245">
            <v>760523.13943520049</v>
          </cell>
          <cell r="AA2245">
            <v>740740.48232022568</v>
          </cell>
          <cell r="AB2245">
            <v>777745.13165006984</v>
          </cell>
          <cell r="AC2245">
            <v>822073.2318930896</v>
          </cell>
          <cell r="AD2245">
            <v>831225.02841367794</v>
          </cell>
          <cell r="AE2245">
            <v>824540.94647737779</v>
          </cell>
          <cell r="AF2245">
            <v>817942.84307294292</v>
          </cell>
          <cell r="AG2245">
            <v>801311.42964545288</v>
          </cell>
          <cell r="AH2245">
            <v>801962.39957062411</v>
          </cell>
          <cell r="AI2245">
            <v>803137.30803093291</v>
          </cell>
          <cell r="AJ2245">
            <v>719942.63470635028</v>
          </cell>
        </row>
        <row r="2246">
          <cell r="E2246" t="str">
            <v>CO Industrial Natural Gas</v>
          </cell>
          <cell r="F2246">
            <v>63152.775649742587</v>
          </cell>
          <cell r="G2246">
            <v>78182.974345115013</v>
          </cell>
          <cell r="H2246">
            <v>76038.255908022489</v>
          </cell>
          <cell r="I2246">
            <v>89897.210579205173</v>
          </cell>
          <cell r="J2246">
            <v>80012.494010645183</v>
          </cell>
          <cell r="K2246">
            <v>82152.092206217378</v>
          </cell>
          <cell r="L2246">
            <v>94962.452103701595</v>
          </cell>
          <cell r="M2246">
            <v>86663.287231059963</v>
          </cell>
          <cell r="N2246">
            <v>108810.49152472873</v>
          </cell>
          <cell r="O2246">
            <v>105961.40211487618</v>
          </cell>
          <cell r="P2246">
            <v>112020.5643323596</v>
          </cell>
          <cell r="Q2246">
            <v>172555.16255068037</v>
          </cell>
          <cell r="R2246">
            <v>168006.87018827363</v>
          </cell>
          <cell r="S2246">
            <v>157026.15808141162</v>
          </cell>
          <cell r="T2246">
            <v>158180.87971416803</v>
          </cell>
          <cell r="U2246">
            <v>175686.35562050695</v>
          </cell>
          <cell r="V2246">
            <v>164106.70811734544</v>
          </cell>
          <cell r="W2246">
            <v>170552.00375831232</v>
          </cell>
          <cell r="X2246">
            <v>178973.80928742126</v>
          </cell>
          <cell r="Y2246">
            <v>196026.68721254045</v>
          </cell>
          <cell r="Z2246">
            <v>201837.41890145181</v>
          </cell>
          <cell r="AA2246">
            <v>180604.47098579392</v>
          </cell>
          <cell r="AB2246">
            <v>179252.22063988366</v>
          </cell>
          <cell r="AC2246">
            <v>175125.37326006277</v>
          </cell>
          <cell r="AD2246">
            <v>184862.24007333932</v>
          </cell>
          <cell r="AE2246">
            <v>192852.96334310761</v>
          </cell>
          <cell r="AF2246">
            <v>163956.45590394145</v>
          </cell>
          <cell r="AG2246">
            <v>164511.54283553365</v>
          </cell>
          <cell r="AH2246">
            <v>169824.05285701872</v>
          </cell>
          <cell r="AI2246">
            <v>172240.40996522841</v>
          </cell>
          <cell r="AJ2246">
            <v>176806.50027543417</v>
          </cell>
        </row>
        <row r="2247">
          <cell r="E2247" t="str">
            <v>CT Industrial Natural Gas</v>
          </cell>
          <cell r="F2247">
            <v>24975.040808590846</v>
          </cell>
          <cell r="G2247">
            <v>31944.660370609708</v>
          </cell>
          <cell r="H2247">
            <v>35421.618389803873</v>
          </cell>
          <cell r="I2247">
            <v>35916.357199159545</v>
          </cell>
          <cell r="J2247">
            <v>29942.983040016465</v>
          </cell>
          <cell r="K2247">
            <v>31415.668702303694</v>
          </cell>
          <cell r="L2247">
            <v>31736.227698557035</v>
          </cell>
          <cell r="M2247">
            <v>33765.447974639319</v>
          </cell>
          <cell r="N2247">
            <v>31608.613088481805</v>
          </cell>
          <cell r="O2247">
            <v>30941.52547447116</v>
          </cell>
          <cell r="P2247">
            <v>31549.271628604529</v>
          </cell>
          <cell r="Q2247">
            <v>25206.004841555678</v>
          </cell>
          <cell r="R2247">
            <v>28527.858423666581</v>
          </cell>
          <cell r="S2247">
            <v>23322.321709141816</v>
          </cell>
          <cell r="T2247">
            <v>20220.105279782649</v>
          </cell>
          <cell r="U2247">
            <v>20174.155584535216</v>
          </cell>
          <cell r="V2247">
            <v>21383.487745699342</v>
          </cell>
          <cell r="W2247">
            <v>22418.732523332477</v>
          </cell>
          <cell r="X2247">
            <v>22209.02796467326</v>
          </cell>
          <cell r="Y2247">
            <v>24331.065804720991</v>
          </cell>
          <cell r="Z2247">
            <v>23885.570716948616</v>
          </cell>
          <cell r="AA2247">
            <v>26042.355097254644</v>
          </cell>
          <cell r="AB2247">
            <v>26821.161585884434</v>
          </cell>
          <cell r="AC2247">
            <v>29536.097832551703</v>
          </cell>
          <cell r="AD2247">
            <v>28255.412468672363</v>
          </cell>
          <cell r="AE2247">
            <v>25416.290064904962</v>
          </cell>
          <cell r="AF2247">
            <v>24126.404330930422</v>
          </cell>
          <cell r="AG2247">
            <v>24335.00662037939</v>
          </cell>
          <cell r="AH2247">
            <v>24317.005316287388</v>
          </cell>
          <cell r="AI2247">
            <v>24278.054672954619</v>
          </cell>
          <cell r="AJ2247">
            <v>22737.747755909972</v>
          </cell>
        </row>
        <row r="2248">
          <cell r="E2248" t="str">
            <v>DC Industrial Natural Gas</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row>
        <row r="2249">
          <cell r="E2249" t="str">
            <v>DE Industrial Natural Gas</v>
          </cell>
          <cell r="F2249">
            <v>16330.272728282285</v>
          </cell>
          <cell r="G2249">
            <v>15416.882240453133</v>
          </cell>
          <cell r="H2249">
            <v>17743.964860382337</v>
          </cell>
          <cell r="I2249">
            <v>19123.874937474051</v>
          </cell>
          <cell r="J2249">
            <v>16893.853011850828</v>
          </cell>
          <cell r="K2249">
            <v>19052.358296168419</v>
          </cell>
          <cell r="L2249">
            <v>13945.800854057072</v>
          </cell>
          <cell r="M2249">
            <v>14570.315073828002</v>
          </cell>
          <cell r="N2249">
            <v>16394.426258951033</v>
          </cell>
          <cell r="O2249">
            <v>21220.953563485036</v>
          </cell>
          <cell r="P2249">
            <v>25152.048034776471</v>
          </cell>
          <cell r="Q2249">
            <v>19922.860075818346</v>
          </cell>
          <cell r="R2249">
            <v>17525.365383920202</v>
          </cell>
          <cell r="S2249">
            <v>15194.056409733443</v>
          </cell>
          <cell r="T2249">
            <v>15964.151980927883</v>
          </cell>
          <cell r="U2249">
            <v>15207.277902861159</v>
          </cell>
          <cell r="V2249">
            <v>16348.855487270735</v>
          </cell>
          <cell r="W2249">
            <v>15959.862927939033</v>
          </cell>
          <cell r="X2249">
            <v>18163.298336744869</v>
          </cell>
          <cell r="Y2249">
            <v>17361.924371029145</v>
          </cell>
          <cell r="Z2249">
            <v>7900.6861489947296</v>
          </cell>
          <cell r="AA2249">
            <v>19628.52871493905</v>
          </cell>
          <cell r="AB2249">
            <v>28536.951208539653</v>
          </cell>
          <cell r="AC2249">
            <v>32537.081389744519</v>
          </cell>
          <cell r="AD2249">
            <v>31708.970205163612</v>
          </cell>
          <cell r="AE2249">
            <v>33707.320494504704</v>
          </cell>
          <cell r="AF2249">
            <v>31991.880998403751</v>
          </cell>
          <cell r="AG2249">
            <v>30147.314904189079</v>
          </cell>
          <cell r="AH2249">
            <v>30879.89625036345</v>
          </cell>
          <cell r="AI2249">
            <v>33950.065686675436</v>
          </cell>
          <cell r="AJ2249">
            <v>34869.984298554824</v>
          </cell>
        </row>
        <row r="2250">
          <cell r="E2250" t="str">
            <v>FL Industrial Natural Gas</v>
          </cell>
          <cell r="F2250">
            <v>89201.051783618939</v>
          </cell>
          <cell r="G2250">
            <v>90806.963759533188</v>
          </cell>
          <cell r="H2250">
            <v>93713.06752325999</v>
          </cell>
          <cell r="I2250">
            <v>106478.00694239684</v>
          </cell>
          <cell r="J2250">
            <v>128746.11059808117</v>
          </cell>
          <cell r="K2250">
            <v>130810.5766874368</v>
          </cell>
          <cell r="L2250">
            <v>141295.70934164047</v>
          </cell>
          <cell r="M2250">
            <v>128314.21596105932</v>
          </cell>
          <cell r="N2250">
            <v>124185.83554542532</v>
          </cell>
          <cell r="O2250">
            <v>134774.13554557716</v>
          </cell>
          <cell r="P2250">
            <v>113265.2902589953</v>
          </cell>
          <cell r="Q2250">
            <v>99332.5454798633</v>
          </cell>
          <cell r="R2250">
            <v>84373.540742358353</v>
          </cell>
          <cell r="S2250">
            <v>74969.568393735899</v>
          </cell>
          <cell r="T2250">
            <v>64618.179322873977</v>
          </cell>
          <cell r="U2250">
            <v>64247.384697574489</v>
          </cell>
          <cell r="V2250">
            <v>70816.52015517019</v>
          </cell>
          <cell r="W2250">
            <v>67423.33667017566</v>
          </cell>
          <cell r="X2250">
            <v>68982.10407600482</v>
          </cell>
          <cell r="Y2250">
            <v>65387.684198155104</v>
          </cell>
          <cell r="Z2250">
            <v>80162.988790723175</v>
          </cell>
          <cell r="AA2250">
            <v>88517.560552204479</v>
          </cell>
          <cell r="AB2250">
            <v>102518.67134217243</v>
          </cell>
          <cell r="AC2250">
            <v>101769.50134690311</v>
          </cell>
          <cell r="AD2250">
            <v>94524.185331512839</v>
          </cell>
          <cell r="AE2250">
            <v>95486.032544950795</v>
          </cell>
          <cell r="AF2250">
            <v>103194.12545506873</v>
          </cell>
          <cell r="AG2250">
            <v>103121.50534960011</v>
          </cell>
          <cell r="AH2250">
            <v>107013.85183514009</v>
          </cell>
          <cell r="AI2250">
            <v>117911.27099298561</v>
          </cell>
          <cell r="AJ2250">
            <v>121206.25369492437</v>
          </cell>
        </row>
        <row r="2251">
          <cell r="E2251" t="str">
            <v>GA Industrial Natural Gas</v>
          </cell>
          <cell r="F2251">
            <v>158011.58215258786</v>
          </cell>
          <cell r="G2251">
            <v>162802.69387523245</v>
          </cell>
          <cell r="H2251">
            <v>167230.54555004404</v>
          </cell>
          <cell r="I2251">
            <v>163190.84245636733</v>
          </cell>
          <cell r="J2251">
            <v>169645.32246592798</v>
          </cell>
          <cell r="K2251">
            <v>178725.51749280395</v>
          </cell>
          <cell r="L2251">
            <v>176776.73965551762</v>
          </cell>
          <cell r="M2251">
            <v>170743.71114538534</v>
          </cell>
          <cell r="N2251">
            <v>160167.49641536549</v>
          </cell>
          <cell r="O2251">
            <v>149049.39809872821</v>
          </cell>
          <cell r="P2251">
            <v>161342.23304219241</v>
          </cell>
          <cell r="Q2251">
            <v>137183.86405812189</v>
          </cell>
          <cell r="R2251">
            <v>140762.87565830818</v>
          </cell>
          <cell r="S2251">
            <v>158355.93958237144</v>
          </cell>
          <cell r="T2251">
            <v>158846.29310838573</v>
          </cell>
          <cell r="U2251">
            <v>155431.45342763793</v>
          </cell>
          <cell r="V2251">
            <v>157989.58666224114</v>
          </cell>
          <cell r="W2251">
            <v>150892.98752700325</v>
          </cell>
          <cell r="X2251">
            <v>148976.51039700329</v>
          </cell>
          <cell r="Y2251">
            <v>138893.46070749665</v>
          </cell>
          <cell r="Z2251">
            <v>144782.48831545954</v>
          </cell>
          <cell r="AA2251">
            <v>142474.7798786464</v>
          </cell>
          <cell r="AB2251">
            <v>143585.6180111492</v>
          </cell>
          <cell r="AC2251">
            <v>155063.06340332693</v>
          </cell>
          <cell r="AD2251">
            <v>158435.35270252303</v>
          </cell>
          <cell r="AE2251">
            <v>156231.50706575805</v>
          </cell>
          <cell r="AF2251">
            <v>151450.80254268512</v>
          </cell>
          <cell r="AG2251">
            <v>148730.73566019753</v>
          </cell>
          <cell r="AH2251">
            <v>156421.49362922186</v>
          </cell>
          <cell r="AI2251">
            <v>153892.99718075461</v>
          </cell>
          <cell r="AJ2251">
            <v>150631.46142597409</v>
          </cell>
        </row>
        <row r="2252">
          <cell r="E2252" t="str">
            <v>HI Industrial Natural Gas</v>
          </cell>
          <cell r="F2252">
            <v>0</v>
          </cell>
          <cell r="G2252">
            <v>0</v>
          </cell>
          <cell r="H2252">
            <v>0</v>
          </cell>
          <cell r="I2252">
            <v>0</v>
          </cell>
          <cell r="J2252">
            <v>0</v>
          </cell>
          <cell r="K2252">
            <v>0</v>
          </cell>
          <cell r="L2252">
            <v>0</v>
          </cell>
          <cell r="M2252">
            <v>334.62196815994366</v>
          </cell>
          <cell r="N2252">
            <v>372.55750663627595</v>
          </cell>
          <cell r="O2252">
            <v>460.27936081517834</v>
          </cell>
          <cell r="P2252">
            <v>535.08907650775882</v>
          </cell>
          <cell r="Q2252">
            <v>529.85306988009984</v>
          </cell>
          <cell r="R2252">
            <v>483.24675311827235</v>
          </cell>
          <cell r="S2252">
            <v>448.72888094798674</v>
          </cell>
          <cell r="T2252">
            <v>449.05788309199625</v>
          </cell>
          <cell r="U2252">
            <v>437.37746180795369</v>
          </cell>
          <cell r="V2252">
            <v>453.76101317133879</v>
          </cell>
          <cell r="W2252">
            <v>500.4567309934539</v>
          </cell>
          <cell r="X2252">
            <v>434.50556863192759</v>
          </cell>
          <cell r="Y2252">
            <v>346.232671837591</v>
          </cell>
          <cell r="Z2252">
            <v>340.94648051285327</v>
          </cell>
          <cell r="AA2252">
            <v>365.814928351785</v>
          </cell>
          <cell r="AB2252">
            <v>358.22056837652553</v>
          </cell>
          <cell r="AC2252">
            <v>377.05656807512815</v>
          </cell>
          <cell r="AD2252">
            <v>373.06950857158546</v>
          </cell>
          <cell r="AE2252">
            <v>419.4809053912669</v>
          </cell>
          <cell r="AF2252">
            <v>78.335621549900353</v>
          </cell>
          <cell r="AG2252">
            <v>79.963797042301337</v>
          </cell>
          <cell r="AH2252">
            <v>83.609827392680828</v>
          </cell>
          <cell r="AI2252">
            <v>85.533483726267164</v>
          </cell>
          <cell r="AJ2252">
            <v>72.929682610219785</v>
          </cell>
        </row>
        <row r="2253">
          <cell r="E2253" t="str">
            <v>IA Industrial Natural Gas</v>
          </cell>
          <cell r="F2253">
            <v>86295.718279151362</v>
          </cell>
          <cell r="G2253">
            <v>93165.364427170047</v>
          </cell>
          <cell r="H2253">
            <v>95821.767847813462</v>
          </cell>
          <cell r="I2253">
            <v>97457.150021379479</v>
          </cell>
          <cell r="J2253">
            <v>103295.90143402212</v>
          </cell>
          <cell r="K2253">
            <v>107626.05028452311</v>
          </cell>
          <cell r="L2253">
            <v>108735.22577421252</v>
          </cell>
          <cell r="M2253">
            <v>102775.52512407952</v>
          </cell>
          <cell r="N2253">
            <v>101001.95162100607</v>
          </cell>
          <cell r="O2253">
            <v>97424.540445330742</v>
          </cell>
          <cell r="P2253">
            <v>95913.524697802524</v>
          </cell>
          <cell r="Q2253">
            <v>89369.192200321166</v>
          </cell>
          <cell r="R2253">
            <v>88683.449780585797</v>
          </cell>
          <cell r="S2253">
            <v>90830.445570641517</v>
          </cell>
          <cell r="T2253">
            <v>90569.301697363902</v>
          </cell>
          <cell r="U2253">
            <v>92866.289737017127</v>
          </cell>
          <cell r="V2253">
            <v>98359.429111438949</v>
          </cell>
          <cell r="W2253">
            <v>136711.13881992578</v>
          </cell>
          <cell r="X2253">
            <v>158447.76622524901</v>
          </cell>
          <cell r="Y2253">
            <v>160211.91541508329</v>
          </cell>
          <cell r="Z2253">
            <v>162650.78828567988</v>
          </cell>
          <cell r="AA2253">
            <v>162855.20787903672</v>
          </cell>
          <cell r="AB2253">
            <v>165297.06733868169</v>
          </cell>
          <cell r="AC2253">
            <v>172681.27324956554</v>
          </cell>
          <cell r="AD2253">
            <v>173443.4060759171</v>
          </cell>
          <cell r="AE2253">
            <v>181899.09905555178</v>
          </cell>
          <cell r="AF2253">
            <v>193635.0183005259</v>
          </cell>
          <cell r="AG2253">
            <v>245257.63630191147</v>
          </cell>
          <cell r="AH2253">
            <v>260521.4949281021</v>
          </cell>
          <cell r="AI2253">
            <v>255298.22791532855</v>
          </cell>
          <cell r="AJ2253">
            <v>240366.63787241466</v>
          </cell>
        </row>
        <row r="2254">
          <cell r="E2254" t="str">
            <v>ID Industrial Natural Gas</v>
          </cell>
          <cell r="F2254">
            <v>22775.383274642852</v>
          </cell>
          <cell r="G2254">
            <v>26128.347219651725</v>
          </cell>
          <cell r="H2254">
            <v>26387.173198758741</v>
          </cell>
          <cell r="I2254">
            <v>28719.0366503693</v>
          </cell>
          <cell r="J2254">
            <v>29288.300047969529</v>
          </cell>
          <cell r="K2254">
            <v>33236.591990105146</v>
          </cell>
          <cell r="L2254">
            <v>33858.187444024035</v>
          </cell>
          <cell r="M2254">
            <v>34298.751736394232</v>
          </cell>
          <cell r="N2254">
            <v>33761.483565761657</v>
          </cell>
          <cell r="O2254">
            <v>33126.909242931746</v>
          </cell>
          <cell r="P2254">
            <v>31727.634654107114</v>
          </cell>
          <cell r="Q2254">
            <v>29780.435065547754</v>
          </cell>
          <cell r="R2254">
            <v>28370.611464318572</v>
          </cell>
          <cell r="S2254">
            <v>24562.357433912057</v>
          </cell>
          <cell r="T2254">
            <v>23930.842690600664</v>
          </cell>
          <cell r="U2254">
            <v>23128.135672745859</v>
          </cell>
          <cell r="V2254">
            <v>23630.181575744718</v>
          </cell>
          <cell r="W2254">
            <v>23720.304251731959</v>
          </cell>
          <cell r="X2254">
            <v>24910.687033633556</v>
          </cell>
          <cell r="Y2254">
            <v>24006.110000985151</v>
          </cell>
          <cell r="Z2254">
            <v>23876.878030476615</v>
          </cell>
          <cell r="AA2254">
            <v>24941.049468628295</v>
          </cell>
          <cell r="AB2254">
            <v>29202.217978381774</v>
          </cell>
          <cell r="AC2254">
            <v>27755.230657181484</v>
          </cell>
          <cell r="AD2254">
            <v>27662.377301800127</v>
          </cell>
          <cell r="AE2254">
            <v>31723.968379613278</v>
          </cell>
          <cell r="AF2254">
            <v>35173.661182344149</v>
          </cell>
          <cell r="AG2254">
            <v>36187.95354822799</v>
          </cell>
          <cell r="AH2254">
            <v>34824.934657799713</v>
          </cell>
          <cell r="AI2254">
            <v>38409.339444988691</v>
          </cell>
          <cell r="AJ2254">
            <v>37857.222482312907</v>
          </cell>
        </row>
        <row r="2255">
          <cell r="E2255" t="str">
            <v>IL Industrial Natural Gas</v>
          </cell>
          <cell r="F2255">
            <v>267667.73942352884</v>
          </cell>
          <cell r="G2255">
            <v>292742.41207564261</v>
          </cell>
          <cell r="H2255">
            <v>289754.93907104403</v>
          </cell>
          <cell r="I2255">
            <v>295743.2362141388</v>
          </cell>
          <cell r="J2255">
            <v>295218.44704322016</v>
          </cell>
          <cell r="K2255">
            <v>310526.22121798282</v>
          </cell>
          <cell r="L2255">
            <v>312045.96923617454</v>
          </cell>
          <cell r="M2255">
            <v>308394.07014422538</v>
          </cell>
          <cell r="N2255">
            <v>293638.83012237435</v>
          </cell>
          <cell r="O2255">
            <v>294226.03583781072</v>
          </cell>
          <cell r="P2255">
            <v>293557.87940110959</v>
          </cell>
          <cell r="Q2255">
            <v>272015.60359913541</v>
          </cell>
          <cell r="R2255">
            <v>282240.07439414237</v>
          </cell>
          <cell r="S2255">
            <v>264788.64009315718</v>
          </cell>
          <cell r="T2255">
            <v>256880.34072961079</v>
          </cell>
          <cell r="U2255">
            <v>254177.82653581825</v>
          </cell>
          <cell r="V2255">
            <v>239748.28446977612</v>
          </cell>
          <cell r="W2255">
            <v>248447.46956724161</v>
          </cell>
          <cell r="X2255">
            <v>258528.88220013634</v>
          </cell>
          <cell r="Y2255">
            <v>230324.99859256373</v>
          </cell>
          <cell r="Z2255">
            <v>278364.93303877447</v>
          </cell>
          <cell r="AA2255">
            <v>276561.87709930592</v>
          </cell>
          <cell r="AB2255">
            <v>270459.42578655476</v>
          </cell>
          <cell r="AC2255">
            <v>288737.35127966397</v>
          </cell>
          <cell r="AD2255">
            <v>292130.86742234178</v>
          </cell>
          <cell r="AE2255">
            <v>265327.47193516605</v>
          </cell>
          <cell r="AF2255">
            <v>255006.62580589784</v>
          </cell>
          <cell r="AG2255">
            <v>257572.06104642586</v>
          </cell>
          <cell r="AH2255">
            <v>260157.26361106959</v>
          </cell>
          <cell r="AI2255">
            <v>267172.96639759548</v>
          </cell>
          <cell r="AJ2255">
            <v>259716.99379129731</v>
          </cell>
        </row>
        <row r="2256">
          <cell r="E2256" t="str">
            <v>IN Industrial Natural Gas</v>
          </cell>
          <cell r="F2256">
            <v>220628.68990546226</v>
          </cell>
          <cell r="G2256">
            <v>219169.03903545419</v>
          </cell>
          <cell r="H2256">
            <v>235183.55560448888</v>
          </cell>
          <cell r="I2256">
            <v>253179.18239097795</v>
          </cell>
          <cell r="J2256">
            <v>259105.71632706816</v>
          </cell>
          <cell r="K2256">
            <v>264270.976117643</v>
          </cell>
          <cell r="L2256">
            <v>277657.29185578378</v>
          </cell>
          <cell r="M2256">
            <v>278799.03857389762</v>
          </cell>
          <cell r="N2256">
            <v>276993.18824190012</v>
          </cell>
          <cell r="O2256">
            <v>299301.37034712726</v>
          </cell>
          <cell r="P2256">
            <v>291948.79691970389</v>
          </cell>
          <cell r="Q2256">
            <v>246993.26833352726</v>
          </cell>
          <cell r="R2256">
            <v>250125.25941608005</v>
          </cell>
          <cell r="S2256">
            <v>261721.84356917287</v>
          </cell>
          <cell r="T2256">
            <v>255055.26179575938</v>
          </cell>
          <cell r="U2256">
            <v>258462.20312324254</v>
          </cell>
          <cell r="V2256">
            <v>258058.31043770263</v>
          </cell>
          <cell r="W2256">
            <v>267815.43322755065</v>
          </cell>
          <cell r="X2256">
            <v>266388.60515272274</v>
          </cell>
          <cell r="Y2256">
            <v>240728.41996395189</v>
          </cell>
          <cell r="Z2256">
            <v>283182.61305236688</v>
          </cell>
          <cell r="AA2256">
            <v>319464.53607109614</v>
          </cell>
          <cell r="AB2256">
            <v>337353.01332597708</v>
          </cell>
          <cell r="AC2256">
            <v>350310.68884633237</v>
          </cell>
          <cell r="AD2256">
            <v>370900.86036331736</v>
          </cell>
          <cell r="AE2256">
            <v>368913.15882845514</v>
          </cell>
          <cell r="AF2256">
            <v>371964.61009921576</v>
          </cell>
          <cell r="AG2256">
            <v>380371.40440312243</v>
          </cell>
          <cell r="AH2256">
            <v>421621.294761319</v>
          </cell>
          <cell r="AI2256">
            <v>431222.34398306016</v>
          </cell>
          <cell r="AJ2256">
            <v>380661.27638947708</v>
          </cell>
        </row>
        <row r="2257">
          <cell r="E2257" t="str">
            <v>KS Industrial Natural Gas</v>
          </cell>
          <cell r="F2257">
            <v>149767.61522915584</v>
          </cell>
          <cell r="G2257">
            <v>161126.38897591052</v>
          </cell>
          <cell r="H2257">
            <v>163218.71002691556</v>
          </cell>
          <cell r="I2257">
            <v>183372.19762219174</v>
          </cell>
          <cell r="J2257">
            <v>218507.79127755846</v>
          </cell>
          <cell r="K2257">
            <v>166924.60683128654</v>
          </cell>
          <cell r="L2257">
            <v>150106.78591914411</v>
          </cell>
          <cell r="M2257">
            <v>154728.43757268487</v>
          </cell>
          <cell r="N2257">
            <v>136468.85746269306</v>
          </cell>
          <cell r="O2257">
            <v>120318.72266882833</v>
          </cell>
          <cell r="P2257">
            <v>133227.64192072593</v>
          </cell>
          <cell r="Q2257">
            <v>111931.70141737521</v>
          </cell>
          <cell r="R2257">
            <v>133260.08628697786</v>
          </cell>
          <cell r="S2257">
            <v>122477.89428180114</v>
          </cell>
          <cell r="T2257">
            <v>112895.26728543664</v>
          </cell>
          <cell r="U2257">
            <v>114773.61359328803</v>
          </cell>
          <cell r="V2257">
            <v>129489.16505953454</v>
          </cell>
          <cell r="W2257">
            <v>139374.79815782377</v>
          </cell>
          <cell r="X2257">
            <v>128819.31428420302</v>
          </cell>
          <cell r="Y2257">
            <v>123134.07135667668</v>
          </cell>
          <cell r="Z2257">
            <v>122119.68882890546</v>
          </cell>
          <cell r="AA2257">
            <v>126431.04441937628</v>
          </cell>
          <cell r="AB2257">
            <v>132270.28959927722</v>
          </cell>
          <cell r="AC2257">
            <v>133915.99080459031</v>
          </cell>
          <cell r="AD2257">
            <v>133691.63867297643</v>
          </cell>
          <cell r="AE2257">
            <v>139729.66951334997</v>
          </cell>
          <cell r="AF2257">
            <v>139538.95253490584</v>
          </cell>
          <cell r="AG2257">
            <v>140051.29171376268</v>
          </cell>
          <cell r="AH2257">
            <v>144534.48265197969</v>
          </cell>
          <cell r="AI2257">
            <v>143161.90864943439</v>
          </cell>
          <cell r="AJ2257">
            <v>144528.39851280308</v>
          </cell>
        </row>
        <row r="2258">
          <cell r="E2258" t="str">
            <v>KY Industrial Natural Gas</v>
          </cell>
          <cell r="F2258">
            <v>70682.518710683726</v>
          </cell>
          <cell r="G2258">
            <v>73571.47569451858</v>
          </cell>
          <cell r="H2258">
            <v>76606.638744829354</v>
          </cell>
          <cell r="I2258">
            <v>78875.304895743888</v>
          </cell>
          <cell r="J2258">
            <v>86390.679108271783</v>
          </cell>
          <cell r="K2258">
            <v>97120.650670472751</v>
          </cell>
          <cell r="L2258">
            <v>96666.104372463626</v>
          </cell>
          <cell r="M2258">
            <v>98028.075950810322</v>
          </cell>
          <cell r="N2258">
            <v>93683.519175122987</v>
          </cell>
          <cell r="O2258">
            <v>98348.87194860712</v>
          </cell>
          <cell r="P2258">
            <v>102948.84916896337</v>
          </cell>
          <cell r="Q2258">
            <v>97104.470048080737</v>
          </cell>
          <cell r="R2258">
            <v>106457.15030152512</v>
          </cell>
          <cell r="S2258">
            <v>105183.97971090034</v>
          </cell>
          <cell r="T2258">
            <v>116419.45816666183</v>
          </cell>
          <cell r="U2258">
            <v>114296.82409646003</v>
          </cell>
          <cell r="V2258">
            <v>111068.58291255144</v>
          </cell>
          <cell r="W2258">
            <v>111090.82801559297</v>
          </cell>
          <cell r="X2258">
            <v>110531.45768445033</v>
          </cell>
          <cell r="Y2258">
            <v>98852.329200737018</v>
          </cell>
          <cell r="Z2258">
            <v>107408.76575612566</v>
          </cell>
          <cell r="AA2258">
            <v>108831.38900099516</v>
          </cell>
          <cell r="AB2258">
            <v>111815.99170038689</v>
          </cell>
          <cell r="AC2258">
            <v>115544.63463391445</v>
          </cell>
          <cell r="AD2258">
            <v>121065.41608417706</v>
          </cell>
          <cell r="AE2258">
            <v>121298.60641448807</v>
          </cell>
          <cell r="AF2258">
            <v>120284.83044309144</v>
          </cell>
          <cell r="AG2258">
            <v>119917.75640544927</v>
          </cell>
          <cell r="AH2258">
            <v>124529.63015765735</v>
          </cell>
          <cell r="AI2258">
            <v>127567.90520064328</v>
          </cell>
          <cell r="AJ2258">
            <v>122189.84480907535</v>
          </cell>
        </row>
        <row r="2259">
          <cell r="E2259" t="str">
            <v>LA Industrial Natural Gas</v>
          </cell>
          <cell r="F2259">
            <v>1155313.1337597074</v>
          </cell>
          <cell r="G2259">
            <v>1113987.6144724789</v>
          </cell>
          <cell r="H2259">
            <v>1140804.9809739722</v>
          </cell>
          <cell r="I2259">
            <v>1176196.1483123961</v>
          </cell>
          <cell r="J2259">
            <v>1147896.1457645192</v>
          </cell>
          <cell r="K2259">
            <v>1188285.2209468496</v>
          </cell>
          <cell r="L2259">
            <v>1203605.6097112987</v>
          </cell>
          <cell r="M2259">
            <v>1329013.8881662462</v>
          </cell>
          <cell r="N2259">
            <v>1140611.8240960659</v>
          </cell>
          <cell r="O2259">
            <v>1038028.0509610238</v>
          </cell>
          <cell r="P2259">
            <v>1122027.4260974461</v>
          </cell>
          <cell r="Q2259">
            <v>932244.2621566836</v>
          </cell>
          <cell r="R2259">
            <v>971656.76767611189</v>
          </cell>
          <cell r="S2259">
            <v>951182.67154977401</v>
          </cell>
          <cell r="T2259">
            <v>985099.33587696648</v>
          </cell>
          <cell r="U2259">
            <v>923944.98839752632</v>
          </cell>
          <cell r="V2259">
            <v>995769.89118179423</v>
          </cell>
          <cell r="W2259">
            <v>1039069.2053046083</v>
          </cell>
          <cell r="X2259">
            <v>973481.7250498553</v>
          </cell>
          <cell r="Y2259">
            <v>940807.98102845612</v>
          </cell>
          <cell r="Z2259">
            <v>1047082.3782549128</v>
          </cell>
          <cell r="AA2259">
            <v>1078291.1400996484</v>
          </cell>
          <cell r="AB2259">
            <v>1109482.4823731417</v>
          </cell>
          <cell r="AC2259">
            <v>1088580.6814554422</v>
          </cell>
          <cell r="AD2259">
            <v>1109586.2394287412</v>
          </cell>
          <cell r="AE2259">
            <v>1098069.5600767026</v>
          </cell>
          <cell r="AF2259">
            <v>1189228.5444520595</v>
          </cell>
          <cell r="AG2259">
            <v>1221042.363739734</v>
          </cell>
          <cell r="AH2259">
            <v>1293605.4832245652</v>
          </cell>
          <cell r="AI2259">
            <v>1320087.2679168074</v>
          </cell>
          <cell r="AJ2259">
            <v>1258711.624590436</v>
          </cell>
        </row>
        <row r="2260">
          <cell r="E2260" t="str">
            <v>MA Industrial Natural Gas</v>
          </cell>
          <cell r="F2260">
            <v>43582.851864337412</v>
          </cell>
          <cell r="G2260">
            <v>53998.457764235573</v>
          </cell>
          <cell r="H2260">
            <v>69771.835132226799</v>
          </cell>
          <cell r="I2260">
            <v>70218.965396348183</v>
          </cell>
          <cell r="J2260">
            <v>63512.777213977461</v>
          </cell>
          <cell r="K2260">
            <v>61804.222862581883</v>
          </cell>
          <cell r="L2260">
            <v>60301.874863452584</v>
          </cell>
          <cell r="M2260">
            <v>62815.768216115794</v>
          </cell>
          <cell r="N2260">
            <v>60665.254655678989</v>
          </cell>
          <cell r="O2260">
            <v>78073.000187451617</v>
          </cell>
          <cell r="P2260">
            <v>74579.589984346123</v>
          </cell>
          <cell r="Q2260">
            <v>81609.873832149606</v>
          </cell>
          <cell r="R2260">
            <v>85294.010748297922</v>
          </cell>
          <cell r="S2260">
            <v>43782.428663677762</v>
          </cell>
          <cell r="T2260">
            <v>43060.516194309814</v>
          </cell>
          <cell r="U2260">
            <v>46597.521892616605</v>
          </cell>
          <cell r="V2260">
            <v>42047.879648491558</v>
          </cell>
          <cell r="W2260">
            <v>45201.520902800308</v>
          </cell>
          <cell r="X2260">
            <v>43719.950315744558</v>
          </cell>
          <cell r="Y2260">
            <v>39271.295733623519</v>
          </cell>
          <cell r="Z2260">
            <v>44160.778985860277</v>
          </cell>
          <cell r="AA2260">
            <v>47254.794887194432</v>
          </cell>
          <cell r="AB2260">
            <v>43853.535780390936</v>
          </cell>
          <cell r="AC2260">
            <v>46602.258190659813</v>
          </cell>
          <cell r="AD2260">
            <v>45224.745544271333</v>
          </cell>
          <cell r="AE2260">
            <v>44324.826821055547</v>
          </cell>
          <cell r="AF2260">
            <v>45553.61459092539</v>
          </cell>
          <cell r="AG2260">
            <v>46637.198641249677</v>
          </cell>
          <cell r="AH2260">
            <v>47069.449724583006</v>
          </cell>
          <cell r="AI2260">
            <v>48337.950909888314</v>
          </cell>
          <cell r="AJ2260">
            <v>45216.403218336272</v>
          </cell>
        </row>
        <row r="2261">
          <cell r="E2261" t="str">
            <v>MD Industrial Natural Gas</v>
          </cell>
          <cell r="F2261">
            <v>60339.569425410133</v>
          </cell>
          <cell r="G2261">
            <v>45848.409439348929</v>
          </cell>
          <cell r="H2261">
            <v>48367.484802808249</v>
          </cell>
          <cell r="I2261">
            <v>47638.819802299971</v>
          </cell>
          <cell r="J2261">
            <v>46548.813433079638</v>
          </cell>
          <cell r="K2261">
            <v>47601.021217730558</v>
          </cell>
          <cell r="L2261">
            <v>48936.270581616584</v>
          </cell>
          <cell r="M2261">
            <v>64818.746872118638</v>
          </cell>
          <cell r="N2261">
            <v>37871.939923967489</v>
          </cell>
          <cell r="O2261">
            <v>36280.01150359802</v>
          </cell>
          <cell r="P2261">
            <v>39472.595975395889</v>
          </cell>
          <cell r="Q2261">
            <v>27347.5343998551</v>
          </cell>
          <cell r="R2261">
            <v>27010.04173678915</v>
          </cell>
          <cell r="S2261">
            <v>21866.124114839637</v>
          </cell>
          <cell r="T2261">
            <v>23288.507217569713</v>
          </cell>
          <cell r="U2261">
            <v>23946.175716698755</v>
          </cell>
          <cell r="V2261">
            <v>22940.887833278935</v>
          </cell>
          <cell r="W2261">
            <v>20336.217757893304</v>
          </cell>
          <cell r="X2261">
            <v>21147.868809281063</v>
          </cell>
          <cell r="Y2261">
            <v>23970.326177359479</v>
          </cell>
          <cell r="Z2261">
            <v>23155.385053300692</v>
          </cell>
          <cell r="AA2261">
            <v>21049.319149065243</v>
          </cell>
          <cell r="AB2261">
            <v>17661.915462920228</v>
          </cell>
          <cell r="AC2261">
            <v>14110.616951426911</v>
          </cell>
          <cell r="AD2261">
            <v>15040.999771553634</v>
          </cell>
          <cell r="AE2261">
            <v>15066.516942947163</v>
          </cell>
          <cell r="AF2261">
            <v>15651.650606957868</v>
          </cell>
          <cell r="AG2261">
            <v>15885.819872656708</v>
          </cell>
          <cell r="AH2261">
            <v>16284.695691597432</v>
          </cell>
          <cell r="AI2261">
            <v>18420.452613273741</v>
          </cell>
          <cell r="AJ2261">
            <v>17045.394107964923</v>
          </cell>
        </row>
        <row r="2262">
          <cell r="E2262" t="str">
            <v>ME Industrial Natural Gas</v>
          </cell>
          <cell r="F2262">
            <v>1931.8235855139101</v>
          </cell>
          <cell r="G2262">
            <v>2104.1563478755183</v>
          </cell>
          <cell r="H2262">
            <v>1965.6573106237438</v>
          </cell>
          <cell r="I2262">
            <v>1687.7916032378071</v>
          </cell>
          <cell r="J2262">
            <v>1701.6073136270588</v>
          </cell>
          <cell r="K2262">
            <v>1920.5050301030938</v>
          </cell>
          <cell r="L2262">
            <v>2115.3048537921454</v>
          </cell>
          <cell r="M2262">
            <v>2433.6143138904995</v>
          </cell>
          <cell r="N2262">
            <v>2214.4894033138439</v>
          </cell>
          <cell r="O2262">
            <v>2451.3648745054275</v>
          </cell>
          <cell r="P2262">
            <v>14277.626356942321</v>
          </cell>
          <cell r="Q2262">
            <v>12365.482079107449</v>
          </cell>
          <cell r="R2262">
            <v>23641.696808804048</v>
          </cell>
          <cell r="S2262">
            <v>3345.683936014344</v>
          </cell>
          <cell r="T2262">
            <v>16259.357056108274</v>
          </cell>
          <cell r="U2262">
            <v>6543.3590824763533</v>
          </cell>
          <cell r="V2262">
            <v>17743.7860595411</v>
          </cell>
          <cell r="W2262">
            <v>22262.159688108037</v>
          </cell>
          <cell r="X2262">
            <v>26396.696078354747</v>
          </cell>
          <cell r="Y2262">
            <v>26144.435245211167</v>
          </cell>
          <cell r="Z2262">
            <v>28454.060385010362</v>
          </cell>
          <cell r="AA2262">
            <v>27880.116637048308</v>
          </cell>
          <cell r="AB2262">
            <v>30050.940025829121</v>
          </cell>
          <cell r="AC2262">
            <v>32202.56453704197</v>
          </cell>
          <cell r="AD2262">
            <v>24141.957757279168</v>
          </cell>
          <cell r="AE2262">
            <v>20889.955779312098</v>
          </cell>
          <cell r="AF2262">
            <v>18904.996667375952</v>
          </cell>
          <cell r="AG2262">
            <v>17666.218630899755</v>
          </cell>
          <cell r="AH2262">
            <v>19161.065960405405</v>
          </cell>
          <cell r="AI2262">
            <v>20950.898261040722</v>
          </cell>
          <cell r="AJ2262">
            <v>22628.353231994643</v>
          </cell>
        </row>
        <row r="2263">
          <cell r="E2263" t="str">
            <v>MI Industrial Natural Gas</v>
          </cell>
          <cell r="F2263">
            <v>287361.13275963056</v>
          </cell>
          <cell r="G2263">
            <v>276614.97388182668</v>
          </cell>
          <cell r="H2263">
            <v>306559.17764123902</v>
          </cell>
          <cell r="I2263">
            <v>242846.44245777011</v>
          </cell>
          <cell r="J2263">
            <v>235156.2565977448</v>
          </cell>
          <cell r="K2263">
            <v>250753.46589835442</v>
          </cell>
          <cell r="L2263">
            <v>255547.84031430504</v>
          </cell>
          <cell r="M2263">
            <v>252573.9924499534</v>
          </cell>
          <cell r="N2263">
            <v>222704.07045552286</v>
          </cell>
          <cell r="O2263">
            <v>243884.86713947359</v>
          </cell>
          <cell r="P2263">
            <v>244323.00767160155</v>
          </cell>
          <cell r="Q2263">
            <v>231253.45880939392</v>
          </cell>
          <cell r="R2263">
            <v>244245.75725314108</v>
          </cell>
          <cell r="S2263">
            <v>220998.4913627104</v>
          </cell>
          <cell r="T2263">
            <v>215564.13074499881</v>
          </cell>
          <cell r="U2263">
            <v>216715.24534553348</v>
          </cell>
          <cell r="V2263">
            <v>194561.57069415654</v>
          </cell>
          <cell r="W2263">
            <v>153412.5614337131</v>
          </cell>
          <cell r="X2263">
            <v>146959.43899062084</v>
          </cell>
          <cell r="Y2263">
            <v>135398.25155659983</v>
          </cell>
          <cell r="Z2263">
            <v>148875.77778971868</v>
          </cell>
          <cell r="AA2263">
            <v>154845.88789100741</v>
          </cell>
          <cell r="AB2263">
            <v>164158.6790634366</v>
          </cell>
          <cell r="AC2263">
            <v>176840.4972389481</v>
          </cell>
          <cell r="AD2263">
            <v>185393.25849073473</v>
          </cell>
          <cell r="AE2263">
            <v>178094.77453108167</v>
          </cell>
          <cell r="AF2263">
            <v>179990.11355425994</v>
          </cell>
          <cell r="AG2263">
            <v>177559.12962280939</v>
          </cell>
          <cell r="AH2263">
            <v>183540.86971191221</v>
          </cell>
          <cell r="AI2263">
            <v>182156.52777520171</v>
          </cell>
          <cell r="AJ2263">
            <v>161451.92328272198</v>
          </cell>
        </row>
        <row r="2264">
          <cell r="E2264" t="str">
            <v>MN Industrial Natural Gas</v>
          </cell>
          <cell r="F2264">
            <v>84238.525611391713</v>
          </cell>
          <cell r="G2264">
            <v>88561.455159253048</v>
          </cell>
          <cell r="H2264">
            <v>89088.325841108133</v>
          </cell>
          <cell r="I2264">
            <v>93827.164031063745</v>
          </cell>
          <cell r="J2264">
            <v>90484.579554921293</v>
          </cell>
          <cell r="K2264">
            <v>102023.86598189645</v>
          </cell>
          <cell r="L2264">
            <v>99170.245039829257</v>
          </cell>
          <cell r="M2264">
            <v>103869.70093473888</v>
          </cell>
          <cell r="N2264">
            <v>101028.49515837456</v>
          </cell>
          <cell r="O2264">
            <v>100140.94323046949</v>
          </cell>
          <cell r="P2264">
            <v>102491.01894307436</v>
          </cell>
          <cell r="Q2264">
            <v>89941.356586126349</v>
          </cell>
          <cell r="R2264">
            <v>92378.753325264028</v>
          </cell>
          <cell r="S2264">
            <v>92203.652447176966</v>
          </cell>
          <cell r="T2264">
            <v>94028.105135226666</v>
          </cell>
          <cell r="U2264">
            <v>92427.951006062329</v>
          </cell>
          <cell r="V2264">
            <v>100682.0702297058</v>
          </cell>
          <cell r="W2264">
            <v>111218.58376457977</v>
          </cell>
          <cell r="X2264">
            <v>142163.46308085465</v>
          </cell>
          <cell r="Y2264">
            <v>127885.58285594507</v>
          </cell>
          <cell r="Z2264">
            <v>154572.38499103542</v>
          </cell>
          <cell r="AA2264">
            <v>153826.6251882647</v>
          </cell>
          <cell r="AB2264">
            <v>157361.17825111657</v>
          </cell>
          <cell r="AC2264">
            <v>158910.00720940623</v>
          </cell>
          <cell r="AD2264">
            <v>173646.89853513794</v>
          </cell>
          <cell r="AE2264">
            <v>157958.72452643589</v>
          </cell>
          <cell r="AF2264">
            <v>162967.10601695935</v>
          </cell>
          <cell r="AG2264">
            <v>164743.72687272876</v>
          </cell>
          <cell r="AH2264">
            <v>162379.89512157382</v>
          </cell>
          <cell r="AI2264">
            <v>163950.38939643311</v>
          </cell>
          <cell r="AJ2264">
            <v>141790.65661165889</v>
          </cell>
        </row>
        <row r="2265">
          <cell r="E2265" t="str">
            <v>MO Industrial Natural Gas</v>
          </cell>
          <cell r="F2265">
            <v>52362.486684637603</v>
          </cell>
          <cell r="G2265">
            <v>54723.24381012236</v>
          </cell>
          <cell r="H2265">
            <v>55491.216357454301</v>
          </cell>
          <cell r="I2265">
            <v>58113.000089209963</v>
          </cell>
          <cell r="J2265">
            <v>67217.278659568663</v>
          </cell>
          <cell r="K2265">
            <v>65822.583263839566</v>
          </cell>
          <cell r="L2265">
            <v>68474.08184017046</v>
          </cell>
          <cell r="M2265">
            <v>68031.878270927191</v>
          </cell>
          <cell r="N2265">
            <v>61586.694595756497</v>
          </cell>
          <cell r="O2265">
            <v>61532.182255861895</v>
          </cell>
          <cell r="P2265">
            <v>66320.523471902838</v>
          </cell>
          <cell r="Q2265">
            <v>65651.776382675453</v>
          </cell>
          <cell r="R2265">
            <v>65004.358877790459</v>
          </cell>
          <cell r="S2265">
            <v>60209.765739758572</v>
          </cell>
          <cell r="T2265">
            <v>63231.580891570637</v>
          </cell>
          <cell r="U2265">
            <v>65043.315551150285</v>
          </cell>
          <cell r="V2265">
            <v>64380.227817919949</v>
          </cell>
          <cell r="W2265">
            <v>66459.88542029768</v>
          </cell>
          <cell r="X2265">
            <v>64867.81912502562</v>
          </cell>
          <cell r="Y2265">
            <v>61694.213321764713</v>
          </cell>
          <cell r="Z2265">
            <v>63652.67961823957</v>
          </cell>
          <cell r="AA2265">
            <v>61354.595608468509</v>
          </cell>
          <cell r="AB2265">
            <v>60859.840014395631</v>
          </cell>
          <cell r="AC2265">
            <v>61977.464862707922</v>
          </cell>
          <cell r="AD2265">
            <v>65903.4554479535</v>
          </cell>
          <cell r="AE2265">
            <v>64052.027924824572</v>
          </cell>
          <cell r="AF2265">
            <v>62954.76074583103</v>
          </cell>
          <cell r="AG2265">
            <v>61185.792606741154</v>
          </cell>
          <cell r="AH2265">
            <v>65563.5591308445</v>
          </cell>
          <cell r="AI2265">
            <v>64252.945185247685</v>
          </cell>
          <cell r="AJ2265">
            <v>62399.979882825821</v>
          </cell>
        </row>
        <row r="2266">
          <cell r="E2266" t="str">
            <v>MS Industrial Natural Gas</v>
          </cell>
          <cell r="F2266">
            <v>105981.51348905638</v>
          </cell>
          <cell r="G2266">
            <v>106744.66738636309</v>
          </cell>
          <cell r="H2266">
            <v>107261.41974327965</v>
          </cell>
          <cell r="I2266">
            <v>101971.85017042278</v>
          </cell>
          <cell r="J2266">
            <v>87537.084926472642</v>
          </cell>
          <cell r="K2266">
            <v>85253.352180754227</v>
          </cell>
          <cell r="L2266">
            <v>82664.212288575669</v>
          </cell>
          <cell r="M2266">
            <v>86281.133733331837</v>
          </cell>
          <cell r="N2266">
            <v>82124.756634623976</v>
          </cell>
          <cell r="O2266">
            <v>121901.40456933626</v>
          </cell>
          <cell r="P2266">
            <v>119778.87903523681</v>
          </cell>
          <cell r="Q2266">
            <v>101579.85332797545</v>
          </cell>
          <cell r="R2266">
            <v>104830.98662436522</v>
          </cell>
          <cell r="S2266">
            <v>94193.499656886095</v>
          </cell>
          <cell r="T2266">
            <v>105296.86173470225</v>
          </cell>
          <cell r="U2266">
            <v>98139.812276530167</v>
          </cell>
          <cell r="V2266">
            <v>102761.48775404818</v>
          </cell>
          <cell r="W2266">
            <v>109469.38662995583</v>
          </cell>
          <cell r="X2266">
            <v>114043.22824692659</v>
          </cell>
          <cell r="Y2266">
            <v>108265.40907502548</v>
          </cell>
          <cell r="Z2266">
            <v>125092.58760232915</v>
          </cell>
          <cell r="AA2266">
            <v>113918.05040578119</v>
          </cell>
          <cell r="AB2266">
            <v>114501.19763207184</v>
          </cell>
          <cell r="AC2266">
            <v>115490.49317798571</v>
          </cell>
          <cell r="AD2266">
            <v>119509.18327699274</v>
          </cell>
          <cell r="AE2266">
            <v>124655.42020348315</v>
          </cell>
          <cell r="AF2266">
            <v>117955.07103181107</v>
          </cell>
          <cell r="AG2266">
            <v>129990.30457505482</v>
          </cell>
          <cell r="AH2266">
            <v>135067.35150663141</v>
          </cell>
          <cell r="AI2266">
            <v>133003.60614396649</v>
          </cell>
          <cell r="AJ2266">
            <v>131018.17480925986</v>
          </cell>
        </row>
        <row r="2267">
          <cell r="E2267" t="str">
            <v>MT Industrial Natural Gas</v>
          </cell>
          <cell r="F2267">
            <v>11395.289763518138</v>
          </cell>
          <cell r="G2267">
            <v>11274.97664314722</v>
          </cell>
          <cell r="H2267">
            <v>13647.819216460857</v>
          </cell>
          <cell r="I2267">
            <v>14557.914526015191</v>
          </cell>
          <cell r="J2267">
            <v>15696.285281102164</v>
          </cell>
          <cell r="K2267">
            <v>19901.174099596701</v>
          </cell>
          <cell r="L2267">
            <v>20076.857484216867</v>
          </cell>
          <cell r="M2267">
            <v>20623.930679630619</v>
          </cell>
          <cell r="N2267">
            <v>22773.407078685133</v>
          </cell>
          <cell r="O2267">
            <v>23245.050916578013</v>
          </cell>
          <cell r="P2267">
            <v>25804.456106668287</v>
          </cell>
          <cell r="Q2267">
            <v>23551.055416394782</v>
          </cell>
          <cell r="R2267">
            <v>24698.319669788845</v>
          </cell>
          <cell r="S2267">
            <v>23944.752092392246</v>
          </cell>
          <cell r="T2267">
            <v>24685.683029416974</v>
          </cell>
          <cell r="U2267">
            <v>27205.839393601549</v>
          </cell>
          <cell r="V2267">
            <v>32374.69466008052</v>
          </cell>
          <cell r="W2267">
            <v>31313.606475346649</v>
          </cell>
          <cell r="X2267">
            <v>32034.647223336582</v>
          </cell>
          <cell r="Y2267">
            <v>24205.338856847004</v>
          </cell>
          <cell r="Z2267">
            <v>22033.062644360365</v>
          </cell>
          <cell r="AA2267">
            <v>22165.102941082823</v>
          </cell>
          <cell r="AB2267">
            <v>22541.825847219312</v>
          </cell>
          <cell r="AC2267">
            <v>23836.742784339189</v>
          </cell>
          <cell r="AD2267">
            <v>25229.188896544933</v>
          </cell>
          <cell r="AE2267">
            <v>25533.242114564739</v>
          </cell>
          <cell r="AF2267">
            <v>24646.707595051983</v>
          </cell>
          <cell r="AG2267">
            <v>26794.615943861263</v>
          </cell>
          <cell r="AH2267">
            <v>28740.63790810934</v>
          </cell>
          <cell r="AI2267">
            <v>27956.955523563054</v>
          </cell>
          <cell r="AJ2267">
            <v>28347.575710375037</v>
          </cell>
        </row>
        <row r="2268">
          <cell r="E2268" t="str">
            <v>NC Industrial Natural Gas</v>
          </cell>
          <cell r="F2268">
            <v>84481.665649686474</v>
          </cell>
          <cell r="G2268">
            <v>83083.818210365207</v>
          </cell>
          <cell r="H2268">
            <v>89121.481506588534</v>
          </cell>
          <cell r="I2268">
            <v>90700.288023715402</v>
          </cell>
          <cell r="J2268">
            <v>93091.942209209519</v>
          </cell>
          <cell r="K2268">
            <v>104582.64256027578</v>
          </cell>
          <cell r="L2268">
            <v>102568.99328805709</v>
          </cell>
          <cell r="M2268">
            <v>109853.92050737196</v>
          </cell>
          <cell r="N2268">
            <v>105091.55234270809</v>
          </cell>
          <cell r="O2268">
            <v>104809.76051742674</v>
          </cell>
          <cell r="P2268">
            <v>104750.60187043066</v>
          </cell>
          <cell r="Q2268">
            <v>89060.511918231306</v>
          </cell>
          <cell r="R2268">
            <v>97711.726422176391</v>
          </cell>
          <cell r="S2268">
            <v>88965.084437582467</v>
          </cell>
          <cell r="T2268">
            <v>89746.189175036809</v>
          </cell>
          <cell r="U2268">
            <v>86521.913367934714</v>
          </cell>
          <cell r="V2268">
            <v>86695.271541930793</v>
          </cell>
          <cell r="W2268">
            <v>87753.791010821442</v>
          </cell>
          <cell r="X2268">
            <v>88803.282549063064</v>
          </cell>
          <cell r="Y2268">
            <v>81618.066038318386</v>
          </cell>
          <cell r="Z2268">
            <v>90735.22724877896</v>
          </cell>
          <cell r="AA2268">
            <v>96958.329809292496</v>
          </cell>
          <cell r="AB2268">
            <v>100042.99064859451</v>
          </cell>
          <cell r="AC2268">
            <v>107522.99785104436</v>
          </cell>
          <cell r="AD2268">
            <v>107161.06704912854</v>
          </cell>
          <cell r="AE2268">
            <v>105158.25701557386</v>
          </cell>
          <cell r="AF2268">
            <v>105554.83227239351</v>
          </cell>
          <cell r="AG2268">
            <v>107151.48803668379</v>
          </cell>
          <cell r="AH2268">
            <v>115522.8335792182</v>
          </cell>
          <cell r="AI2268">
            <v>118071.76640626973</v>
          </cell>
          <cell r="AJ2268">
            <v>114328.79270456324</v>
          </cell>
        </row>
        <row r="2269">
          <cell r="E2269" t="str">
            <v>ND Industrial Natural Gas</v>
          </cell>
          <cell r="F2269">
            <v>11074.268931707074</v>
          </cell>
          <cell r="G2269">
            <v>16577.109117572953</v>
          </cell>
          <cell r="H2269">
            <v>14256.936156572214</v>
          </cell>
          <cell r="I2269">
            <v>14441.155039402001</v>
          </cell>
          <cell r="J2269">
            <v>17193.244944537993</v>
          </cell>
          <cell r="K2269">
            <v>17772.021609433024</v>
          </cell>
          <cell r="L2269">
            <v>19497.881908504769</v>
          </cell>
          <cell r="M2269">
            <v>29097.85177104465</v>
          </cell>
          <cell r="N2269">
            <v>28452.776092064087</v>
          </cell>
          <cell r="O2269">
            <v>25889.770850442274</v>
          </cell>
          <cell r="P2269">
            <v>23578.256633283065</v>
          </cell>
          <cell r="Q2269">
            <v>25885.870758806548</v>
          </cell>
          <cell r="R2269">
            <v>27916.129398885911</v>
          </cell>
          <cell r="S2269">
            <v>23257.666149951459</v>
          </cell>
          <cell r="T2269">
            <v>23805.837284172485</v>
          </cell>
          <cell r="U2269">
            <v>19066.773527386289</v>
          </cell>
          <cell r="V2269">
            <v>21387.333178014353</v>
          </cell>
          <cell r="W2269">
            <v>25259.136656821236</v>
          </cell>
          <cell r="X2269">
            <v>29187.187396902016</v>
          </cell>
          <cell r="Y2269">
            <v>23657.943068411038</v>
          </cell>
          <cell r="Z2269">
            <v>32412.130291927278</v>
          </cell>
          <cell r="AA2269">
            <v>38294.74216980757</v>
          </cell>
          <cell r="AB2269">
            <v>38214.699879261796</v>
          </cell>
          <cell r="AC2269">
            <v>42372.456946227285</v>
          </cell>
          <cell r="AD2269">
            <v>45274.16514151069</v>
          </cell>
          <cell r="AE2269">
            <v>56722.710630856884</v>
          </cell>
          <cell r="AF2269">
            <v>57586.352903565639</v>
          </cell>
          <cell r="AG2269">
            <v>62143.431332765824</v>
          </cell>
          <cell r="AH2269">
            <v>71418.169113329684</v>
          </cell>
          <cell r="AI2269">
            <v>80207.342526143882</v>
          </cell>
          <cell r="AJ2269">
            <v>78093.296059240747</v>
          </cell>
        </row>
        <row r="2270">
          <cell r="E2270" t="str">
            <v>NE Industrial Natural Gas</v>
          </cell>
          <cell r="F2270">
            <v>24081.311214702648</v>
          </cell>
          <cell r="G2270">
            <v>23164.69328332931</v>
          </cell>
          <cell r="H2270">
            <v>24568.348120976771</v>
          </cell>
          <cell r="I2270">
            <v>35821.4307872789</v>
          </cell>
          <cell r="J2270">
            <v>34567.45146864323</v>
          </cell>
          <cell r="K2270">
            <v>41636.54905263507</v>
          </cell>
          <cell r="L2270">
            <v>34626.352083064055</v>
          </cell>
          <cell r="M2270">
            <v>42172.8249246579</v>
          </cell>
          <cell r="N2270">
            <v>50469.692355747313</v>
          </cell>
          <cell r="O2270">
            <v>43117.235041608736</v>
          </cell>
          <cell r="P2270">
            <v>44887.392209503814</v>
          </cell>
          <cell r="Q2270">
            <v>39282.21035317982</v>
          </cell>
          <cell r="R2270">
            <v>39368.310389450686</v>
          </cell>
          <cell r="S2270">
            <v>37332.312878180244</v>
          </cell>
          <cell r="T2270">
            <v>38026.644635451994</v>
          </cell>
          <cell r="U2270">
            <v>39978.22254754063</v>
          </cell>
          <cell r="V2270">
            <v>52153.675772341376</v>
          </cell>
          <cell r="W2270">
            <v>64390.818628436064</v>
          </cell>
          <cell r="X2270">
            <v>74845.99811667527</v>
          </cell>
          <cell r="Y2270">
            <v>79527.130182137174</v>
          </cell>
          <cell r="Z2270">
            <v>82923.399672609114</v>
          </cell>
          <cell r="AA2270">
            <v>84330.475699460294</v>
          </cell>
          <cell r="AB2270">
            <v>84241.697922228355</v>
          </cell>
          <cell r="AC2270">
            <v>88500.977397510651</v>
          </cell>
          <cell r="AD2270">
            <v>87799.244060118552</v>
          </cell>
          <cell r="AE2270">
            <v>87538.125897410733</v>
          </cell>
          <cell r="AF2270">
            <v>93296.758159492427</v>
          </cell>
          <cell r="AG2270">
            <v>91573.962321298604</v>
          </cell>
          <cell r="AH2270">
            <v>91270.217440348162</v>
          </cell>
          <cell r="AI2270">
            <v>92280.057386473854</v>
          </cell>
          <cell r="AJ2270">
            <v>97209.509312901122</v>
          </cell>
        </row>
        <row r="2271">
          <cell r="E2271" t="str">
            <v>NH Industrial Natural Gas</v>
          </cell>
          <cell r="F2271">
            <v>3155.1219031844685</v>
          </cell>
          <cell r="G2271">
            <v>3302.3301383925514</v>
          </cell>
          <cell r="H2271">
            <v>3657.5435548521809</v>
          </cell>
          <cell r="I2271">
            <v>3648.0220085730557</v>
          </cell>
          <cell r="J2271">
            <v>4290.0211114161038</v>
          </cell>
          <cell r="K2271">
            <v>4412.8937802813307</v>
          </cell>
          <cell r="L2271">
            <v>4763.0010415724264</v>
          </cell>
          <cell r="M2271">
            <v>5603.0167054963295</v>
          </cell>
          <cell r="N2271">
            <v>5632.9178229841009</v>
          </cell>
          <cell r="O2271">
            <v>5624.2742388133365</v>
          </cell>
          <cell r="P2271">
            <v>8612.9311245366534</v>
          </cell>
          <cell r="Q2271">
            <v>8867.1055487557187</v>
          </cell>
          <cell r="R2271">
            <v>8109.7242814967212</v>
          </cell>
          <cell r="S2271">
            <v>7911.1384215303124</v>
          </cell>
          <cell r="T2271">
            <v>7410.8974410921091</v>
          </cell>
          <cell r="U2271">
            <v>6755.7995639259307</v>
          </cell>
          <cell r="V2271">
            <v>5846.9798349747507</v>
          </cell>
          <cell r="W2271">
            <v>6238.8991704462242</v>
          </cell>
          <cell r="X2271">
            <v>5290.3466900762915</v>
          </cell>
          <cell r="Y2271">
            <v>4688.6480253314003</v>
          </cell>
          <cell r="Z2271">
            <v>6003.7487899940397</v>
          </cell>
          <cell r="AA2271">
            <v>7090.4392181324865</v>
          </cell>
          <cell r="AB2271">
            <v>6983.8527522032591</v>
          </cell>
          <cell r="AC2271">
            <v>7836.9757456845864</v>
          </cell>
          <cell r="AD2271">
            <v>8445.9060693764641</v>
          </cell>
          <cell r="AE2271">
            <v>8348.0566356321942</v>
          </cell>
          <cell r="AF2271">
            <v>8422.529976272619</v>
          </cell>
          <cell r="AG2271">
            <v>9431.8743740256632</v>
          </cell>
          <cell r="AH2271">
            <v>9831.3624623807445</v>
          </cell>
          <cell r="AI2271">
            <v>9752.7392455523513</v>
          </cell>
          <cell r="AJ2271">
            <v>9207.372429540248</v>
          </cell>
        </row>
        <row r="2272">
          <cell r="E2272" t="str">
            <v>NJ Industrial Natural Gas</v>
          </cell>
          <cell r="F2272">
            <v>87925.516348345976</v>
          </cell>
          <cell r="G2272">
            <v>97981.77641011143</v>
          </cell>
          <cell r="H2272">
            <v>169614.91155044883</v>
          </cell>
          <cell r="I2272">
            <v>186346.24210641225</v>
          </cell>
          <cell r="J2272">
            <v>188181.09389343343</v>
          </cell>
          <cell r="K2272">
            <v>205011.30387025452</v>
          </cell>
          <cell r="L2272">
            <v>192829.28907407061</v>
          </cell>
          <cell r="M2272">
            <v>189856.13918474806</v>
          </cell>
          <cell r="N2272">
            <v>195531.07205801088</v>
          </cell>
          <cell r="O2272">
            <v>193423.91262387513</v>
          </cell>
          <cell r="P2272">
            <v>87321.577458619111</v>
          </cell>
          <cell r="Q2272">
            <v>85971.785855699753</v>
          </cell>
          <cell r="R2272">
            <v>80181.56692364192</v>
          </cell>
          <cell r="S2272">
            <v>77633.956437386209</v>
          </cell>
          <cell r="T2272">
            <v>76966.790317879146</v>
          </cell>
          <cell r="U2272">
            <v>74847.299579676255</v>
          </cell>
          <cell r="V2272">
            <v>65383.885652137913</v>
          </cell>
          <cell r="W2272">
            <v>62718.467057112444</v>
          </cell>
          <cell r="X2272">
            <v>53865.172559334918</v>
          </cell>
          <cell r="Y2272">
            <v>48228.857204460859</v>
          </cell>
          <cell r="Z2272">
            <v>48825.854059166457</v>
          </cell>
          <cell r="AA2272">
            <v>49382.119694812725</v>
          </cell>
          <cell r="AB2272">
            <v>54372.282065819149</v>
          </cell>
          <cell r="AC2272">
            <v>62251.072577490639</v>
          </cell>
          <cell r="AD2272">
            <v>62266.754498163471</v>
          </cell>
          <cell r="AE2272">
            <v>56066.425988551193</v>
          </cell>
          <cell r="AF2272">
            <v>61496.36423598844</v>
          </cell>
          <cell r="AG2272">
            <v>54482.32152456847</v>
          </cell>
          <cell r="AH2272">
            <v>64137.386902675091</v>
          </cell>
          <cell r="AI2272">
            <v>65063.110654699856</v>
          </cell>
          <cell r="AJ2272">
            <v>58655.616441443221</v>
          </cell>
        </row>
        <row r="2273">
          <cell r="E2273" t="str">
            <v>NM Industrial Natural Gas</v>
          </cell>
          <cell r="F2273">
            <v>85466.57275793521</v>
          </cell>
          <cell r="G2273">
            <v>63392.216175715912</v>
          </cell>
          <cell r="H2273">
            <v>69912.9835367005</v>
          </cell>
          <cell r="I2273">
            <v>65978.602577639918</v>
          </cell>
          <cell r="J2273">
            <v>69591.570378916891</v>
          </cell>
          <cell r="K2273">
            <v>71191.461770216658</v>
          </cell>
          <cell r="L2273">
            <v>102896.03367893551</v>
          </cell>
          <cell r="M2273">
            <v>87796.438895965228</v>
          </cell>
          <cell r="N2273">
            <v>78600.154065479757</v>
          </cell>
          <cell r="O2273">
            <v>75356.597402312851</v>
          </cell>
          <cell r="P2273">
            <v>102173.39922386387</v>
          </cell>
          <cell r="Q2273">
            <v>102728.02858285174</v>
          </cell>
          <cell r="R2273">
            <v>90449.601604482348</v>
          </cell>
          <cell r="S2273">
            <v>97069.224528337712</v>
          </cell>
          <cell r="T2273">
            <v>104164.12043645307</v>
          </cell>
          <cell r="U2273">
            <v>100601.6225615635</v>
          </cell>
          <cell r="V2273">
            <v>94807.211010447223</v>
          </cell>
          <cell r="W2273">
            <v>99701.354964941565</v>
          </cell>
          <cell r="X2273">
            <v>104247.54159410237</v>
          </cell>
          <cell r="Y2273">
            <v>101590.27527328512</v>
          </cell>
          <cell r="Z2273">
            <v>99706.079687882026</v>
          </cell>
          <cell r="AA2273">
            <v>104964.75416464357</v>
          </cell>
          <cell r="AB2273">
            <v>103144.35039421552</v>
          </cell>
          <cell r="AC2273">
            <v>98565.487329977535</v>
          </cell>
          <cell r="AD2273">
            <v>104114.49423107902</v>
          </cell>
          <cell r="AE2273">
            <v>105589.33647134461</v>
          </cell>
          <cell r="AF2273">
            <v>101386.6035207877</v>
          </cell>
          <cell r="AG2273">
            <v>101585.81507869133</v>
          </cell>
          <cell r="AH2273">
            <v>102030.89832903606</v>
          </cell>
          <cell r="AI2273">
            <v>107512.70589278098</v>
          </cell>
          <cell r="AJ2273">
            <v>107865.879383776</v>
          </cell>
        </row>
        <row r="2274">
          <cell r="E2274" t="str">
            <v>NV Industrial Natural Gas</v>
          </cell>
          <cell r="F2274">
            <v>7354.9861584167738</v>
          </cell>
          <cell r="G2274">
            <v>6563.8673448830978</v>
          </cell>
          <cell r="H2274">
            <v>9089.3888652697933</v>
          </cell>
          <cell r="I2274">
            <v>6138.8910563210902</v>
          </cell>
          <cell r="J2274">
            <v>5825.8259306752698</v>
          </cell>
          <cell r="K2274">
            <v>6895.7985550022695</v>
          </cell>
          <cell r="L2274">
            <v>7364.1129876287459</v>
          </cell>
          <cell r="M2274">
            <v>8219.1520929286162</v>
          </cell>
          <cell r="N2274">
            <v>9989.8498853258934</v>
          </cell>
          <cell r="O2274">
            <v>11660.724872455021</v>
          </cell>
          <cell r="P2274">
            <v>11140.535496632128</v>
          </cell>
          <cell r="Q2274">
            <v>11298.082972815415</v>
          </cell>
          <cell r="R2274">
            <v>10927.704851763789</v>
          </cell>
          <cell r="S2274">
            <v>10667.202258062463</v>
          </cell>
          <cell r="T2274">
            <v>11655.311779353504</v>
          </cell>
          <cell r="U2274">
            <v>13799.979871901061</v>
          </cell>
          <cell r="V2274">
            <v>13542.651255391207</v>
          </cell>
          <cell r="W2274">
            <v>13179.014106008037</v>
          </cell>
          <cell r="X2274">
            <v>12864.261535295936</v>
          </cell>
          <cell r="Y2274">
            <v>11412.138345484844</v>
          </cell>
          <cell r="Z2274">
            <v>10751.887311810433</v>
          </cell>
          <cell r="AA2274">
            <v>10956.108843591323</v>
          </cell>
          <cell r="AB2274">
            <v>11308.569533223361</v>
          </cell>
          <cell r="AC2274">
            <v>13218.249740315774</v>
          </cell>
          <cell r="AD2274">
            <v>16455.756868993933</v>
          </cell>
          <cell r="AE2274">
            <v>17816.339928749359</v>
          </cell>
          <cell r="AF2274">
            <v>18454.325066854304</v>
          </cell>
          <cell r="AG2274">
            <v>19303.067922163249</v>
          </cell>
          <cell r="AH2274">
            <v>20073.085801734764</v>
          </cell>
          <cell r="AI2274">
            <v>20701.025162514547</v>
          </cell>
          <cell r="AJ2274">
            <v>19183.385329748733</v>
          </cell>
        </row>
        <row r="2275">
          <cell r="E2275" t="str">
            <v>NY Industrial Natural Gas</v>
          </cell>
          <cell r="F2275">
            <v>99836.528927465915</v>
          </cell>
          <cell r="G2275">
            <v>116950.4897445438</v>
          </cell>
          <cell r="H2275">
            <v>144779.42349617285</v>
          </cell>
          <cell r="I2275">
            <v>139089.97574399126</v>
          </cell>
          <cell r="J2275">
            <v>157564.47900487084</v>
          </cell>
          <cell r="K2275">
            <v>209791.22750073331</v>
          </cell>
          <cell r="L2275">
            <v>210482.81528983076</v>
          </cell>
          <cell r="M2275">
            <v>201636.35347292424</v>
          </cell>
          <cell r="N2275">
            <v>168535.34657078129</v>
          </cell>
          <cell r="O2275">
            <v>99200.577405197502</v>
          </cell>
          <cell r="P2275">
            <v>95603.535482356849</v>
          </cell>
          <cell r="Q2275">
            <v>84524.546526898397</v>
          </cell>
          <cell r="R2275">
            <v>91512.936225927115</v>
          </cell>
          <cell r="S2275">
            <v>82839.211456382851</v>
          </cell>
          <cell r="T2275">
            <v>77946.640388266183</v>
          </cell>
          <cell r="U2275">
            <v>80395.745095182865</v>
          </cell>
          <cell r="V2275">
            <v>77086.497544796192</v>
          </cell>
          <cell r="W2275">
            <v>76652.488822546307</v>
          </cell>
          <cell r="X2275">
            <v>79562.797456157408</v>
          </cell>
          <cell r="Y2275">
            <v>72296.863549014743</v>
          </cell>
          <cell r="Z2275">
            <v>75176.284317953032</v>
          </cell>
          <cell r="AA2275">
            <v>74974.686516046437</v>
          </cell>
          <cell r="AB2275">
            <v>74309.042971044211</v>
          </cell>
          <cell r="AC2275">
            <v>80180.595795319488</v>
          </cell>
          <cell r="AD2275">
            <v>84694.530539434505</v>
          </cell>
          <cell r="AE2275">
            <v>83188.669505104976</v>
          </cell>
          <cell r="AF2275">
            <v>80888.782548563773</v>
          </cell>
          <cell r="AG2275">
            <v>82593.931571524023</v>
          </cell>
          <cell r="AH2275">
            <v>90916.557480802119</v>
          </cell>
          <cell r="AI2275">
            <v>89787.092703485803</v>
          </cell>
          <cell r="AJ2275">
            <v>85854.549650707297</v>
          </cell>
        </row>
        <row r="2276">
          <cell r="E2276" t="str">
            <v>OH Industrial Natural Gas</v>
          </cell>
          <cell r="F2276">
            <v>280129.61615191039</v>
          </cell>
          <cell r="G2276">
            <v>278570.18859461811</v>
          </cell>
          <cell r="H2276">
            <v>290752.45094964013</v>
          </cell>
          <cell r="I2276">
            <v>298199.9317536098</v>
          </cell>
          <cell r="J2276">
            <v>305144.80552031967</v>
          </cell>
          <cell r="K2276">
            <v>326761.83880333335</v>
          </cell>
          <cell r="L2276">
            <v>340475.66647114098</v>
          </cell>
          <cell r="M2276">
            <v>333891.88386577653</v>
          </cell>
          <cell r="N2276">
            <v>327620.24585490348</v>
          </cell>
          <cell r="O2276">
            <v>319869.63268584979</v>
          </cell>
          <cell r="P2276">
            <v>338089.49937257881</v>
          </cell>
          <cell r="Q2276">
            <v>297262.95813579968</v>
          </cell>
          <cell r="R2276">
            <v>305549.05964871618</v>
          </cell>
          <cell r="S2276">
            <v>291379.44507062336</v>
          </cell>
          <cell r="T2276">
            <v>304510.28531889524</v>
          </cell>
          <cell r="U2276">
            <v>295736.37556074851</v>
          </cell>
          <cell r="V2276">
            <v>287091.32441603829</v>
          </cell>
          <cell r="W2276">
            <v>293770.98280178121</v>
          </cell>
          <cell r="X2276">
            <v>284917.85373504873</v>
          </cell>
          <cell r="Y2276">
            <v>235194.49999676002</v>
          </cell>
          <cell r="Z2276">
            <v>269816.1588205896</v>
          </cell>
          <cell r="AA2276">
            <v>267592.17227299156</v>
          </cell>
          <cell r="AB2276">
            <v>264894.93755056034</v>
          </cell>
          <cell r="AC2276">
            <v>276134.96060053754</v>
          </cell>
          <cell r="AD2276">
            <v>316664.30591069342</v>
          </cell>
          <cell r="AE2276">
            <v>295870.32126780209</v>
          </cell>
          <cell r="AF2276">
            <v>300454.82579498447</v>
          </cell>
          <cell r="AG2276">
            <v>305427.98502813955</v>
          </cell>
          <cell r="AH2276">
            <v>338727.43658021919</v>
          </cell>
          <cell r="AI2276">
            <v>327851.76522353996</v>
          </cell>
          <cell r="AJ2276">
            <v>312548.7912358797</v>
          </cell>
        </row>
        <row r="2277">
          <cell r="E2277" t="str">
            <v>OK Industrial Natural Gas</v>
          </cell>
          <cell r="F2277">
            <v>297330.82409549074</v>
          </cell>
          <cell r="G2277">
            <v>258614.85551185819</v>
          </cell>
          <cell r="H2277">
            <v>259396.66445246135</v>
          </cell>
          <cell r="I2277">
            <v>270683.61274176824</v>
          </cell>
          <cell r="J2277">
            <v>278810.63220057351</v>
          </cell>
          <cell r="K2277">
            <v>264527.04345499008</v>
          </cell>
          <cell r="L2277">
            <v>266427.63750387687</v>
          </cell>
          <cell r="M2277">
            <v>275559.28951853089</v>
          </cell>
          <cell r="N2277">
            <v>247781.07738440178</v>
          </cell>
          <cell r="O2277">
            <v>226908.29292776785</v>
          </cell>
          <cell r="P2277">
            <v>222311.86574901766</v>
          </cell>
          <cell r="Q2277">
            <v>185660.13103766041</v>
          </cell>
          <cell r="R2277">
            <v>179677.66280524907</v>
          </cell>
          <cell r="S2277">
            <v>207688.13124461239</v>
          </cell>
          <cell r="T2277">
            <v>208816.72353802549</v>
          </cell>
          <cell r="U2277">
            <v>207856.18888834206</v>
          </cell>
          <cell r="V2277">
            <v>224574.20855474134</v>
          </cell>
          <cell r="W2277">
            <v>239593.90010550135</v>
          </cell>
          <cell r="X2277">
            <v>270020.10613855539</v>
          </cell>
          <cell r="Y2277">
            <v>241475.04460824971</v>
          </cell>
          <cell r="Z2277">
            <v>247521.34972801679</v>
          </cell>
          <cell r="AA2277">
            <v>257109.01676684717</v>
          </cell>
          <cell r="AB2277">
            <v>254752.75736126918</v>
          </cell>
          <cell r="AC2277">
            <v>258774.88948167345</v>
          </cell>
          <cell r="AD2277">
            <v>272882.4188034691</v>
          </cell>
          <cell r="AE2277">
            <v>279365.58407779911</v>
          </cell>
          <cell r="AF2277">
            <v>290864.03124053555</v>
          </cell>
          <cell r="AG2277">
            <v>296792.85836681246</v>
          </cell>
          <cell r="AH2277">
            <v>315189.82862043136</v>
          </cell>
          <cell r="AI2277">
            <v>318771.7612432504</v>
          </cell>
          <cell r="AJ2277">
            <v>324003.54941111908</v>
          </cell>
        </row>
        <row r="2278">
          <cell r="E2278" t="str">
            <v>OR Industrial Natural Gas</v>
          </cell>
          <cell r="F2278">
            <v>47578.516478033096</v>
          </cell>
          <cell r="G2278">
            <v>53887.463042548727</v>
          </cell>
          <cell r="H2278">
            <v>57618.862776567999</v>
          </cell>
          <cell r="I2278">
            <v>59993.492308565474</v>
          </cell>
          <cell r="J2278">
            <v>62122.87858976204</v>
          </cell>
          <cell r="K2278">
            <v>68321.610796837907</v>
          </cell>
          <cell r="L2278">
            <v>87101.12363808036</v>
          </cell>
          <cell r="M2278">
            <v>90279.48600060663</v>
          </cell>
          <cell r="N2278">
            <v>102292.15713381006</v>
          </cell>
          <cell r="O2278">
            <v>107991.15864043821</v>
          </cell>
          <cell r="P2278">
            <v>75070.803664206178</v>
          </cell>
          <cell r="Q2278">
            <v>69168.4237085403</v>
          </cell>
          <cell r="R2278">
            <v>69360.291416314882</v>
          </cell>
          <cell r="S2278">
            <v>65658.202861978643</v>
          </cell>
          <cell r="T2278">
            <v>69545.315496243114</v>
          </cell>
          <cell r="U2278">
            <v>69382.484479943916</v>
          </cell>
          <cell r="V2278">
            <v>69814.78503710973</v>
          </cell>
          <cell r="W2278">
            <v>68294.573244093248</v>
          </cell>
          <cell r="X2278">
            <v>68096.678283925983</v>
          </cell>
          <cell r="Y2278">
            <v>56875.969827086286</v>
          </cell>
          <cell r="Z2278">
            <v>54371.788028301875</v>
          </cell>
          <cell r="AA2278">
            <v>56255.386462076742</v>
          </cell>
          <cell r="AB2278">
            <v>56813.202812061354</v>
          </cell>
          <cell r="AC2278">
            <v>55993.86717086954</v>
          </cell>
          <cell r="AD2278">
            <v>56371.287251021844</v>
          </cell>
          <cell r="AE2278">
            <v>54642.703929469775</v>
          </cell>
          <cell r="AF2278">
            <v>59887.099121679377</v>
          </cell>
          <cell r="AG2278">
            <v>59666.480462937427</v>
          </cell>
          <cell r="AH2278">
            <v>55725.469440972389</v>
          </cell>
          <cell r="AI2278">
            <v>57724.529961061926</v>
          </cell>
          <cell r="AJ2278">
            <v>56866.920015318879</v>
          </cell>
        </row>
        <row r="2279">
          <cell r="E2279" t="str">
            <v>PA Industrial Natural Gas</v>
          </cell>
          <cell r="F2279">
            <v>238280.08682619777</v>
          </cell>
          <cell r="G2279">
            <v>230635.64759125732</v>
          </cell>
          <cell r="H2279">
            <v>235652.47144485454</v>
          </cell>
          <cell r="I2279">
            <v>241805.09971943946</v>
          </cell>
          <cell r="J2279">
            <v>235218.78782419211</v>
          </cell>
          <cell r="K2279">
            <v>247898.78928570735</v>
          </cell>
          <cell r="L2279">
            <v>242017.49484052087</v>
          </cell>
          <cell r="M2279">
            <v>236053.93403323891</v>
          </cell>
          <cell r="N2279">
            <v>228002.35011096855</v>
          </cell>
          <cell r="O2279">
            <v>230374.5360650543</v>
          </cell>
          <cell r="P2279">
            <v>232321.17906251576</v>
          </cell>
          <cell r="Q2279">
            <v>206321.51590053484</v>
          </cell>
          <cell r="R2279">
            <v>211374.43098894716</v>
          </cell>
          <cell r="S2279">
            <v>200935.00283843171</v>
          </cell>
          <cell r="T2279">
            <v>199883.64487865794</v>
          </cell>
          <cell r="U2279">
            <v>189874.68822772757</v>
          </cell>
          <cell r="V2279">
            <v>194652.89971163805</v>
          </cell>
          <cell r="W2279">
            <v>195668.01555348668</v>
          </cell>
          <cell r="X2279">
            <v>198137.43599994987</v>
          </cell>
          <cell r="Y2279">
            <v>186722.89306986553</v>
          </cell>
          <cell r="Z2279">
            <v>220993.20232358045</v>
          </cell>
          <cell r="AA2279">
            <v>248171.16389999352</v>
          </cell>
          <cell r="AB2279">
            <v>284746.72969563142</v>
          </cell>
          <cell r="AC2279">
            <v>345443.75868302421</v>
          </cell>
          <cell r="AD2279">
            <v>406640.91928447527</v>
          </cell>
          <cell r="AE2279">
            <v>391413.3800187853</v>
          </cell>
          <cell r="AF2279">
            <v>404308.51784137456</v>
          </cell>
          <cell r="AG2279">
            <v>416887.88391269289</v>
          </cell>
          <cell r="AH2279">
            <v>456522.15098652127</v>
          </cell>
          <cell r="AI2279">
            <v>495993.29532256018</v>
          </cell>
          <cell r="AJ2279">
            <v>470459.78650765814</v>
          </cell>
        </row>
        <row r="2280">
          <cell r="E2280" t="str">
            <v>RI Industrial Natural Gas</v>
          </cell>
          <cell r="F2280">
            <v>4272.0464541010651</v>
          </cell>
          <cell r="G2280">
            <v>26176.729534233174</v>
          </cell>
          <cell r="H2280">
            <v>46147.00252034943</v>
          </cell>
          <cell r="I2280">
            <v>9219.2531218479089</v>
          </cell>
          <cell r="J2280">
            <v>40076.831495782069</v>
          </cell>
          <cell r="K2280">
            <v>34188.783126017988</v>
          </cell>
          <cell r="L2280">
            <v>26985.585741523621</v>
          </cell>
          <cell r="M2280">
            <v>24099.43612165549</v>
          </cell>
          <cell r="N2280">
            <v>41165.234524614876</v>
          </cell>
          <cell r="O2280">
            <v>33549.460787286669</v>
          </cell>
          <cell r="P2280">
            <v>8028.2437735575868</v>
          </cell>
          <cell r="Q2280">
            <v>6064.9424895350085</v>
          </cell>
          <cell r="R2280">
            <v>4400.997215898552</v>
          </cell>
          <cell r="S2280">
            <v>4406.228108405392</v>
          </cell>
          <cell r="T2280">
            <v>5460.8131008125192</v>
          </cell>
          <cell r="U2280">
            <v>5781.0726490396337</v>
          </cell>
          <cell r="V2280">
            <v>6253.6343022872006</v>
          </cell>
          <cell r="W2280">
            <v>6611.6001524528656</v>
          </cell>
          <cell r="X2280">
            <v>6701.0414362346164</v>
          </cell>
          <cell r="Y2280">
            <v>7663.5410381035508</v>
          </cell>
          <cell r="Z2280">
            <v>7937.3886029876148</v>
          </cell>
          <cell r="AA2280">
            <v>7374.2112206006259</v>
          </cell>
          <cell r="AB2280">
            <v>7800.7115145928565</v>
          </cell>
          <cell r="AC2280">
            <v>8136.6873767186626</v>
          </cell>
          <cell r="AD2280">
            <v>7981.7494600107775</v>
          </cell>
          <cell r="AE2280">
            <v>8570.3621845722664</v>
          </cell>
          <cell r="AF2280">
            <v>8448.6418501225871</v>
          </cell>
          <cell r="AG2280">
            <v>8489.6503558645709</v>
          </cell>
          <cell r="AH2280">
            <v>8726.1750887993312</v>
          </cell>
          <cell r="AI2280">
            <v>8725.3763904581974</v>
          </cell>
          <cell r="AJ2280">
            <v>8261.2057577813448</v>
          </cell>
        </row>
        <row r="2281">
          <cell r="E2281" t="str">
            <v>SC Industrial Natural Gas</v>
          </cell>
          <cell r="F2281">
            <v>84797.937652624591</v>
          </cell>
          <cell r="G2281">
            <v>83596.101541227588</v>
          </cell>
          <cell r="H2281">
            <v>91773.934745020568</v>
          </cell>
          <cell r="I2281">
            <v>93347.785651066501</v>
          </cell>
          <cell r="J2281">
            <v>95119.469854622614</v>
          </cell>
          <cell r="K2281">
            <v>95791.945708905128</v>
          </cell>
          <cell r="L2281">
            <v>93515.488513826698</v>
          </cell>
          <cell r="M2281">
            <v>100899.93096731938</v>
          </cell>
          <cell r="N2281">
            <v>100316.5595668126</v>
          </cell>
          <cell r="O2281">
            <v>99607.094627556813</v>
          </cell>
          <cell r="P2281">
            <v>95448.063968148723</v>
          </cell>
          <cell r="Q2281">
            <v>79534.696110187258</v>
          </cell>
          <cell r="R2281">
            <v>95344.392625650566</v>
          </cell>
          <cell r="S2281">
            <v>78851.796970195574</v>
          </cell>
          <cell r="T2281">
            <v>78068.761054546019</v>
          </cell>
          <cell r="U2281">
            <v>73821.625400007935</v>
          </cell>
          <cell r="V2281">
            <v>76993.245811157161</v>
          </cell>
          <cell r="W2281">
            <v>75949.351918348213</v>
          </cell>
          <cell r="X2281">
            <v>71758.111875597693</v>
          </cell>
          <cell r="Y2281">
            <v>64488.252955671982</v>
          </cell>
          <cell r="Z2281">
            <v>72497.971030524874</v>
          </cell>
          <cell r="AA2281">
            <v>75891.636864157772</v>
          </cell>
          <cell r="AB2281">
            <v>79898.635613447739</v>
          </cell>
          <cell r="AC2281">
            <v>82409.096793814795</v>
          </cell>
          <cell r="AD2281">
            <v>82754.56909486225</v>
          </cell>
          <cell r="AE2281">
            <v>84549.5660829642</v>
          </cell>
          <cell r="AF2281">
            <v>87935.120062299247</v>
          </cell>
          <cell r="AG2281">
            <v>91695.353145724264</v>
          </cell>
          <cell r="AH2281">
            <v>95121.074662905317</v>
          </cell>
          <cell r="AI2281">
            <v>96322.235280324196</v>
          </cell>
          <cell r="AJ2281">
            <v>94150.301047619796</v>
          </cell>
        </row>
        <row r="2282">
          <cell r="E2282" t="str">
            <v>SD Industrial Natural Gas</v>
          </cell>
          <cell r="F2282">
            <v>5742.2838731647489</v>
          </cell>
          <cell r="G2282">
            <v>4878.0757172118647</v>
          </cell>
          <cell r="H2282">
            <v>4748.8386015213628</v>
          </cell>
          <cell r="I2282">
            <v>5219.0541251976738</v>
          </cell>
          <cell r="J2282">
            <v>5688.4467210561588</v>
          </cell>
          <cell r="K2282">
            <v>7056.0777402306257</v>
          </cell>
          <cell r="L2282">
            <v>7332.7399268758736</v>
          </cell>
          <cell r="M2282">
            <v>7586.0321190805416</v>
          </cell>
          <cell r="N2282">
            <v>6174.2163886057642</v>
          </cell>
          <cell r="O2282">
            <v>5598.8079627026609</v>
          </cell>
          <cell r="P2282">
            <v>5097.1765148974391</v>
          </cell>
          <cell r="Q2282">
            <v>4544.6199786812194</v>
          </cell>
          <cell r="R2282">
            <v>10618.963870604894</v>
          </cell>
          <cell r="S2282">
            <v>11360.07825058</v>
          </cell>
          <cell r="T2282">
            <v>11116.826951662888</v>
          </cell>
          <cell r="U2282">
            <v>10845.99978369042</v>
          </cell>
          <cell r="V2282">
            <v>10540.329975446099</v>
          </cell>
          <cell r="W2282">
            <v>20484.145467246457</v>
          </cell>
          <cell r="X2282">
            <v>31966.091900285766</v>
          </cell>
          <cell r="Y2282">
            <v>35732.565716154961</v>
          </cell>
          <cell r="Z2282">
            <v>40104.191965594029</v>
          </cell>
          <cell r="AA2282">
            <v>40029.226144077118</v>
          </cell>
          <cell r="AB2282">
            <v>40583.204068554565</v>
          </cell>
          <cell r="AC2282">
            <v>44811.72289815946</v>
          </cell>
          <cell r="AD2282">
            <v>45400.136663885511</v>
          </cell>
          <cell r="AE2282">
            <v>45747.58233427201</v>
          </cell>
          <cell r="AF2282">
            <v>45527.502717075418</v>
          </cell>
          <cell r="AG2282">
            <v>46395.380411639824</v>
          </cell>
          <cell r="AH2282">
            <v>48182.32535815455</v>
          </cell>
          <cell r="AI2282">
            <v>47944.881304899063</v>
          </cell>
          <cell r="AJ2282">
            <v>47126.009381419659</v>
          </cell>
        </row>
        <row r="2283">
          <cell r="E2283" t="str">
            <v>TN Industrial Natural Gas</v>
          </cell>
          <cell r="F2283">
            <v>107913.33707457029</v>
          </cell>
          <cell r="G2283">
            <v>113511.55071792127</v>
          </cell>
          <cell r="H2283">
            <v>123323.91871144167</v>
          </cell>
          <cell r="I2283">
            <v>122167.44429802928</v>
          </cell>
          <cell r="J2283">
            <v>116273.9732503158</v>
          </cell>
          <cell r="K2283">
            <v>123064.06553391479</v>
          </cell>
          <cell r="L2283">
            <v>124180.27865273261</v>
          </cell>
          <cell r="M2283">
            <v>136154.0664480339</v>
          </cell>
          <cell r="N2283">
            <v>141207.8268664456</v>
          </cell>
          <cell r="O2283">
            <v>140048.48428672156</v>
          </cell>
          <cell r="P2283">
            <v>128340.30425936096</v>
          </cell>
          <cell r="Q2283">
            <v>118278.39880613866</v>
          </cell>
          <cell r="R2283">
            <v>117089.53769304996</v>
          </cell>
          <cell r="S2283">
            <v>112141.68988645944</v>
          </cell>
          <cell r="T2283">
            <v>98092.704004241372</v>
          </cell>
          <cell r="U2283">
            <v>94510.059978097561</v>
          </cell>
          <cell r="V2283">
            <v>93496.879949107111</v>
          </cell>
          <cell r="W2283">
            <v>91798.749349043006</v>
          </cell>
          <cell r="X2283">
            <v>92130.629636853337</v>
          </cell>
          <cell r="Y2283">
            <v>83064.893069237471</v>
          </cell>
          <cell r="Z2283">
            <v>93574.83816296533</v>
          </cell>
          <cell r="AA2283">
            <v>104723.45144145637</v>
          </cell>
          <cell r="AB2283">
            <v>103444.63771703251</v>
          </cell>
          <cell r="AC2283">
            <v>109307.73227326664</v>
          </cell>
          <cell r="AD2283">
            <v>116856.99822514746</v>
          </cell>
          <cell r="AE2283">
            <v>115174.57181412155</v>
          </cell>
          <cell r="AF2283">
            <v>123787.68996474253</v>
          </cell>
          <cell r="AG2283">
            <v>135013.57250009771</v>
          </cell>
          <cell r="AH2283">
            <v>147371.45058833822</v>
          </cell>
          <cell r="AI2283">
            <v>148521.68661282083</v>
          </cell>
          <cell r="AJ2283">
            <v>146144.36674327162</v>
          </cell>
        </row>
        <row r="2284">
          <cell r="E2284" t="str">
            <v>TX Industrial Natural Gas</v>
          </cell>
          <cell r="F2284">
            <v>2083924.7752512309</v>
          </cell>
          <cell r="G2284">
            <v>2042306.6737293992</v>
          </cell>
          <cell r="H2284">
            <v>2017171.7417330062</v>
          </cell>
          <cell r="I2284">
            <v>2066951.4238920596</v>
          </cell>
          <cell r="J2284">
            <v>2044023.5724384559</v>
          </cell>
          <cell r="K2284">
            <v>2162914.4943941161</v>
          </cell>
          <cell r="L2284">
            <v>2407102.8397581787</v>
          </cell>
          <cell r="M2284">
            <v>2302269.4876041734</v>
          </cell>
          <cell r="N2284">
            <v>2317853.7297606454</v>
          </cell>
          <cell r="O2284">
            <v>2100465.0559764248</v>
          </cell>
          <cell r="P2284">
            <v>2362948.5927934102</v>
          </cell>
          <cell r="Q2284">
            <v>2279551.9557095156</v>
          </cell>
          <cell r="R2284">
            <v>2225097.210035088</v>
          </cell>
          <cell r="S2284">
            <v>2118791.6249183198</v>
          </cell>
          <cell r="T2284">
            <v>2074622.418803737</v>
          </cell>
          <cell r="U2284">
            <v>1608775.2377900709</v>
          </cell>
          <cell r="V2284">
            <v>1569244.01910983</v>
          </cell>
          <cell r="W2284">
            <v>1589029.8481761401</v>
          </cell>
          <cell r="X2284">
            <v>1638501.1879523932</v>
          </cell>
          <cell r="Y2284">
            <v>1522821.2338659735</v>
          </cell>
          <cell r="Z2284">
            <v>1739026.0165503551</v>
          </cell>
          <cell r="AA2284">
            <v>1767471.9869510198</v>
          </cell>
          <cell r="AB2284">
            <v>1861899.1990645779</v>
          </cell>
          <cell r="AC2284">
            <v>1915394.1911774352</v>
          </cell>
          <cell r="AD2284">
            <v>1992216.3700767411</v>
          </cell>
          <cell r="AE2284">
            <v>2024694.1811732266</v>
          </cell>
          <cell r="AF2284">
            <v>2059116.6085705364</v>
          </cell>
          <cell r="AG2284">
            <v>2070470.80398134</v>
          </cell>
          <cell r="AH2284">
            <v>2239656.4463677411</v>
          </cell>
          <cell r="AI2284">
            <v>2257737.0311866533</v>
          </cell>
          <cell r="AJ2284">
            <v>2259803.9433657052</v>
          </cell>
        </row>
        <row r="2285">
          <cell r="E2285" t="str">
            <v>US Industrial Natural Gas</v>
          </cell>
          <cell r="F2285">
            <v>8091837.240721466</v>
          </cell>
          <cell r="G2285">
            <v>8193220.5282586552</v>
          </cell>
          <cell r="H2285">
            <v>8521721.2435325775</v>
          </cell>
          <cell r="I2285">
            <v>8665742.9097566009</v>
          </cell>
          <cell r="J2285">
            <v>8717970.949289795</v>
          </cell>
          <cell r="K2285">
            <v>9178780.1786857937</v>
          </cell>
          <cell r="L2285">
            <v>9505715.1212234739</v>
          </cell>
          <cell r="M2285">
            <v>9610253.5662779938</v>
          </cell>
          <cell r="N2285">
            <v>9368342.437677525</v>
          </cell>
          <cell r="O2285">
            <v>8902234.8216640186</v>
          </cell>
          <cell r="P2285">
            <v>9109361.2075329404</v>
          </cell>
          <cell r="Q2285">
            <v>8340772.0110639324</v>
          </cell>
          <cell r="R2285">
            <v>8500341.0696839411</v>
          </cell>
          <cell r="S2285">
            <v>8211928.6279923441</v>
          </cell>
          <cell r="T2285">
            <v>8243738.2687794548</v>
          </cell>
          <cell r="U2285">
            <v>7623100.8065773128</v>
          </cell>
          <cell r="V2285">
            <v>7576492.820751545</v>
          </cell>
          <cell r="W2285">
            <v>7778315.6018165834</v>
          </cell>
          <cell r="X2285">
            <v>7823523.8108797325</v>
          </cell>
          <cell r="Y2285">
            <v>7377843.9574065469</v>
          </cell>
          <cell r="Z2285">
            <v>8018826.5191275645</v>
          </cell>
          <cell r="AA2285">
            <v>8205999.0812229505</v>
          </cell>
          <cell r="AB2285">
            <v>8518686.916799143</v>
          </cell>
          <cell r="AC2285">
            <v>8828183.9854639098</v>
          </cell>
          <cell r="AD2285">
            <v>9157463.9656043258</v>
          </cell>
          <cell r="AE2285">
            <v>9111745.7875436191</v>
          </cell>
          <cell r="AF2285">
            <v>9293413.1929167118</v>
          </cell>
          <cell r="AG2285">
            <v>9501769.4765753262</v>
          </cell>
          <cell r="AH2285">
            <v>10057409.799513098</v>
          </cell>
          <cell r="AI2285">
            <v>10193761.420249531</v>
          </cell>
          <cell r="AJ2285">
            <v>9888024.1977403425</v>
          </cell>
        </row>
        <row r="2286">
          <cell r="E2286" t="str">
            <v>UT Industrial Natural Gas</v>
          </cell>
          <cell r="F2286">
            <v>57087.571413217593</v>
          </cell>
          <cell r="G2286">
            <v>57915.527899662993</v>
          </cell>
          <cell r="H2286">
            <v>54672.74507245241</v>
          </cell>
          <cell r="I2286">
            <v>56279.971075794776</v>
          </cell>
          <cell r="J2286">
            <v>50523.33608378427</v>
          </cell>
          <cell r="K2286">
            <v>69968.028936225062</v>
          </cell>
          <cell r="L2286">
            <v>68721.263530950673</v>
          </cell>
          <cell r="M2286">
            <v>68158.312139578527</v>
          </cell>
          <cell r="N2286">
            <v>72378.538503001706</v>
          </cell>
          <cell r="O2286">
            <v>64399.496306841691</v>
          </cell>
          <cell r="P2286">
            <v>64232.626879254909</v>
          </cell>
          <cell r="Q2286">
            <v>54251.761603313236</v>
          </cell>
          <cell r="R2286">
            <v>49378.421704043467</v>
          </cell>
          <cell r="S2286">
            <v>47440.775303836504</v>
          </cell>
          <cell r="T2286">
            <v>46570.283374793296</v>
          </cell>
          <cell r="U2286">
            <v>47100.265656409043</v>
          </cell>
          <cell r="V2286">
            <v>53899.50204335653</v>
          </cell>
          <cell r="W2286">
            <v>56867.637981332933</v>
          </cell>
          <cell r="X2286">
            <v>54865.500935118645</v>
          </cell>
          <cell r="Y2286">
            <v>52269.527883057104</v>
          </cell>
          <cell r="Z2286">
            <v>56342.130295288334</v>
          </cell>
          <cell r="AA2286">
            <v>60091.134549860362</v>
          </cell>
          <cell r="AB2286">
            <v>68174.877820380963</v>
          </cell>
          <cell r="AC2286">
            <v>73235.987260746042</v>
          </cell>
          <cell r="AD2286">
            <v>68794.017380600359</v>
          </cell>
          <cell r="AE2286">
            <v>68324.160647933793</v>
          </cell>
          <cell r="AF2286">
            <v>65394.770291144596</v>
          </cell>
          <cell r="AG2286">
            <v>62073.101728138259</v>
          </cell>
          <cell r="AH2286">
            <v>60550.813617278713</v>
          </cell>
          <cell r="AI2286">
            <v>61005.555954786374</v>
          </cell>
          <cell r="AJ2286">
            <v>57922.481210993115</v>
          </cell>
        </row>
        <row r="2287">
          <cell r="E2287" t="str">
            <v>VA Industrial Natural Gas</v>
          </cell>
          <cell r="F2287">
            <v>74419.847033691214</v>
          </cell>
          <cell r="G2287">
            <v>59626.933693877349</v>
          </cell>
          <cell r="H2287">
            <v>68385.928315146055</v>
          </cell>
          <cell r="I2287">
            <v>73588.853018110953</v>
          </cell>
          <cell r="J2287">
            <v>85544.612665583045</v>
          </cell>
          <cell r="K2287">
            <v>96574.373684132312</v>
          </cell>
          <cell r="L2287">
            <v>84517.124270616507</v>
          </cell>
          <cell r="M2287">
            <v>85919.89410861372</v>
          </cell>
          <cell r="N2287">
            <v>93058.798063486072</v>
          </cell>
          <cell r="O2287">
            <v>94608.158946572294</v>
          </cell>
          <cell r="P2287">
            <v>77054.734643058488</v>
          </cell>
          <cell r="Q2287">
            <v>66758.601942443143</v>
          </cell>
          <cell r="R2287">
            <v>76424.898711901056</v>
          </cell>
          <cell r="S2287">
            <v>71269.726394693789</v>
          </cell>
          <cell r="T2287">
            <v>74881.123190627462</v>
          </cell>
          <cell r="U2287">
            <v>76634.298923634473</v>
          </cell>
          <cell r="V2287">
            <v>73880.368352155478</v>
          </cell>
          <cell r="W2287">
            <v>74597.830573803512</v>
          </cell>
          <cell r="X2287">
            <v>67155.249551890141</v>
          </cell>
          <cell r="Y2287">
            <v>63263.865909453008</v>
          </cell>
          <cell r="Z2287">
            <v>67714.095908768038</v>
          </cell>
          <cell r="AA2287">
            <v>72657.215162556633</v>
          </cell>
          <cell r="AB2287">
            <v>79844.564584258827</v>
          </cell>
          <cell r="AC2287">
            <v>84613.42749948478</v>
          </cell>
          <cell r="AD2287">
            <v>89444.625944675834</v>
          </cell>
          <cell r="AE2287">
            <v>95727.66901119001</v>
          </cell>
          <cell r="AF2287">
            <v>96833.466406504594</v>
          </cell>
          <cell r="AG2287">
            <v>102272.73299786194</v>
          </cell>
          <cell r="AH2287">
            <v>104970.69674276262</v>
          </cell>
          <cell r="AI2287">
            <v>108385.33963686471</v>
          </cell>
          <cell r="AJ2287">
            <v>111926.91118386087</v>
          </cell>
        </row>
        <row r="2288">
          <cell r="E2288" t="str">
            <v>VT Industrial Natural Gas</v>
          </cell>
          <cell r="F2288">
            <v>1752.3178541165998</v>
          </cell>
          <cell r="G2288">
            <v>1608.9491280418752</v>
          </cell>
          <cell r="H2288">
            <v>1847.2442196223135</v>
          </cell>
          <cell r="I2288">
            <v>1937.4480664838945</v>
          </cell>
          <cell r="J2288">
            <v>1909.0972922931646</v>
          </cell>
          <cell r="K2288">
            <v>2039.0547233193342</v>
          </cell>
          <cell r="L2288">
            <v>1884.2850427937226</v>
          </cell>
          <cell r="M2288">
            <v>2245.3894568005312</v>
          </cell>
          <cell r="N2288">
            <v>2019.2048069599689</v>
          </cell>
          <cell r="O2288">
            <v>2768.2785327716156</v>
          </cell>
          <cell r="P2288">
            <v>3811.4366305258545</v>
          </cell>
          <cell r="Q2288">
            <v>2527.139505707627</v>
          </cell>
          <cell r="R2288">
            <v>2969.4745920779551</v>
          </cell>
          <cell r="S2288">
            <v>2406.7308152350083</v>
          </cell>
          <cell r="T2288">
            <v>2686.6546581563971</v>
          </cell>
          <cell r="U2288">
            <v>2536.7892784861315</v>
          </cell>
          <cell r="V2288">
            <v>2658.1550877515929</v>
          </cell>
          <cell r="W2288">
            <v>2872.102928350148</v>
          </cell>
          <cell r="X2288">
            <v>2911.1873098339152</v>
          </cell>
          <cell r="Y2288">
            <v>2808.5465894311851</v>
          </cell>
          <cell r="Z2288">
            <v>2828.986519609482</v>
          </cell>
          <cell r="AA2288">
            <v>2735.4076700500227</v>
          </cell>
          <cell r="AB2288">
            <v>2648.514876163907</v>
          </cell>
          <cell r="AC2288">
            <v>1279.0918963163963</v>
          </cell>
          <cell r="AD2288">
            <v>1831.432132987783</v>
          </cell>
          <cell r="AE2288">
            <v>2021.0474036247444</v>
          </cell>
          <cell r="AF2288">
            <v>2150.8447200861528</v>
          </cell>
          <cell r="AG2288">
            <v>2174.4372280057123</v>
          </cell>
          <cell r="AH2288">
            <v>2269.9587620863463</v>
          </cell>
          <cell r="AI2288">
            <v>2359.378680314448</v>
          </cell>
          <cell r="AJ2288">
            <v>2225.31492069868</v>
          </cell>
        </row>
        <row r="2289">
          <cell r="E2289" t="str">
            <v>WA Industrial Natural Gas</v>
          </cell>
          <cell r="F2289">
            <v>76719.229973971043</v>
          </cell>
          <cell r="G2289">
            <v>77988.496413954286</v>
          </cell>
          <cell r="H2289">
            <v>78060.751502326922</v>
          </cell>
          <cell r="I2289">
            <v>90941.401109892235</v>
          </cell>
          <cell r="J2289">
            <v>106325.82358824223</v>
          </cell>
          <cell r="K2289">
            <v>108720.50105229544</v>
          </cell>
          <cell r="L2289">
            <v>112791.85759943997</v>
          </cell>
          <cell r="M2289">
            <v>110825.46497174544</v>
          </cell>
          <cell r="N2289">
            <v>132071.16211082111</v>
          </cell>
          <cell r="O2289">
            <v>123602.92909169401</v>
          </cell>
          <cell r="P2289">
            <v>83269.779959501539</v>
          </cell>
          <cell r="Q2289">
            <v>74648.700741655877</v>
          </cell>
          <cell r="R2289">
            <v>66851.051827206713</v>
          </cell>
          <cell r="S2289">
            <v>65252.899356606271</v>
          </cell>
          <cell r="T2289">
            <v>67024.052606591693</v>
          </cell>
          <cell r="U2289">
            <v>66183.380759291453</v>
          </cell>
          <cell r="V2289">
            <v>70060.892705270453</v>
          </cell>
          <cell r="W2289">
            <v>72466.326761760371</v>
          </cell>
          <cell r="X2289">
            <v>75342.30003284596</v>
          </cell>
          <cell r="Y2289">
            <v>71008.645898490518</v>
          </cell>
          <cell r="Z2289">
            <v>71100.380216637903</v>
          </cell>
          <cell r="AA2289">
            <v>75782.568033277159</v>
          </cell>
          <cell r="AB2289">
            <v>77718.414472223492</v>
          </cell>
          <cell r="AC2289">
            <v>80796.454856508863</v>
          </cell>
          <cell r="AD2289">
            <v>80396.963603031953</v>
          </cell>
          <cell r="AE2289">
            <v>78666.201402971943</v>
          </cell>
          <cell r="AF2289">
            <v>82703.074227917023</v>
          </cell>
          <cell r="AG2289">
            <v>83909.962255376842</v>
          </cell>
          <cell r="AH2289">
            <v>80725.768863882724</v>
          </cell>
          <cell r="AI2289">
            <v>81847.855523006103</v>
          </cell>
          <cell r="AJ2289">
            <v>81314.67690822111</v>
          </cell>
        </row>
        <row r="2290">
          <cell r="E2290" t="str">
            <v>WI Industrial Natural Gas</v>
          </cell>
          <cell r="F2290">
            <v>116456.48021699784</v>
          </cell>
          <cell r="G2290">
            <v>123034.32863495214</v>
          </cell>
          <cell r="H2290">
            <v>124508.99692618399</v>
          </cell>
          <cell r="I2290">
            <v>128668.00498361561</v>
          </cell>
          <cell r="J2290">
            <v>129535.33047127233</v>
          </cell>
          <cell r="K2290">
            <v>140040.3816024804</v>
          </cell>
          <cell r="L2290">
            <v>143988.08837352332</v>
          </cell>
          <cell r="M2290">
            <v>149583.62481222572</v>
          </cell>
          <cell r="N2290">
            <v>136054.58868304917</v>
          </cell>
          <cell r="O2290">
            <v>139036.43561017507</v>
          </cell>
          <cell r="P2290">
            <v>146340.66264056313</v>
          </cell>
          <cell r="Q2290">
            <v>128967.77580212268</v>
          </cell>
          <cell r="R2290">
            <v>133198.72161991522</v>
          </cell>
          <cell r="S2290">
            <v>134037.72926002895</v>
          </cell>
          <cell r="T2290">
            <v>136689.56560901576</v>
          </cell>
          <cell r="U2290">
            <v>127201.86239266173</v>
          </cell>
          <cell r="V2290">
            <v>115064.94844592699</v>
          </cell>
          <cell r="W2290">
            <v>117910.871758498</v>
          </cell>
          <cell r="X2290">
            <v>125143.39717357692</v>
          </cell>
          <cell r="Y2290">
            <v>117381.57992625771</v>
          </cell>
          <cell r="Z2290">
            <v>118431.09220262051</v>
          </cell>
          <cell r="AA2290">
            <v>124197.54641355562</v>
          </cell>
          <cell r="AB2290">
            <v>122418.74119187646</v>
          </cell>
          <cell r="AC2290">
            <v>135099.36834131842</v>
          </cell>
          <cell r="AD2290">
            <v>142349.75830696896</v>
          </cell>
          <cell r="AE2290">
            <v>138323.34527983778</v>
          </cell>
          <cell r="AF2290">
            <v>146448.92804075815</v>
          </cell>
          <cell r="AG2290">
            <v>155231.88870166079</v>
          </cell>
          <cell r="AH2290">
            <v>165823.27456465401</v>
          </cell>
          <cell r="AI2290">
            <v>164047.45548470673</v>
          </cell>
          <cell r="AJ2290">
            <v>154676.18000758038</v>
          </cell>
        </row>
        <row r="2291">
          <cell r="E2291" t="str">
            <v>WV Industrial Natural Gas</v>
          </cell>
          <cell r="F2291">
            <v>58619.543607629559</v>
          </cell>
          <cell r="G2291">
            <v>49510.286582180088</v>
          </cell>
          <cell r="H2291">
            <v>52745.927255677139</v>
          </cell>
          <cell r="I2291">
            <v>54826.64770990215</v>
          </cell>
          <cell r="J2291">
            <v>55308.869792654128</v>
          </cell>
          <cell r="K2291">
            <v>60669.939397888898</v>
          </cell>
          <cell r="L2291">
            <v>57047.632834450109</v>
          </cell>
          <cell r="M2291">
            <v>65583.053867574868</v>
          </cell>
          <cell r="N2291">
            <v>57148.23595435435</v>
          </cell>
          <cell r="O2291">
            <v>50528.864585226911</v>
          </cell>
          <cell r="P2291">
            <v>57896.447315545389</v>
          </cell>
          <cell r="Q2291">
            <v>49619.634130332401</v>
          </cell>
          <cell r="R2291">
            <v>56121.823320473646</v>
          </cell>
          <cell r="S2291">
            <v>48939.43326536817</v>
          </cell>
          <cell r="T2291">
            <v>47110.691362582809</v>
          </cell>
          <cell r="U2291">
            <v>41328.805698837714</v>
          </cell>
          <cell r="V2291">
            <v>44042.697661903694</v>
          </cell>
          <cell r="W2291">
            <v>43472.495728542694</v>
          </cell>
          <cell r="X2291">
            <v>39889.542336271537</v>
          </cell>
          <cell r="Y2291">
            <v>38183.274069329418</v>
          </cell>
          <cell r="Z2291">
            <v>39693.703993305186</v>
          </cell>
          <cell r="AA2291">
            <v>44121.720329331911</v>
          </cell>
          <cell r="AB2291">
            <v>52497.176017875179</v>
          </cell>
          <cell r="AC2291">
            <v>61302.630287024745</v>
          </cell>
          <cell r="AD2291">
            <v>81484.19474229771</v>
          </cell>
          <cell r="AE2291">
            <v>89271.142633278345</v>
          </cell>
          <cell r="AF2291">
            <v>101348.88636967108</v>
          </cell>
          <cell r="AG2291">
            <v>114293.31487372692</v>
          </cell>
          <cell r="AH2291">
            <v>127609.73931620381</v>
          </cell>
          <cell r="AI2291">
            <v>138131.77096602673</v>
          </cell>
          <cell r="AJ2291">
            <v>155655.93271738346</v>
          </cell>
        </row>
        <row r="2292">
          <cell r="E2292" t="str">
            <v>WY Industrial Natural Gas</v>
          </cell>
          <cell r="F2292">
            <v>70080.367209594333</v>
          </cell>
          <cell r="G2292">
            <v>68699.092014316295</v>
          </cell>
          <cell r="H2292">
            <v>96863.803048626054</v>
          </cell>
          <cell r="I2292">
            <v>75040.277855765962</v>
          </cell>
          <cell r="J2292">
            <v>79222.326694629053</v>
          </cell>
          <cell r="K2292">
            <v>68881.165348818569</v>
          </cell>
          <cell r="L2292">
            <v>70522.837777214096</v>
          </cell>
          <cell r="M2292">
            <v>67715.318284003151</v>
          </cell>
          <cell r="N2292">
            <v>75118.210752820625</v>
          </cell>
          <cell r="O2292">
            <v>60343.756037363688</v>
          </cell>
          <cell r="P2292">
            <v>63316.012614506326</v>
          </cell>
          <cell r="Q2292">
            <v>63101.557977372329</v>
          </cell>
          <cell r="R2292">
            <v>72324.971893778566</v>
          </cell>
          <cell r="S2292">
            <v>77167.857406207972</v>
          </cell>
          <cell r="T2292">
            <v>72345.436600234316</v>
          </cell>
          <cell r="U2292">
            <v>72885.34925099487</v>
          </cell>
          <cell r="V2292">
            <v>72690.207050659461</v>
          </cell>
          <cell r="W2292">
            <v>102002.87958578669</v>
          </cell>
          <cell r="X2292">
            <v>100618.93731206062</v>
          </cell>
          <cell r="Y2292">
            <v>98972.253366401434</v>
          </cell>
          <cell r="Z2292">
            <v>104198.26688580067</v>
          </cell>
          <cell r="AA2292">
            <v>112949.94388035417</v>
          </cell>
          <cell r="AB2292">
            <v>114009.73059890837</v>
          </cell>
          <cell r="AC2292">
            <v>109157.87645774959</v>
          </cell>
          <cell r="AD2292">
            <v>95879.832714608026</v>
          </cell>
          <cell r="AE2292">
            <v>82559.448147018076</v>
          </cell>
          <cell r="AF2292">
            <v>87100.507205539208</v>
          </cell>
          <cell r="AG2292">
            <v>110252.73457498703</v>
          </cell>
          <cell r="AH2292">
            <v>123865.55670100973</v>
          </cell>
          <cell r="AI2292">
            <v>120571.45844191041</v>
          </cell>
          <cell r="AJ2292">
            <v>116676.93656439493</v>
          </cell>
        </row>
        <row r="2293">
          <cell r="E2293" t="str">
            <v>AK Residential Natural Gas</v>
          </cell>
          <cell r="F2293">
            <v>13398</v>
          </cell>
          <cell r="G2293">
            <v>13587</v>
          </cell>
          <cell r="H2293">
            <v>14379</v>
          </cell>
          <cell r="I2293">
            <v>13767</v>
          </cell>
          <cell r="J2293">
            <v>14910</v>
          </cell>
          <cell r="K2293">
            <v>15325</v>
          </cell>
          <cell r="L2293">
            <v>16003</v>
          </cell>
          <cell r="M2293">
            <v>15143</v>
          </cell>
          <cell r="N2293">
            <v>15597</v>
          </cell>
          <cell r="O2293">
            <v>17631</v>
          </cell>
          <cell r="P2293">
            <v>16418</v>
          </cell>
          <cell r="Q2293">
            <v>16995</v>
          </cell>
          <cell r="R2293">
            <v>16248</v>
          </cell>
          <cell r="S2293">
            <v>16920</v>
          </cell>
          <cell r="T2293">
            <v>18268</v>
          </cell>
          <cell r="U2293">
            <v>18098</v>
          </cell>
          <cell r="V2293">
            <v>20715</v>
          </cell>
          <cell r="W2293">
            <v>19961</v>
          </cell>
          <cell r="X2293">
            <v>21568</v>
          </cell>
          <cell r="Y2293">
            <v>20075</v>
          </cell>
          <cell r="Z2293">
            <v>18806</v>
          </cell>
          <cell r="AA2293">
            <v>20521</v>
          </cell>
          <cell r="AB2293">
            <v>21634</v>
          </cell>
          <cell r="AC2293">
            <v>19233</v>
          </cell>
          <cell r="AD2293">
            <v>17751</v>
          </cell>
          <cell r="AE2293">
            <v>18593</v>
          </cell>
          <cell r="AF2293">
            <v>17806</v>
          </cell>
          <cell r="AG2293">
            <v>20000</v>
          </cell>
          <cell r="AH2293">
            <v>18108</v>
          </cell>
          <cell r="AI2293">
            <v>17640</v>
          </cell>
          <cell r="AJ2293">
            <v>20709</v>
          </cell>
        </row>
        <row r="2294">
          <cell r="E2294" t="str">
            <v>AL Residential Natural Gas</v>
          </cell>
          <cell r="F2294">
            <v>46728</v>
          </cell>
          <cell r="G2294">
            <v>47398</v>
          </cell>
          <cell r="H2294">
            <v>51038</v>
          </cell>
          <cell r="I2294">
            <v>52916</v>
          </cell>
          <cell r="J2294">
            <v>51252</v>
          </cell>
          <cell r="K2294">
            <v>51016</v>
          </cell>
          <cell r="L2294">
            <v>58395</v>
          </cell>
          <cell r="M2294">
            <v>50505</v>
          </cell>
          <cell r="N2294">
            <v>48384</v>
          </cell>
          <cell r="O2294">
            <v>44176</v>
          </cell>
          <cell r="P2294">
            <v>49529</v>
          </cell>
          <cell r="Q2294">
            <v>50839</v>
          </cell>
          <cell r="R2294">
            <v>47846</v>
          </cell>
          <cell r="S2294">
            <v>47948</v>
          </cell>
          <cell r="T2294">
            <v>44958</v>
          </cell>
          <cell r="U2294">
            <v>43309</v>
          </cell>
          <cell r="V2294">
            <v>39180</v>
          </cell>
          <cell r="W2294">
            <v>36412</v>
          </cell>
          <cell r="X2294">
            <v>38656</v>
          </cell>
          <cell r="Y2294">
            <v>37030</v>
          </cell>
          <cell r="Z2294">
            <v>42872</v>
          </cell>
          <cell r="AA2294">
            <v>37180</v>
          </cell>
          <cell r="AB2294">
            <v>28022</v>
          </cell>
          <cell r="AC2294">
            <v>35626</v>
          </cell>
          <cell r="AD2294">
            <v>39842</v>
          </cell>
          <cell r="AE2294">
            <v>33653</v>
          </cell>
          <cell r="AF2294">
            <v>29155</v>
          </cell>
          <cell r="AG2294">
            <v>27077</v>
          </cell>
          <cell r="AH2294">
            <v>35669</v>
          </cell>
          <cell r="AI2294">
            <v>31472</v>
          </cell>
          <cell r="AJ2294">
            <v>29036</v>
          </cell>
        </row>
        <row r="2295">
          <cell r="E2295" t="str">
            <v>AR Residential Natural Gas</v>
          </cell>
          <cell r="F2295">
            <v>39486</v>
          </cell>
          <cell r="G2295">
            <v>41312</v>
          </cell>
          <cell r="H2295">
            <v>39743</v>
          </cell>
          <cell r="I2295">
            <v>46117</v>
          </cell>
          <cell r="J2295">
            <v>42431</v>
          </cell>
          <cell r="K2295">
            <v>44579</v>
          </cell>
          <cell r="L2295">
            <v>47509</v>
          </cell>
          <cell r="M2295">
            <v>43019</v>
          </cell>
          <cell r="N2295">
            <v>39139</v>
          </cell>
          <cell r="O2295">
            <v>36894</v>
          </cell>
          <cell r="P2295">
            <v>43159</v>
          </cell>
          <cell r="Q2295">
            <v>37695</v>
          </cell>
          <cell r="R2295">
            <v>40085</v>
          </cell>
          <cell r="S2295">
            <v>39161</v>
          </cell>
          <cell r="T2295">
            <v>35078</v>
          </cell>
          <cell r="U2295">
            <v>33927</v>
          </cell>
          <cell r="V2295">
            <v>32467</v>
          </cell>
          <cell r="W2295">
            <v>33041</v>
          </cell>
          <cell r="X2295">
            <v>36028</v>
          </cell>
          <cell r="Y2295">
            <v>33635</v>
          </cell>
          <cell r="Z2295">
            <v>36509</v>
          </cell>
          <cell r="AA2295">
            <v>34241</v>
          </cell>
          <cell r="AB2295">
            <v>26454</v>
          </cell>
          <cell r="AC2295">
            <v>35663</v>
          </cell>
          <cell r="AD2295">
            <v>38558</v>
          </cell>
          <cell r="AE2295">
            <v>33463</v>
          </cell>
          <cell r="AF2295">
            <v>27469</v>
          </cell>
          <cell r="AG2295">
            <v>26080</v>
          </cell>
          <cell r="AH2295">
            <v>35466</v>
          </cell>
          <cell r="AI2295">
            <v>34175</v>
          </cell>
          <cell r="AJ2295">
            <v>30704</v>
          </cell>
        </row>
        <row r="2296">
          <cell r="E2296" t="str">
            <v>AZ Residential Natural Gas</v>
          </cell>
          <cell r="F2296">
            <v>31301</v>
          </cell>
          <cell r="G2296">
            <v>32122</v>
          </cell>
          <cell r="H2296">
            <v>29273</v>
          </cell>
          <cell r="I2296">
            <v>28955</v>
          </cell>
          <cell r="J2296">
            <v>30516</v>
          </cell>
          <cell r="K2296">
            <v>27915</v>
          </cell>
          <cell r="L2296">
            <v>27990</v>
          </cell>
          <cell r="M2296">
            <v>31765</v>
          </cell>
          <cell r="N2296">
            <v>36702</v>
          </cell>
          <cell r="O2296">
            <v>33466</v>
          </cell>
          <cell r="P2296">
            <v>35089</v>
          </cell>
          <cell r="Q2296">
            <v>36475</v>
          </cell>
          <cell r="R2296">
            <v>35921</v>
          </cell>
          <cell r="S2296">
            <v>36265</v>
          </cell>
          <cell r="T2296">
            <v>38864</v>
          </cell>
          <cell r="U2296">
            <v>36602</v>
          </cell>
          <cell r="V2296">
            <v>36732</v>
          </cell>
          <cell r="W2296">
            <v>39305</v>
          </cell>
          <cell r="X2296">
            <v>39461</v>
          </cell>
          <cell r="Y2296">
            <v>35367</v>
          </cell>
          <cell r="Z2296">
            <v>38445</v>
          </cell>
          <cell r="AA2296">
            <v>39094</v>
          </cell>
          <cell r="AB2296">
            <v>35693</v>
          </cell>
          <cell r="AC2296">
            <v>40729</v>
          </cell>
          <cell r="AD2296">
            <v>33442</v>
          </cell>
          <cell r="AE2296">
            <v>36047</v>
          </cell>
          <cell r="AF2296">
            <v>36579</v>
          </cell>
          <cell r="AG2296">
            <v>34332</v>
          </cell>
          <cell r="AH2296">
            <v>36517</v>
          </cell>
          <cell r="AI2296">
            <v>43411</v>
          </cell>
          <cell r="AJ2296">
            <v>42648</v>
          </cell>
        </row>
        <row r="2297">
          <cell r="E2297" t="str">
            <v>CA Residential Natural Gas</v>
          </cell>
          <cell r="F2297">
            <v>530961</v>
          </cell>
          <cell r="G2297">
            <v>522101</v>
          </cell>
          <cell r="H2297">
            <v>492278</v>
          </cell>
          <cell r="I2297">
            <v>520050</v>
          </cell>
          <cell r="J2297">
            <v>530977</v>
          </cell>
          <cell r="K2297">
            <v>482729</v>
          </cell>
          <cell r="L2297">
            <v>489526</v>
          </cell>
          <cell r="M2297">
            <v>487098</v>
          </cell>
          <cell r="N2297">
            <v>580925</v>
          </cell>
          <cell r="O2297">
            <v>576853</v>
          </cell>
          <cell r="P2297">
            <v>494165</v>
          </cell>
          <cell r="Q2297">
            <v>520632</v>
          </cell>
          <cell r="R2297">
            <v>520837</v>
          </cell>
          <cell r="S2297">
            <v>507874</v>
          </cell>
          <cell r="T2297">
            <v>522272</v>
          </cell>
          <cell r="U2297">
            <v>494886</v>
          </cell>
          <cell r="V2297">
            <v>502984</v>
          </cell>
          <cell r="W2297">
            <v>506805</v>
          </cell>
          <cell r="X2297">
            <v>502833</v>
          </cell>
          <cell r="Y2297">
            <v>493696</v>
          </cell>
          <cell r="Z2297">
            <v>505530</v>
          </cell>
          <cell r="AA2297">
            <v>522406</v>
          </cell>
          <cell r="AB2297">
            <v>487614</v>
          </cell>
          <cell r="AC2297">
            <v>494357</v>
          </cell>
          <cell r="AD2297">
            <v>408754</v>
          </cell>
          <cell r="AE2297">
            <v>415935</v>
          </cell>
          <cell r="AF2297">
            <v>426390</v>
          </cell>
          <cell r="AG2297">
            <v>446314</v>
          </cell>
          <cell r="AH2297">
            <v>438159</v>
          </cell>
          <cell r="AI2297">
            <v>480485</v>
          </cell>
          <cell r="AJ2297">
            <v>473981</v>
          </cell>
        </row>
        <row r="2298">
          <cell r="E2298" t="str">
            <v>CO Residential Natural Gas</v>
          </cell>
          <cell r="F2298">
            <v>92191</v>
          </cell>
          <cell r="G2298">
            <v>100304</v>
          </cell>
          <cell r="H2298">
            <v>96440</v>
          </cell>
          <cell r="I2298">
            <v>107145</v>
          </cell>
          <cell r="J2298">
            <v>99507</v>
          </cell>
          <cell r="K2298">
            <v>105766</v>
          </cell>
          <cell r="L2298">
            <v>112607</v>
          </cell>
          <cell r="M2298">
            <v>116644</v>
          </cell>
          <cell r="N2298">
            <v>111534</v>
          </cell>
          <cell r="O2298">
            <v>111789</v>
          </cell>
          <cell r="P2298">
            <v>116133</v>
          </cell>
          <cell r="Q2298">
            <v>124175</v>
          </cell>
          <cell r="R2298">
            <v>129771</v>
          </cell>
          <cell r="S2298">
            <v>125422</v>
          </cell>
          <cell r="T2298">
            <v>121353</v>
          </cell>
          <cell r="U2298">
            <v>127677</v>
          </cell>
          <cell r="V2298">
            <v>122875</v>
          </cell>
          <cell r="W2298">
            <v>134578</v>
          </cell>
          <cell r="X2298">
            <v>136006</v>
          </cell>
          <cell r="Y2298">
            <v>130896</v>
          </cell>
          <cell r="Z2298">
            <v>133463</v>
          </cell>
          <cell r="AA2298">
            <v>134161</v>
          </cell>
          <cell r="AB2298">
            <v>120076</v>
          </cell>
          <cell r="AC2298">
            <v>139516</v>
          </cell>
          <cell r="AD2298">
            <v>138065</v>
          </cell>
          <cell r="AE2298">
            <v>129193</v>
          </cell>
          <cell r="AF2298">
            <v>128959</v>
          </cell>
          <cell r="AG2298">
            <v>125643</v>
          </cell>
          <cell r="AH2298">
            <v>137145</v>
          </cell>
          <cell r="AI2298">
            <v>154016</v>
          </cell>
          <cell r="AJ2298">
            <v>146020</v>
          </cell>
        </row>
        <row r="2299">
          <cell r="E2299" t="str">
            <v>CT Residential Natural Gas</v>
          </cell>
          <cell r="F2299">
            <v>38694</v>
          </cell>
          <cell r="G2299">
            <v>38334</v>
          </cell>
          <cell r="H2299">
            <v>43570</v>
          </cell>
          <cell r="I2299">
            <v>43353</v>
          </cell>
          <cell r="J2299">
            <v>42899</v>
          </cell>
          <cell r="K2299">
            <v>42036</v>
          </cell>
          <cell r="L2299">
            <v>45019</v>
          </cell>
          <cell r="M2299">
            <v>41694</v>
          </cell>
          <cell r="N2299">
            <v>36248</v>
          </cell>
          <cell r="O2299">
            <v>39281</v>
          </cell>
          <cell r="P2299">
            <v>42716</v>
          </cell>
          <cell r="Q2299">
            <v>41968</v>
          </cell>
          <cell r="R2299">
            <v>41250</v>
          </cell>
          <cell r="S2299">
            <v>46819</v>
          </cell>
          <cell r="T2299">
            <v>45252</v>
          </cell>
          <cell r="U2299">
            <v>45650</v>
          </cell>
          <cell r="V2299">
            <v>40103</v>
          </cell>
          <cell r="W2299">
            <v>44385</v>
          </cell>
          <cell r="X2299">
            <v>43815</v>
          </cell>
          <cell r="Y2299">
            <v>45020</v>
          </cell>
          <cell r="Z2299">
            <v>43815</v>
          </cell>
          <cell r="AA2299">
            <v>45951</v>
          </cell>
          <cell r="AB2299">
            <v>42340</v>
          </cell>
          <cell r="AC2299">
            <v>47716</v>
          </cell>
          <cell r="AD2299">
            <v>52615</v>
          </cell>
          <cell r="AE2299">
            <v>52337</v>
          </cell>
          <cell r="AF2299">
            <v>47327</v>
          </cell>
          <cell r="AG2299">
            <v>49815</v>
          </cell>
          <cell r="AH2299">
            <v>54702</v>
          </cell>
          <cell r="AI2299">
            <v>53808</v>
          </cell>
          <cell r="AJ2299">
            <v>50131</v>
          </cell>
        </row>
        <row r="2300">
          <cell r="E2300" t="str">
            <v>DC Residential Natural Gas</v>
          </cell>
          <cell r="F2300">
            <v>15258</v>
          </cell>
          <cell r="G2300">
            <v>15377</v>
          </cell>
          <cell r="H2300">
            <v>16703</v>
          </cell>
          <cell r="I2300">
            <v>16705</v>
          </cell>
          <cell r="J2300">
            <v>16039</v>
          </cell>
          <cell r="K2300">
            <v>15784</v>
          </cell>
          <cell r="L2300">
            <v>17446</v>
          </cell>
          <cell r="M2300">
            <v>16138</v>
          </cell>
          <cell r="N2300">
            <v>13607</v>
          </cell>
          <cell r="O2300">
            <v>14444</v>
          </cell>
          <cell r="P2300">
            <v>15854</v>
          </cell>
          <cell r="Q2300">
            <v>13283</v>
          </cell>
          <cell r="R2300">
            <v>14591</v>
          </cell>
          <cell r="S2300">
            <v>15565</v>
          </cell>
          <cell r="T2300">
            <v>14661</v>
          </cell>
          <cell r="U2300">
            <v>14573</v>
          </cell>
          <cell r="V2300">
            <v>11698</v>
          </cell>
          <cell r="W2300">
            <v>13732</v>
          </cell>
          <cell r="X2300">
            <v>13592</v>
          </cell>
          <cell r="Y2300">
            <v>13937</v>
          </cell>
          <cell r="Z2300">
            <v>13799</v>
          </cell>
          <cell r="AA2300">
            <v>12583</v>
          </cell>
          <cell r="AB2300">
            <v>11587</v>
          </cell>
          <cell r="AC2300">
            <v>13610</v>
          </cell>
          <cell r="AD2300">
            <v>14854</v>
          </cell>
          <cell r="AE2300">
            <v>14088</v>
          </cell>
          <cell r="AF2300">
            <v>11880</v>
          </cell>
          <cell r="AG2300">
            <v>12368</v>
          </cell>
          <cell r="AH2300">
            <v>13584</v>
          </cell>
          <cell r="AI2300">
            <v>12487</v>
          </cell>
          <cell r="AJ2300">
            <v>11607</v>
          </cell>
        </row>
        <row r="2301">
          <cell r="E2301" t="str">
            <v>DE Residential Natural Gas</v>
          </cell>
          <cell r="F2301">
            <v>7337</v>
          </cell>
          <cell r="G2301">
            <v>7236</v>
          </cell>
          <cell r="H2301">
            <v>8499</v>
          </cell>
          <cell r="I2301">
            <v>8590</v>
          </cell>
          <cell r="J2301">
            <v>8863</v>
          </cell>
          <cell r="K2301">
            <v>8807</v>
          </cell>
          <cell r="L2301">
            <v>10140</v>
          </cell>
          <cell r="M2301">
            <v>9289</v>
          </cell>
          <cell r="N2301">
            <v>8235</v>
          </cell>
          <cell r="O2301">
            <v>9461</v>
          </cell>
          <cell r="P2301">
            <v>9858</v>
          </cell>
          <cell r="Q2301">
            <v>9477</v>
          </cell>
          <cell r="R2301">
            <v>9898</v>
          </cell>
          <cell r="S2301">
            <v>11173</v>
          </cell>
          <cell r="T2301">
            <v>10773</v>
          </cell>
          <cell r="U2301">
            <v>10721</v>
          </cell>
          <cell r="V2301">
            <v>9449</v>
          </cell>
          <cell r="W2301">
            <v>10375</v>
          </cell>
          <cell r="X2301">
            <v>10197</v>
          </cell>
          <cell r="Y2301">
            <v>10367</v>
          </cell>
          <cell r="Z2301">
            <v>10376</v>
          </cell>
          <cell r="AA2301">
            <v>10323</v>
          </cell>
          <cell r="AB2301">
            <v>8808</v>
          </cell>
          <cell r="AC2301">
            <v>10673</v>
          </cell>
          <cell r="AD2301">
            <v>11944</v>
          </cell>
          <cell r="AE2301">
            <v>11854</v>
          </cell>
          <cell r="AF2301">
            <v>10159</v>
          </cell>
          <cell r="AG2301">
            <v>10371</v>
          </cell>
          <cell r="AH2301">
            <v>12605</v>
          </cell>
          <cell r="AI2301">
            <v>12145</v>
          </cell>
          <cell r="AJ2301">
            <v>11299</v>
          </cell>
        </row>
        <row r="2302">
          <cell r="E2302" t="str">
            <v>FL Residential Natural Gas</v>
          </cell>
          <cell r="F2302">
            <v>14063</v>
          </cell>
          <cell r="G2302">
            <v>14177</v>
          </cell>
          <cell r="H2302">
            <v>15813</v>
          </cell>
          <cell r="I2302">
            <v>15320</v>
          </cell>
          <cell r="J2302">
            <v>15634</v>
          </cell>
          <cell r="K2302">
            <v>15553</v>
          </cell>
          <cell r="L2302">
            <v>18188</v>
          </cell>
          <cell r="M2302">
            <v>13879</v>
          </cell>
          <cell r="N2302">
            <v>14869</v>
          </cell>
          <cell r="O2302">
            <v>14433</v>
          </cell>
          <cell r="P2302">
            <v>16772</v>
          </cell>
          <cell r="Q2302">
            <v>16558</v>
          </cell>
          <cell r="R2302">
            <v>15669</v>
          </cell>
          <cell r="S2302">
            <v>16527</v>
          </cell>
          <cell r="T2302">
            <v>16460</v>
          </cell>
          <cell r="U2302">
            <v>16732</v>
          </cell>
          <cell r="V2302">
            <v>16134</v>
          </cell>
          <cell r="W2302">
            <v>15602</v>
          </cell>
          <cell r="X2302">
            <v>16086</v>
          </cell>
          <cell r="Y2302">
            <v>15682</v>
          </cell>
          <cell r="Z2302">
            <v>19198</v>
          </cell>
          <cell r="AA2302">
            <v>16648</v>
          </cell>
          <cell r="AB2302">
            <v>14635</v>
          </cell>
          <cell r="AC2302">
            <v>15593</v>
          </cell>
          <cell r="AD2302">
            <v>17143</v>
          </cell>
          <cell r="AE2302">
            <v>15791</v>
          </cell>
          <cell r="AF2302">
            <v>15763</v>
          </cell>
          <cell r="AG2302">
            <v>15423</v>
          </cell>
          <cell r="AH2302">
            <v>17570</v>
          </cell>
          <cell r="AI2302">
            <v>17013</v>
          </cell>
          <cell r="AJ2302">
            <v>17789</v>
          </cell>
        </row>
        <row r="2303">
          <cell r="E2303" t="str">
            <v>GA Residential Natural Gas</v>
          </cell>
          <cell r="F2303">
            <v>92702</v>
          </cell>
          <cell r="G2303">
            <v>99272</v>
          </cell>
          <cell r="H2303">
            <v>110920</v>
          </cell>
          <cell r="I2303">
            <v>118781</v>
          </cell>
          <cell r="J2303">
            <v>108601</v>
          </cell>
          <cell r="K2303">
            <v>117648</v>
          </cell>
          <cell r="L2303">
            <v>129982</v>
          </cell>
          <cell r="M2303">
            <v>117568</v>
          </cell>
          <cell r="N2303">
            <v>110308</v>
          </cell>
          <cell r="O2303">
            <v>101447</v>
          </cell>
          <cell r="P2303">
            <v>143406</v>
          </cell>
          <cell r="Q2303">
            <v>124111</v>
          </cell>
          <cell r="R2303">
            <v>129902</v>
          </cell>
          <cell r="S2303">
            <v>133730</v>
          </cell>
          <cell r="T2303">
            <v>130142</v>
          </cell>
          <cell r="U2303">
            <v>128939</v>
          </cell>
          <cell r="V2303">
            <v>113510</v>
          </cell>
          <cell r="W2303">
            <v>115129</v>
          </cell>
          <cell r="X2303">
            <v>122159</v>
          </cell>
          <cell r="Y2303">
            <v>121368</v>
          </cell>
          <cell r="Z2303">
            <v>141661</v>
          </cell>
          <cell r="AA2303">
            <v>115423</v>
          </cell>
          <cell r="AB2303">
            <v>99148</v>
          </cell>
          <cell r="AC2303">
            <v>123480</v>
          </cell>
          <cell r="AD2303">
            <v>136706</v>
          </cell>
          <cell r="AE2303">
            <v>120795</v>
          </cell>
          <cell r="AF2303">
            <v>119188</v>
          </cell>
          <cell r="AG2303">
            <v>114365</v>
          </cell>
          <cell r="AH2303">
            <v>136713</v>
          </cell>
          <cell r="AI2303">
            <v>126437</v>
          </cell>
          <cell r="AJ2303">
            <v>123097</v>
          </cell>
        </row>
        <row r="2304">
          <cell r="E2304" t="str">
            <v>HI Residential Natural Gas</v>
          </cell>
          <cell r="F2304">
            <v>605</v>
          </cell>
          <cell r="G2304">
            <v>589</v>
          </cell>
          <cell r="H2304">
            <v>592</v>
          </cell>
          <cell r="I2304">
            <v>592</v>
          </cell>
          <cell r="J2304">
            <v>607</v>
          </cell>
          <cell r="K2304">
            <v>601</v>
          </cell>
          <cell r="L2304">
            <v>571</v>
          </cell>
          <cell r="M2304">
            <v>533</v>
          </cell>
          <cell r="N2304">
            <v>565</v>
          </cell>
          <cell r="O2304">
            <v>552</v>
          </cell>
          <cell r="P2304">
            <v>560</v>
          </cell>
          <cell r="Q2304">
            <v>557</v>
          </cell>
          <cell r="R2304">
            <v>571</v>
          </cell>
          <cell r="S2304">
            <v>562</v>
          </cell>
          <cell r="T2304">
            <v>549</v>
          </cell>
          <cell r="U2304">
            <v>535</v>
          </cell>
          <cell r="V2304">
            <v>542</v>
          </cell>
          <cell r="W2304">
            <v>528</v>
          </cell>
          <cell r="X2304">
            <v>520</v>
          </cell>
          <cell r="Y2304">
            <v>530</v>
          </cell>
          <cell r="Z2304">
            <v>529</v>
          </cell>
          <cell r="AA2304">
            <v>509</v>
          </cell>
          <cell r="AB2304">
            <v>503</v>
          </cell>
          <cell r="AC2304">
            <v>585</v>
          </cell>
          <cell r="AD2304">
            <v>559</v>
          </cell>
          <cell r="AE2304">
            <v>562</v>
          </cell>
          <cell r="AF2304">
            <v>560</v>
          </cell>
          <cell r="AG2304">
            <v>558</v>
          </cell>
          <cell r="AH2304">
            <v>568</v>
          </cell>
          <cell r="AI2304">
            <v>548</v>
          </cell>
          <cell r="AJ2304">
            <v>574</v>
          </cell>
        </row>
        <row r="2305">
          <cell r="E2305" t="str">
            <v>IA Residential Natural Gas</v>
          </cell>
          <cell r="F2305">
            <v>71870</v>
          </cell>
          <cell r="G2305">
            <v>79415</v>
          </cell>
          <cell r="H2305">
            <v>75176</v>
          </cell>
          <cell r="I2305">
            <v>83659</v>
          </cell>
          <cell r="J2305">
            <v>78881</v>
          </cell>
          <cell r="K2305">
            <v>82643</v>
          </cell>
          <cell r="L2305">
            <v>88607</v>
          </cell>
          <cell r="M2305">
            <v>82432</v>
          </cell>
          <cell r="N2305">
            <v>69657</v>
          </cell>
          <cell r="O2305">
            <v>72805</v>
          </cell>
          <cell r="P2305">
            <v>74221</v>
          </cell>
          <cell r="Q2305">
            <v>71341</v>
          </cell>
          <cell r="R2305">
            <v>71754</v>
          </cell>
          <cell r="S2305">
            <v>74236</v>
          </cell>
          <cell r="T2305">
            <v>68538</v>
          </cell>
          <cell r="U2305">
            <v>67692</v>
          </cell>
          <cell r="V2305">
            <v>62628</v>
          </cell>
          <cell r="W2305">
            <v>68443</v>
          </cell>
          <cell r="X2305">
            <v>76201</v>
          </cell>
          <cell r="Y2305">
            <v>70599</v>
          </cell>
          <cell r="Z2305">
            <v>68775</v>
          </cell>
          <cell r="AA2305">
            <v>67696</v>
          </cell>
          <cell r="AB2305">
            <v>56611</v>
          </cell>
          <cell r="AC2305">
            <v>74635</v>
          </cell>
          <cell r="AD2305">
            <v>79620</v>
          </cell>
          <cell r="AE2305">
            <v>66042</v>
          </cell>
          <cell r="AF2305">
            <v>64672</v>
          </cell>
          <cell r="AG2305">
            <v>63711</v>
          </cell>
          <cell r="AH2305">
            <v>75122</v>
          </cell>
          <cell r="AI2305">
            <v>75887</v>
          </cell>
          <cell r="AJ2305">
            <v>68336</v>
          </cell>
        </row>
        <row r="2306">
          <cell r="E2306" t="str">
            <v>ID Residential Natural Gas</v>
          </cell>
          <cell r="F2306">
            <v>8808</v>
          </cell>
          <cell r="G2306">
            <v>10560</v>
          </cell>
          <cell r="H2306">
            <v>9949</v>
          </cell>
          <cell r="I2306">
            <v>13035</v>
          </cell>
          <cell r="J2306">
            <v>12752</v>
          </cell>
          <cell r="K2306">
            <v>13393</v>
          </cell>
          <cell r="L2306">
            <v>15389</v>
          </cell>
          <cell r="M2306">
            <v>15710</v>
          </cell>
          <cell r="N2306">
            <v>16614</v>
          </cell>
          <cell r="O2306">
            <v>18588</v>
          </cell>
          <cell r="P2306">
            <v>19602</v>
          </cell>
          <cell r="Q2306">
            <v>19453</v>
          </cell>
          <cell r="R2306">
            <v>21010</v>
          </cell>
          <cell r="S2306">
            <v>19526</v>
          </cell>
          <cell r="T2306">
            <v>21530</v>
          </cell>
          <cell r="U2306">
            <v>22745</v>
          </cell>
          <cell r="V2306">
            <v>23494</v>
          </cell>
          <cell r="W2306">
            <v>23977</v>
          </cell>
          <cell r="X2306">
            <v>28197</v>
          </cell>
          <cell r="Y2306">
            <v>26127</v>
          </cell>
          <cell r="Z2306">
            <v>24496</v>
          </cell>
          <cell r="AA2306">
            <v>27137</v>
          </cell>
          <cell r="AB2306">
            <v>24296</v>
          </cell>
          <cell r="AC2306">
            <v>28067</v>
          </cell>
          <cell r="AD2306">
            <v>25056</v>
          </cell>
          <cell r="AE2306">
            <v>24329</v>
          </cell>
          <cell r="AF2306">
            <v>26004</v>
          </cell>
          <cell r="AG2306">
            <v>30119</v>
          </cell>
          <cell r="AH2306">
            <v>28607</v>
          </cell>
          <cell r="AI2306">
            <v>31834</v>
          </cell>
          <cell r="AJ2306">
            <v>31507</v>
          </cell>
        </row>
        <row r="2307">
          <cell r="E2307" t="str">
            <v>IL Residential Natural Gas</v>
          </cell>
          <cell r="F2307">
            <v>451886</v>
          </cell>
          <cell r="G2307">
            <v>475833</v>
          </cell>
          <cell r="H2307">
            <v>483903</v>
          </cell>
          <cell r="I2307">
            <v>505733</v>
          </cell>
          <cell r="J2307">
            <v>483714</v>
          </cell>
          <cell r="K2307">
            <v>510877</v>
          </cell>
          <cell r="L2307">
            <v>548974</v>
          </cell>
          <cell r="M2307">
            <v>507791</v>
          </cell>
          <cell r="N2307">
            <v>418897</v>
          </cell>
          <cell r="O2307">
            <v>455021</v>
          </cell>
          <cell r="P2307">
            <v>477379</v>
          </cell>
          <cell r="Q2307">
            <v>435642</v>
          </cell>
          <cell r="R2307">
            <v>465427</v>
          </cell>
          <cell r="S2307">
            <v>480558</v>
          </cell>
          <cell r="T2307">
            <v>449459</v>
          </cell>
          <cell r="U2307">
            <v>443991</v>
          </cell>
          <cell r="V2307">
            <v>404471</v>
          </cell>
          <cell r="W2307">
            <v>439314</v>
          </cell>
          <cell r="X2307">
            <v>472366</v>
          </cell>
          <cell r="Y2307">
            <v>445693</v>
          </cell>
          <cell r="Z2307">
            <v>419761</v>
          </cell>
          <cell r="AA2307">
            <v>422588</v>
          </cell>
          <cell r="AB2307">
            <v>364839</v>
          </cell>
          <cell r="AC2307">
            <v>459893</v>
          </cell>
          <cell r="AD2307">
            <v>490661</v>
          </cell>
          <cell r="AE2307">
            <v>412894</v>
          </cell>
          <cell r="AF2307">
            <v>399189</v>
          </cell>
          <cell r="AG2307">
            <v>388810</v>
          </cell>
          <cell r="AH2307">
            <v>451040</v>
          </cell>
          <cell r="AI2307">
            <v>452402</v>
          </cell>
          <cell r="AJ2307">
            <v>410881</v>
          </cell>
        </row>
        <row r="2308">
          <cell r="E2308" t="str">
            <v>IN Residential Natural Gas</v>
          </cell>
          <cell r="F2308">
            <v>143053</v>
          </cell>
          <cell r="G2308">
            <v>148537</v>
          </cell>
          <cell r="H2308">
            <v>154395</v>
          </cell>
          <cell r="I2308">
            <v>166075</v>
          </cell>
          <cell r="J2308">
            <v>159485</v>
          </cell>
          <cell r="K2308">
            <v>162971</v>
          </cell>
          <cell r="L2308">
            <v>181906</v>
          </cell>
          <cell r="M2308">
            <v>170987</v>
          </cell>
          <cell r="N2308">
            <v>142506</v>
          </cell>
          <cell r="O2308">
            <v>154254</v>
          </cell>
          <cell r="P2308">
            <v>165287</v>
          </cell>
          <cell r="Q2308">
            <v>150897</v>
          </cell>
          <cell r="R2308">
            <v>157872</v>
          </cell>
          <cell r="S2308">
            <v>171596</v>
          </cell>
          <cell r="T2308">
            <v>149882</v>
          </cell>
          <cell r="U2308">
            <v>151334</v>
          </cell>
          <cell r="V2308">
            <v>129833</v>
          </cell>
          <cell r="W2308">
            <v>145762</v>
          </cell>
          <cell r="X2308">
            <v>154674</v>
          </cell>
          <cell r="Y2308">
            <v>141866</v>
          </cell>
          <cell r="Z2308">
            <v>140134</v>
          </cell>
          <cell r="AA2308">
            <v>133699</v>
          </cell>
          <cell r="AB2308">
            <v>116929</v>
          </cell>
          <cell r="AC2308">
            <v>146575</v>
          </cell>
          <cell r="AD2308">
            <v>159397</v>
          </cell>
          <cell r="AE2308">
            <v>136142</v>
          </cell>
          <cell r="AF2308">
            <v>129516</v>
          </cell>
          <cell r="AG2308">
            <v>128855</v>
          </cell>
          <cell r="AH2308">
            <v>150829</v>
          </cell>
          <cell r="AI2308">
            <v>150165</v>
          </cell>
          <cell r="AJ2308">
            <v>140704</v>
          </cell>
        </row>
        <row r="2309">
          <cell r="E2309" t="str">
            <v>KS Residential Natural Gas</v>
          </cell>
          <cell r="F2309">
            <v>71263</v>
          </cell>
          <cell r="G2309">
            <v>75588</v>
          </cell>
          <cell r="H2309">
            <v>70602</v>
          </cell>
          <cell r="I2309">
            <v>83805</v>
          </cell>
          <cell r="J2309">
            <v>74051</v>
          </cell>
          <cell r="K2309">
            <v>76078</v>
          </cell>
          <cell r="L2309">
            <v>85107</v>
          </cell>
          <cell r="M2309">
            <v>69571</v>
          </cell>
          <cell r="N2309">
            <v>69775</v>
          </cell>
          <cell r="O2309">
            <v>67816</v>
          </cell>
          <cell r="P2309">
            <v>71137</v>
          </cell>
          <cell r="Q2309">
            <v>70498</v>
          </cell>
          <cell r="R2309">
            <v>71470</v>
          </cell>
          <cell r="S2309">
            <v>71247</v>
          </cell>
          <cell r="T2309">
            <v>65918</v>
          </cell>
          <cell r="U2309">
            <v>65853</v>
          </cell>
          <cell r="V2309">
            <v>58185</v>
          </cell>
          <cell r="W2309">
            <v>64215</v>
          </cell>
          <cell r="X2309">
            <v>72857</v>
          </cell>
          <cell r="Y2309">
            <v>72465</v>
          </cell>
          <cell r="Z2309">
            <v>68410</v>
          </cell>
          <cell r="AA2309">
            <v>66820</v>
          </cell>
          <cell r="AB2309">
            <v>51613</v>
          </cell>
          <cell r="AC2309">
            <v>69254</v>
          </cell>
          <cell r="AD2309">
            <v>72840</v>
          </cell>
          <cell r="AE2309">
            <v>60399</v>
          </cell>
          <cell r="AF2309">
            <v>55886</v>
          </cell>
          <cell r="AG2309">
            <v>56299</v>
          </cell>
          <cell r="AH2309">
            <v>69719</v>
          </cell>
          <cell r="AI2309">
            <v>71069</v>
          </cell>
          <cell r="AJ2309">
            <v>64474</v>
          </cell>
        </row>
        <row r="2310">
          <cell r="E2310" t="str">
            <v>KY Residential Natural Gas</v>
          </cell>
          <cell r="F2310">
            <v>58308</v>
          </cell>
          <cell r="G2310">
            <v>62261</v>
          </cell>
          <cell r="H2310">
            <v>65505</v>
          </cell>
          <cell r="I2310">
            <v>70123</v>
          </cell>
          <cell r="J2310">
            <v>66414</v>
          </cell>
          <cell r="K2310">
            <v>72518</v>
          </cell>
          <cell r="L2310">
            <v>73691</v>
          </cell>
          <cell r="M2310">
            <v>69354</v>
          </cell>
          <cell r="N2310">
            <v>57453</v>
          </cell>
          <cell r="O2310">
            <v>61135</v>
          </cell>
          <cell r="P2310">
            <v>67273</v>
          </cell>
          <cell r="Q2310">
            <v>59070</v>
          </cell>
          <cell r="R2310">
            <v>61279</v>
          </cell>
          <cell r="S2310">
            <v>64190</v>
          </cell>
          <cell r="T2310">
            <v>58430</v>
          </cell>
          <cell r="U2310">
            <v>57755</v>
          </cell>
          <cell r="V2310">
            <v>48756</v>
          </cell>
          <cell r="W2310">
            <v>52926</v>
          </cell>
          <cell r="X2310">
            <v>56975</v>
          </cell>
          <cell r="Y2310">
            <v>53712</v>
          </cell>
          <cell r="Z2310">
            <v>56060</v>
          </cell>
          <cell r="AA2310">
            <v>52098</v>
          </cell>
          <cell r="AB2310">
            <v>44413</v>
          </cell>
          <cell r="AC2310">
            <v>55545</v>
          </cell>
          <cell r="AD2310">
            <v>59110</v>
          </cell>
          <cell r="AE2310">
            <v>50480</v>
          </cell>
          <cell r="AF2310">
            <v>46828</v>
          </cell>
          <cell r="AG2310">
            <v>45244</v>
          </cell>
          <cell r="AH2310">
            <v>54099</v>
          </cell>
          <cell r="AI2310">
            <v>51154</v>
          </cell>
          <cell r="AJ2310">
            <v>48259</v>
          </cell>
        </row>
        <row r="2311">
          <cell r="E2311" t="str">
            <v>LA Residential Natural Gas</v>
          </cell>
          <cell r="F2311">
            <v>55601</v>
          </cell>
          <cell r="G2311">
            <v>57228</v>
          </cell>
          <cell r="H2311">
            <v>57667</v>
          </cell>
          <cell r="I2311">
            <v>58649</v>
          </cell>
          <cell r="J2311">
            <v>55036</v>
          </cell>
          <cell r="K2311">
            <v>54350</v>
          </cell>
          <cell r="L2311">
            <v>59135</v>
          </cell>
          <cell r="M2311">
            <v>59818</v>
          </cell>
          <cell r="N2311">
            <v>51242</v>
          </cell>
          <cell r="O2311">
            <v>47044</v>
          </cell>
          <cell r="P2311">
            <v>52919</v>
          </cell>
          <cell r="Q2311">
            <v>50174</v>
          </cell>
          <cell r="R2311">
            <v>50728</v>
          </cell>
          <cell r="S2311">
            <v>48840</v>
          </cell>
          <cell r="T2311">
            <v>44132</v>
          </cell>
          <cell r="U2311">
            <v>42972</v>
          </cell>
          <cell r="V2311">
            <v>34709</v>
          </cell>
          <cell r="W2311">
            <v>38423</v>
          </cell>
          <cell r="X2311">
            <v>38554</v>
          </cell>
          <cell r="Y2311">
            <v>37562</v>
          </cell>
          <cell r="Z2311">
            <v>46617</v>
          </cell>
          <cell r="AA2311">
            <v>40136</v>
          </cell>
          <cell r="AB2311">
            <v>32286</v>
          </cell>
          <cell r="AC2311">
            <v>39491</v>
          </cell>
          <cell r="AD2311">
            <v>45679</v>
          </cell>
          <cell r="AE2311">
            <v>37738</v>
          </cell>
          <cell r="AF2311">
            <v>32084</v>
          </cell>
          <cell r="AG2311">
            <v>29680</v>
          </cell>
          <cell r="AH2311">
            <v>38636</v>
          </cell>
          <cell r="AI2311">
            <v>36663</v>
          </cell>
          <cell r="AJ2311">
            <v>32697</v>
          </cell>
        </row>
        <row r="2312">
          <cell r="E2312" t="str">
            <v>MA Residential Natural Gas</v>
          </cell>
          <cell r="F2312">
            <v>110572</v>
          </cell>
          <cell r="G2312">
            <v>107035</v>
          </cell>
          <cell r="H2312">
            <v>124366</v>
          </cell>
          <cell r="I2312">
            <v>126147</v>
          </cell>
          <cell r="J2312">
            <v>122539</v>
          </cell>
          <cell r="K2312">
            <v>108528</v>
          </cell>
          <cell r="L2312">
            <v>117338</v>
          </cell>
          <cell r="M2312">
            <v>114486</v>
          </cell>
          <cell r="N2312">
            <v>103617</v>
          </cell>
          <cell r="O2312">
            <v>112073</v>
          </cell>
          <cell r="P2312">
            <v>119146</v>
          </cell>
          <cell r="Q2312">
            <v>111474</v>
          </cell>
          <cell r="R2312">
            <v>113101</v>
          </cell>
          <cell r="S2312">
            <v>129420</v>
          </cell>
          <cell r="T2312">
            <v>115980</v>
          </cell>
          <cell r="U2312">
            <v>120356</v>
          </cell>
          <cell r="V2312">
            <v>104894</v>
          </cell>
          <cell r="W2312">
            <v>116997</v>
          </cell>
          <cell r="X2312">
            <v>134537</v>
          </cell>
          <cell r="Y2312">
            <v>136952</v>
          </cell>
          <cell r="Z2312">
            <v>129812</v>
          </cell>
          <cell r="AA2312">
            <v>132932</v>
          </cell>
          <cell r="AB2312">
            <v>119220</v>
          </cell>
          <cell r="AC2312">
            <v>120685</v>
          </cell>
          <cell r="AD2312">
            <v>129937</v>
          </cell>
          <cell r="AE2312">
            <v>130373</v>
          </cell>
          <cell r="AF2312">
            <v>115469</v>
          </cell>
          <cell r="AG2312">
            <v>124802</v>
          </cell>
          <cell r="AH2312">
            <v>134282</v>
          </cell>
          <cell r="AI2312">
            <v>139345</v>
          </cell>
          <cell r="AJ2312">
            <v>123914</v>
          </cell>
        </row>
        <row r="2313">
          <cell r="E2313" t="str">
            <v>MD Residential Natural Gas</v>
          </cell>
          <cell r="F2313">
            <v>68234</v>
          </cell>
          <cell r="G2313">
            <v>70966</v>
          </cell>
          <cell r="H2313">
            <v>77144</v>
          </cell>
          <cell r="I2313">
            <v>78985</v>
          </cell>
          <cell r="J2313">
            <v>79002</v>
          </cell>
          <cell r="K2313">
            <v>78470</v>
          </cell>
          <cell r="L2313">
            <v>88009</v>
          </cell>
          <cell r="M2313">
            <v>80118</v>
          </cell>
          <cell r="N2313">
            <v>70561</v>
          </cell>
          <cell r="O2313">
            <v>77365</v>
          </cell>
          <cell r="P2313">
            <v>86845</v>
          </cell>
          <cell r="Q2313">
            <v>73338</v>
          </cell>
          <cell r="R2313">
            <v>83030</v>
          </cell>
          <cell r="S2313">
            <v>94116</v>
          </cell>
          <cell r="T2313">
            <v>89558</v>
          </cell>
          <cell r="U2313">
            <v>89880</v>
          </cell>
          <cell r="V2313">
            <v>73973</v>
          </cell>
          <cell r="W2313">
            <v>86557</v>
          </cell>
          <cell r="X2313">
            <v>84053</v>
          </cell>
          <cell r="Y2313">
            <v>85667</v>
          </cell>
          <cell r="Z2313">
            <v>85993</v>
          </cell>
          <cell r="AA2313">
            <v>79993</v>
          </cell>
          <cell r="AB2313">
            <v>73004</v>
          </cell>
          <cell r="AC2313">
            <v>86953</v>
          </cell>
          <cell r="AD2313">
            <v>95387</v>
          </cell>
          <cell r="AE2313">
            <v>87475</v>
          </cell>
          <cell r="AF2313">
            <v>79917</v>
          </cell>
          <cell r="AG2313">
            <v>79376</v>
          </cell>
          <cell r="AH2313">
            <v>90221</v>
          </cell>
          <cell r="AI2313">
            <v>85553</v>
          </cell>
          <cell r="AJ2313">
            <v>80418</v>
          </cell>
        </row>
        <row r="2314">
          <cell r="E2314" t="str">
            <v>ME Residential Natural Gas</v>
          </cell>
          <cell r="F2314">
            <v>651</v>
          </cell>
          <cell r="G2314">
            <v>726</v>
          </cell>
          <cell r="H2314">
            <v>884</v>
          </cell>
          <cell r="I2314">
            <v>914</v>
          </cell>
          <cell r="J2314">
            <v>906</v>
          </cell>
          <cell r="K2314">
            <v>928</v>
          </cell>
          <cell r="L2314">
            <v>982</v>
          </cell>
          <cell r="M2314">
            <v>1023</v>
          </cell>
          <cell r="N2314">
            <v>925</v>
          </cell>
          <cell r="O2314">
            <v>976</v>
          </cell>
          <cell r="P2314">
            <v>1195</v>
          </cell>
          <cell r="Q2314">
            <v>1122</v>
          </cell>
          <cell r="R2314">
            <v>1099</v>
          </cell>
          <cell r="S2314">
            <v>1266</v>
          </cell>
          <cell r="T2314">
            <v>1238</v>
          </cell>
          <cell r="U2314">
            <v>1204</v>
          </cell>
          <cell r="V2314">
            <v>1038</v>
          </cell>
          <cell r="W2314">
            <v>1253</v>
          </cell>
          <cell r="X2314">
            <v>1174</v>
          </cell>
          <cell r="Y2314">
            <v>1341</v>
          </cell>
          <cell r="Z2314">
            <v>1282</v>
          </cell>
          <cell r="AA2314">
            <v>1467</v>
          </cell>
          <cell r="AB2314">
            <v>1530</v>
          </cell>
          <cell r="AC2314">
            <v>1947</v>
          </cell>
          <cell r="AD2314">
            <v>2434</v>
          </cell>
          <cell r="AE2314">
            <v>2782</v>
          </cell>
          <cell r="AF2314">
            <v>2642</v>
          </cell>
          <cell r="AG2314">
            <v>2847</v>
          </cell>
          <cell r="AH2314">
            <v>3192</v>
          </cell>
          <cell r="AI2314">
            <v>3250</v>
          </cell>
          <cell r="AJ2314">
            <v>3080</v>
          </cell>
        </row>
        <row r="2315">
          <cell r="E2315" t="str">
            <v>MI Residential Natural Gas</v>
          </cell>
          <cell r="F2315">
            <v>341919</v>
          </cell>
          <cell r="G2315">
            <v>349179</v>
          </cell>
          <cell r="H2315">
            <v>370596</v>
          </cell>
          <cell r="I2315">
            <v>382718</v>
          </cell>
          <cell r="J2315">
            <v>377458</v>
          </cell>
          <cell r="K2315">
            <v>395386</v>
          </cell>
          <cell r="L2315">
            <v>413154</v>
          </cell>
          <cell r="M2315">
            <v>395146</v>
          </cell>
          <cell r="N2315">
            <v>334743</v>
          </cell>
          <cell r="O2315">
            <v>365309</v>
          </cell>
          <cell r="P2315">
            <v>381088</v>
          </cell>
          <cell r="Q2315">
            <v>354353</v>
          </cell>
          <cell r="R2315">
            <v>375477</v>
          </cell>
          <cell r="S2315">
            <v>397104</v>
          </cell>
          <cell r="T2315">
            <v>371133</v>
          </cell>
          <cell r="U2315">
            <v>363974</v>
          </cell>
          <cell r="V2315">
            <v>321453</v>
          </cell>
          <cell r="W2315">
            <v>335707</v>
          </cell>
          <cell r="X2315">
            <v>350007</v>
          </cell>
          <cell r="Y2315">
            <v>334202</v>
          </cell>
          <cell r="Z2315">
            <v>309303</v>
          </cell>
          <cell r="AA2315">
            <v>322392</v>
          </cell>
          <cell r="AB2315">
            <v>281450</v>
          </cell>
          <cell r="AC2315">
            <v>341223</v>
          </cell>
          <cell r="AD2315">
            <v>361293</v>
          </cell>
          <cell r="AE2315">
            <v>322444</v>
          </cell>
          <cell r="AF2315">
            <v>306724</v>
          </cell>
          <cell r="AG2315">
            <v>312803</v>
          </cell>
          <cell r="AH2315">
            <v>342460</v>
          </cell>
          <cell r="AI2315">
            <v>351305</v>
          </cell>
          <cell r="AJ2315">
            <v>322607</v>
          </cell>
        </row>
        <row r="2316">
          <cell r="E2316" t="str">
            <v>MN Residential Natural Gas</v>
          </cell>
          <cell r="F2316">
            <v>107372</v>
          </cell>
          <cell r="G2316">
            <v>118548</v>
          </cell>
          <cell r="H2316">
            <v>114804</v>
          </cell>
          <cell r="I2316">
            <v>124754</v>
          </cell>
          <cell r="J2316">
            <v>123590</v>
          </cell>
          <cell r="K2316">
            <v>130416</v>
          </cell>
          <cell r="L2316">
            <v>144898</v>
          </cell>
          <cell r="M2316">
            <v>131205</v>
          </cell>
          <cell r="N2316">
            <v>112520</v>
          </cell>
          <cell r="O2316">
            <v>121204</v>
          </cell>
          <cell r="P2316">
            <v>131740</v>
          </cell>
          <cell r="Q2316">
            <v>126349</v>
          </cell>
          <cell r="R2316">
            <v>136168</v>
          </cell>
          <cell r="S2316">
            <v>139082</v>
          </cell>
          <cell r="T2316">
            <v>133826</v>
          </cell>
          <cell r="U2316">
            <v>130201</v>
          </cell>
          <cell r="V2316">
            <v>119109</v>
          </cell>
          <cell r="W2316">
            <v>131429</v>
          </cell>
          <cell r="X2316">
            <v>142782</v>
          </cell>
          <cell r="Y2316">
            <v>137340</v>
          </cell>
          <cell r="Z2316">
            <v>124219</v>
          </cell>
          <cell r="AA2316">
            <v>126425</v>
          </cell>
          <cell r="AB2316">
            <v>111168</v>
          </cell>
          <cell r="AC2316">
            <v>143059</v>
          </cell>
          <cell r="AD2316">
            <v>151404</v>
          </cell>
          <cell r="AE2316">
            <v>122089</v>
          </cell>
          <cell r="AF2316">
            <v>121709</v>
          </cell>
          <cell r="AG2316">
            <v>127705</v>
          </cell>
          <cell r="AH2316">
            <v>147880</v>
          </cell>
          <cell r="AI2316">
            <v>151838</v>
          </cell>
          <cell r="AJ2316">
            <v>136790</v>
          </cell>
        </row>
        <row r="2317">
          <cell r="E2317" t="str">
            <v>MO Residential Natural Gas</v>
          </cell>
          <cell r="F2317">
            <v>117213</v>
          </cell>
          <cell r="G2317">
            <v>121731</v>
          </cell>
          <cell r="H2317">
            <v>116875</v>
          </cell>
          <cell r="I2317">
            <v>134693</v>
          </cell>
          <cell r="J2317">
            <v>123305</v>
          </cell>
          <cell r="K2317">
            <v>125980</v>
          </cell>
          <cell r="L2317">
            <v>138724</v>
          </cell>
          <cell r="M2317">
            <v>128885</v>
          </cell>
          <cell r="N2317">
            <v>111956</v>
          </cell>
          <cell r="O2317">
            <v>113496</v>
          </cell>
          <cell r="P2317">
            <v>117211</v>
          </cell>
          <cell r="Q2317">
            <v>116917</v>
          </cell>
          <cell r="R2317">
            <v>115601</v>
          </cell>
          <cell r="S2317">
            <v>116126</v>
          </cell>
          <cell r="T2317">
            <v>111908</v>
          </cell>
          <cell r="U2317">
            <v>108971</v>
          </cell>
          <cell r="V2317">
            <v>97343</v>
          </cell>
          <cell r="W2317">
            <v>103577</v>
          </cell>
          <cell r="X2317">
            <v>114748</v>
          </cell>
          <cell r="Y2317">
            <v>106904</v>
          </cell>
          <cell r="Z2317">
            <v>107960</v>
          </cell>
          <cell r="AA2317">
            <v>103380</v>
          </cell>
          <cell r="AB2317">
            <v>83790</v>
          </cell>
          <cell r="AC2317">
            <v>107949</v>
          </cell>
          <cell r="AD2317">
            <v>117054</v>
          </cell>
          <cell r="AE2317">
            <v>96343</v>
          </cell>
          <cell r="AF2317">
            <v>89275</v>
          </cell>
          <cell r="AG2317">
            <v>87347</v>
          </cell>
          <cell r="AH2317">
            <v>116461</v>
          </cell>
          <cell r="AI2317">
            <v>112985</v>
          </cell>
          <cell r="AJ2317">
            <v>102172</v>
          </cell>
        </row>
        <row r="2318">
          <cell r="E2318" t="str">
            <v>MS Residential Natural Gas</v>
          </cell>
          <cell r="F2318">
            <v>25863</v>
          </cell>
          <cell r="G2318">
            <v>26537</v>
          </cell>
          <cell r="H2318">
            <v>27883</v>
          </cell>
          <cell r="I2318">
            <v>29002</v>
          </cell>
          <cell r="J2318">
            <v>27925</v>
          </cell>
          <cell r="K2318">
            <v>27529</v>
          </cell>
          <cell r="L2318">
            <v>31042</v>
          </cell>
          <cell r="M2318">
            <v>28617</v>
          </cell>
          <cell r="N2318">
            <v>26139</v>
          </cell>
          <cell r="O2318">
            <v>25589</v>
          </cell>
          <cell r="P2318">
            <v>28198</v>
          </cell>
          <cell r="Q2318">
            <v>28533</v>
          </cell>
          <cell r="R2318">
            <v>27410</v>
          </cell>
          <cell r="S2318">
            <v>27547</v>
          </cell>
          <cell r="T2318">
            <v>24827</v>
          </cell>
          <cell r="U2318">
            <v>25164</v>
          </cell>
          <cell r="V2318">
            <v>22005</v>
          </cell>
          <cell r="W2318">
            <v>22872</v>
          </cell>
          <cell r="X2318">
            <v>24497</v>
          </cell>
          <cell r="Y2318">
            <v>23958</v>
          </cell>
          <cell r="Z2318">
            <v>27683</v>
          </cell>
          <cell r="AA2318">
            <v>24704</v>
          </cell>
          <cell r="AB2318">
            <v>19876</v>
          </cell>
          <cell r="AC2318">
            <v>25503</v>
          </cell>
          <cell r="AD2318">
            <v>29052</v>
          </cell>
          <cell r="AE2318">
            <v>23846</v>
          </cell>
          <cell r="AF2318">
            <v>20734</v>
          </cell>
          <cell r="AG2318">
            <v>19094</v>
          </cell>
          <cell r="AH2318">
            <v>25056</v>
          </cell>
          <cell r="AI2318">
            <v>23816</v>
          </cell>
          <cell r="AJ2318">
            <v>21172</v>
          </cell>
        </row>
        <row r="2319">
          <cell r="E2319" t="str">
            <v>MT Residential Natural Gas</v>
          </cell>
          <cell r="F2319">
            <v>17300</v>
          </cell>
          <cell r="G2319">
            <v>18942</v>
          </cell>
          <cell r="H2319">
            <v>17049</v>
          </cell>
          <cell r="I2319">
            <v>20720</v>
          </cell>
          <cell r="J2319">
            <v>19158</v>
          </cell>
          <cell r="K2319">
            <v>20228</v>
          </cell>
          <cell r="L2319">
            <v>22838</v>
          </cell>
          <cell r="M2319">
            <v>21653</v>
          </cell>
          <cell r="N2319">
            <v>19669</v>
          </cell>
          <cell r="O2319">
            <v>20148</v>
          </cell>
          <cell r="P2319">
            <v>20599</v>
          </cell>
          <cell r="Q2319">
            <v>20591</v>
          </cell>
          <cell r="R2319">
            <v>22167</v>
          </cell>
          <cell r="S2319">
            <v>20911</v>
          </cell>
          <cell r="T2319">
            <v>20425</v>
          </cell>
          <cell r="U2319">
            <v>20629</v>
          </cell>
          <cell r="V2319">
            <v>19781</v>
          </cell>
          <cell r="W2319">
            <v>20049</v>
          </cell>
          <cell r="X2319">
            <v>21930</v>
          </cell>
          <cell r="Y2319">
            <v>22003</v>
          </cell>
          <cell r="Z2319">
            <v>21124</v>
          </cell>
          <cell r="AA2319">
            <v>22057</v>
          </cell>
          <cell r="AB2319">
            <v>19546</v>
          </cell>
          <cell r="AC2319">
            <v>21523</v>
          </cell>
          <cell r="AD2319">
            <v>21922</v>
          </cell>
          <cell r="AE2319">
            <v>19534</v>
          </cell>
          <cell r="AF2319">
            <v>19749</v>
          </cell>
          <cell r="AG2319">
            <v>22370</v>
          </cell>
          <cell r="AH2319">
            <v>23593</v>
          </cell>
          <cell r="AI2319">
            <v>25124</v>
          </cell>
          <cell r="AJ2319">
            <v>23363</v>
          </cell>
        </row>
        <row r="2320">
          <cell r="E2320" t="str">
            <v>NC Residential Natural Gas</v>
          </cell>
          <cell r="F2320">
            <v>36126</v>
          </cell>
          <cell r="G2320">
            <v>39192</v>
          </cell>
          <cell r="H2320">
            <v>44037</v>
          </cell>
          <cell r="I2320">
            <v>48757</v>
          </cell>
          <cell r="J2320">
            <v>49161</v>
          </cell>
          <cell r="K2320">
            <v>51017</v>
          </cell>
          <cell r="L2320">
            <v>60938</v>
          </cell>
          <cell r="M2320">
            <v>54813</v>
          </cell>
          <cell r="N2320">
            <v>52866</v>
          </cell>
          <cell r="O2320">
            <v>54743</v>
          </cell>
          <cell r="P2320">
            <v>65864</v>
          </cell>
          <cell r="Q2320">
            <v>59227</v>
          </cell>
          <cell r="R2320">
            <v>61063</v>
          </cell>
          <cell r="S2320">
            <v>68180</v>
          </cell>
          <cell r="T2320">
            <v>65030</v>
          </cell>
          <cell r="U2320">
            <v>66209</v>
          </cell>
          <cell r="V2320">
            <v>58471</v>
          </cell>
          <cell r="W2320">
            <v>60316</v>
          </cell>
          <cell r="X2320">
            <v>65810</v>
          </cell>
          <cell r="Y2320">
            <v>67349</v>
          </cell>
          <cell r="Z2320">
            <v>75829</v>
          </cell>
          <cell r="AA2320">
            <v>62479</v>
          </cell>
          <cell r="AB2320">
            <v>57319</v>
          </cell>
          <cell r="AC2320">
            <v>70640</v>
          </cell>
          <cell r="AD2320">
            <v>77048</v>
          </cell>
          <cell r="AE2320">
            <v>66792</v>
          </cell>
          <cell r="AF2320">
            <v>66775</v>
          </cell>
          <cell r="AG2320">
            <v>62080</v>
          </cell>
          <cell r="AH2320">
            <v>75414</v>
          </cell>
          <cell r="AI2320">
            <v>70083</v>
          </cell>
          <cell r="AJ2320">
            <v>66153</v>
          </cell>
        </row>
        <row r="2321">
          <cell r="E2321" t="str">
            <v>ND Residential Natural Gas</v>
          </cell>
          <cell r="F2321">
            <v>9477</v>
          </cell>
          <cell r="G2321">
            <v>10813</v>
          </cell>
          <cell r="H2321">
            <v>10129</v>
          </cell>
          <cell r="I2321">
            <v>11360</v>
          </cell>
          <cell r="J2321">
            <v>11279</v>
          </cell>
          <cell r="K2321">
            <v>11769</v>
          </cell>
          <cell r="L2321">
            <v>13233</v>
          </cell>
          <cell r="M2321">
            <v>11939</v>
          </cell>
          <cell r="N2321">
            <v>10475</v>
          </cell>
          <cell r="O2321">
            <v>11049</v>
          </cell>
          <cell r="P2321">
            <v>11346</v>
          </cell>
          <cell r="Q2321">
            <v>10876</v>
          </cell>
          <cell r="R2321">
            <v>11760</v>
          </cell>
          <cell r="S2321">
            <v>11983</v>
          </cell>
          <cell r="T2321">
            <v>11366</v>
          </cell>
          <cell r="U2321">
            <v>11077</v>
          </cell>
          <cell r="V2321">
            <v>10069</v>
          </cell>
          <cell r="W2321">
            <v>11190</v>
          </cell>
          <cell r="X2321">
            <v>11983</v>
          </cell>
          <cell r="Y2321">
            <v>12151</v>
          </cell>
          <cell r="Z2321">
            <v>11115</v>
          </cell>
          <cell r="AA2321">
            <v>11735</v>
          </cell>
          <cell r="AB2321">
            <v>10218</v>
          </cell>
          <cell r="AC2321">
            <v>12917</v>
          </cell>
          <cell r="AD2321">
            <v>13574</v>
          </cell>
          <cell r="AE2321">
            <v>11467</v>
          </cell>
          <cell r="AF2321">
            <v>10941</v>
          </cell>
          <cell r="AG2321">
            <v>11925</v>
          </cell>
          <cell r="AH2321">
            <v>13710</v>
          </cell>
          <cell r="AI2321">
            <v>14476</v>
          </cell>
          <cell r="AJ2321">
            <v>12824</v>
          </cell>
        </row>
        <row r="2322">
          <cell r="E2322" t="str">
            <v>NE Residential Natural Gas</v>
          </cell>
          <cell r="F2322">
            <v>40828</v>
          </cell>
          <cell r="G2322">
            <v>44002</v>
          </cell>
          <cell r="H2322">
            <v>40544</v>
          </cell>
          <cell r="I2322">
            <v>47036</v>
          </cell>
          <cell r="J2322">
            <v>43720</v>
          </cell>
          <cell r="K2322">
            <v>44125</v>
          </cell>
          <cell r="L2322">
            <v>49329</v>
          </cell>
          <cell r="M2322">
            <v>46999</v>
          </cell>
          <cell r="N2322">
            <v>40886</v>
          </cell>
          <cell r="O2322">
            <v>40530</v>
          </cell>
          <cell r="P2322">
            <v>42704</v>
          </cell>
          <cell r="Q2322">
            <v>47449</v>
          </cell>
          <cell r="R2322">
            <v>44190</v>
          </cell>
          <cell r="S2322">
            <v>42503</v>
          </cell>
          <cell r="T2322">
            <v>38973</v>
          </cell>
          <cell r="U2322">
            <v>38336</v>
          </cell>
          <cell r="V2322">
            <v>36342</v>
          </cell>
          <cell r="W2322">
            <v>39297</v>
          </cell>
          <cell r="X2322">
            <v>42833</v>
          </cell>
          <cell r="Y2322">
            <v>40636</v>
          </cell>
          <cell r="Z2322">
            <v>40293</v>
          </cell>
          <cell r="AA2322">
            <v>40156</v>
          </cell>
          <cell r="AB2322">
            <v>31876</v>
          </cell>
          <cell r="AC2322">
            <v>42725</v>
          </cell>
          <cell r="AD2322">
            <v>43923</v>
          </cell>
          <cell r="AE2322">
            <v>36635</v>
          </cell>
          <cell r="AF2322">
            <v>34992</v>
          </cell>
          <cell r="AG2322">
            <v>36142</v>
          </cell>
          <cell r="AH2322">
            <v>44923</v>
          </cell>
          <cell r="AI2322">
            <v>44541</v>
          </cell>
          <cell r="AJ2322">
            <v>39475</v>
          </cell>
        </row>
        <row r="2323">
          <cell r="E2323" t="str">
            <v>NH Residential Natural Gas</v>
          </cell>
          <cell r="F2323">
            <v>5986</v>
          </cell>
          <cell r="G2323">
            <v>5648</v>
          </cell>
          <cell r="H2323">
            <v>6505</v>
          </cell>
          <cell r="I2323">
            <v>6558</v>
          </cell>
          <cell r="J2323">
            <v>6656</v>
          </cell>
          <cell r="K2323">
            <v>6573</v>
          </cell>
          <cell r="L2323">
            <v>7145</v>
          </cell>
          <cell r="M2323">
            <v>7014</v>
          </cell>
          <cell r="N2323">
            <v>6336</v>
          </cell>
          <cell r="O2323">
            <v>6670</v>
          </cell>
          <cell r="P2323">
            <v>7693</v>
          </cell>
          <cell r="Q2323">
            <v>7232</v>
          </cell>
          <cell r="R2323">
            <v>7269</v>
          </cell>
          <cell r="S2323">
            <v>8258</v>
          </cell>
          <cell r="T2323">
            <v>7392</v>
          </cell>
          <cell r="U2323">
            <v>7950</v>
          </cell>
          <cell r="V2323">
            <v>6846</v>
          </cell>
          <cell r="W2323">
            <v>7578</v>
          </cell>
          <cell r="X2323">
            <v>7197</v>
          </cell>
          <cell r="Y2323">
            <v>7459</v>
          </cell>
          <cell r="Z2323">
            <v>6955</v>
          </cell>
          <cell r="AA2323">
            <v>7213</v>
          </cell>
          <cell r="AB2323">
            <v>6629</v>
          </cell>
          <cell r="AC2323">
            <v>7404</v>
          </cell>
          <cell r="AD2323">
            <v>7994</v>
          </cell>
          <cell r="AE2323">
            <v>8077</v>
          </cell>
          <cell r="AF2323">
            <v>7068</v>
          </cell>
          <cell r="AG2323">
            <v>7556</v>
          </cell>
          <cell r="AH2323">
            <v>8391</v>
          </cell>
          <cell r="AI2323">
            <v>8291</v>
          </cell>
          <cell r="AJ2323">
            <v>7644</v>
          </cell>
        </row>
        <row r="2324">
          <cell r="E2324" t="str">
            <v>NJ Residential Natural Gas</v>
          </cell>
          <cell r="F2324">
            <v>175838</v>
          </cell>
          <cell r="G2324">
            <v>181049</v>
          </cell>
          <cell r="H2324">
            <v>203557</v>
          </cell>
          <cell r="I2324">
            <v>203249</v>
          </cell>
          <cell r="J2324">
            <v>226049</v>
          </cell>
          <cell r="K2324">
            <v>201166</v>
          </cell>
          <cell r="L2324">
            <v>230905</v>
          </cell>
          <cell r="M2324">
            <v>224526</v>
          </cell>
          <cell r="N2324">
            <v>203964</v>
          </cell>
          <cell r="O2324">
            <v>217754</v>
          </cell>
          <cell r="P2324">
            <v>227796</v>
          </cell>
          <cell r="Q2324">
            <v>223251</v>
          </cell>
          <cell r="R2324">
            <v>218030</v>
          </cell>
          <cell r="S2324">
            <v>253196</v>
          </cell>
          <cell r="T2324">
            <v>241581</v>
          </cell>
          <cell r="U2324">
            <v>240343</v>
          </cell>
          <cell r="V2324">
            <v>204354</v>
          </cell>
          <cell r="W2324">
            <v>236069</v>
          </cell>
          <cell r="X2324">
            <v>227801</v>
          </cell>
          <cell r="Y2324">
            <v>232559</v>
          </cell>
          <cell r="Z2324">
            <v>224850</v>
          </cell>
          <cell r="AA2324">
            <v>219187</v>
          </cell>
          <cell r="AB2324">
            <v>196706</v>
          </cell>
          <cell r="AC2324">
            <v>236942</v>
          </cell>
          <cell r="AD2324">
            <v>258878</v>
          </cell>
          <cell r="AE2324">
            <v>248407</v>
          </cell>
          <cell r="AF2324">
            <v>224984</v>
          </cell>
          <cell r="AG2324">
            <v>230803</v>
          </cell>
          <cell r="AH2324">
            <v>257503</v>
          </cell>
          <cell r="AI2324">
            <v>248751</v>
          </cell>
          <cell r="AJ2324">
            <v>232559</v>
          </cell>
        </row>
        <row r="2325">
          <cell r="E2325" t="str">
            <v>NM Residential Natural Gas</v>
          </cell>
          <cell r="F2325">
            <v>29733</v>
          </cell>
          <cell r="G2325">
            <v>31025</v>
          </cell>
          <cell r="H2325">
            <v>32782</v>
          </cell>
          <cell r="I2325">
            <v>33191</v>
          </cell>
          <cell r="J2325">
            <v>30859</v>
          </cell>
          <cell r="K2325">
            <v>29352</v>
          </cell>
          <cell r="L2325">
            <v>34856</v>
          </cell>
          <cell r="M2325">
            <v>37444</v>
          </cell>
          <cell r="N2325">
            <v>35119</v>
          </cell>
          <cell r="O2325">
            <v>34667</v>
          </cell>
          <cell r="P2325">
            <v>34762</v>
          </cell>
          <cell r="Q2325">
            <v>33825</v>
          </cell>
          <cell r="R2325">
            <v>32570</v>
          </cell>
          <cell r="S2325">
            <v>32342</v>
          </cell>
          <cell r="T2325">
            <v>35217</v>
          </cell>
          <cell r="U2325">
            <v>34059</v>
          </cell>
          <cell r="V2325">
            <v>31086</v>
          </cell>
          <cell r="W2325">
            <v>34346</v>
          </cell>
          <cell r="X2325">
            <v>34947</v>
          </cell>
          <cell r="Y2325">
            <v>33319</v>
          </cell>
          <cell r="Z2325">
            <v>35982</v>
          </cell>
          <cell r="AA2325">
            <v>35060</v>
          </cell>
          <cell r="AB2325">
            <v>33247</v>
          </cell>
          <cell r="AC2325">
            <v>37122</v>
          </cell>
          <cell r="AD2325">
            <v>33484</v>
          </cell>
          <cell r="AE2325">
            <v>34402</v>
          </cell>
          <cell r="AF2325">
            <v>34005</v>
          </cell>
          <cell r="AG2325">
            <v>31221</v>
          </cell>
          <cell r="AH2325">
            <v>35637</v>
          </cell>
          <cell r="AI2325">
            <v>43714</v>
          </cell>
          <cell r="AJ2325">
            <v>37525</v>
          </cell>
        </row>
        <row r="2326">
          <cell r="E2326" t="str">
            <v>NV Residential Natural Gas</v>
          </cell>
          <cell r="F2326">
            <v>17685</v>
          </cell>
          <cell r="G2326">
            <v>19829</v>
          </cell>
          <cell r="H2326">
            <v>18784</v>
          </cell>
          <cell r="I2326">
            <v>21272</v>
          </cell>
          <cell r="J2326">
            <v>21853</v>
          </cell>
          <cell r="K2326">
            <v>21374</v>
          </cell>
          <cell r="L2326">
            <v>23510</v>
          </cell>
          <cell r="M2326">
            <v>25919</v>
          </cell>
          <cell r="N2326">
            <v>31466</v>
          </cell>
          <cell r="O2326">
            <v>29359</v>
          </cell>
          <cell r="P2326">
            <v>30839</v>
          </cell>
          <cell r="Q2326">
            <v>33369</v>
          </cell>
          <cell r="R2326">
            <v>33026</v>
          </cell>
          <cell r="S2326">
            <v>34009</v>
          </cell>
          <cell r="T2326">
            <v>37713</v>
          </cell>
          <cell r="U2326">
            <v>37981</v>
          </cell>
          <cell r="V2326">
            <v>39356</v>
          </cell>
          <cell r="W2326">
            <v>39473</v>
          </cell>
          <cell r="X2326">
            <v>39956</v>
          </cell>
          <cell r="Y2326">
            <v>39885</v>
          </cell>
          <cell r="Z2326">
            <v>40845</v>
          </cell>
          <cell r="AA2326">
            <v>41578</v>
          </cell>
          <cell r="AB2326">
            <v>38411</v>
          </cell>
          <cell r="AC2326">
            <v>43115</v>
          </cell>
          <cell r="AD2326">
            <v>36304</v>
          </cell>
          <cell r="AE2326">
            <v>38501</v>
          </cell>
          <cell r="AF2326">
            <v>40678</v>
          </cell>
          <cell r="AG2326">
            <v>42534</v>
          </cell>
          <cell r="AH2326">
            <v>43354</v>
          </cell>
          <cell r="AI2326">
            <v>49909</v>
          </cell>
          <cell r="AJ2326">
            <v>47715</v>
          </cell>
        </row>
        <row r="2327">
          <cell r="E2327" t="str">
            <v>NY Residential Natural Gas</v>
          </cell>
          <cell r="F2327">
            <v>347891</v>
          </cell>
          <cell r="G2327">
            <v>348100</v>
          </cell>
          <cell r="H2327">
            <v>389777</v>
          </cell>
          <cell r="I2327">
            <v>395439</v>
          </cell>
          <cell r="J2327">
            <v>396303</v>
          </cell>
          <cell r="K2327">
            <v>386660</v>
          </cell>
          <cell r="L2327">
            <v>414148</v>
          </cell>
          <cell r="M2327">
            <v>385799</v>
          </cell>
          <cell r="N2327">
            <v>349548</v>
          </cell>
          <cell r="O2327">
            <v>381258</v>
          </cell>
          <cell r="P2327">
            <v>413147</v>
          </cell>
          <cell r="Q2327">
            <v>388767</v>
          </cell>
          <cell r="R2327">
            <v>378814</v>
          </cell>
          <cell r="S2327">
            <v>421029</v>
          </cell>
          <cell r="T2327">
            <v>403479</v>
          </cell>
          <cell r="U2327">
            <v>416890</v>
          </cell>
          <cell r="V2327">
            <v>364281</v>
          </cell>
          <cell r="W2327">
            <v>409857</v>
          </cell>
          <cell r="X2327">
            <v>402734</v>
          </cell>
          <cell r="Y2327">
            <v>413629</v>
          </cell>
          <cell r="Z2327">
            <v>399660</v>
          </cell>
          <cell r="AA2327">
            <v>404324</v>
          </cell>
          <cell r="AB2327">
            <v>369245</v>
          </cell>
          <cell r="AC2327">
            <v>430809</v>
          </cell>
          <cell r="AD2327">
            <v>473621</v>
          </cell>
          <cell r="AE2327">
            <v>466993</v>
          </cell>
          <cell r="AF2327">
            <v>425563</v>
          </cell>
          <cell r="AG2327">
            <v>446633</v>
          </cell>
          <cell r="AH2327">
            <v>501614</v>
          </cell>
          <cell r="AI2327">
            <v>488901</v>
          </cell>
          <cell r="AJ2327">
            <v>451836</v>
          </cell>
        </row>
        <row r="2328">
          <cell r="E2328" t="str">
            <v>OH Residential Natural Gas</v>
          </cell>
          <cell r="F2328">
            <v>320670</v>
          </cell>
          <cell r="G2328">
            <v>335928</v>
          </cell>
          <cell r="H2328">
            <v>352897</v>
          </cell>
          <cell r="I2328">
            <v>367580</v>
          </cell>
          <cell r="J2328">
            <v>356048</v>
          </cell>
          <cell r="K2328">
            <v>371392</v>
          </cell>
          <cell r="L2328">
            <v>389086</v>
          </cell>
          <cell r="M2328">
            <v>370533</v>
          </cell>
          <cell r="N2328">
            <v>308493</v>
          </cell>
          <cell r="O2328">
            <v>330058</v>
          </cell>
          <cell r="P2328">
            <v>358454</v>
          </cell>
          <cell r="Q2328">
            <v>321588</v>
          </cell>
          <cell r="R2328">
            <v>333649</v>
          </cell>
          <cell r="S2328">
            <v>355407</v>
          </cell>
          <cell r="T2328">
            <v>335375</v>
          </cell>
          <cell r="U2328">
            <v>336731</v>
          </cell>
          <cell r="V2328">
            <v>282950</v>
          </cell>
          <cell r="W2328">
            <v>310730</v>
          </cell>
          <cell r="X2328">
            <v>318851</v>
          </cell>
          <cell r="Y2328">
            <v>304547</v>
          </cell>
          <cell r="Z2328">
            <v>293468</v>
          </cell>
          <cell r="AA2328">
            <v>295097</v>
          </cell>
          <cell r="AB2328">
            <v>259358</v>
          </cell>
          <cell r="AC2328">
            <v>308500</v>
          </cell>
          <cell r="AD2328">
            <v>339908</v>
          </cell>
          <cell r="AE2328">
            <v>305352</v>
          </cell>
          <cell r="AF2328">
            <v>274895</v>
          </cell>
          <cell r="AG2328">
            <v>277612</v>
          </cell>
          <cell r="AH2328">
            <v>321297</v>
          </cell>
          <cell r="AI2328">
            <v>309460</v>
          </cell>
          <cell r="AJ2328">
            <v>291100</v>
          </cell>
        </row>
        <row r="2329">
          <cell r="E2329" t="str">
            <v>OK Residential Natural Gas</v>
          </cell>
          <cell r="F2329">
            <v>66998</v>
          </cell>
          <cell r="G2329">
            <v>70112</v>
          </cell>
          <cell r="H2329">
            <v>67205</v>
          </cell>
          <cell r="I2329">
            <v>80009</v>
          </cell>
          <cell r="J2329">
            <v>71002</v>
          </cell>
          <cell r="K2329">
            <v>69706</v>
          </cell>
          <cell r="L2329">
            <v>78360</v>
          </cell>
          <cell r="M2329">
            <v>72183</v>
          </cell>
          <cell r="N2329">
            <v>66964</v>
          </cell>
          <cell r="O2329">
            <v>62882</v>
          </cell>
          <cell r="P2329">
            <v>67406</v>
          </cell>
          <cell r="Q2329">
            <v>66330</v>
          </cell>
          <cell r="R2329">
            <v>69149</v>
          </cell>
          <cell r="S2329">
            <v>67674</v>
          </cell>
          <cell r="T2329">
            <v>61281</v>
          </cell>
          <cell r="U2329">
            <v>61145</v>
          </cell>
          <cell r="V2329">
            <v>54493</v>
          </cell>
          <cell r="W2329">
            <v>61616</v>
          </cell>
          <cell r="X2329">
            <v>68531</v>
          </cell>
          <cell r="Y2329">
            <v>64331</v>
          </cell>
          <cell r="Z2329">
            <v>67438</v>
          </cell>
          <cell r="AA2329">
            <v>63194</v>
          </cell>
          <cell r="AB2329">
            <v>50645</v>
          </cell>
          <cell r="AC2329">
            <v>68448</v>
          </cell>
          <cell r="AD2329">
            <v>71692</v>
          </cell>
          <cell r="AE2329">
            <v>62142</v>
          </cell>
          <cell r="AF2329">
            <v>53010</v>
          </cell>
          <cell r="AG2329">
            <v>53248</v>
          </cell>
          <cell r="AH2329">
            <v>69555</v>
          </cell>
          <cell r="AI2329">
            <v>70037</v>
          </cell>
          <cell r="AJ2329">
            <v>62574</v>
          </cell>
        </row>
        <row r="2330">
          <cell r="E2330" t="str">
            <v>OR Residential Natural Gas</v>
          </cell>
          <cell r="F2330">
            <v>23914</v>
          </cell>
          <cell r="G2330">
            <v>27133</v>
          </cell>
          <cell r="H2330">
            <v>23992</v>
          </cell>
          <cell r="I2330">
            <v>30985</v>
          </cell>
          <cell r="J2330">
            <v>30185</v>
          </cell>
          <cell r="K2330">
            <v>29316</v>
          </cell>
          <cell r="L2330">
            <v>34684</v>
          </cell>
          <cell r="M2330">
            <v>34164</v>
          </cell>
          <cell r="N2330">
            <v>36137</v>
          </cell>
          <cell r="O2330">
            <v>40889</v>
          </cell>
          <cell r="P2330">
            <v>39907</v>
          </cell>
          <cell r="Q2330">
            <v>39377</v>
          </cell>
          <cell r="R2330">
            <v>39844</v>
          </cell>
          <cell r="S2330">
            <v>37563</v>
          </cell>
          <cell r="T2330">
            <v>38860</v>
          </cell>
          <cell r="U2330">
            <v>41241</v>
          </cell>
          <cell r="V2330">
            <v>42512</v>
          </cell>
          <cell r="W2330">
            <v>44289</v>
          </cell>
          <cell r="X2330">
            <v>46175</v>
          </cell>
          <cell r="Y2330">
            <v>45964</v>
          </cell>
          <cell r="Z2330">
            <v>41143</v>
          </cell>
          <cell r="AA2330">
            <v>47640</v>
          </cell>
          <cell r="AB2330">
            <v>44304</v>
          </cell>
          <cell r="AC2330">
            <v>46657</v>
          </cell>
          <cell r="AD2330">
            <v>42358</v>
          </cell>
          <cell r="AE2330">
            <v>39040</v>
          </cell>
          <cell r="AF2330">
            <v>42202</v>
          </cell>
          <cell r="AG2330">
            <v>51190</v>
          </cell>
          <cell r="AH2330">
            <v>45524</v>
          </cell>
          <cell r="AI2330">
            <v>50478</v>
          </cell>
          <cell r="AJ2330">
            <v>48025</v>
          </cell>
        </row>
        <row r="2331">
          <cell r="E2331" t="str">
            <v>PA Residential Natural Gas</v>
          </cell>
          <cell r="F2331">
            <v>249467</v>
          </cell>
          <cell r="G2331">
            <v>251240</v>
          </cell>
          <cell r="H2331">
            <v>276155</v>
          </cell>
          <cell r="I2331">
            <v>278962</v>
          </cell>
          <cell r="J2331">
            <v>278083</v>
          </cell>
          <cell r="K2331">
            <v>271374</v>
          </cell>
          <cell r="L2331">
            <v>288099</v>
          </cell>
          <cell r="M2331">
            <v>271747</v>
          </cell>
          <cell r="N2331">
            <v>225846</v>
          </cell>
          <cell r="O2331">
            <v>250156</v>
          </cell>
          <cell r="P2331">
            <v>271994</v>
          </cell>
          <cell r="Q2331">
            <v>251928</v>
          </cell>
          <cell r="R2331">
            <v>248143</v>
          </cell>
          <cell r="S2331">
            <v>275637</v>
          </cell>
          <cell r="T2331">
            <v>257511</v>
          </cell>
          <cell r="U2331">
            <v>255038</v>
          </cell>
          <cell r="V2331">
            <v>213774</v>
          </cell>
          <cell r="W2331">
            <v>240231</v>
          </cell>
          <cell r="X2331">
            <v>238193</v>
          </cell>
          <cell r="Y2331">
            <v>236782</v>
          </cell>
          <cell r="Z2331">
            <v>231854</v>
          </cell>
          <cell r="AA2331">
            <v>228119</v>
          </cell>
          <cell r="AB2331">
            <v>205991</v>
          </cell>
          <cell r="AC2331">
            <v>243491</v>
          </cell>
          <cell r="AD2331">
            <v>267748</v>
          </cell>
          <cell r="AE2331">
            <v>247059</v>
          </cell>
          <cell r="AF2331">
            <v>224764</v>
          </cell>
          <cell r="AG2331">
            <v>228190</v>
          </cell>
          <cell r="AH2331">
            <v>262667</v>
          </cell>
          <cell r="AI2331">
            <v>245940</v>
          </cell>
          <cell r="AJ2331">
            <v>230053</v>
          </cell>
        </row>
        <row r="2332">
          <cell r="E2332" t="str">
            <v>RI Residential Natural Gas</v>
          </cell>
          <cell r="F2332">
            <v>18198</v>
          </cell>
          <cell r="G2332">
            <v>17836</v>
          </cell>
          <cell r="H2332">
            <v>20333</v>
          </cell>
          <cell r="I2332">
            <v>20293</v>
          </cell>
          <cell r="J2332">
            <v>17972</v>
          </cell>
          <cell r="K2332">
            <v>17840</v>
          </cell>
          <cell r="L2332">
            <v>20718</v>
          </cell>
          <cell r="M2332">
            <v>18814</v>
          </cell>
          <cell r="N2332">
            <v>16907</v>
          </cell>
          <cell r="O2332">
            <v>17105</v>
          </cell>
          <cell r="P2332">
            <v>19530</v>
          </cell>
          <cell r="Q2332">
            <v>18464</v>
          </cell>
          <cell r="R2332">
            <v>18075</v>
          </cell>
          <cell r="S2332">
            <v>20703</v>
          </cell>
          <cell r="T2332">
            <v>19995</v>
          </cell>
          <cell r="U2332">
            <v>19482</v>
          </cell>
          <cell r="V2332">
            <v>17158</v>
          </cell>
          <cell r="W2332">
            <v>18142</v>
          </cell>
          <cell r="X2332">
            <v>18122</v>
          </cell>
          <cell r="Y2332">
            <v>18343</v>
          </cell>
          <cell r="Z2332">
            <v>17332</v>
          </cell>
          <cell r="AA2332">
            <v>17267</v>
          </cell>
          <cell r="AB2332">
            <v>16364</v>
          </cell>
          <cell r="AC2332">
            <v>18789</v>
          </cell>
          <cell r="AD2332">
            <v>20287</v>
          </cell>
          <cell r="AE2332">
            <v>20606</v>
          </cell>
          <cell r="AF2332">
            <v>17732</v>
          </cell>
          <cell r="AG2332">
            <v>18983</v>
          </cell>
          <cell r="AH2332">
            <v>21136</v>
          </cell>
          <cell r="AI2332">
            <v>20479</v>
          </cell>
          <cell r="AJ2332">
            <v>18820</v>
          </cell>
        </row>
        <row r="2333">
          <cell r="E2333" t="str">
            <v>SC Residential Natural Gas</v>
          </cell>
          <cell r="F2333">
            <v>18915</v>
          </cell>
          <cell r="G2333">
            <v>20144</v>
          </cell>
          <cell r="H2333">
            <v>22998</v>
          </cell>
          <cell r="I2333">
            <v>25053</v>
          </cell>
          <cell r="J2333">
            <v>24218</v>
          </cell>
          <cell r="K2333">
            <v>25847</v>
          </cell>
          <cell r="L2333">
            <v>30291</v>
          </cell>
          <cell r="M2333">
            <v>26544</v>
          </cell>
          <cell r="N2333">
            <v>26299</v>
          </cell>
          <cell r="O2333">
            <v>26412</v>
          </cell>
          <cell r="P2333">
            <v>29885</v>
          </cell>
          <cell r="Q2333">
            <v>28532</v>
          </cell>
          <cell r="R2333">
            <v>28531</v>
          </cell>
          <cell r="S2333">
            <v>30228</v>
          </cell>
          <cell r="T2333">
            <v>30349</v>
          </cell>
          <cell r="U2333">
            <v>29614</v>
          </cell>
          <cell r="V2333">
            <v>25870</v>
          </cell>
          <cell r="W2333">
            <v>26075</v>
          </cell>
          <cell r="X2333">
            <v>28002</v>
          </cell>
          <cell r="Y2333">
            <v>28011</v>
          </cell>
          <cell r="Z2333">
            <v>33165</v>
          </cell>
          <cell r="AA2333">
            <v>27428</v>
          </cell>
          <cell r="AB2333">
            <v>23280</v>
          </cell>
          <cell r="AC2333">
            <v>29158</v>
          </cell>
          <cell r="AD2333">
            <v>32652</v>
          </cell>
          <cell r="AE2333">
            <v>29277</v>
          </cell>
          <cell r="AF2333">
            <v>28430</v>
          </cell>
          <cell r="AG2333">
            <v>26363</v>
          </cell>
          <cell r="AH2333">
            <v>32821</v>
          </cell>
          <cell r="AI2333">
            <v>31148</v>
          </cell>
          <cell r="AJ2333">
            <v>30019</v>
          </cell>
        </row>
        <row r="2334">
          <cell r="E2334" t="str">
            <v>SD Residential Natural Gas</v>
          </cell>
          <cell r="F2334">
            <v>10366</v>
          </cell>
          <cell r="G2334">
            <v>11421</v>
          </cell>
          <cell r="H2334">
            <v>10953</v>
          </cell>
          <cell r="I2334">
            <v>12592</v>
          </cell>
          <cell r="J2334">
            <v>12177</v>
          </cell>
          <cell r="K2334">
            <v>12785</v>
          </cell>
          <cell r="L2334">
            <v>14281</v>
          </cell>
          <cell r="M2334">
            <v>13440</v>
          </cell>
          <cell r="N2334">
            <v>11749</v>
          </cell>
          <cell r="O2334">
            <v>11825</v>
          </cell>
          <cell r="P2334">
            <v>12651</v>
          </cell>
          <cell r="Q2334">
            <v>12276</v>
          </cell>
          <cell r="R2334">
            <v>12892</v>
          </cell>
          <cell r="S2334">
            <v>13217</v>
          </cell>
          <cell r="T2334">
            <v>12315</v>
          </cell>
          <cell r="U2334">
            <v>12296</v>
          </cell>
          <cell r="V2334">
            <v>11546</v>
          </cell>
          <cell r="W2334">
            <v>12432</v>
          </cell>
          <cell r="X2334">
            <v>13605</v>
          </cell>
          <cell r="Y2334">
            <v>13624</v>
          </cell>
          <cell r="Z2334">
            <v>12878</v>
          </cell>
          <cell r="AA2334">
            <v>13027</v>
          </cell>
          <cell r="AB2334">
            <v>10933</v>
          </cell>
          <cell r="AC2334">
            <v>14352</v>
          </cell>
          <cell r="AD2334">
            <v>14797</v>
          </cell>
          <cell r="AE2334">
            <v>12383</v>
          </cell>
          <cell r="AF2334">
            <v>12312</v>
          </cell>
          <cell r="AG2334">
            <v>12808</v>
          </cell>
          <cell r="AH2334">
            <v>15234</v>
          </cell>
          <cell r="AI2334">
            <v>16048</v>
          </cell>
          <cell r="AJ2334">
            <v>14211</v>
          </cell>
        </row>
        <row r="2335">
          <cell r="E2335" t="str">
            <v>TN Residential Natural Gas</v>
          </cell>
          <cell r="F2335">
            <v>47963</v>
          </cell>
          <cell r="G2335">
            <v>50986</v>
          </cell>
          <cell r="H2335">
            <v>53839</v>
          </cell>
          <cell r="I2335">
            <v>60985</v>
          </cell>
          <cell r="J2335">
            <v>59170</v>
          </cell>
          <cell r="K2335">
            <v>61859</v>
          </cell>
          <cell r="L2335">
            <v>72679</v>
          </cell>
          <cell r="M2335">
            <v>66123</v>
          </cell>
          <cell r="N2335">
            <v>61179</v>
          </cell>
          <cell r="O2335">
            <v>62201</v>
          </cell>
          <cell r="P2335">
            <v>70966</v>
          </cell>
          <cell r="Q2335">
            <v>70569</v>
          </cell>
          <cell r="R2335">
            <v>71554</v>
          </cell>
          <cell r="S2335">
            <v>72050</v>
          </cell>
          <cell r="T2335">
            <v>67491</v>
          </cell>
          <cell r="U2335">
            <v>68616</v>
          </cell>
          <cell r="V2335">
            <v>63356</v>
          </cell>
          <cell r="W2335">
            <v>63069</v>
          </cell>
          <cell r="X2335">
            <v>71753</v>
          </cell>
          <cell r="Y2335">
            <v>67961</v>
          </cell>
          <cell r="Z2335">
            <v>76044</v>
          </cell>
          <cell r="AA2335">
            <v>68196</v>
          </cell>
          <cell r="AB2335">
            <v>54628</v>
          </cell>
          <cell r="AC2335">
            <v>72595</v>
          </cell>
          <cell r="AD2335">
            <v>80605</v>
          </cell>
          <cell r="AE2335">
            <v>69704</v>
          </cell>
          <cell r="AF2335">
            <v>61201</v>
          </cell>
          <cell r="AG2335">
            <v>58910</v>
          </cell>
          <cell r="AH2335">
            <v>77947</v>
          </cell>
          <cell r="AI2335">
            <v>72011</v>
          </cell>
          <cell r="AJ2335">
            <v>68399</v>
          </cell>
        </row>
        <row r="2336">
          <cell r="E2336" t="str">
            <v>TX Residential Natural Gas</v>
          </cell>
          <cell r="F2336">
            <v>219535</v>
          </cell>
          <cell r="G2336">
            <v>231096</v>
          </cell>
          <cell r="H2336">
            <v>225431</v>
          </cell>
          <cell r="I2336">
            <v>238378</v>
          </cell>
          <cell r="J2336">
            <v>222559</v>
          </cell>
          <cell r="K2336">
            <v>215150</v>
          </cell>
          <cell r="L2336">
            <v>237724</v>
          </cell>
          <cell r="M2336">
            <v>242059</v>
          </cell>
          <cell r="N2336">
            <v>209377</v>
          </cell>
          <cell r="O2336">
            <v>182537</v>
          </cell>
          <cell r="P2336">
            <v>200025</v>
          </cell>
          <cell r="Q2336">
            <v>213389</v>
          </cell>
          <cell r="R2336">
            <v>216915</v>
          </cell>
          <cell r="S2336">
            <v>212686</v>
          </cell>
          <cell r="T2336">
            <v>197423</v>
          </cell>
          <cell r="U2336">
            <v>190300</v>
          </cell>
          <cell r="V2336">
            <v>170587</v>
          </cell>
          <cell r="W2336">
            <v>205049</v>
          </cell>
          <cell r="X2336">
            <v>197875</v>
          </cell>
          <cell r="Y2336">
            <v>196905</v>
          </cell>
          <cell r="Z2336">
            <v>233911</v>
          </cell>
          <cell r="AA2336">
            <v>205559</v>
          </cell>
          <cell r="AB2336">
            <v>174830</v>
          </cell>
          <cell r="AC2336">
            <v>212250</v>
          </cell>
          <cell r="AD2336">
            <v>242475</v>
          </cell>
          <cell r="AE2336">
            <v>218847</v>
          </cell>
          <cell r="AF2336">
            <v>180599</v>
          </cell>
          <cell r="AG2336">
            <v>168814</v>
          </cell>
          <cell r="AH2336">
            <v>233426</v>
          </cell>
          <cell r="AI2336">
            <v>234086</v>
          </cell>
          <cell r="AJ2336">
            <v>209049</v>
          </cell>
        </row>
        <row r="2337">
          <cell r="E2337" t="str">
            <v>US Residential Natural Gas</v>
          </cell>
          <cell r="F2337">
            <v>4519056</v>
          </cell>
          <cell r="G2337">
            <v>4683709</v>
          </cell>
          <cell r="H2337">
            <v>4819689</v>
          </cell>
          <cell r="I2337">
            <v>5097770</v>
          </cell>
          <cell r="J2337">
            <v>4981010</v>
          </cell>
          <cell r="K2337">
            <v>4983520</v>
          </cell>
          <cell r="L2337">
            <v>5390535</v>
          </cell>
          <cell r="M2337">
            <v>5124955</v>
          </cell>
          <cell r="N2337">
            <v>4671034</v>
          </cell>
          <cell r="O2337">
            <v>4856823</v>
          </cell>
          <cell r="P2337">
            <v>5104047</v>
          </cell>
          <cell r="Q2337">
            <v>4901935</v>
          </cell>
          <cell r="R2337">
            <v>5006146</v>
          </cell>
          <cell r="S2337">
            <v>5223765</v>
          </cell>
          <cell r="T2337">
            <v>4992951</v>
          </cell>
          <cell r="U2337">
            <v>4957655</v>
          </cell>
          <cell r="V2337">
            <v>4482650</v>
          </cell>
          <cell r="W2337">
            <v>4848708</v>
          </cell>
          <cell r="X2337">
            <v>5017569</v>
          </cell>
          <cell r="Y2337">
            <v>4899378</v>
          </cell>
          <cell r="Z2337">
            <v>4887375</v>
          </cell>
          <cell r="AA2337">
            <v>4817368</v>
          </cell>
          <cell r="AB2337">
            <v>4252794</v>
          </cell>
          <cell r="AC2337">
            <v>5037081</v>
          </cell>
          <cell r="AD2337">
            <v>5257900</v>
          </cell>
          <cell r="AE2337">
            <v>4794495</v>
          </cell>
          <cell r="AF2337">
            <v>4525157</v>
          </cell>
          <cell r="AG2337">
            <v>4592899</v>
          </cell>
          <cell r="AH2337">
            <v>5201731</v>
          </cell>
          <cell r="AI2337">
            <v>5232436</v>
          </cell>
          <cell r="AJ2337">
            <v>4875565</v>
          </cell>
        </row>
        <row r="2338">
          <cell r="E2338" t="str">
            <v>UT Residential Natural Gas</v>
          </cell>
          <cell r="F2338">
            <v>47266</v>
          </cell>
          <cell r="G2338">
            <v>54300</v>
          </cell>
          <cell r="H2338">
            <v>48232</v>
          </cell>
          <cell r="I2338">
            <v>55992</v>
          </cell>
          <cell r="J2338">
            <v>52289</v>
          </cell>
          <cell r="K2338">
            <v>52101</v>
          </cell>
          <cell r="L2338">
            <v>56659</v>
          </cell>
          <cell r="M2338">
            <v>60572</v>
          </cell>
          <cell r="N2338">
            <v>59479</v>
          </cell>
          <cell r="O2338">
            <v>58571</v>
          </cell>
          <cell r="P2338">
            <v>58488</v>
          </cell>
          <cell r="Q2338">
            <v>57901</v>
          </cell>
          <cell r="R2338">
            <v>62972</v>
          </cell>
          <cell r="S2338">
            <v>58286</v>
          </cell>
          <cell r="T2338">
            <v>63940</v>
          </cell>
          <cell r="U2338">
            <v>61162</v>
          </cell>
          <cell r="V2338">
            <v>63445</v>
          </cell>
          <cell r="W2338">
            <v>63944</v>
          </cell>
          <cell r="X2338">
            <v>70088</v>
          </cell>
          <cell r="Y2338">
            <v>68221</v>
          </cell>
          <cell r="Z2338">
            <v>69191</v>
          </cell>
          <cell r="AA2338">
            <v>72827</v>
          </cell>
          <cell r="AB2338">
            <v>62511</v>
          </cell>
          <cell r="AC2338">
            <v>73988</v>
          </cell>
          <cell r="AD2338">
            <v>65270</v>
          </cell>
          <cell r="AE2338">
            <v>61290</v>
          </cell>
          <cell r="AF2338">
            <v>66810</v>
          </cell>
          <cell r="AG2338">
            <v>69592</v>
          </cell>
          <cell r="AH2338">
            <v>70265</v>
          </cell>
          <cell r="AI2338">
            <v>79528</v>
          </cell>
          <cell r="AJ2338">
            <v>77394</v>
          </cell>
        </row>
        <row r="2339">
          <cell r="E2339" t="str">
            <v>VA Residential Natural Gas</v>
          </cell>
          <cell r="F2339">
            <v>53632</v>
          </cell>
          <cell r="G2339">
            <v>56504</v>
          </cell>
          <cell r="H2339">
            <v>64883</v>
          </cell>
          <cell r="I2339">
            <v>68525</v>
          </cell>
          <cell r="J2339">
            <v>67746</v>
          </cell>
          <cell r="K2339">
            <v>70823</v>
          </cell>
          <cell r="L2339">
            <v>79208</v>
          </cell>
          <cell r="M2339">
            <v>77138</v>
          </cell>
          <cell r="N2339">
            <v>65955</v>
          </cell>
          <cell r="O2339">
            <v>71799</v>
          </cell>
          <cell r="P2339">
            <v>82460</v>
          </cell>
          <cell r="Q2339">
            <v>72928</v>
          </cell>
          <cell r="R2339">
            <v>78157</v>
          </cell>
          <cell r="S2339">
            <v>88513</v>
          </cell>
          <cell r="T2339">
            <v>85292</v>
          </cell>
          <cell r="U2339">
            <v>88962</v>
          </cell>
          <cell r="V2339">
            <v>74224</v>
          </cell>
          <cell r="W2339">
            <v>83963</v>
          </cell>
          <cell r="X2339">
            <v>82700</v>
          </cell>
          <cell r="Y2339">
            <v>87426</v>
          </cell>
          <cell r="Z2339">
            <v>90406</v>
          </cell>
          <cell r="AA2339">
            <v>81379</v>
          </cell>
          <cell r="AB2339">
            <v>72906</v>
          </cell>
          <cell r="AC2339">
            <v>88862</v>
          </cell>
          <cell r="AD2339">
            <v>97426</v>
          </cell>
          <cell r="AE2339">
            <v>89558</v>
          </cell>
          <cell r="AF2339">
            <v>81054</v>
          </cell>
          <cell r="AG2339">
            <v>81148</v>
          </cell>
          <cell r="AH2339">
            <v>94171</v>
          </cell>
          <cell r="AI2339">
            <v>86516</v>
          </cell>
          <cell r="AJ2339">
            <v>79721</v>
          </cell>
        </row>
        <row r="2340">
          <cell r="E2340" t="str">
            <v>VT Residential Natural Gas</v>
          </cell>
          <cell r="F2340">
            <v>2112</v>
          </cell>
          <cell r="G2340">
            <v>2177</v>
          </cell>
          <cell r="H2340">
            <v>2510</v>
          </cell>
          <cell r="I2340">
            <v>2525</v>
          </cell>
          <cell r="J2340">
            <v>2428</v>
          </cell>
          <cell r="K2340">
            <v>2290</v>
          </cell>
          <cell r="L2340">
            <v>2561</v>
          </cell>
          <cell r="M2340">
            <v>2662</v>
          </cell>
          <cell r="N2340">
            <v>2484</v>
          </cell>
          <cell r="O2340">
            <v>2595</v>
          </cell>
          <cell r="P2340">
            <v>2877</v>
          </cell>
          <cell r="Q2340">
            <v>2752</v>
          </cell>
          <cell r="R2340">
            <v>2772</v>
          </cell>
          <cell r="S2340">
            <v>3137</v>
          </cell>
          <cell r="T2340">
            <v>3124</v>
          </cell>
          <cell r="U2340">
            <v>3102</v>
          </cell>
          <cell r="V2340">
            <v>2877</v>
          </cell>
          <cell r="W2340">
            <v>3210</v>
          </cell>
          <cell r="X2340">
            <v>3090</v>
          </cell>
          <cell r="Y2340">
            <v>3199</v>
          </cell>
          <cell r="Z2340">
            <v>3100</v>
          </cell>
          <cell r="AA2340">
            <v>3240</v>
          </cell>
          <cell r="AB2340">
            <v>3048</v>
          </cell>
          <cell r="AC2340">
            <v>3466</v>
          </cell>
          <cell r="AD2340">
            <v>3891</v>
          </cell>
          <cell r="AE2340">
            <v>3929</v>
          </cell>
          <cell r="AF2340">
            <v>3602</v>
          </cell>
          <cell r="AG2340">
            <v>3614</v>
          </cell>
          <cell r="AH2340">
            <v>4220</v>
          </cell>
          <cell r="AI2340">
            <v>4288</v>
          </cell>
          <cell r="AJ2340">
            <v>3964</v>
          </cell>
        </row>
        <row r="2341">
          <cell r="E2341" t="str">
            <v>WA Residential Natural Gas</v>
          </cell>
          <cell r="F2341">
            <v>41556</v>
          </cell>
          <cell r="G2341">
            <v>47656</v>
          </cell>
          <cell r="H2341">
            <v>44471</v>
          </cell>
          <cell r="I2341">
            <v>55294</v>
          </cell>
          <cell r="J2341">
            <v>55426</v>
          </cell>
          <cell r="K2341">
            <v>54988</v>
          </cell>
          <cell r="L2341">
            <v>65107</v>
          </cell>
          <cell r="M2341">
            <v>64828</v>
          </cell>
          <cell r="N2341">
            <v>64826</v>
          </cell>
          <cell r="O2341">
            <v>75553</v>
          </cell>
          <cell r="P2341">
            <v>74824</v>
          </cell>
          <cell r="Q2341">
            <v>87354</v>
          </cell>
          <cell r="R2341">
            <v>75519</v>
          </cell>
          <cell r="S2341">
            <v>72983</v>
          </cell>
          <cell r="T2341">
            <v>72909</v>
          </cell>
          <cell r="U2341">
            <v>75802</v>
          </cell>
          <cell r="V2341">
            <v>77752</v>
          </cell>
          <cell r="W2341">
            <v>82188</v>
          </cell>
          <cell r="X2341">
            <v>87054</v>
          </cell>
          <cell r="Y2341">
            <v>86682</v>
          </cell>
          <cell r="Z2341">
            <v>78028</v>
          </cell>
          <cell r="AA2341">
            <v>87884</v>
          </cell>
          <cell r="AB2341">
            <v>82237</v>
          </cell>
          <cell r="AC2341">
            <v>86129</v>
          </cell>
          <cell r="AD2341">
            <v>82249</v>
          </cell>
          <cell r="AE2341">
            <v>76475</v>
          </cell>
          <cell r="AF2341">
            <v>82329</v>
          </cell>
          <cell r="AG2341">
            <v>98296</v>
          </cell>
          <cell r="AH2341">
            <v>90806</v>
          </cell>
          <cell r="AI2341">
            <v>97618</v>
          </cell>
          <cell r="AJ2341">
            <v>94569</v>
          </cell>
        </row>
        <row r="2342">
          <cell r="E2342" t="str">
            <v>WI Residential Natural Gas</v>
          </cell>
          <cell r="F2342">
            <v>114724</v>
          </cell>
          <cell r="G2342">
            <v>124940</v>
          </cell>
          <cell r="H2342">
            <v>124512</v>
          </cell>
          <cell r="I2342">
            <v>131562</v>
          </cell>
          <cell r="J2342">
            <v>129707</v>
          </cell>
          <cell r="K2342">
            <v>137493</v>
          </cell>
          <cell r="L2342">
            <v>149809</v>
          </cell>
          <cell r="M2342">
            <v>137281</v>
          </cell>
          <cell r="N2342">
            <v>117204</v>
          </cell>
          <cell r="O2342">
            <v>129102</v>
          </cell>
          <cell r="P2342">
            <v>136432</v>
          </cell>
          <cell r="Q2342">
            <v>126344</v>
          </cell>
          <cell r="R2342">
            <v>138443</v>
          </cell>
          <cell r="S2342">
            <v>143403</v>
          </cell>
          <cell r="T2342">
            <v>136191</v>
          </cell>
          <cell r="U2342">
            <v>132980</v>
          </cell>
          <cell r="V2342">
            <v>121885</v>
          </cell>
          <cell r="W2342">
            <v>132936</v>
          </cell>
          <cell r="X2342">
            <v>142543</v>
          </cell>
          <cell r="Y2342">
            <v>135023</v>
          </cell>
          <cell r="Z2342">
            <v>124850</v>
          </cell>
          <cell r="AA2342">
            <v>131300</v>
          </cell>
          <cell r="AB2342">
            <v>114770</v>
          </cell>
          <cell r="AC2342">
            <v>146877</v>
          </cell>
          <cell r="AD2342">
            <v>155974</v>
          </cell>
          <cell r="AE2342">
            <v>132795</v>
          </cell>
          <cell r="AF2342">
            <v>131192</v>
          </cell>
          <cell r="AG2342">
            <v>136267</v>
          </cell>
          <cell r="AH2342">
            <v>151487</v>
          </cell>
          <cell r="AI2342">
            <v>159117</v>
          </cell>
          <cell r="AJ2342">
            <v>145112</v>
          </cell>
        </row>
        <row r="2343">
          <cell r="E2343" t="str">
            <v>WV Residential Natural Gas</v>
          </cell>
          <cell r="F2343">
            <v>34917</v>
          </cell>
          <cell r="G2343">
            <v>34969</v>
          </cell>
          <cell r="H2343">
            <v>37589</v>
          </cell>
          <cell r="I2343">
            <v>37500</v>
          </cell>
          <cell r="J2343">
            <v>37457</v>
          </cell>
          <cell r="K2343">
            <v>37543</v>
          </cell>
          <cell r="L2343">
            <v>39674</v>
          </cell>
          <cell r="M2343">
            <v>38448</v>
          </cell>
          <cell r="N2343">
            <v>31539</v>
          </cell>
          <cell r="O2343">
            <v>33136</v>
          </cell>
          <cell r="P2343">
            <v>33757</v>
          </cell>
          <cell r="Q2343">
            <v>34104</v>
          </cell>
          <cell r="R2343">
            <v>32712</v>
          </cell>
          <cell r="S2343">
            <v>34339</v>
          </cell>
          <cell r="T2343">
            <v>32090</v>
          </cell>
          <cell r="U2343">
            <v>31807</v>
          </cell>
          <cell r="V2343">
            <v>29198</v>
          </cell>
          <cell r="W2343">
            <v>28522</v>
          </cell>
          <cell r="X2343">
            <v>29540</v>
          </cell>
          <cell r="Y2343">
            <v>28327</v>
          </cell>
          <cell r="Z2343">
            <v>29085</v>
          </cell>
          <cell r="AA2343">
            <v>27181</v>
          </cell>
          <cell r="AB2343">
            <v>24358</v>
          </cell>
          <cell r="AC2343">
            <v>28547</v>
          </cell>
          <cell r="AD2343">
            <v>30859</v>
          </cell>
          <cell r="AE2343">
            <v>27273</v>
          </cell>
          <cell r="AF2343">
            <v>25498</v>
          </cell>
          <cell r="AG2343">
            <v>24254</v>
          </cell>
          <cell r="AH2343">
            <v>28668</v>
          </cell>
          <cell r="AI2343">
            <v>25887</v>
          </cell>
          <cell r="AJ2343">
            <v>24912</v>
          </cell>
        </row>
        <row r="2344">
          <cell r="E2344" t="str">
            <v>WY Residential Natural Gas</v>
          </cell>
          <cell r="F2344">
            <v>12622</v>
          </cell>
          <cell r="G2344">
            <v>12712</v>
          </cell>
          <cell r="H2344">
            <v>11527</v>
          </cell>
          <cell r="I2344">
            <v>13371</v>
          </cell>
          <cell r="J2344">
            <v>12212</v>
          </cell>
          <cell r="K2344">
            <v>12918</v>
          </cell>
          <cell r="L2344">
            <v>14360</v>
          </cell>
          <cell r="M2344">
            <v>13897</v>
          </cell>
          <cell r="N2344">
            <v>13554</v>
          </cell>
          <cell r="O2344">
            <v>12724</v>
          </cell>
          <cell r="P2344">
            <v>12742</v>
          </cell>
          <cell r="Q2344">
            <v>11588</v>
          </cell>
          <cell r="R2344">
            <v>13917</v>
          </cell>
          <cell r="S2344">
            <v>12708</v>
          </cell>
          <cell r="T2344">
            <v>12641</v>
          </cell>
          <cell r="U2344">
            <v>12157</v>
          </cell>
          <cell r="V2344">
            <v>12156</v>
          </cell>
          <cell r="W2344">
            <v>12831</v>
          </cell>
          <cell r="X2344">
            <v>13711</v>
          </cell>
          <cell r="Y2344">
            <v>13053</v>
          </cell>
          <cell r="Z2344">
            <v>13317</v>
          </cell>
          <cell r="AA2344">
            <v>13736</v>
          </cell>
          <cell r="AB2344">
            <v>11895</v>
          </cell>
          <cell r="AC2344">
            <v>14217</v>
          </cell>
          <cell r="AD2344">
            <v>13803</v>
          </cell>
          <cell r="AE2344">
            <v>12273</v>
          </cell>
          <cell r="AF2344">
            <v>12891</v>
          </cell>
          <cell r="AG2344">
            <v>13307</v>
          </cell>
          <cell r="AH2344">
            <v>13959</v>
          </cell>
          <cell r="AI2344">
            <v>15103</v>
          </cell>
          <cell r="AJ2344">
            <v>13941</v>
          </cell>
        </row>
        <row r="2345">
          <cell r="E2345" t="str">
            <v>AK Commercial Petroleum Coke</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row>
        <row r="2346">
          <cell r="E2346" t="str">
            <v>AL Commercial Petroleum Coke</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row>
        <row r="2347">
          <cell r="E2347" t="str">
            <v>AR Commercial Petroleum Coke</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row>
        <row r="2348">
          <cell r="E2348" t="str">
            <v>AZ Commercial Petroleum Coke</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row>
        <row r="2349">
          <cell r="E2349" t="str">
            <v>CA Commercial Petroleum Coke</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row>
        <row r="2350">
          <cell r="E2350" t="str">
            <v>CO Commercial Petroleum Coke</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row>
        <row r="2351">
          <cell r="E2351" t="str">
            <v>CT Commercial Petroleum Coke</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row>
        <row r="2352">
          <cell r="E2352" t="str">
            <v>DC Commercial Petroleum Coke</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row>
        <row r="2353">
          <cell r="E2353" t="str">
            <v>DE Commercial Petroleum Coke</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row>
        <row r="2354">
          <cell r="E2354" t="str">
            <v>FL Commercial Petroleum Coke</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row>
        <row r="2355">
          <cell r="E2355" t="str">
            <v>GA Commercial Petroleum Coke</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row>
        <row r="2356">
          <cell r="E2356" t="str">
            <v>HI Commercial Petroleum Coke</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row>
        <row r="2357">
          <cell r="E2357" t="str">
            <v>IA Commercial Petroleum Coke</v>
          </cell>
          <cell r="F2357">
            <v>0</v>
          </cell>
          <cell r="G2357">
            <v>0</v>
          </cell>
          <cell r="H2357">
            <v>73</v>
          </cell>
          <cell r="I2357">
            <v>155</v>
          </cell>
          <cell r="J2357">
            <v>135</v>
          </cell>
          <cell r="K2357">
            <v>126</v>
          </cell>
          <cell r="L2357">
            <v>114</v>
          </cell>
          <cell r="M2357">
            <v>133</v>
          </cell>
          <cell r="N2357">
            <v>126</v>
          </cell>
          <cell r="O2357">
            <v>120</v>
          </cell>
          <cell r="P2357">
            <v>168</v>
          </cell>
          <cell r="Q2357">
            <v>190</v>
          </cell>
          <cell r="R2357">
            <v>244</v>
          </cell>
          <cell r="S2357">
            <v>328</v>
          </cell>
          <cell r="T2357">
            <v>263</v>
          </cell>
          <cell r="U2357">
            <v>264</v>
          </cell>
          <cell r="V2357">
            <v>279</v>
          </cell>
          <cell r="W2357">
            <v>350</v>
          </cell>
          <cell r="X2357">
            <v>287</v>
          </cell>
          <cell r="Y2357">
            <v>249</v>
          </cell>
          <cell r="Z2357">
            <v>346</v>
          </cell>
          <cell r="AA2357">
            <v>182</v>
          </cell>
          <cell r="AB2357">
            <v>362</v>
          </cell>
          <cell r="AC2357">
            <v>350</v>
          </cell>
          <cell r="AD2357">
            <v>525</v>
          </cell>
          <cell r="AE2357">
            <v>521</v>
          </cell>
          <cell r="AF2357">
            <v>297</v>
          </cell>
          <cell r="AG2357">
            <v>496</v>
          </cell>
          <cell r="AH2357">
            <v>354</v>
          </cell>
          <cell r="AI2357">
            <v>210</v>
          </cell>
          <cell r="AJ2357">
            <v>112</v>
          </cell>
        </row>
        <row r="2358">
          <cell r="E2358" t="str">
            <v>ID Commercial Petroleum Coke</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row>
        <row r="2359">
          <cell r="E2359" t="str">
            <v>IL Commercial Petroleum Coke</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row>
        <row r="2360">
          <cell r="E2360" t="str">
            <v>IN Commercial Petroleum Coke</v>
          </cell>
          <cell r="F2360">
            <v>0</v>
          </cell>
          <cell r="G2360">
            <v>0</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row>
        <row r="2361">
          <cell r="E2361" t="str">
            <v>KS Commercial Petroleum Coke</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row>
        <row r="2362">
          <cell r="E2362" t="str">
            <v>KY Commercial Petroleum Coke</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row>
        <row r="2363">
          <cell r="E2363" t="str">
            <v>LA Commercial Petroleum Coke</v>
          </cell>
          <cell r="F2363">
            <v>0</v>
          </cell>
          <cell r="G2363">
            <v>0</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row>
        <row r="2364">
          <cell r="E2364" t="str">
            <v>MA Commercial Petroleum Coke</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row>
        <row r="2365">
          <cell r="E2365" t="str">
            <v>MD Commercial Petroleum Coke</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row>
        <row r="2366">
          <cell r="E2366" t="str">
            <v>ME Commercial Petroleum Coke</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row>
        <row r="2367">
          <cell r="E2367" t="str">
            <v>MI Commercial Petroleum Coke</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row>
        <row r="2368">
          <cell r="E2368" t="str">
            <v>MN Commercial Petroleum Coke</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row>
        <row r="2369">
          <cell r="E2369" t="str">
            <v>MO Commercial Petroleum Coke</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row>
        <row r="2370">
          <cell r="E2370" t="str">
            <v>MS Commercial Petroleum Coke</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row>
        <row r="2371">
          <cell r="E2371" t="str">
            <v>MT Commercial Petroleum Coke</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row>
        <row r="2372">
          <cell r="E2372" t="str">
            <v>NC Commercial Petroleum Coke</v>
          </cell>
          <cell r="F2372">
            <v>0</v>
          </cell>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row>
        <row r="2373">
          <cell r="E2373" t="str">
            <v>ND Commercial Petroleum Coke</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row>
        <row r="2374">
          <cell r="E2374" t="str">
            <v>NE Commercial Petroleum Coke</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row>
        <row r="2375">
          <cell r="E2375" t="str">
            <v>NH Commercial Petroleum Coke</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row>
        <row r="2376">
          <cell r="E2376" t="str">
            <v>NJ Commercial Petroleum Coke</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row>
        <row r="2377">
          <cell r="E2377" t="str">
            <v>NM Commercial Petroleum Coke</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row>
        <row r="2378">
          <cell r="E2378" t="str">
            <v>NV Commercial Petroleum Coke</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row>
        <row r="2379">
          <cell r="E2379" t="str">
            <v>NY Commercial Petroleum Coke</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row>
        <row r="2380">
          <cell r="E2380" t="str">
            <v>OH Commercial Petroleum Coke</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row>
        <row r="2381">
          <cell r="E2381" t="str">
            <v>OK Commercial Petroleum Coke</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row>
        <row r="2382">
          <cell r="E2382" t="str">
            <v>OR Commercial Petroleum Coke</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row>
        <row r="2383">
          <cell r="E2383" t="str">
            <v>PA Commercial Petroleum Coke</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row>
        <row r="2384">
          <cell r="E2384" t="str">
            <v>RI Commercial Petroleum Coke</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row>
        <row r="2385">
          <cell r="E2385" t="str">
            <v>SC Commercial Petroleum Coke</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row>
        <row r="2386">
          <cell r="E2386" t="str">
            <v>SD Commercial Petroleum Coke</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row>
        <row r="2387">
          <cell r="E2387" t="str">
            <v>TN Commercial Petroleum Coke</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row>
        <row r="2388">
          <cell r="E2388" t="str">
            <v>TX Commercial Petroleum Coke</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row>
        <row r="2389">
          <cell r="E2389" t="str">
            <v>US Commercial Petroleum Coke</v>
          </cell>
          <cell r="F2389">
            <v>0</v>
          </cell>
          <cell r="G2389">
            <v>0</v>
          </cell>
          <cell r="H2389">
            <v>73</v>
          </cell>
          <cell r="I2389">
            <v>155</v>
          </cell>
          <cell r="J2389">
            <v>135</v>
          </cell>
          <cell r="K2389">
            <v>126</v>
          </cell>
          <cell r="L2389">
            <v>114</v>
          </cell>
          <cell r="M2389">
            <v>133</v>
          </cell>
          <cell r="N2389">
            <v>126</v>
          </cell>
          <cell r="O2389">
            <v>120</v>
          </cell>
          <cell r="P2389">
            <v>168</v>
          </cell>
          <cell r="Q2389">
            <v>190</v>
          </cell>
          <cell r="R2389">
            <v>244</v>
          </cell>
          <cell r="S2389">
            <v>328</v>
          </cell>
          <cell r="T2389">
            <v>263</v>
          </cell>
          <cell r="U2389">
            <v>264</v>
          </cell>
          <cell r="V2389">
            <v>279</v>
          </cell>
          <cell r="W2389">
            <v>350</v>
          </cell>
          <cell r="X2389">
            <v>287</v>
          </cell>
          <cell r="Y2389">
            <v>249</v>
          </cell>
          <cell r="Z2389">
            <v>346</v>
          </cell>
          <cell r="AA2389">
            <v>182</v>
          </cell>
          <cell r="AB2389">
            <v>362</v>
          </cell>
          <cell r="AC2389">
            <v>350</v>
          </cell>
          <cell r="AD2389">
            <v>525</v>
          </cell>
          <cell r="AE2389">
            <v>521</v>
          </cell>
          <cell r="AF2389">
            <v>297</v>
          </cell>
          <cell r="AG2389">
            <v>496</v>
          </cell>
          <cell r="AH2389">
            <v>354</v>
          </cell>
          <cell r="AI2389">
            <v>210</v>
          </cell>
          <cell r="AJ2389">
            <v>112</v>
          </cell>
        </row>
        <row r="2390">
          <cell r="E2390" t="str">
            <v>UT Commercial Petroleum Coke</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row>
        <row r="2391">
          <cell r="E2391" t="str">
            <v>VA Commercial Petroleum Coke</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row>
        <row r="2392">
          <cell r="E2392" t="str">
            <v>VT Commercial Petroleum Coke</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row>
        <row r="2393">
          <cell r="E2393" t="str">
            <v>WA Commercial Petroleum Coke</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row>
        <row r="2394">
          <cell r="E2394" t="str">
            <v>WI Commercial Petroleum Coke</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row>
        <row r="2395">
          <cell r="E2395" t="str">
            <v>WV Commercial Petroleum Coke</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row>
        <row r="2396">
          <cell r="E2396" t="str">
            <v>WY Commercial Petroleum Coke</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row>
        <row r="2397">
          <cell r="E2397" t="str">
            <v>AK Electric Power Petroleum Coke</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row>
        <row r="2398">
          <cell r="E2398" t="str">
            <v>AL Electric Power Petroleum Coke</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row>
        <row r="2399">
          <cell r="E2399" t="str">
            <v>AR Electric Power Petroleum Coke</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row>
        <row r="2400">
          <cell r="E2400" t="str">
            <v>AZ Electric Power Petroleum Coke</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row>
        <row r="2401">
          <cell r="E2401" t="str">
            <v>CA Electric Power Petroleum Coke</v>
          </cell>
          <cell r="F2401">
            <v>4931</v>
          </cell>
          <cell r="G2401">
            <v>7590</v>
          </cell>
          <cell r="H2401">
            <v>8934</v>
          </cell>
          <cell r="I2401">
            <v>9075</v>
          </cell>
          <cell r="J2401">
            <v>11755</v>
          </cell>
          <cell r="K2401">
            <v>15736</v>
          </cell>
          <cell r="L2401">
            <v>17460</v>
          </cell>
          <cell r="M2401">
            <v>16479</v>
          </cell>
          <cell r="N2401">
            <v>20545</v>
          </cell>
          <cell r="O2401">
            <v>18275</v>
          </cell>
          <cell r="P2401">
            <v>19995</v>
          </cell>
          <cell r="Q2401">
            <v>19273</v>
          </cell>
          <cell r="R2401">
            <v>20192</v>
          </cell>
          <cell r="S2401">
            <v>21872</v>
          </cell>
          <cell r="T2401">
            <v>19869</v>
          </cell>
          <cell r="U2401">
            <v>22093</v>
          </cell>
          <cell r="V2401">
            <v>20349</v>
          </cell>
          <cell r="W2401">
            <v>20340</v>
          </cell>
          <cell r="X2401">
            <v>17473</v>
          </cell>
          <cell r="Y2401">
            <v>16824</v>
          </cell>
          <cell r="Z2401">
            <v>12344</v>
          </cell>
          <cell r="AA2401">
            <v>10566</v>
          </cell>
          <cell r="AB2401">
            <v>2067</v>
          </cell>
          <cell r="AC2401">
            <v>272</v>
          </cell>
          <cell r="AD2401">
            <v>244</v>
          </cell>
          <cell r="AE2401">
            <v>0</v>
          </cell>
          <cell r="AF2401">
            <v>0</v>
          </cell>
          <cell r="AG2401">
            <v>0</v>
          </cell>
          <cell r="AH2401">
            <v>0</v>
          </cell>
          <cell r="AI2401">
            <v>0</v>
          </cell>
          <cell r="AJ2401">
            <v>0</v>
          </cell>
        </row>
        <row r="2402">
          <cell r="E2402" t="str">
            <v>CO Electric Power Petroleum Coke</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row>
        <row r="2403">
          <cell r="E2403" t="str">
            <v>CT Electric Power Petroleum Coke</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row>
        <row r="2404">
          <cell r="E2404" t="str">
            <v>DC Electric Power Petroleum Coke</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row>
        <row r="2405">
          <cell r="E2405" t="str">
            <v>DE Electric Power Petroleum Coke</v>
          </cell>
          <cell r="F2405">
            <v>8492</v>
          </cell>
          <cell r="G2405">
            <v>7914</v>
          </cell>
          <cell r="H2405">
            <v>10188</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row>
        <row r="2406">
          <cell r="E2406" t="str">
            <v>FL Electric Power Petroleum Coke</v>
          </cell>
          <cell r="F2406">
            <v>0</v>
          </cell>
          <cell r="G2406">
            <v>0</v>
          </cell>
          <cell r="H2406">
            <v>0</v>
          </cell>
          <cell r="I2406">
            <v>0</v>
          </cell>
          <cell r="J2406">
            <v>0</v>
          </cell>
          <cell r="K2406">
            <v>0</v>
          </cell>
          <cell r="L2406">
            <v>1888</v>
          </cell>
          <cell r="M2406">
            <v>20097</v>
          </cell>
          <cell r="N2406">
            <v>27841</v>
          </cell>
          <cell r="O2406">
            <v>27852</v>
          </cell>
          <cell r="P2406">
            <v>19310</v>
          </cell>
          <cell r="Q2406">
            <v>27950</v>
          </cell>
          <cell r="R2406">
            <v>47444</v>
          </cell>
          <cell r="S2406">
            <v>62931</v>
          </cell>
          <cell r="T2406">
            <v>66621</v>
          </cell>
          <cell r="U2406">
            <v>82447</v>
          </cell>
          <cell r="V2406">
            <v>71254</v>
          </cell>
          <cell r="W2406">
            <v>45947</v>
          </cell>
          <cell r="X2406">
            <v>33929</v>
          </cell>
          <cell r="Y2406">
            <v>29587</v>
          </cell>
          <cell r="Z2406">
            <v>32113</v>
          </cell>
          <cell r="AA2406">
            <v>19876</v>
          </cell>
          <cell r="AB2406">
            <v>7035</v>
          </cell>
          <cell r="AC2406">
            <v>21643</v>
          </cell>
          <cell r="AD2406">
            <v>14134</v>
          </cell>
          <cell r="AE2406">
            <v>16188</v>
          </cell>
          <cell r="AF2406">
            <v>21120</v>
          </cell>
          <cell r="AG2406">
            <v>9916</v>
          </cell>
          <cell r="AH2406">
            <v>15974</v>
          </cell>
          <cell r="AI2406">
            <v>12384</v>
          </cell>
          <cell r="AJ2406">
            <v>15565</v>
          </cell>
        </row>
        <row r="2407">
          <cell r="E2407" t="str">
            <v>GA Electric Power Petroleum Coke</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row>
        <row r="2408">
          <cell r="E2408" t="str">
            <v>HI Electric Power Petroleum Coke</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row>
        <row r="2409">
          <cell r="E2409" t="str">
            <v>IA Electric Power Petroleum Coke</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355</v>
          </cell>
          <cell r="U2409">
            <v>0</v>
          </cell>
          <cell r="V2409">
            <v>1140</v>
          </cell>
          <cell r="W2409">
            <v>1465</v>
          </cell>
          <cell r="X2409">
            <v>870</v>
          </cell>
          <cell r="Y2409">
            <v>300</v>
          </cell>
          <cell r="Z2409">
            <v>767</v>
          </cell>
          <cell r="AA2409">
            <v>792</v>
          </cell>
          <cell r="AB2409">
            <v>135</v>
          </cell>
          <cell r="AC2409">
            <v>0</v>
          </cell>
          <cell r="AD2409">
            <v>0</v>
          </cell>
          <cell r="AE2409">
            <v>0</v>
          </cell>
          <cell r="AF2409">
            <v>0</v>
          </cell>
          <cell r="AG2409">
            <v>0</v>
          </cell>
          <cell r="AH2409">
            <v>0</v>
          </cell>
          <cell r="AI2409">
            <v>0</v>
          </cell>
          <cell r="AJ2409">
            <v>0</v>
          </cell>
        </row>
        <row r="2410">
          <cell r="E2410" t="str">
            <v>ID Electric Power Petroleum Coke</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row>
        <row r="2411">
          <cell r="E2411" t="str">
            <v>IL Electric Power Petroleum Coke</v>
          </cell>
          <cell r="F2411">
            <v>0</v>
          </cell>
          <cell r="G2411">
            <v>0</v>
          </cell>
          <cell r="H2411">
            <v>0</v>
          </cell>
          <cell r="I2411">
            <v>0</v>
          </cell>
          <cell r="J2411">
            <v>0</v>
          </cell>
          <cell r="K2411">
            <v>2322</v>
          </cell>
          <cell r="L2411">
            <v>1451</v>
          </cell>
          <cell r="M2411">
            <v>116</v>
          </cell>
          <cell r="N2411">
            <v>2082</v>
          </cell>
          <cell r="O2411">
            <v>562</v>
          </cell>
          <cell r="P2411">
            <v>0</v>
          </cell>
          <cell r="Q2411">
            <v>0</v>
          </cell>
          <cell r="R2411">
            <v>0</v>
          </cell>
          <cell r="S2411">
            <v>0</v>
          </cell>
          <cell r="T2411">
            <v>1126</v>
          </cell>
          <cell r="U2411">
            <v>1086</v>
          </cell>
          <cell r="V2411">
            <v>309</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row>
        <row r="2412">
          <cell r="E2412" t="str">
            <v>IN Electric Power Petroleum Coke</v>
          </cell>
          <cell r="F2412">
            <v>5760</v>
          </cell>
          <cell r="G2412">
            <v>2087</v>
          </cell>
          <cell r="H2412">
            <v>1815</v>
          </cell>
          <cell r="I2412">
            <v>0</v>
          </cell>
          <cell r="J2412">
            <v>0</v>
          </cell>
          <cell r="K2412">
            <v>495</v>
          </cell>
          <cell r="L2412">
            <v>1797</v>
          </cell>
          <cell r="M2412">
            <v>5470</v>
          </cell>
          <cell r="N2412">
            <v>7392</v>
          </cell>
          <cell r="O2412">
            <v>6476</v>
          </cell>
          <cell r="P2412">
            <v>7070</v>
          </cell>
          <cell r="Q2412">
            <v>2090</v>
          </cell>
          <cell r="R2412">
            <v>3737</v>
          </cell>
          <cell r="S2412">
            <v>2750</v>
          </cell>
          <cell r="T2412">
            <v>2877</v>
          </cell>
          <cell r="U2412">
            <v>1088</v>
          </cell>
          <cell r="V2412">
            <v>0</v>
          </cell>
          <cell r="W2412">
            <v>0</v>
          </cell>
          <cell r="X2412">
            <v>0</v>
          </cell>
          <cell r="Y2412">
            <v>102</v>
          </cell>
          <cell r="Z2412">
            <v>0</v>
          </cell>
          <cell r="AA2412">
            <v>8187</v>
          </cell>
          <cell r="AB2412">
            <v>5846</v>
          </cell>
          <cell r="AC2412">
            <v>9808</v>
          </cell>
          <cell r="AD2412">
            <v>10591</v>
          </cell>
          <cell r="AE2412">
            <v>11054</v>
          </cell>
          <cell r="AF2412">
            <v>4538</v>
          </cell>
          <cell r="AG2412">
            <v>0</v>
          </cell>
          <cell r="AH2412">
            <v>0</v>
          </cell>
          <cell r="AI2412">
            <v>0</v>
          </cell>
          <cell r="AJ2412">
            <v>0</v>
          </cell>
        </row>
        <row r="2413">
          <cell r="E2413" t="str">
            <v>KS Electric Power Petroleum Coke</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2150</v>
          </cell>
          <cell r="X2413">
            <v>1476</v>
          </cell>
          <cell r="Y2413">
            <v>1530</v>
          </cell>
          <cell r="Z2413">
            <v>1136</v>
          </cell>
          <cell r="AA2413">
            <v>378</v>
          </cell>
          <cell r="AB2413">
            <v>0</v>
          </cell>
          <cell r="AC2413">
            <v>0</v>
          </cell>
          <cell r="AD2413">
            <v>0</v>
          </cell>
          <cell r="AE2413">
            <v>0</v>
          </cell>
          <cell r="AF2413">
            <v>0</v>
          </cell>
          <cell r="AG2413">
            <v>0</v>
          </cell>
          <cell r="AH2413">
            <v>0</v>
          </cell>
          <cell r="AI2413">
            <v>0</v>
          </cell>
          <cell r="AJ2413">
            <v>0</v>
          </cell>
        </row>
        <row r="2414">
          <cell r="E2414" t="str">
            <v>KY Electric Power Petroleum Coke</v>
          </cell>
          <cell r="F2414">
            <v>0</v>
          </cell>
          <cell r="G2414">
            <v>0</v>
          </cell>
          <cell r="H2414">
            <v>0</v>
          </cell>
          <cell r="I2414">
            <v>0</v>
          </cell>
          <cell r="J2414">
            <v>0</v>
          </cell>
          <cell r="K2414">
            <v>0</v>
          </cell>
          <cell r="L2414">
            <v>0</v>
          </cell>
          <cell r="M2414">
            <v>0</v>
          </cell>
          <cell r="N2414">
            <v>4343</v>
          </cell>
          <cell r="O2414">
            <v>0</v>
          </cell>
          <cell r="P2414">
            <v>0</v>
          </cell>
          <cell r="Q2414">
            <v>0</v>
          </cell>
          <cell r="R2414">
            <v>41651</v>
          </cell>
          <cell r="S2414">
            <v>34651</v>
          </cell>
          <cell r="T2414">
            <v>40581</v>
          </cell>
          <cell r="U2414">
            <v>40870</v>
          </cell>
          <cell r="V2414">
            <v>37528</v>
          </cell>
          <cell r="W2414">
            <v>30445</v>
          </cell>
          <cell r="X2414">
            <v>31311</v>
          </cell>
          <cell r="Y2414">
            <v>21468</v>
          </cell>
          <cell r="Z2414">
            <v>23726</v>
          </cell>
          <cell r="AA2414">
            <v>17386</v>
          </cell>
          <cell r="AB2414">
            <v>15500</v>
          </cell>
          <cell r="AC2414">
            <v>14278</v>
          </cell>
          <cell r="AD2414">
            <v>11474</v>
          </cell>
          <cell r="AE2414">
            <v>10540</v>
          </cell>
          <cell r="AF2414">
            <v>12546</v>
          </cell>
          <cell r="AG2414">
            <v>4752</v>
          </cell>
          <cell r="AH2414">
            <v>0</v>
          </cell>
          <cell r="AI2414">
            <v>0</v>
          </cell>
          <cell r="AJ2414">
            <v>0</v>
          </cell>
        </row>
        <row r="2415">
          <cell r="E2415" t="str">
            <v>LA Electric Power Petroleum Coke</v>
          </cell>
          <cell r="F2415">
            <v>753</v>
          </cell>
          <cell r="G2415">
            <v>0</v>
          </cell>
          <cell r="H2415">
            <v>11248</v>
          </cell>
          <cell r="I2415">
            <v>34007</v>
          </cell>
          <cell r="J2415">
            <v>22782</v>
          </cell>
          <cell r="K2415">
            <v>18242</v>
          </cell>
          <cell r="L2415">
            <v>17794</v>
          </cell>
          <cell r="M2415">
            <v>19516</v>
          </cell>
          <cell r="N2415">
            <v>19595</v>
          </cell>
          <cell r="O2415">
            <v>17712</v>
          </cell>
          <cell r="P2415">
            <v>16694</v>
          </cell>
          <cell r="Q2415">
            <v>19933</v>
          </cell>
          <cell r="R2415">
            <v>19327</v>
          </cell>
          <cell r="S2415">
            <v>20454</v>
          </cell>
          <cell r="T2415">
            <v>19196</v>
          </cell>
          <cell r="U2415">
            <v>18936</v>
          </cell>
          <cell r="V2415">
            <v>18974</v>
          </cell>
          <cell r="W2415">
            <v>20709</v>
          </cell>
          <cell r="X2415">
            <v>19501</v>
          </cell>
          <cell r="Y2415">
            <v>16201</v>
          </cell>
          <cell r="Z2415">
            <v>31027</v>
          </cell>
          <cell r="AA2415">
            <v>47658</v>
          </cell>
          <cell r="AB2415">
            <v>30775</v>
          </cell>
          <cell r="AC2415">
            <v>48283</v>
          </cell>
          <cell r="AD2415">
            <v>50978</v>
          </cell>
          <cell r="AE2415">
            <v>42636</v>
          </cell>
          <cell r="AF2415">
            <v>50662</v>
          </cell>
          <cell r="AG2415">
            <v>49040</v>
          </cell>
          <cell r="AH2415">
            <v>46476</v>
          </cell>
          <cell r="AI2415">
            <v>35770</v>
          </cell>
          <cell r="AJ2415">
            <v>37809</v>
          </cell>
        </row>
        <row r="2416">
          <cell r="E2416" t="str">
            <v>MA Electric Power Petroleum Coke</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row>
        <row r="2417">
          <cell r="E2417" t="str">
            <v>MD Electric Power Petroleum Coke</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row>
        <row r="2418">
          <cell r="E2418" t="str">
            <v>ME Electric Power Petroleum Coke</v>
          </cell>
          <cell r="F2418">
            <v>0</v>
          </cell>
          <cell r="G2418">
            <v>0</v>
          </cell>
          <cell r="H2418">
            <v>0</v>
          </cell>
          <cell r="I2418">
            <v>0</v>
          </cell>
          <cell r="J2418">
            <v>211</v>
          </cell>
          <cell r="K2418">
            <v>1476</v>
          </cell>
          <cell r="L2418">
            <v>1596</v>
          </cell>
          <cell r="M2418">
            <v>1506</v>
          </cell>
          <cell r="N2418">
            <v>1596</v>
          </cell>
          <cell r="O2418">
            <v>1552</v>
          </cell>
          <cell r="P2418">
            <v>837</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row>
        <row r="2419">
          <cell r="E2419" t="str">
            <v>MI Electric Power Petroleum Coke</v>
          </cell>
          <cell r="F2419">
            <v>0</v>
          </cell>
          <cell r="G2419">
            <v>0</v>
          </cell>
          <cell r="H2419">
            <v>0</v>
          </cell>
          <cell r="I2419">
            <v>0</v>
          </cell>
          <cell r="J2419">
            <v>0</v>
          </cell>
          <cell r="K2419">
            <v>0</v>
          </cell>
          <cell r="L2419">
            <v>21</v>
          </cell>
          <cell r="M2419">
            <v>0</v>
          </cell>
          <cell r="N2419">
            <v>620</v>
          </cell>
          <cell r="O2419">
            <v>390</v>
          </cell>
          <cell r="P2419">
            <v>51</v>
          </cell>
          <cell r="Q2419">
            <v>11</v>
          </cell>
          <cell r="R2419">
            <v>441</v>
          </cell>
          <cell r="S2419">
            <v>364</v>
          </cell>
          <cell r="T2419">
            <v>99</v>
          </cell>
          <cell r="U2419">
            <v>971</v>
          </cell>
          <cell r="V2419">
            <v>1247</v>
          </cell>
          <cell r="W2419">
            <v>1443</v>
          </cell>
          <cell r="X2419">
            <v>1351</v>
          </cell>
          <cell r="Y2419">
            <v>1341</v>
          </cell>
          <cell r="Z2419">
            <v>1261</v>
          </cell>
          <cell r="AA2419">
            <v>942</v>
          </cell>
          <cell r="AB2419">
            <v>1015</v>
          </cell>
          <cell r="AC2419">
            <v>3571</v>
          </cell>
          <cell r="AD2419">
            <v>10650</v>
          </cell>
          <cell r="AE2419">
            <v>8423</v>
          </cell>
          <cell r="AF2419">
            <v>8125</v>
          </cell>
          <cell r="AG2419">
            <v>13027</v>
          </cell>
          <cell r="AH2419">
            <v>14670</v>
          </cell>
          <cell r="AI2419">
            <v>10012</v>
          </cell>
          <cell r="AJ2419">
            <v>10361</v>
          </cell>
        </row>
        <row r="2420">
          <cell r="E2420" t="str">
            <v>MN Electric Power Petroleum Coke</v>
          </cell>
          <cell r="F2420">
            <v>4380</v>
          </cell>
          <cell r="G2420">
            <v>5796</v>
          </cell>
          <cell r="H2420">
            <v>6409</v>
          </cell>
          <cell r="I2420">
            <v>6487</v>
          </cell>
          <cell r="J2420">
            <v>5981</v>
          </cell>
          <cell r="K2420">
            <v>4639</v>
          </cell>
          <cell r="L2420">
            <v>6353</v>
          </cell>
          <cell r="M2420">
            <v>7477</v>
          </cell>
          <cell r="N2420">
            <v>6272</v>
          </cell>
          <cell r="O2420">
            <v>7597</v>
          </cell>
          <cell r="P2420">
            <v>6504</v>
          </cell>
          <cell r="Q2420">
            <v>5903</v>
          </cell>
          <cell r="R2420">
            <v>6351</v>
          </cell>
          <cell r="S2420">
            <v>7899</v>
          </cell>
          <cell r="T2420">
            <v>6891</v>
          </cell>
          <cell r="U2420">
            <v>6343</v>
          </cell>
          <cell r="V2420">
            <v>4332</v>
          </cell>
          <cell r="W2420">
            <v>1923</v>
          </cell>
          <cell r="X2420">
            <v>1583</v>
          </cell>
          <cell r="Y2420">
            <v>0</v>
          </cell>
          <cell r="Z2420">
            <v>0</v>
          </cell>
          <cell r="AA2420">
            <v>0</v>
          </cell>
          <cell r="AB2420">
            <v>0</v>
          </cell>
          <cell r="AC2420">
            <v>0</v>
          </cell>
          <cell r="AD2420">
            <v>0</v>
          </cell>
          <cell r="AE2420">
            <v>0</v>
          </cell>
          <cell r="AF2420">
            <v>0</v>
          </cell>
          <cell r="AG2420">
            <v>0</v>
          </cell>
          <cell r="AH2420">
            <v>0</v>
          </cell>
          <cell r="AI2420">
            <v>0</v>
          </cell>
          <cell r="AJ2420">
            <v>0</v>
          </cell>
        </row>
        <row r="2421">
          <cell r="E2421" t="str">
            <v>MO Electric Power Petroleum Coke</v>
          </cell>
          <cell r="F2421">
            <v>0</v>
          </cell>
          <cell r="G2421">
            <v>0</v>
          </cell>
          <cell r="H2421">
            <v>0</v>
          </cell>
          <cell r="I2421">
            <v>5511</v>
          </cell>
          <cell r="J2421">
            <v>7251</v>
          </cell>
          <cell r="K2421">
            <v>6713</v>
          </cell>
          <cell r="L2421">
            <v>0</v>
          </cell>
          <cell r="M2421">
            <v>0</v>
          </cell>
          <cell r="N2421">
            <v>0</v>
          </cell>
          <cell r="O2421">
            <v>0</v>
          </cell>
          <cell r="P2421">
            <v>0</v>
          </cell>
          <cell r="Q2421">
            <v>5538</v>
          </cell>
          <cell r="R2421">
            <v>4615</v>
          </cell>
          <cell r="S2421">
            <v>538</v>
          </cell>
          <cell r="T2421">
            <v>1263</v>
          </cell>
          <cell r="U2421">
            <v>646</v>
          </cell>
          <cell r="V2421">
            <v>0</v>
          </cell>
          <cell r="W2421">
            <v>0</v>
          </cell>
          <cell r="X2421">
            <v>16</v>
          </cell>
          <cell r="Y2421">
            <v>404</v>
          </cell>
          <cell r="Z2421">
            <v>107</v>
          </cell>
          <cell r="AA2421">
            <v>0</v>
          </cell>
          <cell r="AB2421">
            <v>0</v>
          </cell>
          <cell r="AC2421">
            <v>0</v>
          </cell>
          <cell r="AD2421">
            <v>0</v>
          </cell>
          <cell r="AE2421">
            <v>0</v>
          </cell>
          <cell r="AF2421">
            <v>0</v>
          </cell>
          <cell r="AG2421">
            <v>0</v>
          </cell>
          <cell r="AH2421">
            <v>0</v>
          </cell>
          <cell r="AI2421">
            <v>0</v>
          </cell>
          <cell r="AJ2421">
            <v>0</v>
          </cell>
        </row>
        <row r="2422">
          <cell r="E2422" t="str">
            <v>MS Electric Power Petroleum Coke</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row>
        <row r="2423">
          <cell r="E2423" t="str">
            <v>MT Electric Power Petroleum Coke</v>
          </cell>
          <cell r="F2423">
            <v>0</v>
          </cell>
          <cell r="G2423">
            <v>0</v>
          </cell>
          <cell r="H2423">
            <v>0</v>
          </cell>
          <cell r="I2423">
            <v>0</v>
          </cell>
          <cell r="J2423">
            <v>0</v>
          </cell>
          <cell r="K2423">
            <v>7358</v>
          </cell>
          <cell r="L2423">
            <v>6781</v>
          </cell>
          <cell r="M2423">
            <v>6958</v>
          </cell>
          <cell r="N2423">
            <v>7078</v>
          </cell>
          <cell r="O2423">
            <v>7992</v>
          </cell>
          <cell r="P2423">
            <v>8169</v>
          </cell>
          <cell r="Q2423">
            <v>8609</v>
          </cell>
          <cell r="R2423">
            <v>7498</v>
          </cell>
          <cell r="S2423">
            <v>7150</v>
          </cell>
          <cell r="T2423">
            <v>7629</v>
          </cell>
          <cell r="U2423">
            <v>7194</v>
          </cell>
          <cell r="V2423">
            <v>7312</v>
          </cell>
          <cell r="W2423">
            <v>7112</v>
          </cell>
          <cell r="X2423">
            <v>6657</v>
          </cell>
          <cell r="Y2423">
            <v>7710</v>
          </cell>
          <cell r="Z2423">
            <v>6506</v>
          </cell>
          <cell r="AA2423">
            <v>7548</v>
          </cell>
          <cell r="AB2423">
            <v>7687</v>
          </cell>
          <cell r="AC2423">
            <v>7566</v>
          </cell>
          <cell r="AD2423">
            <v>6907</v>
          </cell>
          <cell r="AE2423">
            <v>8337</v>
          </cell>
          <cell r="AF2423">
            <v>7809</v>
          </cell>
          <cell r="AG2423">
            <v>7925</v>
          </cell>
          <cell r="AH2423">
            <v>7067</v>
          </cell>
          <cell r="AI2423">
            <v>7309</v>
          </cell>
          <cell r="AJ2423">
            <v>7585</v>
          </cell>
        </row>
        <row r="2424">
          <cell r="E2424" t="str">
            <v>NC Electric Power Petroleum Coke</v>
          </cell>
          <cell r="F2424">
            <v>0</v>
          </cell>
          <cell r="G2424">
            <v>0</v>
          </cell>
          <cell r="H2424">
            <v>0</v>
          </cell>
          <cell r="I2424">
            <v>0</v>
          </cell>
          <cell r="J2424">
            <v>0</v>
          </cell>
          <cell r="K2424">
            <v>0</v>
          </cell>
          <cell r="L2424">
            <v>0</v>
          </cell>
          <cell r="M2424">
            <v>36</v>
          </cell>
          <cell r="N2424">
            <v>595</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row>
        <row r="2425">
          <cell r="E2425" t="str">
            <v>ND Electric Power Petroleum Coke</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row>
        <row r="2426">
          <cell r="E2426" t="str">
            <v>NE Electric Power Petroleum Coke</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row>
        <row r="2427">
          <cell r="E2427" t="str">
            <v>NH Electric Power Petroleum Coke</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row>
        <row r="2428">
          <cell r="E2428" t="str">
            <v>NJ Electric Power Petroleum Coke</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row>
        <row r="2429">
          <cell r="E2429" t="str">
            <v>NM Electric Power Petroleum Coke</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row>
        <row r="2430">
          <cell r="E2430" t="str">
            <v>NV Electric Power Petroleum Coke</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row>
        <row r="2431">
          <cell r="E2431" t="str">
            <v>NY Electric Power Petroleum Coke</v>
          </cell>
          <cell r="F2431">
            <v>0</v>
          </cell>
          <cell r="G2431">
            <v>0</v>
          </cell>
          <cell r="H2431">
            <v>0</v>
          </cell>
          <cell r="I2431">
            <v>0</v>
          </cell>
          <cell r="J2431">
            <v>0</v>
          </cell>
          <cell r="K2431">
            <v>0</v>
          </cell>
          <cell r="L2431">
            <v>137</v>
          </cell>
          <cell r="M2431">
            <v>0</v>
          </cell>
          <cell r="N2431">
            <v>1322</v>
          </cell>
          <cell r="O2431">
            <v>3882</v>
          </cell>
          <cell r="P2431">
            <v>1611</v>
          </cell>
          <cell r="Q2431">
            <v>231</v>
          </cell>
          <cell r="R2431">
            <v>1379</v>
          </cell>
          <cell r="S2431">
            <v>1169</v>
          </cell>
          <cell r="T2431">
            <v>2942</v>
          </cell>
          <cell r="U2431">
            <v>12903</v>
          </cell>
          <cell r="V2431">
            <v>4917</v>
          </cell>
          <cell r="W2431">
            <v>2837</v>
          </cell>
          <cell r="X2431">
            <v>2074</v>
          </cell>
          <cell r="Y2431">
            <v>1709</v>
          </cell>
          <cell r="Z2431">
            <v>5222</v>
          </cell>
          <cell r="AA2431">
            <v>2684</v>
          </cell>
          <cell r="AB2431">
            <v>0</v>
          </cell>
          <cell r="AC2431">
            <v>0</v>
          </cell>
          <cell r="AD2431">
            <v>0</v>
          </cell>
          <cell r="AE2431">
            <v>0</v>
          </cell>
          <cell r="AF2431">
            <v>0</v>
          </cell>
          <cell r="AG2431">
            <v>0</v>
          </cell>
          <cell r="AH2431">
            <v>0</v>
          </cell>
          <cell r="AI2431">
            <v>0</v>
          </cell>
          <cell r="AJ2431">
            <v>0</v>
          </cell>
        </row>
        <row r="2432">
          <cell r="E2432" t="str">
            <v>OH Electric Power Petroleum Coke</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10827</v>
          </cell>
          <cell r="U2432">
            <v>10557</v>
          </cell>
          <cell r="V2432">
            <v>10502</v>
          </cell>
          <cell r="W2432">
            <v>8580</v>
          </cell>
          <cell r="X2432">
            <v>10864</v>
          </cell>
          <cell r="Y2432">
            <v>10121</v>
          </cell>
          <cell r="Z2432">
            <v>11051</v>
          </cell>
          <cell r="AA2432">
            <v>11533</v>
          </cell>
          <cell r="AB2432">
            <v>13375</v>
          </cell>
          <cell r="AC2432">
            <v>14881</v>
          </cell>
          <cell r="AD2432">
            <v>11895</v>
          </cell>
          <cell r="AE2432">
            <v>13497</v>
          </cell>
          <cell r="AF2432">
            <v>12293</v>
          </cell>
          <cell r="AG2432">
            <v>10872</v>
          </cell>
          <cell r="AH2432">
            <v>15719</v>
          </cell>
          <cell r="AI2432">
            <v>9028</v>
          </cell>
          <cell r="AJ2432">
            <v>14763</v>
          </cell>
        </row>
        <row r="2433">
          <cell r="E2433" t="str">
            <v>OK Electric Power Petroleum Coke</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row>
        <row r="2434">
          <cell r="E2434" t="str">
            <v>OR Electric Power Petroleum Coke</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row>
        <row r="2435">
          <cell r="E2435" t="str">
            <v>PA Electric Power Petroleum Coke</v>
          </cell>
          <cell r="F2435">
            <v>6052</v>
          </cell>
          <cell r="G2435">
            <v>5941</v>
          </cell>
          <cell r="H2435">
            <v>6156</v>
          </cell>
          <cell r="I2435">
            <v>5615</v>
          </cell>
          <cell r="J2435">
            <v>6642</v>
          </cell>
          <cell r="K2435">
            <v>7893</v>
          </cell>
          <cell r="L2435">
            <v>8209</v>
          </cell>
          <cell r="M2435">
            <v>7940</v>
          </cell>
          <cell r="N2435">
            <v>7995</v>
          </cell>
          <cell r="O2435">
            <v>4332</v>
          </cell>
          <cell r="P2435">
            <v>154</v>
          </cell>
          <cell r="Q2435">
            <v>139</v>
          </cell>
          <cell r="R2435">
            <v>3686</v>
          </cell>
          <cell r="S2435">
            <v>5084</v>
          </cell>
          <cell r="T2435">
            <v>6012</v>
          </cell>
          <cell r="U2435">
            <v>3053</v>
          </cell>
          <cell r="V2435">
            <v>1023</v>
          </cell>
          <cell r="W2435">
            <v>0</v>
          </cell>
          <cell r="X2435">
            <v>781</v>
          </cell>
          <cell r="Y2435">
            <v>803</v>
          </cell>
          <cell r="Z2435">
            <v>0</v>
          </cell>
          <cell r="AA2435">
            <v>0</v>
          </cell>
          <cell r="AB2435">
            <v>0</v>
          </cell>
          <cell r="AC2435">
            <v>0</v>
          </cell>
          <cell r="AD2435">
            <v>0</v>
          </cell>
          <cell r="AE2435">
            <v>0</v>
          </cell>
          <cell r="AF2435">
            <v>8</v>
          </cell>
          <cell r="AG2435">
            <v>0</v>
          </cell>
          <cell r="AH2435">
            <v>0</v>
          </cell>
          <cell r="AI2435">
            <v>0</v>
          </cell>
          <cell r="AJ2435">
            <v>0</v>
          </cell>
        </row>
        <row r="2436">
          <cell r="E2436" t="str">
            <v>RI Electric Power Petroleum Coke</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row>
        <row r="2437">
          <cell r="E2437" t="str">
            <v>SC Electric Power Petroleum Coke</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479</v>
          </cell>
          <cell r="T2437">
            <v>4599</v>
          </cell>
          <cell r="U2437">
            <v>2531</v>
          </cell>
          <cell r="V2437">
            <v>139</v>
          </cell>
          <cell r="W2437">
            <v>0</v>
          </cell>
          <cell r="X2437">
            <v>529</v>
          </cell>
          <cell r="Y2437">
            <v>3600</v>
          </cell>
          <cell r="Z2437">
            <v>255</v>
          </cell>
          <cell r="AA2437">
            <v>0</v>
          </cell>
          <cell r="AB2437">
            <v>0</v>
          </cell>
          <cell r="AC2437">
            <v>0</v>
          </cell>
          <cell r="AD2437">
            <v>0</v>
          </cell>
          <cell r="AE2437">
            <v>0</v>
          </cell>
          <cell r="AF2437">
            <v>0</v>
          </cell>
          <cell r="AG2437">
            <v>0</v>
          </cell>
          <cell r="AH2437">
            <v>0</v>
          </cell>
          <cell r="AI2437">
            <v>0</v>
          </cell>
          <cell r="AJ2437">
            <v>0</v>
          </cell>
        </row>
        <row r="2438">
          <cell r="E2438" t="str">
            <v>SD Electric Power Petroleum Coke</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row>
        <row r="2439">
          <cell r="E2439" t="str">
            <v>TN Electric Power Petroleum Coke</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row>
        <row r="2440">
          <cell r="E2440" t="str">
            <v>TX Electric Power Petroleum Coke</v>
          </cell>
          <cell r="F2440">
            <v>0</v>
          </cell>
          <cell r="G2440">
            <v>0</v>
          </cell>
          <cell r="H2440">
            <v>0</v>
          </cell>
          <cell r="I2440">
            <v>17292</v>
          </cell>
          <cell r="J2440">
            <v>14126</v>
          </cell>
          <cell r="K2440">
            <v>14816</v>
          </cell>
          <cell r="L2440">
            <v>15284</v>
          </cell>
          <cell r="M2440">
            <v>14891</v>
          </cell>
          <cell r="N2440">
            <v>15186</v>
          </cell>
          <cell r="O2440">
            <v>14657</v>
          </cell>
          <cell r="P2440">
            <v>17087</v>
          </cell>
          <cell r="Q2440">
            <v>12356</v>
          </cell>
          <cell r="R2440">
            <v>17465</v>
          </cell>
          <cell r="S2440">
            <v>7617</v>
          </cell>
          <cell r="T2440">
            <v>15029</v>
          </cell>
          <cell r="U2440">
            <v>15587</v>
          </cell>
          <cell r="V2440">
            <v>16734</v>
          </cell>
          <cell r="W2440">
            <v>11826</v>
          </cell>
          <cell r="X2440">
            <v>10548</v>
          </cell>
          <cell r="Y2440">
            <v>14582</v>
          </cell>
          <cell r="Z2440">
            <v>5398</v>
          </cell>
          <cell r="AA2440">
            <v>6426</v>
          </cell>
          <cell r="AB2440">
            <v>719</v>
          </cell>
          <cell r="AC2440">
            <v>1331</v>
          </cell>
          <cell r="AD2440">
            <v>0</v>
          </cell>
          <cell r="AE2440">
            <v>0</v>
          </cell>
          <cell r="AF2440">
            <v>0</v>
          </cell>
          <cell r="AG2440">
            <v>0</v>
          </cell>
          <cell r="AH2440">
            <v>0</v>
          </cell>
          <cell r="AI2440">
            <v>0</v>
          </cell>
          <cell r="AJ2440">
            <v>0</v>
          </cell>
        </row>
        <row r="2441">
          <cell r="E2441" t="str">
            <v>US Electric Power Petroleum Coke</v>
          </cell>
          <cell r="F2441">
            <v>30367</v>
          </cell>
          <cell r="G2441">
            <v>29329</v>
          </cell>
          <cell r="H2441">
            <v>45006</v>
          </cell>
          <cell r="I2441">
            <v>78648</v>
          </cell>
          <cell r="J2441">
            <v>69717</v>
          </cell>
          <cell r="K2441">
            <v>80556</v>
          </cell>
          <cell r="L2441">
            <v>79571</v>
          </cell>
          <cell r="M2441">
            <v>101558</v>
          </cell>
          <cell r="N2441">
            <v>123554</v>
          </cell>
          <cell r="O2441">
            <v>112491</v>
          </cell>
          <cell r="P2441">
            <v>98641</v>
          </cell>
          <cell r="Q2441">
            <v>103226</v>
          </cell>
          <cell r="R2441">
            <v>175176</v>
          </cell>
          <cell r="S2441">
            <v>174667</v>
          </cell>
          <cell r="T2441">
            <v>210811</v>
          </cell>
          <cell r="U2441">
            <v>231132</v>
          </cell>
          <cell r="V2441">
            <v>203043</v>
          </cell>
          <cell r="W2441">
            <v>162557</v>
          </cell>
          <cell r="X2441">
            <v>146391</v>
          </cell>
          <cell r="Y2441">
            <v>131842</v>
          </cell>
          <cell r="Z2441">
            <v>136595</v>
          </cell>
          <cell r="AA2441">
            <v>138320</v>
          </cell>
          <cell r="AB2441">
            <v>85054</v>
          </cell>
          <cell r="AC2441">
            <v>122518</v>
          </cell>
          <cell r="AD2441">
            <v>118155</v>
          </cell>
          <cell r="AE2441">
            <v>111716</v>
          </cell>
          <cell r="AF2441">
            <v>118317</v>
          </cell>
          <cell r="AG2441">
            <v>97208</v>
          </cell>
          <cell r="AH2441">
            <v>101482</v>
          </cell>
          <cell r="AI2441">
            <v>75913</v>
          </cell>
          <cell r="AJ2441">
            <v>87427</v>
          </cell>
        </row>
        <row r="2442">
          <cell r="E2442" t="str">
            <v>UT Electric Power Petroleum Coke</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row>
        <row r="2443">
          <cell r="E2443" t="str">
            <v>VA Electric Power Petroleum Coke</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row>
        <row r="2444">
          <cell r="E2444" t="str">
            <v>VT Electric Power Petroleum Coke</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row>
        <row r="2445">
          <cell r="E2445" t="str">
            <v>WA Electric Power Petroleum Coke</v>
          </cell>
          <cell r="F2445">
            <v>0</v>
          </cell>
          <cell r="G2445">
            <v>0</v>
          </cell>
          <cell r="H2445">
            <v>0</v>
          </cell>
          <cell r="I2445">
            <v>0</v>
          </cell>
          <cell r="J2445">
            <v>0</v>
          </cell>
          <cell r="K2445">
            <v>0</v>
          </cell>
          <cell r="L2445">
            <v>0</v>
          </cell>
          <cell r="M2445">
            <v>0</v>
          </cell>
          <cell r="N2445">
            <v>0</v>
          </cell>
          <cell r="O2445">
            <v>0</v>
          </cell>
          <cell r="P2445">
            <v>2</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row>
        <row r="2446">
          <cell r="E2446" t="str">
            <v>WI Electric Power Petroleum Coke</v>
          </cell>
          <cell r="F2446">
            <v>0</v>
          </cell>
          <cell r="G2446">
            <v>0</v>
          </cell>
          <cell r="H2446">
            <v>256</v>
          </cell>
          <cell r="I2446">
            <v>663</v>
          </cell>
          <cell r="J2446">
            <v>969</v>
          </cell>
          <cell r="K2446">
            <v>866</v>
          </cell>
          <cell r="L2446">
            <v>798</v>
          </cell>
          <cell r="M2446">
            <v>1072</v>
          </cell>
          <cell r="N2446">
            <v>1093</v>
          </cell>
          <cell r="O2446">
            <v>1211</v>
          </cell>
          <cell r="P2446">
            <v>1159</v>
          </cell>
          <cell r="Q2446">
            <v>1194</v>
          </cell>
          <cell r="R2446">
            <v>1389</v>
          </cell>
          <cell r="S2446">
            <v>1709</v>
          </cell>
          <cell r="T2446">
            <v>4896</v>
          </cell>
          <cell r="U2446">
            <v>4826</v>
          </cell>
          <cell r="V2446">
            <v>7281</v>
          </cell>
          <cell r="W2446">
            <v>7780</v>
          </cell>
          <cell r="X2446">
            <v>7429</v>
          </cell>
          <cell r="Y2446">
            <v>5561</v>
          </cell>
          <cell r="Z2446">
            <v>5681</v>
          </cell>
          <cell r="AA2446">
            <v>4342</v>
          </cell>
          <cell r="AB2446">
            <v>900</v>
          </cell>
          <cell r="AC2446">
            <v>885</v>
          </cell>
          <cell r="AD2446">
            <v>1282</v>
          </cell>
          <cell r="AE2446">
            <v>1043</v>
          </cell>
          <cell r="AF2446">
            <v>1215</v>
          </cell>
          <cell r="AG2446">
            <v>1674</v>
          </cell>
          <cell r="AH2446">
            <v>1578</v>
          </cell>
          <cell r="AI2446">
            <v>1411</v>
          </cell>
          <cell r="AJ2446">
            <v>1343</v>
          </cell>
        </row>
        <row r="2447">
          <cell r="E2447" t="str">
            <v>WV Electric Power Petroleum Coke</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row>
        <row r="2448">
          <cell r="E2448" t="str">
            <v>WY Electric Power Petroleum Coke</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row>
        <row r="2449">
          <cell r="E2449" t="str">
            <v>AK Industrial Petroleum Coke</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row>
        <row r="2450">
          <cell r="E2450" t="str">
            <v>AL Industrial Petroleum Coke</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row>
        <row r="2451">
          <cell r="E2451" t="str">
            <v>AR Industrial Petroleum Coke</v>
          </cell>
          <cell r="F2451">
            <v>1517</v>
          </cell>
          <cell r="G2451">
            <v>1449</v>
          </cell>
          <cell r="H2451">
            <v>1589</v>
          </cell>
          <cell r="I2451">
            <v>1723</v>
          </cell>
          <cell r="J2451">
            <v>1609</v>
          </cell>
          <cell r="K2451">
            <v>1576</v>
          </cell>
          <cell r="L2451">
            <v>1644</v>
          </cell>
          <cell r="M2451">
            <v>1645</v>
          </cell>
          <cell r="N2451">
            <v>1611</v>
          </cell>
          <cell r="O2451">
            <v>1605</v>
          </cell>
          <cell r="P2451">
            <v>1673</v>
          </cell>
          <cell r="Q2451">
            <v>1647</v>
          </cell>
          <cell r="R2451">
            <v>1630</v>
          </cell>
          <cell r="S2451">
            <v>1634</v>
          </cell>
          <cell r="T2451">
            <v>1732</v>
          </cell>
          <cell r="U2451">
            <v>1833</v>
          </cell>
          <cell r="V2451">
            <v>1867</v>
          </cell>
          <cell r="W2451">
            <v>1688</v>
          </cell>
          <cell r="X2451">
            <v>1550</v>
          </cell>
          <cell r="Y2451">
            <v>1701</v>
          </cell>
          <cell r="Z2451">
            <v>1808</v>
          </cell>
          <cell r="AA2451">
            <v>1762</v>
          </cell>
          <cell r="AB2451">
            <v>1775</v>
          </cell>
          <cell r="AC2451">
            <v>1622</v>
          </cell>
          <cell r="AD2451">
            <v>1509</v>
          </cell>
          <cell r="AE2451">
            <v>1540</v>
          </cell>
          <cell r="AF2451">
            <v>1584</v>
          </cell>
          <cell r="AG2451">
            <v>1433</v>
          </cell>
          <cell r="AH2451">
            <v>1345</v>
          </cell>
          <cell r="AI2451">
            <v>1358</v>
          </cell>
          <cell r="AJ2451">
            <v>1471</v>
          </cell>
        </row>
        <row r="2452">
          <cell r="E2452" t="str">
            <v>AZ Industrial Petroleum Coke</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row>
        <row r="2453">
          <cell r="E2453" t="str">
            <v>CA Industrial Petroleum Coke</v>
          </cell>
          <cell r="F2453">
            <v>74601</v>
          </cell>
          <cell r="G2453">
            <v>77486</v>
          </cell>
          <cell r="H2453">
            <v>78431</v>
          </cell>
          <cell r="I2453">
            <v>73671</v>
          </cell>
          <cell r="J2453">
            <v>84213</v>
          </cell>
          <cell r="K2453">
            <v>87077</v>
          </cell>
          <cell r="L2453">
            <v>96548</v>
          </cell>
          <cell r="M2453">
            <v>94662</v>
          </cell>
          <cell r="N2453">
            <v>90638</v>
          </cell>
          <cell r="O2453">
            <v>92359</v>
          </cell>
          <cell r="P2453">
            <v>79107</v>
          </cell>
          <cell r="Q2453">
            <v>81196</v>
          </cell>
          <cell r="R2453">
            <v>92524</v>
          </cell>
          <cell r="S2453">
            <v>78061</v>
          </cell>
          <cell r="T2453">
            <v>85926</v>
          </cell>
          <cell r="U2453">
            <v>86829</v>
          </cell>
          <cell r="V2453">
            <v>82754</v>
          </cell>
          <cell r="W2453">
            <v>80556</v>
          </cell>
          <cell r="X2453">
            <v>65810</v>
          </cell>
          <cell r="Y2453">
            <v>59833</v>
          </cell>
          <cell r="Z2453">
            <v>53436</v>
          </cell>
          <cell r="AA2453">
            <v>60066</v>
          </cell>
          <cell r="AB2453">
            <v>63918</v>
          </cell>
          <cell r="AC2453">
            <v>62795</v>
          </cell>
          <cell r="AD2453">
            <v>63027</v>
          </cell>
          <cell r="AE2453">
            <v>52075</v>
          </cell>
          <cell r="AF2453">
            <v>62562</v>
          </cell>
          <cell r="AG2453">
            <v>62637</v>
          </cell>
          <cell r="AH2453">
            <v>68245</v>
          </cell>
          <cell r="AI2453">
            <v>62543</v>
          </cell>
          <cell r="AJ2453">
            <v>51924</v>
          </cell>
        </row>
        <row r="2454">
          <cell r="E2454" t="str">
            <v>CO Industrial Petroleum Coke</v>
          </cell>
          <cell r="F2454">
            <v>1792</v>
          </cell>
          <cell r="G2454">
            <v>1948</v>
          </cell>
          <cell r="H2454">
            <v>1810</v>
          </cell>
          <cell r="I2454">
            <v>1885</v>
          </cell>
          <cell r="J2454">
            <v>2036</v>
          </cell>
          <cell r="K2454">
            <v>1986</v>
          </cell>
          <cell r="L2454">
            <v>2053</v>
          </cell>
          <cell r="M2454">
            <v>2079</v>
          </cell>
          <cell r="N2454">
            <v>2389</v>
          </cell>
          <cell r="O2454">
            <v>2580</v>
          </cell>
          <cell r="P2454">
            <v>2423</v>
          </cell>
          <cell r="Q2454">
            <v>2615</v>
          </cell>
          <cell r="R2454">
            <v>2513</v>
          </cell>
          <cell r="S2454">
            <v>2312</v>
          </cell>
          <cell r="T2454">
            <v>2654</v>
          </cell>
          <cell r="U2454">
            <v>2662</v>
          </cell>
          <cell r="V2454">
            <v>2664</v>
          </cell>
          <cell r="W2454">
            <v>2871</v>
          </cell>
          <cell r="X2454">
            <v>2674</v>
          </cell>
          <cell r="Y2454">
            <v>3119</v>
          </cell>
          <cell r="Z2454">
            <v>3138</v>
          </cell>
          <cell r="AA2454">
            <v>3250</v>
          </cell>
          <cell r="AB2454">
            <v>3156</v>
          </cell>
          <cell r="AC2454">
            <v>3571</v>
          </cell>
          <cell r="AD2454">
            <v>3351</v>
          </cell>
          <cell r="AE2454">
            <v>3288</v>
          </cell>
          <cell r="AF2454">
            <v>3043</v>
          </cell>
          <cell r="AG2454">
            <v>3263</v>
          </cell>
          <cell r="AH2454">
            <v>3263</v>
          </cell>
          <cell r="AI2454">
            <v>3125</v>
          </cell>
          <cell r="AJ2454">
            <v>3087</v>
          </cell>
        </row>
        <row r="2455">
          <cell r="E2455" t="str">
            <v>CT Industrial Petroleum Coke</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row>
        <row r="2456">
          <cell r="E2456" t="str">
            <v>DC Industrial Petroleum Coke</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row>
        <row r="2457">
          <cell r="E2457" t="str">
            <v>DE Industrial Petroleum Coke</v>
          </cell>
          <cell r="F2457">
            <v>16634</v>
          </cell>
          <cell r="G2457">
            <v>7248</v>
          </cell>
          <cell r="H2457">
            <v>18034</v>
          </cell>
          <cell r="I2457">
            <v>17540</v>
          </cell>
          <cell r="J2457">
            <v>17732</v>
          </cell>
          <cell r="K2457">
            <v>17352</v>
          </cell>
          <cell r="L2457">
            <v>17911</v>
          </cell>
          <cell r="M2457">
            <v>18164</v>
          </cell>
          <cell r="N2457">
            <v>16409</v>
          </cell>
          <cell r="O2457">
            <v>16719</v>
          </cell>
          <cell r="P2457">
            <v>10254</v>
          </cell>
          <cell r="Q2457">
            <v>9056</v>
          </cell>
          <cell r="R2457">
            <v>9706</v>
          </cell>
          <cell r="S2457">
            <v>10924</v>
          </cell>
          <cell r="T2457">
            <v>8866</v>
          </cell>
          <cell r="U2457">
            <v>9385</v>
          </cell>
          <cell r="V2457">
            <v>8049</v>
          </cell>
          <cell r="W2457">
            <v>8508</v>
          </cell>
          <cell r="X2457">
            <v>8580</v>
          </cell>
          <cell r="Y2457">
            <v>0</v>
          </cell>
          <cell r="Z2457">
            <v>7021</v>
          </cell>
          <cell r="AA2457">
            <v>10145</v>
          </cell>
          <cell r="AB2457">
            <v>8488</v>
          </cell>
          <cell r="AC2457">
            <v>7978</v>
          </cell>
          <cell r="AD2457">
            <v>8645</v>
          </cell>
          <cell r="AE2457">
            <v>8840</v>
          </cell>
          <cell r="AF2457">
            <v>8909</v>
          </cell>
          <cell r="AG2457">
            <v>8921</v>
          </cell>
          <cell r="AH2457">
            <v>8299</v>
          </cell>
          <cell r="AI2457">
            <v>8506</v>
          </cell>
          <cell r="AJ2457">
            <v>8494</v>
          </cell>
        </row>
        <row r="2458">
          <cell r="E2458" t="str">
            <v>FL Industrial Petroleum Coke</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row>
        <row r="2459">
          <cell r="E2459" t="str">
            <v>GA Industrial Petroleum Coke</v>
          </cell>
          <cell r="F2459">
            <v>1211</v>
          </cell>
          <cell r="G2459">
            <v>2145</v>
          </cell>
          <cell r="H2459">
            <v>4962</v>
          </cell>
          <cell r="I2459">
            <v>6274</v>
          </cell>
          <cell r="J2459">
            <v>5792</v>
          </cell>
          <cell r="K2459">
            <v>6346</v>
          </cell>
          <cell r="L2459">
            <v>7545</v>
          </cell>
          <cell r="M2459">
            <v>8494</v>
          </cell>
          <cell r="N2459">
            <v>8855</v>
          </cell>
          <cell r="O2459">
            <v>8801</v>
          </cell>
          <cell r="P2459">
            <v>8298</v>
          </cell>
          <cell r="Q2459">
            <v>7351</v>
          </cell>
          <cell r="R2459">
            <v>9597</v>
          </cell>
          <cell r="S2459">
            <v>8964</v>
          </cell>
          <cell r="T2459">
            <v>8936</v>
          </cell>
          <cell r="U2459">
            <v>8982</v>
          </cell>
          <cell r="V2459">
            <v>9170</v>
          </cell>
          <cell r="W2459">
            <v>9143</v>
          </cell>
          <cell r="X2459">
            <v>8233</v>
          </cell>
          <cell r="Y2459">
            <v>7900</v>
          </cell>
          <cell r="Z2459">
            <v>8279</v>
          </cell>
          <cell r="AA2459">
            <v>7566</v>
          </cell>
          <cell r="AB2459">
            <v>5801</v>
          </cell>
          <cell r="AC2459">
            <v>4488</v>
          </cell>
          <cell r="AD2459">
            <v>3933</v>
          </cell>
          <cell r="AE2459">
            <v>3536</v>
          </cell>
          <cell r="AF2459">
            <v>3385</v>
          </cell>
          <cell r="AG2459">
            <v>4213</v>
          </cell>
          <cell r="AH2459">
            <v>4179</v>
          </cell>
          <cell r="AI2459">
            <v>4269</v>
          </cell>
          <cell r="AJ2459">
            <v>4005</v>
          </cell>
        </row>
        <row r="2460">
          <cell r="E2460" t="str">
            <v>HI Industrial Petroleum Coke</v>
          </cell>
          <cell r="F2460">
            <v>2004</v>
          </cell>
          <cell r="G2460">
            <v>2293</v>
          </cell>
          <cell r="H2460">
            <v>2212</v>
          </cell>
          <cell r="I2460">
            <v>2071</v>
          </cell>
          <cell r="J2460">
            <v>2145</v>
          </cell>
          <cell r="K2460">
            <v>2220</v>
          </cell>
          <cell r="L2460">
            <v>2475</v>
          </cell>
          <cell r="M2460">
            <v>2350</v>
          </cell>
          <cell r="N2460">
            <v>2183</v>
          </cell>
          <cell r="O2460">
            <v>2115</v>
          </cell>
          <cell r="P2460">
            <v>2208</v>
          </cell>
          <cell r="Q2460">
            <v>2263</v>
          </cell>
          <cell r="R2460">
            <v>2240</v>
          </cell>
          <cell r="S2460">
            <v>2295</v>
          </cell>
          <cell r="T2460">
            <v>2439</v>
          </cell>
          <cell r="U2460">
            <v>2401</v>
          </cell>
          <cell r="V2460">
            <v>2270</v>
          </cell>
          <cell r="W2460">
            <v>2244</v>
          </cell>
          <cell r="X2460">
            <v>1884</v>
          </cell>
          <cell r="Y2460">
            <v>1805</v>
          </cell>
          <cell r="Z2460">
            <v>1612</v>
          </cell>
          <cell r="AA2460">
            <v>1811</v>
          </cell>
          <cell r="AB2460">
            <v>1927</v>
          </cell>
          <cell r="AC2460">
            <v>2156</v>
          </cell>
          <cell r="AD2460">
            <v>2094</v>
          </cell>
          <cell r="AE2460">
            <v>2150</v>
          </cell>
          <cell r="AF2460">
            <v>2150</v>
          </cell>
          <cell r="AG2460">
            <v>2131</v>
          </cell>
          <cell r="AH2460">
            <v>0</v>
          </cell>
          <cell r="AI2460">
            <v>0</v>
          </cell>
          <cell r="AJ2460">
            <v>0</v>
          </cell>
        </row>
        <row r="2461">
          <cell r="E2461" t="str">
            <v>IA Industrial Petroleum Coke</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3228</v>
          </cell>
          <cell r="AD2461">
            <v>3557</v>
          </cell>
          <cell r="AE2461">
            <v>1690</v>
          </cell>
          <cell r="AF2461">
            <v>1978</v>
          </cell>
          <cell r="AG2461">
            <v>1460</v>
          </cell>
          <cell r="AH2461">
            <v>1899</v>
          </cell>
          <cell r="AI2461">
            <v>2385</v>
          </cell>
          <cell r="AJ2461">
            <v>3349</v>
          </cell>
        </row>
        <row r="2462">
          <cell r="E2462" t="str">
            <v>ID Industrial Petroleum Coke</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row>
        <row r="2463">
          <cell r="E2463" t="str">
            <v>IL Industrial Petroleum Coke</v>
          </cell>
          <cell r="F2463">
            <v>31342</v>
          </cell>
          <cell r="G2463">
            <v>30271</v>
          </cell>
          <cell r="H2463">
            <v>32014</v>
          </cell>
          <cell r="I2463">
            <v>33440</v>
          </cell>
          <cell r="J2463">
            <v>32417</v>
          </cell>
          <cell r="K2463">
            <v>32197</v>
          </cell>
          <cell r="L2463">
            <v>30240</v>
          </cell>
          <cell r="M2463">
            <v>29628</v>
          </cell>
          <cell r="N2463">
            <v>33848</v>
          </cell>
          <cell r="O2463">
            <v>36036</v>
          </cell>
          <cell r="P2463">
            <v>34590</v>
          </cell>
          <cell r="Q2463">
            <v>28064</v>
          </cell>
          <cell r="R2463">
            <v>25930</v>
          </cell>
          <cell r="S2463">
            <v>25577</v>
          </cell>
          <cell r="T2463">
            <v>24948</v>
          </cell>
          <cell r="U2463">
            <v>27143</v>
          </cell>
          <cell r="V2463">
            <v>25396</v>
          </cell>
          <cell r="W2463">
            <v>24106</v>
          </cell>
          <cell r="X2463">
            <v>23156</v>
          </cell>
          <cell r="Y2463">
            <v>24032</v>
          </cell>
          <cell r="Z2463">
            <v>25322</v>
          </cell>
          <cell r="AA2463">
            <v>25988</v>
          </cell>
          <cell r="AB2463">
            <v>27360</v>
          </cell>
          <cell r="AC2463">
            <v>30743</v>
          </cell>
          <cell r="AD2463">
            <v>32328</v>
          </cell>
          <cell r="AE2463">
            <v>29266</v>
          </cell>
          <cell r="AF2463">
            <v>32780</v>
          </cell>
          <cell r="AG2463">
            <v>30750</v>
          </cell>
          <cell r="AH2463">
            <v>30951</v>
          </cell>
          <cell r="AI2463">
            <v>29700</v>
          </cell>
          <cell r="AJ2463">
            <v>26896</v>
          </cell>
        </row>
        <row r="2464">
          <cell r="E2464" t="str">
            <v>IN Industrial Petroleum Coke</v>
          </cell>
          <cell r="F2464">
            <v>24637</v>
          </cell>
          <cell r="G2464">
            <v>24005</v>
          </cell>
          <cell r="H2464">
            <v>29915</v>
          </cell>
          <cell r="I2464">
            <v>25488</v>
          </cell>
          <cell r="J2464">
            <v>27206</v>
          </cell>
          <cell r="K2464">
            <v>26401</v>
          </cell>
          <cell r="L2464">
            <v>27759</v>
          </cell>
          <cell r="M2464">
            <v>23485</v>
          </cell>
          <cell r="N2464">
            <v>33565</v>
          </cell>
          <cell r="O2464">
            <v>41650</v>
          </cell>
          <cell r="P2464">
            <v>31301</v>
          </cell>
          <cell r="Q2464">
            <v>42028</v>
          </cell>
          <cell r="R2464">
            <v>38961</v>
          </cell>
          <cell r="S2464">
            <v>37480</v>
          </cell>
          <cell r="T2464">
            <v>49876</v>
          </cell>
          <cell r="U2464">
            <v>48191</v>
          </cell>
          <cell r="V2464">
            <v>53391</v>
          </cell>
          <cell r="W2464">
            <v>48124</v>
          </cell>
          <cell r="X2464">
            <v>50088</v>
          </cell>
          <cell r="Y2464">
            <v>53246</v>
          </cell>
          <cell r="Z2464">
            <v>35559</v>
          </cell>
          <cell r="AA2464">
            <v>28813</v>
          </cell>
          <cell r="AB2464">
            <v>31269</v>
          </cell>
          <cell r="AC2464">
            <v>24551</v>
          </cell>
          <cell r="AD2464">
            <v>24606</v>
          </cell>
          <cell r="AE2464">
            <v>31979</v>
          </cell>
          <cell r="AF2464">
            <v>19696</v>
          </cell>
          <cell r="AG2464">
            <v>14649</v>
          </cell>
          <cell r="AH2464">
            <v>22289</v>
          </cell>
          <cell r="AI2464">
            <v>23730</v>
          </cell>
          <cell r="AJ2464">
            <v>20267</v>
          </cell>
        </row>
        <row r="2465">
          <cell r="E2465" t="str">
            <v>KS Industrial Petroleum Coke</v>
          </cell>
          <cell r="F2465">
            <v>10577</v>
          </cell>
          <cell r="G2465">
            <v>10127</v>
          </cell>
          <cell r="H2465">
            <v>10571</v>
          </cell>
          <cell r="I2465">
            <v>8796</v>
          </cell>
          <cell r="J2465">
            <v>8462</v>
          </cell>
          <cell r="K2465">
            <v>8404</v>
          </cell>
          <cell r="L2465">
            <v>7115</v>
          </cell>
          <cell r="M2465">
            <v>6971</v>
          </cell>
          <cell r="N2465">
            <v>7139</v>
          </cell>
          <cell r="O2465">
            <v>7866</v>
          </cell>
          <cell r="P2465">
            <v>7756</v>
          </cell>
          <cell r="Q2465">
            <v>7412</v>
          </cell>
          <cell r="R2465">
            <v>7455</v>
          </cell>
          <cell r="S2465">
            <v>7425</v>
          </cell>
          <cell r="T2465">
            <v>7252</v>
          </cell>
          <cell r="U2465">
            <v>8101</v>
          </cell>
          <cell r="V2465">
            <v>7890</v>
          </cell>
          <cell r="W2465">
            <v>7519</v>
          </cell>
          <cell r="X2465">
            <v>7239</v>
          </cell>
          <cell r="Y2465">
            <v>7470</v>
          </cell>
          <cell r="Z2465">
            <v>7991</v>
          </cell>
          <cell r="AA2465">
            <v>8151</v>
          </cell>
          <cell r="AB2465">
            <v>8581</v>
          </cell>
          <cell r="AC2465">
            <v>7243</v>
          </cell>
          <cell r="AD2465">
            <v>7387</v>
          </cell>
          <cell r="AE2465">
            <v>7815</v>
          </cell>
          <cell r="AF2465">
            <v>8085</v>
          </cell>
          <cell r="AG2465">
            <v>8022</v>
          </cell>
          <cell r="AH2465">
            <v>7871</v>
          </cell>
          <cell r="AI2465">
            <v>7450</v>
          </cell>
          <cell r="AJ2465">
            <v>5677</v>
          </cell>
        </row>
        <row r="2466">
          <cell r="E2466" t="str">
            <v>KY Industrial Petroleum Coke</v>
          </cell>
          <cell r="F2466">
            <v>23299</v>
          </cell>
          <cell r="G2466">
            <v>21282</v>
          </cell>
          <cell r="H2466">
            <v>28893</v>
          </cell>
          <cell r="I2466">
            <v>23373</v>
          </cell>
          <cell r="J2466">
            <v>22875</v>
          </cell>
          <cell r="K2466">
            <v>22033</v>
          </cell>
          <cell r="L2466">
            <v>22711</v>
          </cell>
          <cell r="M2466">
            <v>18160</v>
          </cell>
          <cell r="N2466">
            <v>31831</v>
          </cell>
          <cell r="O2466">
            <v>38280</v>
          </cell>
          <cell r="P2466">
            <v>31269</v>
          </cell>
          <cell r="Q2466">
            <v>56440</v>
          </cell>
          <cell r="R2466">
            <v>51146</v>
          </cell>
          <cell r="S2466">
            <v>48438</v>
          </cell>
          <cell r="T2466">
            <v>64308</v>
          </cell>
          <cell r="U2466">
            <v>60915</v>
          </cell>
          <cell r="V2466">
            <v>70204</v>
          </cell>
          <cell r="W2466">
            <v>62789</v>
          </cell>
          <cell r="X2466">
            <v>60619</v>
          </cell>
          <cell r="Y2466">
            <v>64774</v>
          </cell>
          <cell r="Z2466">
            <v>38558</v>
          </cell>
          <cell r="AA2466">
            <v>28351</v>
          </cell>
          <cell r="AB2466">
            <v>35631</v>
          </cell>
          <cell r="AC2466">
            <v>25468</v>
          </cell>
          <cell r="AD2466">
            <v>26596</v>
          </cell>
          <cell r="AE2466">
            <v>35672</v>
          </cell>
          <cell r="AF2466">
            <v>38443</v>
          </cell>
          <cell r="AG2466">
            <v>29222</v>
          </cell>
          <cell r="AH2466">
            <v>31578</v>
          </cell>
          <cell r="AI2466">
            <v>30677</v>
          </cell>
          <cell r="AJ2466">
            <v>21623</v>
          </cell>
        </row>
        <row r="2467">
          <cell r="E2467" t="str">
            <v>LA Industrial Petroleum Coke</v>
          </cell>
          <cell r="F2467">
            <v>69221</v>
          </cell>
          <cell r="G2467">
            <v>66269</v>
          </cell>
          <cell r="H2467">
            <v>72243</v>
          </cell>
          <cell r="I2467">
            <v>80161</v>
          </cell>
          <cell r="J2467">
            <v>76534</v>
          </cell>
          <cell r="K2467">
            <v>74962</v>
          </cell>
          <cell r="L2467">
            <v>81902</v>
          </cell>
          <cell r="M2467">
            <v>81925</v>
          </cell>
          <cell r="N2467">
            <v>84174</v>
          </cell>
          <cell r="O2467">
            <v>91575</v>
          </cell>
          <cell r="P2467">
            <v>93331</v>
          </cell>
          <cell r="Q2467">
            <v>92624</v>
          </cell>
          <cell r="R2467">
            <v>92839</v>
          </cell>
          <cell r="S2467">
            <v>93616</v>
          </cell>
          <cell r="T2467">
            <v>101939</v>
          </cell>
          <cell r="U2467">
            <v>96816</v>
          </cell>
          <cell r="V2467">
            <v>107631</v>
          </cell>
          <cell r="W2467">
            <v>103666</v>
          </cell>
          <cell r="X2467">
            <v>93883</v>
          </cell>
          <cell r="Y2467">
            <v>103061</v>
          </cell>
          <cell r="Z2467">
            <v>110417</v>
          </cell>
          <cell r="AA2467">
            <v>106366</v>
          </cell>
          <cell r="AB2467">
            <v>107286</v>
          </cell>
          <cell r="AC2467">
            <v>103493</v>
          </cell>
          <cell r="AD2467">
            <v>102171</v>
          </cell>
          <cell r="AE2467">
            <v>97391</v>
          </cell>
          <cell r="AF2467">
            <v>102183</v>
          </cell>
          <cell r="AG2467">
            <v>99901</v>
          </cell>
          <cell r="AH2467">
            <v>98809</v>
          </cell>
          <cell r="AI2467">
            <v>92241</v>
          </cell>
          <cell r="AJ2467">
            <v>70333</v>
          </cell>
        </row>
        <row r="2468">
          <cell r="E2468" t="str">
            <v>MA Industrial Petroleum Coke</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row>
        <row r="2469">
          <cell r="E2469" t="str">
            <v>MD Industrial Petroleum Coke</v>
          </cell>
          <cell r="F2469">
            <v>7487</v>
          </cell>
          <cell r="G2469">
            <v>6547</v>
          </cell>
          <cell r="H2469">
            <v>9479</v>
          </cell>
          <cell r="I2469">
            <v>6843</v>
          </cell>
          <cell r="J2469">
            <v>8469</v>
          </cell>
          <cell r="K2469">
            <v>8012</v>
          </cell>
          <cell r="L2469">
            <v>8441</v>
          </cell>
          <cell r="M2469">
            <v>5878</v>
          </cell>
          <cell r="N2469">
            <v>12303</v>
          </cell>
          <cell r="O2469">
            <v>13692</v>
          </cell>
          <cell r="P2469">
            <v>9337</v>
          </cell>
          <cell r="Q2469">
            <v>19223</v>
          </cell>
          <cell r="R2469">
            <v>18810</v>
          </cell>
          <cell r="S2469">
            <v>17982</v>
          </cell>
          <cell r="T2469">
            <v>25135</v>
          </cell>
          <cell r="U2469">
            <v>20965</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row>
        <row r="2470">
          <cell r="E2470" t="str">
            <v>ME Industrial Petroleum Coke</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row>
        <row r="2471">
          <cell r="E2471" t="str">
            <v>MI Industrial Petroleum Coke</v>
          </cell>
          <cell r="F2471">
            <v>6985</v>
          </cell>
          <cell r="G2471">
            <v>6868</v>
          </cell>
          <cell r="H2471">
            <v>7164</v>
          </cell>
          <cell r="I2471">
            <v>7310</v>
          </cell>
          <cell r="J2471">
            <v>8652</v>
          </cell>
          <cell r="K2471">
            <v>9859</v>
          </cell>
          <cell r="L2471">
            <v>9917</v>
          </cell>
          <cell r="M2471">
            <v>9725</v>
          </cell>
          <cell r="N2471">
            <v>9953</v>
          </cell>
          <cell r="O2471">
            <v>8762</v>
          </cell>
          <cell r="P2471">
            <v>9037</v>
          </cell>
          <cell r="Q2471">
            <v>2457</v>
          </cell>
          <cell r="R2471">
            <v>2410</v>
          </cell>
          <cell r="S2471">
            <v>9063</v>
          </cell>
          <cell r="T2471">
            <v>8621</v>
          </cell>
          <cell r="U2471">
            <v>2539</v>
          </cell>
          <cell r="V2471">
            <v>2476</v>
          </cell>
          <cell r="W2471">
            <v>8280</v>
          </cell>
          <cell r="X2471">
            <v>5561</v>
          </cell>
          <cell r="Y2471">
            <v>6410</v>
          </cell>
          <cell r="Z2471">
            <v>7432</v>
          </cell>
          <cell r="AA2471">
            <v>7432</v>
          </cell>
          <cell r="AB2471">
            <v>8922</v>
          </cell>
          <cell r="AC2471">
            <v>9710</v>
          </cell>
          <cell r="AD2471">
            <v>11005</v>
          </cell>
          <cell r="AE2471">
            <v>10179</v>
          </cell>
          <cell r="AF2471">
            <v>11220</v>
          </cell>
          <cell r="AG2471">
            <v>11622</v>
          </cell>
          <cell r="AH2471">
            <v>9104</v>
          </cell>
          <cell r="AI2471">
            <v>11238</v>
          </cell>
          <cell r="AJ2471">
            <v>11530</v>
          </cell>
        </row>
        <row r="2472">
          <cell r="E2472" t="str">
            <v>MN Industrial Petroleum Coke</v>
          </cell>
          <cell r="F2472">
            <v>6690</v>
          </cell>
          <cell r="G2472">
            <v>6866</v>
          </cell>
          <cell r="H2472">
            <v>7337</v>
          </cell>
          <cell r="I2472">
            <v>7604</v>
          </cell>
          <cell r="J2472">
            <v>8229</v>
          </cell>
          <cell r="K2472">
            <v>8173</v>
          </cell>
          <cell r="L2472">
            <v>8853</v>
          </cell>
          <cell r="M2472">
            <v>8674</v>
          </cell>
          <cell r="N2472">
            <v>8893</v>
          </cell>
          <cell r="O2472">
            <v>9474</v>
          </cell>
          <cell r="P2472">
            <v>9427</v>
          </cell>
          <cell r="Q2472">
            <v>9091</v>
          </cell>
          <cell r="R2472">
            <v>9225</v>
          </cell>
          <cell r="S2472">
            <v>9312</v>
          </cell>
          <cell r="T2472">
            <v>8897</v>
          </cell>
          <cell r="U2472">
            <v>9493</v>
          </cell>
          <cell r="V2472">
            <v>9024</v>
          </cell>
          <cell r="W2472">
            <v>8690</v>
          </cell>
          <cell r="X2472">
            <v>8283</v>
          </cell>
          <cell r="Y2472">
            <v>8548</v>
          </cell>
          <cell r="Z2472">
            <v>9005</v>
          </cell>
          <cell r="AA2472">
            <v>9185</v>
          </cell>
          <cell r="AB2472">
            <v>9670</v>
          </cell>
          <cell r="AC2472">
            <v>9462</v>
          </cell>
          <cell r="AD2472">
            <v>8506</v>
          </cell>
          <cell r="AE2472">
            <v>8827</v>
          </cell>
          <cell r="AF2472">
            <v>9280</v>
          </cell>
          <cell r="AG2472">
            <v>9594</v>
          </cell>
          <cell r="AH2472">
            <v>9588</v>
          </cell>
          <cell r="AI2472">
            <v>9198</v>
          </cell>
          <cell r="AJ2472">
            <v>9569</v>
          </cell>
        </row>
        <row r="2473">
          <cell r="E2473" t="str">
            <v>MO Industrial Petroleum Coke</v>
          </cell>
          <cell r="F2473">
            <v>9008</v>
          </cell>
          <cell r="G2473">
            <v>7878</v>
          </cell>
          <cell r="H2473">
            <v>12014</v>
          </cell>
          <cell r="I2473">
            <v>8654</v>
          </cell>
          <cell r="J2473">
            <v>10465</v>
          </cell>
          <cell r="K2473">
            <v>9900</v>
          </cell>
          <cell r="L2473">
            <v>10430</v>
          </cell>
          <cell r="M2473">
            <v>7263</v>
          </cell>
          <cell r="N2473">
            <v>15555</v>
          </cell>
          <cell r="O2473">
            <v>19411</v>
          </cell>
          <cell r="P2473">
            <v>13237</v>
          </cell>
          <cell r="Q2473">
            <v>25586</v>
          </cell>
          <cell r="R2473">
            <v>22043</v>
          </cell>
          <cell r="S2473">
            <v>23054</v>
          </cell>
          <cell r="T2473">
            <v>32225</v>
          </cell>
          <cell r="U2473">
            <v>29864</v>
          </cell>
          <cell r="V2473">
            <v>35260</v>
          </cell>
          <cell r="W2473">
            <v>31210</v>
          </cell>
          <cell r="X2473">
            <v>30187</v>
          </cell>
          <cell r="Y2473">
            <v>21607</v>
          </cell>
          <cell r="Z2473">
            <v>20223</v>
          </cell>
          <cell r="AA2473">
            <v>13336</v>
          </cell>
          <cell r="AB2473">
            <v>15806</v>
          </cell>
          <cell r="AC2473">
            <v>9859</v>
          </cell>
          <cell r="AD2473">
            <v>10990</v>
          </cell>
          <cell r="AE2473">
            <v>15609</v>
          </cell>
          <cell r="AF2473">
            <v>2430</v>
          </cell>
          <cell r="AG2473">
            <v>0</v>
          </cell>
          <cell r="AH2473">
            <v>3796</v>
          </cell>
          <cell r="AI2473">
            <v>8136</v>
          </cell>
          <cell r="AJ2473">
            <v>4865</v>
          </cell>
        </row>
        <row r="2474">
          <cell r="E2474" t="str">
            <v>MS Industrial Petroleum Coke</v>
          </cell>
          <cell r="F2474">
            <v>6640</v>
          </cell>
          <cell r="G2474">
            <v>6488</v>
          </cell>
          <cell r="H2474">
            <v>7118</v>
          </cell>
          <cell r="I2474">
            <v>8210</v>
          </cell>
          <cell r="J2474">
            <v>5729</v>
          </cell>
          <cell r="K2474">
            <v>5610</v>
          </cell>
          <cell r="L2474">
            <v>5854</v>
          </cell>
          <cell r="M2474">
            <v>5855</v>
          </cell>
          <cell r="N2474">
            <v>5734</v>
          </cell>
          <cell r="O2474">
            <v>5712</v>
          </cell>
          <cell r="P2474">
            <v>5776</v>
          </cell>
          <cell r="Q2474">
            <v>5684</v>
          </cell>
          <cell r="R2474">
            <v>5569</v>
          </cell>
          <cell r="S2474">
            <v>5502</v>
          </cell>
          <cell r="T2474">
            <v>5830</v>
          </cell>
          <cell r="U2474">
            <v>5522</v>
          </cell>
          <cell r="V2474">
            <v>7249</v>
          </cell>
          <cell r="W2474">
            <v>7465</v>
          </cell>
          <cell r="X2474">
            <v>6854</v>
          </cell>
          <cell r="Y2474">
            <v>7128</v>
          </cell>
          <cell r="Z2474">
            <v>7578</v>
          </cell>
          <cell r="AA2474">
            <v>7385</v>
          </cell>
          <cell r="AB2474">
            <v>7439</v>
          </cell>
          <cell r="AC2474">
            <v>6784</v>
          </cell>
          <cell r="AD2474">
            <v>6331</v>
          </cell>
          <cell r="AE2474">
            <v>6450</v>
          </cell>
          <cell r="AF2474">
            <v>6639</v>
          </cell>
          <cell r="AG2474">
            <v>6017</v>
          </cell>
          <cell r="AH2474">
            <v>5627</v>
          </cell>
          <cell r="AI2474">
            <v>5677</v>
          </cell>
          <cell r="AJ2474">
            <v>6180</v>
          </cell>
        </row>
        <row r="2475">
          <cell r="E2475" t="str">
            <v>MT Industrial Petroleum Coke</v>
          </cell>
          <cell r="F2475">
            <v>11216</v>
          </cell>
          <cell r="G2475">
            <v>10551</v>
          </cell>
          <cell r="H2475">
            <v>13056</v>
          </cell>
          <cell r="I2475">
            <v>9505</v>
          </cell>
          <cell r="J2475">
            <v>10964</v>
          </cell>
          <cell r="K2475">
            <v>11315</v>
          </cell>
          <cell r="L2475">
            <v>12770</v>
          </cell>
          <cell r="M2475">
            <v>10353</v>
          </cell>
          <cell r="N2475">
            <v>16873</v>
          </cell>
          <cell r="O2475">
            <v>19953</v>
          </cell>
          <cell r="P2475">
            <v>13763</v>
          </cell>
          <cell r="Q2475">
            <v>4955</v>
          </cell>
          <cell r="R2475">
            <v>11345</v>
          </cell>
          <cell r="S2475">
            <v>9184</v>
          </cell>
          <cell r="T2475">
            <v>9630</v>
          </cell>
          <cell r="U2475">
            <v>9425</v>
          </cell>
          <cell r="V2475">
            <v>10193</v>
          </cell>
          <cell r="W2475">
            <v>16535</v>
          </cell>
          <cell r="X2475">
            <v>15793</v>
          </cell>
          <cell r="Y2475">
            <v>9009</v>
          </cell>
          <cell r="Z2475">
            <v>6276</v>
          </cell>
          <cell r="AA2475">
            <v>6498</v>
          </cell>
          <cell r="AB2475">
            <v>6311</v>
          </cell>
          <cell r="AC2475">
            <v>7142</v>
          </cell>
          <cell r="AD2475">
            <v>6815</v>
          </cell>
          <cell r="AE2475">
            <v>7079</v>
          </cell>
          <cell r="AF2475">
            <v>6557</v>
          </cell>
          <cell r="AG2475">
            <v>7023</v>
          </cell>
          <cell r="AH2475">
            <v>7048</v>
          </cell>
          <cell r="AI2475">
            <v>6903</v>
          </cell>
          <cell r="AJ2475">
            <v>6853</v>
          </cell>
        </row>
        <row r="2476">
          <cell r="E2476" t="str">
            <v>NC Industrial Petroleum Coke</v>
          </cell>
          <cell r="F2476">
            <v>4570</v>
          </cell>
          <cell r="G2476">
            <v>4404</v>
          </cell>
          <cell r="H2476">
            <v>6376</v>
          </cell>
          <cell r="I2476">
            <v>3703</v>
          </cell>
          <cell r="J2476">
            <v>2799</v>
          </cell>
          <cell r="K2476">
            <v>2648</v>
          </cell>
          <cell r="L2476">
            <v>2790</v>
          </cell>
          <cell r="M2476">
            <v>1942</v>
          </cell>
          <cell r="N2476">
            <v>4879</v>
          </cell>
          <cell r="O2476">
            <v>6033</v>
          </cell>
          <cell r="P2476">
            <v>4114</v>
          </cell>
          <cell r="Q2476">
            <v>8010</v>
          </cell>
          <cell r="R2476">
            <v>4702</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row>
        <row r="2477">
          <cell r="E2477" t="str">
            <v>ND Industrial Petroleum Coke</v>
          </cell>
          <cell r="F2477">
            <v>2357</v>
          </cell>
          <cell r="G2477">
            <v>2309</v>
          </cell>
          <cell r="H2477">
            <v>2468</v>
          </cell>
          <cell r="I2477">
            <v>2558</v>
          </cell>
          <cell r="J2477">
            <v>2460</v>
          </cell>
          <cell r="K2477">
            <v>2444</v>
          </cell>
          <cell r="L2477">
            <v>2449</v>
          </cell>
          <cell r="M2477">
            <v>2399</v>
          </cell>
          <cell r="N2477">
            <v>2415</v>
          </cell>
          <cell r="O2477">
            <v>2573</v>
          </cell>
          <cell r="P2477">
            <v>2537</v>
          </cell>
          <cell r="Q2477">
            <v>2424</v>
          </cell>
          <cell r="R2477">
            <v>2460</v>
          </cell>
          <cell r="S2477">
            <v>2450</v>
          </cell>
          <cell r="T2477">
            <v>2420</v>
          </cell>
          <cell r="U2477">
            <v>2582</v>
          </cell>
          <cell r="V2477">
            <v>2444</v>
          </cell>
          <cell r="W2477">
            <v>2312</v>
          </cell>
          <cell r="X2477">
            <v>2204</v>
          </cell>
          <cell r="Y2477">
            <v>2275</v>
          </cell>
          <cell r="Z2477">
            <v>2386</v>
          </cell>
          <cell r="AA2477">
            <v>2433</v>
          </cell>
          <cell r="AB2477">
            <v>2562</v>
          </cell>
          <cell r="AC2477">
            <v>2452</v>
          </cell>
          <cell r="AD2477">
            <v>2207</v>
          </cell>
          <cell r="AE2477">
            <v>2288</v>
          </cell>
          <cell r="AF2477">
            <v>2364</v>
          </cell>
          <cell r="AG2477">
            <v>2351</v>
          </cell>
          <cell r="AH2477">
            <v>2307</v>
          </cell>
          <cell r="AI2477">
            <v>2182</v>
          </cell>
          <cell r="AJ2477">
            <v>2270</v>
          </cell>
        </row>
        <row r="2478">
          <cell r="E2478" t="str">
            <v>NE Industrial Petroleum Coke</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row>
        <row r="2479">
          <cell r="E2479" t="str">
            <v>NH Industrial Petroleum Coke</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row>
        <row r="2480">
          <cell r="E2480" t="str">
            <v>NJ Industrial Petroleum Coke</v>
          </cell>
          <cell r="F2480">
            <v>29118</v>
          </cell>
          <cell r="G2480">
            <v>29898</v>
          </cell>
          <cell r="H2480">
            <v>32396</v>
          </cell>
          <cell r="I2480">
            <v>33786</v>
          </cell>
          <cell r="J2480">
            <v>31100</v>
          </cell>
          <cell r="K2480">
            <v>33760</v>
          </cell>
          <cell r="L2480">
            <v>35429</v>
          </cell>
          <cell r="M2480">
            <v>37452</v>
          </cell>
          <cell r="N2480">
            <v>33842</v>
          </cell>
          <cell r="O2480">
            <v>33867</v>
          </cell>
          <cell r="P2480">
            <v>31315</v>
          </cell>
          <cell r="Q2480">
            <v>31206</v>
          </cell>
          <cell r="R2480">
            <v>30770</v>
          </cell>
          <cell r="S2480">
            <v>32152</v>
          </cell>
          <cell r="T2480">
            <v>34752</v>
          </cell>
          <cell r="U2480">
            <v>34735</v>
          </cell>
          <cell r="V2480">
            <v>29792</v>
          </cell>
          <cell r="W2480">
            <v>31980</v>
          </cell>
          <cell r="X2480">
            <v>32623</v>
          </cell>
          <cell r="Y2480">
            <v>29503</v>
          </cell>
          <cell r="Z2480">
            <v>22451</v>
          </cell>
          <cell r="AA2480">
            <v>32029</v>
          </cell>
          <cell r="AB2480">
            <v>26952</v>
          </cell>
          <cell r="AC2480">
            <v>18715</v>
          </cell>
          <cell r="AD2480">
            <v>20226</v>
          </cell>
          <cell r="AE2480">
            <v>20744</v>
          </cell>
          <cell r="AF2480">
            <v>20886</v>
          </cell>
          <cell r="AG2480">
            <v>20960</v>
          </cell>
          <cell r="AH2480">
            <v>19623</v>
          </cell>
          <cell r="AI2480">
            <v>19988</v>
          </cell>
          <cell r="AJ2480">
            <v>14483</v>
          </cell>
        </row>
        <row r="2481">
          <cell r="E2481" t="str">
            <v>NM Industrial Petroleum Coke</v>
          </cell>
          <cell r="F2481">
            <v>2923</v>
          </cell>
          <cell r="G2481">
            <v>2792</v>
          </cell>
          <cell r="H2481">
            <v>3119</v>
          </cell>
          <cell r="I2481">
            <v>3518</v>
          </cell>
          <cell r="J2481">
            <v>3286</v>
          </cell>
          <cell r="K2481">
            <v>3217</v>
          </cell>
          <cell r="L2481">
            <v>3357</v>
          </cell>
          <cell r="M2481">
            <v>3358</v>
          </cell>
          <cell r="N2481">
            <v>3289</v>
          </cell>
          <cell r="O2481">
            <v>3276</v>
          </cell>
          <cell r="P2481">
            <v>3313</v>
          </cell>
          <cell r="Q2481">
            <v>3160</v>
          </cell>
          <cell r="R2481">
            <v>3096</v>
          </cell>
          <cell r="S2481">
            <v>3531</v>
          </cell>
          <cell r="T2481">
            <v>3742</v>
          </cell>
          <cell r="U2481">
            <v>3709</v>
          </cell>
          <cell r="V2481">
            <v>4078</v>
          </cell>
          <cell r="W2481">
            <v>3817</v>
          </cell>
          <cell r="X2481">
            <v>3505</v>
          </cell>
          <cell r="Y2481">
            <v>3645</v>
          </cell>
          <cell r="Z2481">
            <v>3875</v>
          </cell>
          <cell r="AA2481">
            <v>3777</v>
          </cell>
          <cell r="AB2481">
            <v>3255</v>
          </cell>
          <cell r="AC2481">
            <v>2967</v>
          </cell>
          <cell r="AD2481">
            <v>2773</v>
          </cell>
          <cell r="AE2481">
            <v>2823</v>
          </cell>
          <cell r="AF2481">
            <v>2905</v>
          </cell>
          <cell r="AG2481">
            <v>3131</v>
          </cell>
          <cell r="AH2481">
            <v>2697</v>
          </cell>
          <cell r="AI2481">
            <v>2716</v>
          </cell>
          <cell r="AJ2481">
            <v>2106</v>
          </cell>
        </row>
        <row r="2482">
          <cell r="E2482" t="str">
            <v>NV Industrial Petroleum Coke</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row>
        <row r="2483">
          <cell r="E2483" t="str">
            <v>NY Industrial Petroleum Coke</v>
          </cell>
          <cell r="F2483">
            <v>13574</v>
          </cell>
          <cell r="G2483">
            <v>12597</v>
          </cell>
          <cell r="H2483">
            <v>18238</v>
          </cell>
          <cell r="I2483">
            <v>9982</v>
          </cell>
          <cell r="J2483">
            <v>9657</v>
          </cell>
          <cell r="K2483">
            <v>9136</v>
          </cell>
          <cell r="L2483">
            <v>10828</v>
          </cell>
          <cell r="M2483">
            <v>7540</v>
          </cell>
          <cell r="N2483">
            <v>15782</v>
          </cell>
          <cell r="O2483">
            <v>21684</v>
          </cell>
          <cell r="P2483">
            <v>14787</v>
          </cell>
          <cell r="Q2483">
            <v>28367</v>
          </cell>
          <cell r="R2483">
            <v>24982</v>
          </cell>
          <cell r="S2483">
            <v>21163</v>
          </cell>
          <cell r="T2483">
            <v>26296</v>
          </cell>
          <cell r="U2483">
            <v>30461</v>
          </cell>
          <cell r="V2483">
            <v>32369</v>
          </cell>
          <cell r="W2483">
            <v>28651</v>
          </cell>
          <cell r="X2483">
            <v>30790</v>
          </cell>
          <cell r="Y2483">
            <v>25713</v>
          </cell>
          <cell r="Z2483">
            <v>9804</v>
          </cell>
          <cell r="AA2483">
            <v>11638</v>
          </cell>
          <cell r="AB2483">
            <v>15325</v>
          </cell>
          <cell r="AC2483">
            <v>8022</v>
          </cell>
          <cell r="AD2483">
            <v>5432</v>
          </cell>
          <cell r="AE2483">
            <v>8573</v>
          </cell>
          <cell r="AF2483">
            <v>12013</v>
          </cell>
          <cell r="AG2483">
            <v>8392</v>
          </cell>
          <cell r="AH2483">
            <v>9382</v>
          </cell>
          <cell r="AI2483">
            <v>8043</v>
          </cell>
          <cell r="AJ2483">
            <v>4809</v>
          </cell>
        </row>
        <row r="2484">
          <cell r="E2484" t="str">
            <v>OH Industrial Petroleum Coke</v>
          </cell>
          <cell r="F2484">
            <v>29917</v>
          </cell>
          <cell r="G2484">
            <v>29234</v>
          </cell>
          <cell r="H2484">
            <v>34697</v>
          </cell>
          <cell r="I2484">
            <v>31731</v>
          </cell>
          <cell r="J2484">
            <v>33032</v>
          </cell>
          <cell r="K2484">
            <v>32280</v>
          </cell>
          <cell r="L2484">
            <v>34806</v>
          </cell>
          <cell r="M2484">
            <v>30143</v>
          </cell>
          <cell r="N2484">
            <v>39323</v>
          </cell>
          <cell r="O2484">
            <v>43307</v>
          </cell>
          <cell r="P2484">
            <v>29560</v>
          </cell>
          <cell r="Q2484">
            <v>43659</v>
          </cell>
          <cell r="R2484">
            <v>40968</v>
          </cell>
          <cell r="S2484">
            <v>39916</v>
          </cell>
          <cell r="T2484">
            <v>32168</v>
          </cell>
          <cell r="U2484">
            <v>16793</v>
          </cell>
          <cell r="V2484">
            <v>22797</v>
          </cell>
          <cell r="W2484">
            <v>42616</v>
          </cell>
          <cell r="X2484">
            <v>53030</v>
          </cell>
          <cell r="Y2484">
            <v>50666</v>
          </cell>
          <cell r="Z2484">
            <v>36203</v>
          </cell>
          <cell r="AA2484">
            <v>34889</v>
          </cell>
          <cell r="AB2484">
            <v>36117</v>
          </cell>
          <cell r="AC2484">
            <v>28500</v>
          </cell>
          <cell r="AD2484">
            <v>21820</v>
          </cell>
          <cell r="AE2484">
            <v>23451</v>
          </cell>
          <cell r="AF2484">
            <v>24287</v>
          </cell>
          <cell r="AG2484">
            <v>24315</v>
          </cell>
          <cell r="AH2484">
            <v>23739</v>
          </cell>
          <cell r="AI2484">
            <v>22908</v>
          </cell>
          <cell r="AJ2484">
            <v>15917</v>
          </cell>
        </row>
        <row r="2485">
          <cell r="E2485" t="str">
            <v>OK Industrial Petroleum Coke</v>
          </cell>
          <cell r="F2485">
            <v>12265</v>
          </cell>
          <cell r="G2485">
            <v>12093</v>
          </cell>
          <cell r="H2485">
            <v>12922</v>
          </cell>
          <cell r="I2485">
            <v>13480</v>
          </cell>
          <cell r="J2485">
            <v>10057</v>
          </cell>
          <cell r="K2485">
            <v>9989</v>
          </cell>
          <cell r="L2485">
            <v>10135</v>
          </cell>
          <cell r="M2485">
            <v>9930</v>
          </cell>
          <cell r="N2485">
            <v>10611</v>
          </cell>
          <cell r="O2485">
            <v>11221</v>
          </cell>
          <cell r="P2485">
            <v>11526</v>
          </cell>
          <cell r="Q2485">
            <v>11089</v>
          </cell>
          <cell r="R2485">
            <v>11441</v>
          </cell>
          <cell r="S2485">
            <v>11758</v>
          </cell>
          <cell r="T2485">
            <v>11605</v>
          </cell>
          <cell r="U2485">
            <v>12535</v>
          </cell>
          <cell r="V2485">
            <v>11764</v>
          </cell>
          <cell r="W2485">
            <v>11131</v>
          </cell>
          <cell r="X2485">
            <v>10607</v>
          </cell>
          <cell r="Y2485">
            <v>10946</v>
          </cell>
          <cell r="Z2485">
            <v>11667</v>
          </cell>
          <cell r="AA2485">
            <v>11706</v>
          </cell>
          <cell r="AB2485">
            <v>12282</v>
          </cell>
          <cell r="AC2485">
            <v>11241</v>
          </cell>
          <cell r="AD2485">
            <v>9921</v>
          </cell>
          <cell r="AE2485">
            <v>10694</v>
          </cell>
          <cell r="AF2485">
            <v>10644</v>
          </cell>
          <cell r="AG2485">
            <v>10927</v>
          </cell>
          <cell r="AH2485">
            <v>11229</v>
          </cell>
          <cell r="AI2485">
            <v>11474</v>
          </cell>
          <cell r="AJ2485">
            <v>10581</v>
          </cell>
        </row>
        <row r="2486">
          <cell r="E2486" t="str">
            <v>OR Industrial Petroleum Coke</v>
          </cell>
          <cell r="F2486">
            <v>8944</v>
          </cell>
          <cell r="G2486">
            <v>7822</v>
          </cell>
          <cell r="H2486">
            <v>11325</v>
          </cell>
          <cell r="I2486">
            <v>3268</v>
          </cell>
          <cell r="J2486">
            <v>3952</v>
          </cell>
          <cell r="K2486">
            <v>3739</v>
          </cell>
          <cell r="L2486">
            <v>3939</v>
          </cell>
          <cell r="M2486">
            <v>2743</v>
          </cell>
          <cell r="N2486">
            <v>8612</v>
          </cell>
          <cell r="O2486">
            <v>14200</v>
          </cell>
          <cell r="P2486">
            <v>6052</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row>
        <row r="2487">
          <cell r="E2487" t="str">
            <v>PA Industrial Petroleum Coke</v>
          </cell>
          <cell r="F2487">
            <v>31877</v>
          </cell>
          <cell r="G2487">
            <v>35407</v>
          </cell>
          <cell r="H2487">
            <v>31357</v>
          </cell>
          <cell r="I2487">
            <v>30674</v>
          </cell>
          <cell r="J2487">
            <v>30064</v>
          </cell>
          <cell r="K2487">
            <v>33393</v>
          </cell>
          <cell r="L2487">
            <v>24454</v>
          </cell>
          <cell r="M2487">
            <v>28057</v>
          </cell>
          <cell r="N2487">
            <v>33595</v>
          </cell>
          <cell r="O2487">
            <v>35082</v>
          </cell>
          <cell r="P2487">
            <v>33054</v>
          </cell>
          <cell r="Q2487">
            <v>33661</v>
          </cell>
          <cell r="R2487">
            <v>32832</v>
          </cell>
          <cell r="S2487">
            <v>34481</v>
          </cell>
          <cell r="T2487">
            <v>36579</v>
          </cell>
          <cell r="U2487">
            <v>36889</v>
          </cell>
          <cell r="V2487">
            <v>32294</v>
          </cell>
          <cell r="W2487">
            <v>34953</v>
          </cell>
          <cell r="X2487">
            <v>35391</v>
          </cell>
          <cell r="Y2487">
            <v>38018</v>
          </cell>
          <cell r="Z2487">
            <v>26859</v>
          </cell>
          <cell r="AA2487">
            <v>20835</v>
          </cell>
          <cell r="AB2487">
            <v>24495</v>
          </cell>
          <cell r="AC2487">
            <v>23189</v>
          </cell>
          <cell r="AD2487">
            <v>25031</v>
          </cell>
          <cell r="AE2487">
            <v>25424</v>
          </cell>
          <cell r="AF2487">
            <v>24379</v>
          </cell>
          <cell r="AG2487">
            <v>24432</v>
          </cell>
          <cell r="AH2487">
            <v>22396</v>
          </cell>
          <cell r="AI2487">
            <v>12613</v>
          </cell>
          <cell r="AJ2487">
            <v>7802</v>
          </cell>
        </row>
        <row r="2488">
          <cell r="E2488" t="str">
            <v>RI Industrial Petroleum Coke</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row>
        <row r="2489">
          <cell r="E2489" t="str">
            <v>SC Industrial Petroleum Coke</v>
          </cell>
          <cell r="F2489">
            <v>8208</v>
          </cell>
          <cell r="G2489">
            <v>7178</v>
          </cell>
          <cell r="H2489">
            <v>10392</v>
          </cell>
          <cell r="I2489">
            <v>6666</v>
          </cell>
          <cell r="J2489">
            <v>7165</v>
          </cell>
          <cell r="K2489">
            <v>7626</v>
          </cell>
          <cell r="L2489">
            <v>8951</v>
          </cell>
          <cell r="M2489">
            <v>6925</v>
          </cell>
          <cell r="N2489">
            <v>14495</v>
          </cell>
          <cell r="O2489">
            <v>18799</v>
          </cell>
          <cell r="P2489">
            <v>12819</v>
          </cell>
          <cell r="Q2489">
            <v>23584</v>
          </cell>
          <cell r="R2489">
            <v>20769</v>
          </cell>
          <cell r="S2489">
            <v>20656</v>
          </cell>
          <cell r="T2489">
            <v>28874</v>
          </cell>
          <cell r="U2489">
            <v>26758</v>
          </cell>
          <cell r="V2489">
            <v>31593</v>
          </cell>
          <cell r="W2489">
            <v>27964</v>
          </cell>
          <cell r="X2489">
            <v>27047</v>
          </cell>
          <cell r="Y2489">
            <v>32987</v>
          </cell>
          <cell r="Z2489">
            <v>17608</v>
          </cell>
          <cell r="AA2489">
            <v>11612</v>
          </cell>
          <cell r="AB2489">
            <v>13762</v>
          </cell>
          <cell r="AC2489">
            <v>8585</v>
          </cell>
          <cell r="AD2489">
            <v>9569</v>
          </cell>
          <cell r="AE2489">
            <v>13710</v>
          </cell>
          <cell r="AF2489">
            <v>10673</v>
          </cell>
          <cell r="AG2489">
            <v>7456</v>
          </cell>
          <cell r="AH2489">
            <v>8336</v>
          </cell>
          <cell r="AI2489">
            <v>7146</v>
          </cell>
          <cell r="AJ2489">
            <v>4273</v>
          </cell>
        </row>
        <row r="2490">
          <cell r="E2490" t="str">
            <v>SD Industrial Petroleum Coke</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row>
        <row r="2491">
          <cell r="E2491" t="str">
            <v>TN Industrial Petroleum Coke</v>
          </cell>
          <cell r="F2491">
            <v>10336</v>
          </cell>
          <cell r="G2491">
            <v>10623</v>
          </cell>
          <cell r="H2491">
            <v>14256</v>
          </cell>
          <cell r="I2491">
            <v>11064</v>
          </cell>
          <cell r="J2491">
            <v>11668</v>
          </cell>
          <cell r="K2491">
            <v>11203</v>
          </cell>
          <cell r="L2491">
            <v>12039</v>
          </cell>
          <cell r="M2491">
            <v>9485</v>
          </cell>
          <cell r="N2491">
            <v>17345</v>
          </cell>
          <cell r="O2491">
            <v>20773</v>
          </cell>
          <cell r="P2491">
            <v>16016</v>
          </cell>
          <cell r="Q2491">
            <v>29094</v>
          </cell>
          <cell r="R2491">
            <v>26391</v>
          </cell>
          <cell r="S2491">
            <v>25159</v>
          </cell>
          <cell r="T2491">
            <v>33249</v>
          </cell>
          <cell r="U2491">
            <v>31590</v>
          </cell>
          <cell r="V2491">
            <v>35914</v>
          </cell>
          <cell r="W2491">
            <v>29446</v>
          </cell>
          <cell r="X2491">
            <v>31002</v>
          </cell>
          <cell r="Y2491">
            <v>8300</v>
          </cell>
          <cell r="Z2491">
            <v>5457</v>
          </cell>
          <cell r="AA2491">
            <v>5567</v>
          </cell>
          <cell r="AB2491">
            <v>5860</v>
          </cell>
          <cell r="AC2491">
            <v>5614</v>
          </cell>
          <cell r="AD2491">
            <v>5048</v>
          </cell>
          <cell r="AE2491">
            <v>5237</v>
          </cell>
          <cell r="AF2491">
            <v>5413</v>
          </cell>
          <cell r="AG2491">
            <v>5375</v>
          </cell>
          <cell r="AH2491">
            <v>5275</v>
          </cell>
          <cell r="AI2491">
            <v>4992</v>
          </cell>
          <cell r="AJ2491">
            <v>5193</v>
          </cell>
        </row>
        <row r="2492">
          <cell r="E2492" t="str">
            <v>TX Industrial Petroleum Coke</v>
          </cell>
          <cell r="F2492">
            <v>168518</v>
          </cell>
          <cell r="G2492">
            <v>166010</v>
          </cell>
          <cell r="H2492">
            <v>177539</v>
          </cell>
          <cell r="I2492">
            <v>171209</v>
          </cell>
          <cell r="J2492">
            <v>153170</v>
          </cell>
          <cell r="K2492">
            <v>149572</v>
          </cell>
          <cell r="L2492">
            <v>160121</v>
          </cell>
          <cell r="M2492">
            <v>178364</v>
          </cell>
          <cell r="N2492">
            <v>166242</v>
          </cell>
          <cell r="O2492">
            <v>166473</v>
          </cell>
          <cell r="P2492">
            <v>168905</v>
          </cell>
          <cell r="Q2492">
            <v>181068</v>
          </cell>
          <cell r="R2492">
            <v>179085</v>
          </cell>
          <cell r="S2492">
            <v>183748</v>
          </cell>
          <cell r="T2492">
            <v>204099</v>
          </cell>
          <cell r="U2492">
            <v>187304</v>
          </cell>
          <cell r="V2492">
            <v>213753</v>
          </cell>
          <cell r="W2492">
            <v>190297</v>
          </cell>
          <cell r="X2492">
            <v>166017</v>
          </cell>
          <cell r="Y2492">
            <v>152296</v>
          </cell>
          <cell r="Z2492">
            <v>159764</v>
          </cell>
          <cell r="AA2492">
            <v>156194</v>
          </cell>
          <cell r="AB2492">
            <v>180133</v>
          </cell>
          <cell r="AC2492">
            <v>188632</v>
          </cell>
          <cell r="AD2492">
            <v>183005</v>
          </cell>
          <cell r="AE2492">
            <v>173331</v>
          </cell>
          <cell r="AF2492">
            <v>173552</v>
          </cell>
          <cell r="AG2492">
            <v>163489</v>
          </cell>
          <cell r="AH2492">
            <v>171330</v>
          </cell>
          <cell r="AI2492">
            <v>167349</v>
          </cell>
          <cell r="AJ2492">
            <v>146195</v>
          </cell>
        </row>
        <row r="2493">
          <cell r="E2493" t="str">
            <v>US Industrial Petroleum Coke</v>
          </cell>
          <cell r="F2493">
            <v>714218</v>
          </cell>
          <cell r="G2493">
            <v>692647</v>
          </cell>
          <cell r="H2493">
            <v>797709</v>
          </cell>
          <cell r="I2493">
            <v>725298</v>
          </cell>
          <cell r="J2493">
            <v>723159</v>
          </cell>
          <cell r="K2493">
            <v>721294</v>
          </cell>
          <cell r="L2493">
            <v>756838</v>
          </cell>
          <cell r="M2493">
            <v>727410</v>
          </cell>
          <cell r="N2493">
            <v>858485</v>
          </cell>
          <cell r="O2493">
            <v>935764</v>
          </cell>
          <cell r="P2493">
            <v>796069</v>
          </cell>
          <cell r="Q2493">
            <v>857569</v>
          </cell>
          <cell r="R2493">
            <v>842088</v>
          </cell>
          <cell r="S2493">
            <v>824694</v>
          </cell>
          <cell r="T2493">
            <v>937790</v>
          </cell>
          <cell r="U2493">
            <v>894996</v>
          </cell>
          <cell r="V2493">
            <v>938164</v>
          </cell>
          <cell r="W2493">
            <v>909986</v>
          </cell>
          <cell r="X2493">
            <v>870294</v>
          </cell>
          <cell r="Y2493">
            <v>805147</v>
          </cell>
          <cell r="Z2493">
            <v>694485</v>
          </cell>
          <cell r="AA2493">
            <v>663238</v>
          </cell>
          <cell r="AB2493">
            <v>717010</v>
          </cell>
          <cell r="AC2493">
            <v>663707</v>
          </cell>
          <cell r="AD2493">
            <v>653829</v>
          </cell>
          <cell r="AE2493">
            <v>663572</v>
          </cell>
          <cell r="AF2493">
            <v>652905</v>
          </cell>
          <cell r="AG2493">
            <v>610404</v>
          </cell>
          <cell r="AH2493">
            <v>628897</v>
          </cell>
          <cell r="AI2493">
            <v>602695</v>
          </cell>
          <cell r="AJ2493">
            <v>495467</v>
          </cell>
        </row>
        <row r="2494">
          <cell r="E2494" t="str">
            <v>UT Industrial Petroleum Coke</v>
          </cell>
          <cell r="F2494">
            <v>4111</v>
          </cell>
          <cell r="G2494">
            <v>4410</v>
          </cell>
          <cell r="H2494">
            <v>4097</v>
          </cell>
          <cell r="I2494">
            <v>3804</v>
          </cell>
          <cell r="J2494">
            <v>3787</v>
          </cell>
          <cell r="K2494">
            <v>3693</v>
          </cell>
          <cell r="L2494">
            <v>3933</v>
          </cell>
          <cell r="M2494">
            <v>3983</v>
          </cell>
          <cell r="N2494">
            <v>4366</v>
          </cell>
          <cell r="O2494">
            <v>4629</v>
          </cell>
          <cell r="P2494">
            <v>4470</v>
          </cell>
          <cell r="Q2494">
            <v>4520</v>
          </cell>
          <cell r="R2494">
            <v>4771</v>
          </cell>
          <cell r="S2494">
            <v>4537</v>
          </cell>
          <cell r="T2494">
            <v>5007</v>
          </cell>
          <cell r="U2494">
            <v>5244</v>
          </cell>
          <cell r="V2494">
            <v>5206</v>
          </cell>
          <cell r="W2494">
            <v>5611</v>
          </cell>
          <cell r="X2494">
            <v>5208</v>
          </cell>
          <cell r="Y2494">
            <v>5977</v>
          </cell>
          <cell r="Z2494">
            <v>6215</v>
          </cell>
          <cell r="AA2494">
            <v>6435</v>
          </cell>
          <cell r="AB2494">
            <v>6298</v>
          </cell>
          <cell r="AC2494">
            <v>4916</v>
          </cell>
          <cell r="AD2494">
            <v>5551</v>
          </cell>
          <cell r="AE2494">
            <v>5162</v>
          </cell>
          <cell r="AF2494">
            <v>5665</v>
          </cell>
          <cell r="AG2494">
            <v>5589</v>
          </cell>
          <cell r="AH2494">
            <v>4954</v>
          </cell>
          <cell r="AI2494">
            <v>4986</v>
          </cell>
          <cell r="AJ2494">
            <v>4281</v>
          </cell>
        </row>
        <row r="2495">
          <cell r="E2495" t="str">
            <v>VA Industrial Petroleum Coke</v>
          </cell>
          <cell r="F2495">
            <v>2932</v>
          </cell>
          <cell r="G2495">
            <v>2970</v>
          </cell>
          <cell r="H2495">
            <v>3365</v>
          </cell>
          <cell r="I2495">
            <v>3236</v>
          </cell>
          <cell r="J2495">
            <v>3100</v>
          </cell>
          <cell r="K2495">
            <v>3365</v>
          </cell>
          <cell r="L2495">
            <v>3262</v>
          </cell>
          <cell r="M2495">
            <v>3448</v>
          </cell>
          <cell r="N2495">
            <v>3079</v>
          </cell>
          <cell r="O2495">
            <v>3172</v>
          </cell>
          <cell r="P2495">
            <v>3002</v>
          </cell>
          <cell r="Q2495">
            <v>2978</v>
          </cell>
          <cell r="R2495">
            <v>2927</v>
          </cell>
          <cell r="S2495">
            <v>3058</v>
          </cell>
          <cell r="T2495">
            <v>3306</v>
          </cell>
          <cell r="U2495">
            <v>3258</v>
          </cell>
          <cell r="V2495">
            <v>2794</v>
          </cell>
          <cell r="W2495">
            <v>2953</v>
          </cell>
          <cell r="X2495">
            <v>3013</v>
          </cell>
          <cell r="Y2495">
            <v>3376</v>
          </cell>
          <cell r="Z2495">
            <v>2523</v>
          </cell>
          <cell r="AA2495">
            <v>0</v>
          </cell>
          <cell r="AB2495">
            <v>0</v>
          </cell>
          <cell r="AC2495">
            <v>0</v>
          </cell>
          <cell r="AD2495">
            <v>0</v>
          </cell>
          <cell r="AE2495">
            <v>0</v>
          </cell>
          <cell r="AF2495">
            <v>0</v>
          </cell>
          <cell r="AG2495">
            <v>0</v>
          </cell>
          <cell r="AH2495">
            <v>0</v>
          </cell>
          <cell r="AI2495">
            <v>0</v>
          </cell>
          <cell r="AJ2495">
            <v>0</v>
          </cell>
        </row>
        <row r="2496">
          <cell r="E2496" t="str">
            <v>VT Industrial Petroleum Coke</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row>
        <row r="2497">
          <cell r="E2497" t="str">
            <v>WA Industrial Petroleum Coke</v>
          </cell>
          <cell r="F2497">
            <v>65998</v>
          </cell>
          <cell r="G2497">
            <v>62160</v>
          </cell>
          <cell r="H2497">
            <v>82771</v>
          </cell>
          <cell r="I2497">
            <v>58463</v>
          </cell>
          <cell r="J2497">
            <v>67009</v>
          </cell>
          <cell r="K2497">
            <v>65004</v>
          </cell>
          <cell r="L2497">
            <v>68612</v>
          </cell>
          <cell r="M2497">
            <v>51627</v>
          </cell>
          <cell r="N2497">
            <v>97547</v>
          </cell>
          <cell r="O2497">
            <v>110946</v>
          </cell>
          <cell r="P2497">
            <v>73145</v>
          </cell>
          <cell r="Q2497">
            <v>28276</v>
          </cell>
          <cell r="R2497">
            <v>25648</v>
          </cell>
          <cell r="S2497">
            <v>25471</v>
          </cell>
          <cell r="T2497">
            <v>34680</v>
          </cell>
          <cell r="U2497">
            <v>41661</v>
          </cell>
          <cell r="V2497">
            <v>45705</v>
          </cell>
          <cell r="W2497">
            <v>42837</v>
          </cell>
          <cell r="X2497">
            <v>48401</v>
          </cell>
          <cell r="Y2497">
            <v>48119</v>
          </cell>
          <cell r="Z2497">
            <v>34868</v>
          </cell>
          <cell r="AA2497">
            <v>28700</v>
          </cell>
          <cell r="AB2497">
            <v>35518</v>
          </cell>
          <cell r="AC2497">
            <v>28742</v>
          </cell>
          <cell r="AD2497">
            <v>29862</v>
          </cell>
          <cell r="AE2497">
            <v>39238</v>
          </cell>
          <cell r="AF2497">
            <v>31668</v>
          </cell>
          <cell r="AG2497">
            <v>26377</v>
          </cell>
          <cell r="AH2497">
            <v>27000</v>
          </cell>
          <cell r="AI2497">
            <v>24721</v>
          </cell>
          <cell r="AJ2497">
            <v>16485</v>
          </cell>
        </row>
        <row r="2498">
          <cell r="E2498" t="str">
            <v>WI Industrial Petroleum Coke</v>
          </cell>
          <cell r="F2498">
            <v>2299</v>
          </cell>
          <cell r="G2498">
            <v>2752</v>
          </cell>
          <cell r="H2498">
            <v>2612</v>
          </cell>
          <cell r="I2498">
            <v>4878</v>
          </cell>
          <cell r="J2498">
            <v>5218</v>
          </cell>
          <cell r="K2498">
            <v>5233</v>
          </cell>
          <cell r="L2498">
            <v>5310</v>
          </cell>
          <cell r="M2498">
            <v>4868</v>
          </cell>
          <cell r="N2498">
            <v>4753</v>
          </cell>
          <cell r="O2498">
            <v>5561</v>
          </cell>
          <cell r="P2498">
            <v>4557</v>
          </cell>
          <cell r="Q2498">
            <v>5662</v>
          </cell>
          <cell r="R2498">
            <v>6543</v>
          </cell>
          <cell r="S2498">
            <v>6193</v>
          </cell>
          <cell r="T2498">
            <v>5557</v>
          </cell>
          <cell r="U2498">
            <v>5640</v>
          </cell>
          <cell r="V2498">
            <v>6200</v>
          </cell>
          <cell r="W2498">
            <v>6014</v>
          </cell>
          <cell r="X2498">
            <v>5994</v>
          </cell>
          <cell r="Y2498">
            <v>5969</v>
          </cell>
          <cell r="Z2498">
            <v>5767</v>
          </cell>
          <cell r="AA2498">
            <v>5661</v>
          </cell>
          <cell r="AB2498">
            <v>5626</v>
          </cell>
          <cell r="AC2498">
            <v>5608</v>
          </cell>
          <cell r="AD2498">
            <v>4761</v>
          </cell>
          <cell r="AE2498">
            <v>3689</v>
          </cell>
          <cell r="AF2498">
            <v>2137</v>
          </cell>
          <cell r="AG2498">
            <v>868</v>
          </cell>
          <cell r="AH2498">
            <v>855</v>
          </cell>
          <cell r="AI2498">
            <v>805</v>
          </cell>
          <cell r="AJ2498">
            <v>842</v>
          </cell>
        </row>
        <row r="2499">
          <cell r="E2499" t="str">
            <v>WV Industrial Petroleum Coke</v>
          </cell>
          <cell r="F2499">
            <v>6726</v>
          </cell>
          <cell r="G2499">
            <v>6302</v>
          </cell>
          <cell r="H2499">
            <v>9125</v>
          </cell>
          <cell r="I2499">
            <v>6762</v>
          </cell>
          <cell r="J2499">
            <v>8177</v>
          </cell>
          <cell r="K2499">
            <v>7736</v>
          </cell>
          <cell r="L2499">
            <v>8150</v>
          </cell>
          <cell r="M2499">
            <v>5675</v>
          </cell>
          <cell r="N2499">
            <v>11879</v>
          </cell>
          <cell r="O2499">
            <v>13220</v>
          </cell>
          <cell r="P2499">
            <v>10017</v>
          </cell>
          <cell r="Q2499">
            <v>18911</v>
          </cell>
          <cell r="R2499">
            <v>16654</v>
          </cell>
          <cell r="S2499">
            <v>15677</v>
          </cell>
          <cell r="T2499">
            <v>21913</v>
          </cell>
          <cell r="U2499">
            <v>20308</v>
          </cell>
          <cell r="V2499">
            <v>21579</v>
          </cell>
          <cell r="W2499">
            <v>21223</v>
          </cell>
          <cell r="X2499">
            <v>20527</v>
          </cell>
          <cell r="Y2499">
            <v>2449</v>
          </cell>
          <cell r="Z2499">
            <v>0</v>
          </cell>
          <cell r="AA2499">
            <v>0</v>
          </cell>
          <cell r="AB2499">
            <v>0</v>
          </cell>
          <cell r="AC2499">
            <v>0</v>
          </cell>
          <cell r="AD2499">
            <v>0</v>
          </cell>
          <cell r="AE2499">
            <v>0</v>
          </cell>
          <cell r="AF2499">
            <v>0</v>
          </cell>
          <cell r="AG2499">
            <v>0</v>
          </cell>
          <cell r="AH2499">
            <v>0</v>
          </cell>
          <cell r="AI2499">
            <v>0</v>
          </cell>
          <cell r="AJ2499">
            <v>0</v>
          </cell>
        </row>
        <row r="2500">
          <cell r="E2500" t="str">
            <v>WY Industrial Petroleum Coke</v>
          </cell>
          <cell r="F2500">
            <v>4684</v>
          </cell>
          <cell r="G2500">
            <v>3965</v>
          </cell>
          <cell r="H2500">
            <v>3811</v>
          </cell>
          <cell r="I2500">
            <v>3969</v>
          </cell>
          <cell r="J2500">
            <v>3929</v>
          </cell>
          <cell r="K2500">
            <v>3833</v>
          </cell>
          <cell r="L2500">
            <v>4105</v>
          </cell>
          <cell r="M2500">
            <v>4157</v>
          </cell>
          <cell r="N2500">
            <v>4479</v>
          </cell>
          <cell r="O2500">
            <v>4358</v>
          </cell>
          <cell r="P2500">
            <v>4094</v>
          </cell>
          <cell r="Q2500">
            <v>4212</v>
          </cell>
          <cell r="R2500">
            <v>4106</v>
          </cell>
          <cell r="S2500">
            <v>3922</v>
          </cell>
          <cell r="T2500">
            <v>4328</v>
          </cell>
          <cell r="U2500">
            <v>4463</v>
          </cell>
          <cell r="V2500">
            <v>4394</v>
          </cell>
          <cell r="W2500">
            <v>4783</v>
          </cell>
          <cell r="X2500">
            <v>4542</v>
          </cell>
          <cell r="Y2500">
            <v>5263</v>
          </cell>
          <cell r="Z2500">
            <v>5382</v>
          </cell>
          <cell r="AA2500">
            <v>5658</v>
          </cell>
          <cell r="AB2500">
            <v>5485</v>
          </cell>
          <cell r="AC2500">
            <v>6230</v>
          </cell>
          <cell r="AD2500">
            <v>5771</v>
          </cell>
          <cell r="AE2500">
            <v>5822</v>
          </cell>
          <cell r="AF2500">
            <v>5394</v>
          </cell>
          <cell r="AG2500">
            <v>5885</v>
          </cell>
          <cell r="AH2500">
            <v>5885</v>
          </cell>
          <cell r="AI2500">
            <v>5639</v>
          </cell>
          <cell r="AJ2500">
            <v>4105</v>
          </cell>
        </row>
        <row r="2501">
          <cell r="E2501" t="str">
            <v>AK Industrial Pentanes Plus</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row>
        <row r="2502">
          <cell r="E2502" t="str">
            <v>AL Industrial Pentanes Plus</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row>
        <row r="2503">
          <cell r="E2503" t="str">
            <v>AR Industrial Pentanes Plus</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row>
        <row r="2504">
          <cell r="E2504" t="str">
            <v>AZ Industrial Pentanes Plus</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row>
        <row r="2505">
          <cell r="E2505" t="str">
            <v>CA Industrial Pentanes Plus</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row>
        <row r="2506">
          <cell r="E2506" t="str">
            <v>CO Industrial Pentanes Plus</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row>
        <row r="2507">
          <cell r="E2507" t="str">
            <v>CT Industrial Pentanes Plus</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row>
        <row r="2508">
          <cell r="E2508" t="str">
            <v>DC Industrial Pentanes Plus</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row>
        <row r="2509">
          <cell r="E2509" t="str">
            <v>DE Industrial Pentanes Plus</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row>
        <row r="2510">
          <cell r="E2510" t="str">
            <v>FL Industrial Pentanes Plus</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row>
        <row r="2511">
          <cell r="E2511" t="str">
            <v>GA Industrial Pentanes Plus</v>
          </cell>
          <cell r="F2511">
            <v>0</v>
          </cell>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row>
        <row r="2512">
          <cell r="E2512" t="str">
            <v>HI Industrial Pentanes Plus</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row>
        <row r="2513">
          <cell r="E2513" t="str">
            <v>IA Industrial Pentanes Plus</v>
          </cell>
          <cell r="F2513">
            <v>0</v>
          </cell>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row>
        <row r="2514">
          <cell r="E2514" t="str">
            <v>ID Industrial Pentanes Plus</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row>
        <row r="2515">
          <cell r="E2515" t="str">
            <v>IL Industrial Pentanes Plus</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row>
        <row r="2516">
          <cell r="E2516" t="str">
            <v>IN Industrial Pentanes Plus</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row>
        <row r="2517">
          <cell r="E2517" t="str">
            <v>KS Industrial Pentanes Plus</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row>
        <row r="2518">
          <cell r="E2518" t="str">
            <v>KY Industrial Pentanes Plus</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row>
        <row r="2519">
          <cell r="E2519" t="str">
            <v>LA Industrial Pentanes Plus</v>
          </cell>
          <cell r="F2519">
            <v>97919</v>
          </cell>
          <cell r="G2519">
            <v>115014</v>
          </cell>
          <cell r="H2519">
            <v>126174</v>
          </cell>
          <cell r="I2519">
            <v>129984</v>
          </cell>
          <cell r="J2519">
            <v>132505</v>
          </cell>
          <cell r="K2519">
            <v>132190</v>
          </cell>
          <cell r="L2519">
            <v>138866</v>
          </cell>
          <cell r="M2519">
            <v>128666</v>
          </cell>
          <cell r="N2519">
            <v>112663</v>
          </cell>
          <cell r="O2519">
            <v>135696</v>
          </cell>
          <cell r="P2519">
            <v>107892</v>
          </cell>
          <cell r="Q2519">
            <v>69006</v>
          </cell>
          <cell r="R2519">
            <v>48339</v>
          </cell>
          <cell r="S2519">
            <v>45701</v>
          </cell>
          <cell r="T2519">
            <v>44093</v>
          </cell>
          <cell r="U2519">
            <v>37327</v>
          </cell>
          <cell r="V2519">
            <v>25563</v>
          </cell>
          <cell r="W2519">
            <v>31378</v>
          </cell>
          <cell r="X2519">
            <v>25662</v>
          </cell>
          <cell r="Y2519">
            <v>19526</v>
          </cell>
          <cell r="Z2519">
            <v>21706</v>
          </cell>
          <cell r="AA2519">
            <v>7632</v>
          </cell>
          <cell r="AB2519">
            <v>11785</v>
          </cell>
          <cell r="AC2519">
            <v>13152</v>
          </cell>
          <cell r="AD2519">
            <v>13035</v>
          </cell>
          <cell r="AE2519">
            <v>23664</v>
          </cell>
          <cell r="AF2519">
            <v>16540</v>
          </cell>
          <cell r="AG2519">
            <v>25475</v>
          </cell>
          <cell r="AH2519">
            <v>32988</v>
          </cell>
          <cell r="AI2519">
            <v>49146</v>
          </cell>
          <cell r="AJ2519">
            <v>52048</v>
          </cell>
        </row>
        <row r="2520">
          <cell r="E2520" t="str">
            <v>MA Industrial Pentanes Plus</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row>
        <row r="2521">
          <cell r="E2521" t="str">
            <v>MD Industrial Pentanes Plus</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row>
        <row r="2522">
          <cell r="E2522" t="str">
            <v>ME Industrial Pentanes Plus</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row>
        <row r="2523">
          <cell r="E2523" t="str">
            <v>MI Industrial Pentanes Plus</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row>
        <row r="2524">
          <cell r="E2524" t="str">
            <v>MN Industrial Pentanes Plus</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row>
        <row r="2525">
          <cell r="E2525" t="str">
            <v>MO Industrial Pentanes Plus</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row>
        <row r="2526">
          <cell r="E2526" t="str">
            <v>MS Industrial Pentanes Plus</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row>
        <row r="2527">
          <cell r="E2527" t="str">
            <v>MT Industrial Pentanes Plus</v>
          </cell>
          <cell r="F2527">
            <v>0</v>
          </cell>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row>
        <row r="2528">
          <cell r="E2528" t="str">
            <v>NC Industrial Pentanes Plus</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row>
        <row r="2529">
          <cell r="E2529" t="str">
            <v>ND Industrial Pentanes Plus</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row>
        <row r="2530">
          <cell r="E2530" t="str">
            <v>NE Industrial Pentanes Plus</v>
          </cell>
          <cell r="F2530">
            <v>0</v>
          </cell>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row>
        <row r="2531">
          <cell r="E2531" t="str">
            <v>NH Industrial Pentanes Plus</v>
          </cell>
          <cell r="F2531">
            <v>0</v>
          </cell>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row>
        <row r="2532">
          <cell r="E2532" t="str">
            <v>NJ Industrial Pentanes Plus</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row>
        <row r="2533">
          <cell r="E2533" t="str">
            <v>NM Industrial Pentanes Plus</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row>
        <row r="2534">
          <cell r="E2534" t="str">
            <v>NV Industrial Pentanes Plus</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row>
        <row r="2535">
          <cell r="E2535" t="str">
            <v>NY Industrial Pentanes Plus</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row>
        <row r="2536">
          <cell r="E2536" t="str">
            <v>OH Industrial Pentanes Plus</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row>
        <row r="2537">
          <cell r="E2537" t="str">
            <v>OK Industrial Pentanes Plus</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row>
        <row r="2538">
          <cell r="E2538" t="str">
            <v>OR Industrial Pentanes Plus</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row>
        <row r="2539">
          <cell r="E2539" t="str">
            <v>PA Industrial Pentanes Plus</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row>
        <row r="2540">
          <cell r="E2540" t="str">
            <v>RI Industrial Pentanes Plus</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row>
        <row r="2541">
          <cell r="E2541" t="str">
            <v>SC Industrial Pentanes Plus</v>
          </cell>
          <cell r="F2541">
            <v>0</v>
          </cell>
          <cell r="G2541">
            <v>0</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row>
        <row r="2542">
          <cell r="E2542" t="str">
            <v>SD Industrial Pentanes Plus</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row>
        <row r="2543">
          <cell r="E2543" t="str">
            <v>TN Industrial Pentanes Plus</v>
          </cell>
          <cell r="F2543">
            <v>0</v>
          </cell>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row>
        <row r="2544">
          <cell r="E2544" t="str">
            <v>TX Industrial Pentanes Plus</v>
          </cell>
          <cell r="F2544">
            <v>153372</v>
          </cell>
          <cell r="G2544">
            <v>180148</v>
          </cell>
          <cell r="H2544">
            <v>197628</v>
          </cell>
          <cell r="I2544">
            <v>203595</v>
          </cell>
          <cell r="J2544">
            <v>207544</v>
          </cell>
          <cell r="K2544">
            <v>207052</v>
          </cell>
          <cell r="L2544">
            <v>217508</v>
          </cell>
          <cell r="M2544">
            <v>201532</v>
          </cell>
          <cell r="N2544">
            <v>182495</v>
          </cell>
          <cell r="O2544">
            <v>230701</v>
          </cell>
          <cell r="P2544">
            <v>236605</v>
          </cell>
          <cell r="Q2544">
            <v>195198</v>
          </cell>
          <cell r="R2544">
            <v>176377</v>
          </cell>
          <cell r="S2544">
            <v>175995</v>
          </cell>
          <cell r="T2544">
            <v>179217</v>
          </cell>
          <cell r="U2544">
            <v>159677</v>
          </cell>
          <cell r="V2544">
            <v>115089</v>
          </cell>
          <cell r="W2544">
            <v>148683</v>
          </cell>
          <cell r="X2544">
            <v>127981</v>
          </cell>
          <cell r="Y2544">
            <v>108506</v>
          </cell>
          <cell r="Z2544">
            <v>134400</v>
          </cell>
          <cell r="AA2544">
            <v>47258</v>
          </cell>
          <cell r="AB2544">
            <v>72966</v>
          </cell>
          <cell r="AC2544">
            <v>81435</v>
          </cell>
          <cell r="AD2544">
            <v>75699</v>
          </cell>
          <cell r="AE2544">
            <v>137427</v>
          </cell>
          <cell r="AF2544">
            <v>96056</v>
          </cell>
          <cell r="AG2544">
            <v>147940</v>
          </cell>
          <cell r="AH2544">
            <v>191574</v>
          </cell>
          <cell r="AI2544">
            <v>285411</v>
          </cell>
          <cell r="AJ2544">
            <v>302262</v>
          </cell>
        </row>
        <row r="2545">
          <cell r="E2545" t="str">
            <v>US Industrial Pentanes Plus</v>
          </cell>
          <cell r="F2545">
            <v>251291</v>
          </cell>
          <cell r="G2545">
            <v>295162</v>
          </cell>
          <cell r="H2545">
            <v>323802</v>
          </cell>
          <cell r="I2545">
            <v>333579</v>
          </cell>
          <cell r="J2545">
            <v>340049</v>
          </cell>
          <cell r="K2545">
            <v>339242</v>
          </cell>
          <cell r="L2545">
            <v>356375</v>
          </cell>
          <cell r="M2545">
            <v>330198</v>
          </cell>
          <cell r="N2545">
            <v>295158</v>
          </cell>
          <cell r="O2545">
            <v>366397</v>
          </cell>
          <cell r="P2545">
            <v>344497</v>
          </cell>
          <cell r="Q2545">
            <v>264204</v>
          </cell>
          <cell r="R2545">
            <v>224716</v>
          </cell>
          <cell r="S2545">
            <v>221696</v>
          </cell>
          <cell r="T2545">
            <v>223310</v>
          </cell>
          <cell r="U2545">
            <v>197004</v>
          </cell>
          <cell r="V2545">
            <v>140652</v>
          </cell>
          <cell r="W2545">
            <v>180061</v>
          </cell>
          <cell r="X2545">
            <v>153643</v>
          </cell>
          <cell r="Y2545">
            <v>128032</v>
          </cell>
          <cell r="Z2545">
            <v>156106</v>
          </cell>
          <cell r="AA2545">
            <v>54891</v>
          </cell>
          <cell r="AB2545">
            <v>84750</v>
          </cell>
          <cell r="AC2545">
            <v>94587</v>
          </cell>
          <cell r="AD2545">
            <v>88734</v>
          </cell>
          <cell r="AE2545">
            <v>161092</v>
          </cell>
          <cell r="AF2545">
            <v>112597</v>
          </cell>
          <cell r="AG2545">
            <v>173415</v>
          </cell>
          <cell r="AH2545">
            <v>224563</v>
          </cell>
          <cell r="AI2545">
            <v>334557</v>
          </cell>
          <cell r="AJ2545">
            <v>354311</v>
          </cell>
        </row>
        <row r="2546">
          <cell r="E2546" t="str">
            <v>UT Industrial Pentanes Plus</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row>
        <row r="2547">
          <cell r="E2547" t="str">
            <v>VA Industrial Pentanes Plus</v>
          </cell>
          <cell r="F2547">
            <v>0</v>
          </cell>
          <cell r="G2547">
            <v>0</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row>
        <row r="2548">
          <cell r="E2548" t="str">
            <v>VT Industrial Pentanes Plus</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row>
        <row r="2549">
          <cell r="E2549" t="str">
            <v>WA Industrial Pentanes Plus</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row>
        <row r="2550">
          <cell r="E2550" t="str">
            <v>WI Industrial Pentanes Plus</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row>
        <row r="2551">
          <cell r="E2551" t="str">
            <v>WV Industrial Pentanes Plus</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row>
        <row r="2552">
          <cell r="E2552" t="str">
            <v>WY Industrial Pentanes Plus</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row>
        <row r="2553">
          <cell r="E2553" t="str">
            <v>AK Transportation Residual Fuel</v>
          </cell>
          <cell r="F2553">
            <v>869</v>
          </cell>
          <cell r="G2553">
            <v>457</v>
          </cell>
          <cell r="H2553">
            <v>1967</v>
          </cell>
          <cell r="I2553">
            <v>737</v>
          </cell>
          <cell r="J2553">
            <v>630</v>
          </cell>
          <cell r="K2553">
            <v>717</v>
          </cell>
          <cell r="L2553">
            <v>22</v>
          </cell>
          <cell r="M2553">
            <v>14</v>
          </cell>
          <cell r="N2553">
            <v>45</v>
          </cell>
          <cell r="O2553">
            <v>1446</v>
          </cell>
          <cell r="P2553">
            <v>742</v>
          </cell>
          <cell r="Q2553">
            <v>340</v>
          </cell>
          <cell r="R2553">
            <v>318</v>
          </cell>
          <cell r="S2553">
            <v>79</v>
          </cell>
          <cell r="T2553">
            <v>0</v>
          </cell>
          <cell r="U2553">
            <v>74</v>
          </cell>
          <cell r="V2553">
            <v>172</v>
          </cell>
          <cell r="W2553">
            <v>1653</v>
          </cell>
          <cell r="X2553">
            <v>1212</v>
          </cell>
          <cell r="Y2553">
            <v>0</v>
          </cell>
          <cell r="Z2553">
            <v>212</v>
          </cell>
          <cell r="AA2553">
            <v>436</v>
          </cell>
          <cell r="AB2553">
            <v>358</v>
          </cell>
          <cell r="AC2553">
            <v>0</v>
          </cell>
          <cell r="AD2553">
            <v>0</v>
          </cell>
          <cell r="AE2553">
            <v>0</v>
          </cell>
          <cell r="AF2553">
            <v>0</v>
          </cell>
          <cell r="AG2553">
            <v>0</v>
          </cell>
          <cell r="AH2553">
            <v>0</v>
          </cell>
          <cell r="AI2553">
            <v>0</v>
          </cell>
          <cell r="AJ2553">
            <v>0</v>
          </cell>
        </row>
        <row r="2554">
          <cell r="E2554" t="str">
            <v>AL Transportation Residual Fuel</v>
          </cell>
          <cell r="F2554">
            <v>18015</v>
          </cell>
          <cell r="G2554">
            <v>20158</v>
          </cell>
          <cell r="H2554">
            <v>21983</v>
          </cell>
          <cell r="I2554">
            <v>20374</v>
          </cell>
          <cell r="J2554">
            <v>14566</v>
          </cell>
          <cell r="K2554">
            <v>16367</v>
          </cell>
          <cell r="L2554">
            <v>15393</v>
          </cell>
          <cell r="M2554">
            <v>12210</v>
          </cell>
          <cell r="N2554">
            <v>5194</v>
          </cell>
          <cell r="O2554">
            <v>5455</v>
          </cell>
          <cell r="P2554">
            <v>18177</v>
          </cell>
          <cell r="Q2554">
            <v>4532</v>
          </cell>
          <cell r="R2554">
            <v>13319</v>
          </cell>
          <cell r="S2554">
            <v>6352</v>
          </cell>
          <cell r="T2554">
            <v>7972</v>
          </cell>
          <cell r="U2554">
            <v>6426</v>
          </cell>
          <cell r="V2554">
            <v>9378</v>
          </cell>
          <cell r="W2554">
            <v>8465</v>
          </cell>
          <cell r="X2554">
            <v>7093</v>
          </cell>
          <cell r="Y2554">
            <v>5069</v>
          </cell>
          <cell r="Z2554">
            <v>5836</v>
          </cell>
          <cell r="AA2554">
            <v>6655</v>
          </cell>
          <cell r="AB2554">
            <v>6587</v>
          </cell>
          <cell r="AC2554">
            <v>5028</v>
          </cell>
          <cell r="AD2554">
            <v>5530</v>
          </cell>
          <cell r="AE2554">
            <v>3385</v>
          </cell>
          <cell r="AF2554">
            <v>5939</v>
          </cell>
          <cell r="AG2554">
            <v>6404</v>
          </cell>
          <cell r="AH2554">
            <v>4328</v>
          </cell>
          <cell r="AI2554">
            <v>3552</v>
          </cell>
          <cell r="AJ2554">
            <v>2566</v>
          </cell>
        </row>
        <row r="2555">
          <cell r="E2555" t="str">
            <v>AR Transportation Residual Fuel</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7</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row>
        <row r="2556">
          <cell r="E2556" t="str">
            <v>AZ Transportation Residual Fuel</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row>
        <row r="2557">
          <cell r="E2557" t="str">
            <v>CA Transportation Residual Fuel</v>
          </cell>
          <cell r="F2557">
            <v>340790</v>
          </cell>
          <cell r="G2557">
            <v>263217</v>
          </cell>
          <cell r="H2557">
            <v>200699</v>
          </cell>
          <cell r="I2557">
            <v>203716</v>
          </cell>
          <cell r="J2557">
            <v>237256</v>
          </cell>
          <cell r="K2557">
            <v>276900</v>
          </cell>
          <cell r="L2557">
            <v>245085</v>
          </cell>
          <cell r="M2557">
            <v>133737</v>
          </cell>
          <cell r="N2557">
            <v>107469</v>
          </cell>
          <cell r="O2557">
            <v>146000</v>
          </cell>
          <cell r="P2557">
            <v>210867</v>
          </cell>
          <cell r="Q2557">
            <v>154770</v>
          </cell>
          <cell r="R2557">
            <v>191966</v>
          </cell>
          <cell r="S2557">
            <v>146852</v>
          </cell>
          <cell r="T2557">
            <v>174601</v>
          </cell>
          <cell r="U2557">
            <v>213283</v>
          </cell>
          <cell r="V2557">
            <v>236478</v>
          </cell>
          <cell r="W2557">
            <v>249291</v>
          </cell>
          <cell r="X2557">
            <v>252795</v>
          </cell>
          <cell r="Y2557">
            <v>242170</v>
          </cell>
          <cell r="Z2557">
            <v>250861</v>
          </cell>
          <cell r="AA2557">
            <v>186876</v>
          </cell>
          <cell r="AB2557">
            <v>167051</v>
          </cell>
          <cell r="AC2557">
            <v>124150</v>
          </cell>
          <cell r="AD2557">
            <v>84510</v>
          </cell>
          <cell r="AE2557">
            <v>116367</v>
          </cell>
          <cell r="AF2557">
            <v>145479</v>
          </cell>
          <cell r="AG2557">
            <v>164836</v>
          </cell>
          <cell r="AH2557">
            <v>168837</v>
          </cell>
          <cell r="AI2557">
            <v>184332</v>
          </cell>
          <cell r="AJ2557">
            <v>126023</v>
          </cell>
        </row>
        <row r="2558">
          <cell r="E2558" t="str">
            <v>CO Transportation Residual Fuel</v>
          </cell>
          <cell r="F2558">
            <v>0</v>
          </cell>
          <cell r="G2558">
            <v>0</v>
          </cell>
          <cell r="H2558">
            <v>0</v>
          </cell>
          <cell r="I2558">
            <v>0</v>
          </cell>
          <cell r="J2558">
            <v>8</v>
          </cell>
          <cell r="K2558">
            <v>0</v>
          </cell>
          <cell r="L2558">
            <v>1</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row>
        <row r="2559">
          <cell r="E2559" t="str">
            <v>CT Transportation Residual Fuel</v>
          </cell>
          <cell r="F2559">
            <v>531</v>
          </cell>
          <cell r="G2559">
            <v>572</v>
          </cell>
          <cell r="H2559">
            <v>275</v>
          </cell>
          <cell r="I2559">
            <v>195</v>
          </cell>
          <cell r="J2559">
            <v>140</v>
          </cell>
          <cell r="K2559">
            <v>72</v>
          </cell>
          <cell r="L2559">
            <v>226</v>
          </cell>
          <cell r="M2559">
            <v>154</v>
          </cell>
          <cell r="N2559">
            <v>88</v>
          </cell>
          <cell r="O2559">
            <v>77</v>
          </cell>
          <cell r="P2559">
            <v>137</v>
          </cell>
          <cell r="Q2559">
            <v>64</v>
          </cell>
          <cell r="R2559">
            <v>7</v>
          </cell>
          <cell r="S2559">
            <v>14</v>
          </cell>
          <cell r="T2559">
            <v>139</v>
          </cell>
          <cell r="U2559">
            <v>139</v>
          </cell>
          <cell r="V2559">
            <v>31</v>
          </cell>
          <cell r="W2559">
            <v>94</v>
          </cell>
          <cell r="X2559">
            <v>128</v>
          </cell>
          <cell r="Y2559">
            <v>153</v>
          </cell>
          <cell r="Z2559">
            <v>372</v>
          </cell>
          <cell r="AA2559">
            <v>410</v>
          </cell>
          <cell r="AB2559">
            <v>163</v>
          </cell>
          <cell r="AC2559">
            <v>0</v>
          </cell>
          <cell r="AD2559">
            <v>0</v>
          </cell>
          <cell r="AE2559">
            <v>0</v>
          </cell>
          <cell r="AF2559">
            <v>0</v>
          </cell>
          <cell r="AG2559">
            <v>0</v>
          </cell>
          <cell r="AH2559">
            <v>0</v>
          </cell>
          <cell r="AI2559">
            <v>0</v>
          </cell>
          <cell r="AJ2559">
            <v>0</v>
          </cell>
        </row>
        <row r="2560">
          <cell r="E2560" t="str">
            <v>DC Transportation Residual Fuel</v>
          </cell>
          <cell r="F2560">
            <v>19</v>
          </cell>
          <cell r="G2560">
            <v>0</v>
          </cell>
          <cell r="H2560">
            <v>44</v>
          </cell>
          <cell r="I2560">
            <v>0</v>
          </cell>
          <cell r="J2560">
            <v>0</v>
          </cell>
          <cell r="K2560">
            <v>0</v>
          </cell>
          <cell r="L2560">
            <v>0</v>
          </cell>
          <cell r="M2560">
            <v>0</v>
          </cell>
          <cell r="N2560">
            <v>0</v>
          </cell>
          <cell r="O2560">
            <v>0</v>
          </cell>
          <cell r="P2560">
            <v>0</v>
          </cell>
          <cell r="Q2560">
            <v>2</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row>
        <row r="2561">
          <cell r="E2561" t="str">
            <v>DE Transportation Residual Fuel</v>
          </cell>
          <cell r="F2561">
            <v>5658</v>
          </cell>
          <cell r="G2561">
            <v>8224</v>
          </cell>
          <cell r="H2561">
            <v>6450</v>
          </cell>
          <cell r="I2561">
            <v>7096</v>
          </cell>
          <cell r="J2561">
            <v>7847</v>
          </cell>
          <cell r="K2561">
            <v>6476</v>
          </cell>
          <cell r="L2561">
            <v>12554</v>
          </cell>
          <cell r="M2561">
            <v>10474</v>
          </cell>
          <cell r="N2561">
            <v>8627</v>
          </cell>
          <cell r="O2561">
            <v>10959</v>
          </cell>
          <cell r="P2561">
            <v>10280</v>
          </cell>
          <cell r="Q2561">
            <v>8198</v>
          </cell>
          <cell r="R2561">
            <v>7337</v>
          </cell>
          <cell r="S2561">
            <v>6254</v>
          </cell>
          <cell r="T2561">
            <v>6211</v>
          </cell>
          <cell r="U2561">
            <v>6852</v>
          </cell>
          <cell r="V2561">
            <v>7231</v>
          </cell>
          <cell r="W2561">
            <v>7816</v>
          </cell>
          <cell r="X2561">
            <v>7855</v>
          </cell>
          <cell r="Y2561">
            <v>6364</v>
          </cell>
          <cell r="Z2561">
            <v>1963</v>
          </cell>
          <cell r="AA2561">
            <v>33</v>
          </cell>
          <cell r="AB2561">
            <v>1464</v>
          </cell>
          <cell r="AC2561">
            <v>507</v>
          </cell>
          <cell r="AD2561">
            <v>732</v>
          </cell>
          <cell r="AE2561">
            <v>407</v>
          </cell>
          <cell r="AF2561">
            <v>986</v>
          </cell>
          <cell r="AG2561">
            <v>158</v>
          </cell>
          <cell r="AH2561">
            <v>118</v>
          </cell>
          <cell r="AI2561">
            <v>564</v>
          </cell>
          <cell r="AJ2561">
            <v>744</v>
          </cell>
        </row>
        <row r="2562">
          <cell r="E2562" t="str">
            <v>FL Transportation Residual Fuel</v>
          </cell>
          <cell r="F2562">
            <v>62532</v>
          </cell>
          <cell r="G2562">
            <v>52170</v>
          </cell>
          <cell r="H2562">
            <v>64545</v>
          </cell>
          <cell r="I2562">
            <v>73060</v>
          </cell>
          <cell r="J2562">
            <v>63318</v>
          </cell>
          <cell r="K2562">
            <v>53033</v>
          </cell>
          <cell r="L2562">
            <v>51090</v>
          </cell>
          <cell r="M2562">
            <v>53344</v>
          </cell>
          <cell r="N2562">
            <v>48183</v>
          </cell>
          <cell r="O2562">
            <v>47836</v>
          </cell>
          <cell r="P2562">
            <v>62726</v>
          </cell>
          <cell r="Q2562">
            <v>53364</v>
          </cell>
          <cell r="R2562">
            <v>65620</v>
          </cell>
          <cell r="S2562">
            <v>28446</v>
          </cell>
          <cell r="T2562">
            <v>80170</v>
          </cell>
          <cell r="U2562">
            <v>84422</v>
          </cell>
          <cell r="V2562">
            <v>88205</v>
          </cell>
          <cell r="W2562">
            <v>83363</v>
          </cell>
          <cell r="X2562">
            <v>26707</v>
          </cell>
          <cell r="Y2562">
            <v>19498</v>
          </cell>
          <cell r="Z2562">
            <v>89523</v>
          </cell>
          <cell r="AA2562">
            <v>84860</v>
          </cell>
          <cell r="AB2562">
            <v>66494</v>
          </cell>
          <cell r="AC2562">
            <v>57359</v>
          </cell>
          <cell r="AD2562">
            <v>55667</v>
          </cell>
          <cell r="AE2562">
            <v>51174</v>
          </cell>
          <cell r="AF2562">
            <v>51929</v>
          </cell>
          <cell r="AG2562">
            <v>57890</v>
          </cell>
          <cell r="AH2562">
            <v>86801</v>
          </cell>
          <cell r="AI2562">
            <v>52152</v>
          </cell>
          <cell r="AJ2562">
            <v>6487</v>
          </cell>
        </row>
        <row r="2563">
          <cell r="E2563" t="str">
            <v>GA Transportation Residual Fuel</v>
          </cell>
          <cell r="F2563">
            <v>8215</v>
          </cell>
          <cell r="G2563">
            <v>7284</v>
          </cell>
          <cell r="H2563">
            <v>20986</v>
          </cell>
          <cell r="I2563">
            <v>15932</v>
          </cell>
          <cell r="J2563">
            <v>11601</v>
          </cell>
          <cell r="K2563">
            <v>8698</v>
          </cell>
          <cell r="L2563">
            <v>7778</v>
          </cell>
          <cell r="M2563">
            <v>6951</v>
          </cell>
          <cell r="N2563">
            <v>5733</v>
          </cell>
          <cell r="O2563">
            <v>4747</v>
          </cell>
          <cell r="P2563">
            <v>5172</v>
          </cell>
          <cell r="Q2563">
            <v>4087</v>
          </cell>
          <cell r="R2563">
            <v>11282</v>
          </cell>
          <cell r="S2563">
            <v>12518</v>
          </cell>
          <cell r="T2563">
            <v>23967</v>
          </cell>
          <cell r="U2563">
            <v>27986</v>
          </cell>
          <cell r="V2563">
            <v>50098</v>
          </cell>
          <cell r="W2563">
            <v>35537</v>
          </cell>
          <cell r="X2563">
            <v>44552</v>
          </cell>
          <cell r="Y2563">
            <v>42134</v>
          </cell>
          <cell r="Z2563">
            <v>53499</v>
          </cell>
          <cell r="AA2563">
            <v>67144</v>
          </cell>
          <cell r="AB2563">
            <v>39062</v>
          </cell>
          <cell r="AC2563">
            <v>26914</v>
          </cell>
          <cell r="AD2563">
            <v>11979</v>
          </cell>
          <cell r="AE2563">
            <v>9536</v>
          </cell>
          <cell r="AF2563">
            <v>7427</v>
          </cell>
          <cell r="AG2563">
            <v>5866</v>
          </cell>
          <cell r="AH2563">
            <v>9707</v>
          </cell>
          <cell r="AI2563">
            <v>4134</v>
          </cell>
          <cell r="AJ2563">
            <v>1089</v>
          </cell>
        </row>
        <row r="2564">
          <cell r="E2564" t="str">
            <v>HI Transportation Residual Fuel</v>
          </cell>
          <cell r="F2564">
            <v>16703</v>
          </cell>
          <cell r="G2564">
            <v>16309</v>
          </cell>
          <cell r="H2564">
            <v>23616</v>
          </cell>
          <cell r="I2564">
            <v>16683</v>
          </cell>
          <cell r="J2564">
            <v>18457</v>
          </cell>
          <cell r="K2564">
            <v>16832</v>
          </cell>
          <cell r="L2564">
            <v>4413</v>
          </cell>
          <cell r="M2564">
            <v>3077</v>
          </cell>
          <cell r="N2564">
            <v>2410</v>
          </cell>
          <cell r="O2564">
            <v>10739</v>
          </cell>
          <cell r="P2564">
            <v>13995</v>
          </cell>
          <cell r="Q2564">
            <v>16709</v>
          </cell>
          <cell r="R2564">
            <v>9035</v>
          </cell>
          <cell r="S2564">
            <v>5745</v>
          </cell>
          <cell r="T2564">
            <v>9388</v>
          </cell>
          <cell r="U2564">
            <v>7049</v>
          </cell>
          <cell r="V2564">
            <v>14933</v>
          </cell>
          <cell r="W2564">
            <v>28069</v>
          </cell>
          <cell r="X2564">
            <v>6146</v>
          </cell>
          <cell r="Y2564">
            <v>7633</v>
          </cell>
          <cell r="Z2564">
            <v>6756</v>
          </cell>
          <cell r="AA2564">
            <v>6300</v>
          </cell>
          <cell r="AB2564">
            <v>5699</v>
          </cell>
          <cell r="AC2564">
            <v>5530</v>
          </cell>
          <cell r="AD2564">
            <v>5330</v>
          </cell>
          <cell r="AE2564">
            <v>4394</v>
          </cell>
          <cell r="AF2564">
            <v>5091</v>
          </cell>
          <cell r="AG2564">
            <v>7215</v>
          </cell>
          <cell r="AH2564">
            <v>6443</v>
          </cell>
          <cell r="AI2564">
            <v>8299</v>
          </cell>
          <cell r="AJ2564">
            <v>4796</v>
          </cell>
        </row>
        <row r="2565">
          <cell r="E2565" t="str">
            <v>IA Transportation Residual Fuel</v>
          </cell>
          <cell r="F2565">
            <v>1</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row>
        <row r="2566">
          <cell r="E2566" t="str">
            <v>ID Transportation Residual Fuel</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row>
        <row r="2567">
          <cell r="E2567" t="str">
            <v>IL Transportation Residual Fuel</v>
          </cell>
          <cell r="F2567">
            <v>321</v>
          </cell>
          <cell r="G2567">
            <v>84</v>
          </cell>
          <cell r="H2567">
            <v>196</v>
          </cell>
          <cell r="I2567">
            <v>232</v>
          </cell>
          <cell r="J2567">
            <v>314</v>
          </cell>
          <cell r="K2567">
            <v>223</v>
          </cell>
          <cell r="L2567">
            <v>190</v>
          </cell>
          <cell r="M2567">
            <v>297</v>
          </cell>
          <cell r="N2567">
            <v>231</v>
          </cell>
          <cell r="O2567">
            <v>190</v>
          </cell>
          <cell r="P2567">
            <v>580</v>
          </cell>
          <cell r="Q2567">
            <v>842</v>
          </cell>
          <cell r="R2567">
            <v>466</v>
          </cell>
          <cell r="S2567">
            <v>752</v>
          </cell>
          <cell r="T2567">
            <v>100</v>
          </cell>
          <cell r="U2567">
            <v>145</v>
          </cell>
          <cell r="V2567">
            <v>293</v>
          </cell>
          <cell r="W2567">
            <v>233</v>
          </cell>
          <cell r="X2567">
            <v>216</v>
          </cell>
          <cell r="Y2567">
            <v>151</v>
          </cell>
          <cell r="Z2567">
            <v>0</v>
          </cell>
          <cell r="AA2567">
            <v>0</v>
          </cell>
          <cell r="AB2567">
            <v>135</v>
          </cell>
          <cell r="AC2567">
            <v>136</v>
          </cell>
          <cell r="AD2567">
            <v>8</v>
          </cell>
          <cell r="AE2567">
            <v>10</v>
          </cell>
          <cell r="AF2567">
            <v>6</v>
          </cell>
          <cell r="AG2567">
            <v>0</v>
          </cell>
          <cell r="AH2567">
            <v>134</v>
          </cell>
          <cell r="AI2567">
            <v>0</v>
          </cell>
          <cell r="AJ2567">
            <v>0</v>
          </cell>
        </row>
        <row r="2568">
          <cell r="E2568" t="str">
            <v>IN Transportation Residual Fuel</v>
          </cell>
          <cell r="F2568">
            <v>1224</v>
          </cell>
          <cell r="G2568">
            <v>560</v>
          </cell>
          <cell r="H2568">
            <v>1293</v>
          </cell>
          <cell r="I2568">
            <v>2110</v>
          </cell>
          <cell r="J2568">
            <v>1401</v>
          </cell>
          <cell r="K2568">
            <v>1476</v>
          </cell>
          <cell r="L2568">
            <v>1840</v>
          </cell>
          <cell r="M2568">
            <v>2481</v>
          </cell>
          <cell r="N2568">
            <v>1902</v>
          </cell>
          <cell r="O2568">
            <v>1544</v>
          </cell>
          <cell r="P2568">
            <v>1898</v>
          </cell>
          <cell r="Q2568">
            <v>1074</v>
          </cell>
          <cell r="R2568">
            <v>1545</v>
          </cell>
          <cell r="S2568">
            <v>484</v>
          </cell>
          <cell r="T2568">
            <v>1012</v>
          </cell>
          <cell r="U2568">
            <v>1206</v>
          </cell>
          <cell r="V2568">
            <v>1114</v>
          </cell>
          <cell r="W2568">
            <v>1804</v>
          </cell>
          <cell r="X2568">
            <v>2325</v>
          </cell>
          <cell r="Y2568">
            <v>626</v>
          </cell>
          <cell r="Z2568">
            <v>800</v>
          </cell>
          <cell r="AA2568">
            <v>1332</v>
          </cell>
          <cell r="AB2568">
            <v>916</v>
          </cell>
          <cell r="AC2568">
            <v>636</v>
          </cell>
          <cell r="AD2568">
            <v>605</v>
          </cell>
          <cell r="AE2568">
            <v>638</v>
          </cell>
          <cell r="AF2568">
            <v>1208</v>
          </cell>
          <cell r="AG2568">
            <v>2835</v>
          </cell>
          <cell r="AH2568">
            <v>825</v>
          </cell>
          <cell r="AI2568">
            <v>1326</v>
          </cell>
          <cell r="AJ2568">
            <v>1229</v>
          </cell>
        </row>
        <row r="2569">
          <cell r="E2569" t="str">
            <v>KS Transportation Residual Fuel</v>
          </cell>
          <cell r="F2569">
            <v>0</v>
          </cell>
          <cell r="G2569">
            <v>0</v>
          </cell>
          <cell r="H2569">
            <v>0</v>
          </cell>
          <cell r="I2569">
            <v>0</v>
          </cell>
          <cell r="J2569">
            <v>0</v>
          </cell>
          <cell r="K2569">
            <v>0</v>
          </cell>
          <cell r="L2569">
            <v>0</v>
          </cell>
          <cell r="M2569">
            <v>0</v>
          </cell>
          <cell r="N2569">
            <v>17</v>
          </cell>
          <cell r="O2569">
            <v>47</v>
          </cell>
          <cell r="P2569">
            <v>0</v>
          </cell>
          <cell r="Q2569">
            <v>9</v>
          </cell>
          <cell r="R2569">
            <v>46</v>
          </cell>
          <cell r="S2569">
            <v>48</v>
          </cell>
          <cell r="T2569">
            <v>48</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row>
        <row r="2570">
          <cell r="E2570" t="str">
            <v>KY Transportation Residual Fuel</v>
          </cell>
          <cell r="F2570">
            <v>0</v>
          </cell>
          <cell r="G2570">
            <v>0</v>
          </cell>
          <cell r="H2570">
            <v>0</v>
          </cell>
          <cell r="I2570">
            <v>0</v>
          </cell>
          <cell r="J2570">
            <v>0</v>
          </cell>
          <cell r="K2570">
            <v>0</v>
          </cell>
          <cell r="L2570">
            <v>0</v>
          </cell>
          <cell r="M2570">
            <v>0</v>
          </cell>
          <cell r="N2570">
            <v>0</v>
          </cell>
          <cell r="O2570">
            <v>0</v>
          </cell>
          <cell r="P2570">
            <v>0</v>
          </cell>
          <cell r="Q2570">
            <v>4</v>
          </cell>
          <cell r="R2570">
            <v>10</v>
          </cell>
          <cell r="S2570">
            <v>20</v>
          </cell>
          <cell r="T2570">
            <v>38</v>
          </cell>
          <cell r="U2570">
            <v>17</v>
          </cell>
          <cell r="V2570">
            <v>0</v>
          </cell>
          <cell r="W2570">
            <v>0</v>
          </cell>
          <cell r="X2570">
            <v>0</v>
          </cell>
          <cell r="Y2570">
            <v>0</v>
          </cell>
          <cell r="Z2570">
            <v>37</v>
          </cell>
          <cell r="AA2570">
            <v>0</v>
          </cell>
          <cell r="AB2570">
            <v>0</v>
          </cell>
          <cell r="AC2570">
            <v>0</v>
          </cell>
          <cell r="AD2570">
            <v>0</v>
          </cell>
          <cell r="AE2570">
            <v>0</v>
          </cell>
          <cell r="AF2570">
            <v>0</v>
          </cell>
          <cell r="AG2570">
            <v>0</v>
          </cell>
          <cell r="AH2570">
            <v>0</v>
          </cell>
          <cell r="AI2570">
            <v>0</v>
          </cell>
          <cell r="AJ2570">
            <v>0</v>
          </cell>
        </row>
        <row r="2571">
          <cell r="E2571" t="str">
            <v>LA Transportation Residual Fuel</v>
          </cell>
          <cell r="F2571">
            <v>136662</v>
          </cell>
          <cell r="G2571">
            <v>155224</v>
          </cell>
          <cell r="H2571">
            <v>181698</v>
          </cell>
          <cell r="I2571">
            <v>167120</v>
          </cell>
          <cell r="J2571">
            <v>148551</v>
          </cell>
          <cell r="K2571">
            <v>142487</v>
          </cell>
          <cell r="L2571">
            <v>160252</v>
          </cell>
          <cell r="M2571">
            <v>122577</v>
          </cell>
          <cell r="N2571">
            <v>127341</v>
          </cell>
          <cell r="O2571">
            <v>127855</v>
          </cell>
          <cell r="P2571">
            <v>170815</v>
          </cell>
          <cell r="Q2571">
            <v>64397</v>
          </cell>
          <cell r="R2571">
            <v>65385</v>
          </cell>
          <cell r="S2571">
            <v>60792</v>
          </cell>
          <cell r="T2571">
            <v>68373</v>
          </cell>
          <cell r="U2571">
            <v>65739</v>
          </cell>
          <cell r="V2571">
            <v>84152</v>
          </cell>
          <cell r="W2571">
            <v>92932</v>
          </cell>
          <cell r="X2571">
            <v>91769</v>
          </cell>
          <cell r="Y2571">
            <v>89159</v>
          </cell>
          <cell r="Z2571">
            <v>88025</v>
          </cell>
          <cell r="AA2571">
            <v>83398</v>
          </cell>
          <cell r="AB2571">
            <v>81274</v>
          </cell>
          <cell r="AC2571">
            <v>70759</v>
          </cell>
          <cell r="AD2571">
            <v>40429</v>
          </cell>
          <cell r="AE2571">
            <v>25454</v>
          </cell>
          <cell r="AF2571">
            <v>32639</v>
          </cell>
          <cell r="AG2571">
            <v>78496</v>
          </cell>
          <cell r="AH2571">
            <v>21971</v>
          </cell>
          <cell r="AI2571">
            <v>15287</v>
          </cell>
          <cell r="AJ2571">
            <v>22256</v>
          </cell>
        </row>
        <row r="2572">
          <cell r="E2572" t="str">
            <v>MA Transportation Residual Fuel</v>
          </cell>
          <cell r="F2572">
            <v>8587</v>
          </cell>
          <cell r="G2572">
            <v>2769</v>
          </cell>
          <cell r="H2572">
            <v>2701</v>
          </cell>
          <cell r="I2572">
            <v>2166</v>
          </cell>
          <cell r="J2572">
            <v>2287</v>
          </cell>
          <cell r="K2572">
            <v>1252</v>
          </cell>
          <cell r="L2572">
            <v>12590</v>
          </cell>
          <cell r="M2572">
            <v>8677</v>
          </cell>
          <cell r="N2572">
            <v>186</v>
          </cell>
          <cell r="O2572">
            <v>135</v>
          </cell>
          <cell r="P2572">
            <v>3386</v>
          </cell>
          <cell r="Q2572">
            <v>1806</v>
          </cell>
          <cell r="R2572">
            <v>1976</v>
          </cell>
          <cell r="S2572">
            <v>47</v>
          </cell>
          <cell r="T2572">
            <v>15</v>
          </cell>
          <cell r="U2572">
            <v>4059</v>
          </cell>
          <cell r="V2572">
            <v>2354</v>
          </cell>
          <cell r="W2572">
            <v>1767</v>
          </cell>
          <cell r="X2572">
            <v>1907</v>
          </cell>
          <cell r="Y2572">
            <v>2501</v>
          </cell>
          <cell r="Z2572">
            <v>1787</v>
          </cell>
          <cell r="AA2572">
            <v>1318</v>
          </cell>
          <cell r="AB2572">
            <v>1032</v>
          </cell>
          <cell r="AC2572">
            <v>1239</v>
          </cell>
          <cell r="AD2572">
            <v>593</v>
          </cell>
          <cell r="AE2572">
            <v>542</v>
          </cell>
          <cell r="AF2572">
            <v>1257</v>
          </cell>
          <cell r="AG2572">
            <v>2073</v>
          </cell>
          <cell r="AH2572">
            <v>692</v>
          </cell>
          <cell r="AI2572">
            <v>1329</v>
          </cell>
          <cell r="AJ2572">
            <v>79</v>
          </cell>
        </row>
        <row r="2573">
          <cell r="E2573" t="str">
            <v>MD Transportation Residual Fuel</v>
          </cell>
          <cell r="F2573">
            <v>11473</v>
          </cell>
          <cell r="G2573">
            <v>8581</v>
          </cell>
          <cell r="H2573">
            <v>10143</v>
          </cell>
          <cell r="I2573">
            <v>8012</v>
          </cell>
          <cell r="J2573">
            <v>6122</v>
          </cell>
          <cell r="K2573">
            <v>5854</v>
          </cell>
          <cell r="L2573">
            <v>4750</v>
          </cell>
          <cell r="M2573">
            <v>4551</v>
          </cell>
          <cell r="N2573">
            <v>7174</v>
          </cell>
          <cell r="O2573">
            <v>6143</v>
          </cell>
          <cell r="P2573">
            <v>4946</v>
          </cell>
          <cell r="Q2573">
            <v>3851</v>
          </cell>
          <cell r="R2573">
            <v>4364</v>
          </cell>
          <cell r="S2573">
            <v>2542</v>
          </cell>
          <cell r="T2573">
            <v>7827</v>
          </cell>
          <cell r="U2573">
            <v>7293</v>
          </cell>
          <cell r="V2573">
            <v>7679</v>
          </cell>
          <cell r="W2573">
            <v>4592</v>
          </cell>
          <cell r="X2573">
            <v>4786</v>
          </cell>
          <cell r="Y2573">
            <v>2670</v>
          </cell>
          <cell r="Z2573">
            <v>4567</v>
          </cell>
          <cell r="AA2573">
            <v>1603</v>
          </cell>
          <cell r="AB2573">
            <v>1134</v>
          </cell>
          <cell r="AC2573">
            <v>1235</v>
          </cell>
          <cell r="AD2573">
            <v>189</v>
          </cell>
          <cell r="AE2573">
            <v>322</v>
          </cell>
          <cell r="AF2573">
            <v>170</v>
          </cell>
          <cell r="AG2573">
            <v>363</v>
          </cell>
          <cell r="AH2573">
            <v>869</v>
          </cell>
          <cell r="AI2573">
            <v>394</v>
          </cell>
          <cell r="AJ2573">
            <v>2118</v>
          </cell>
        </row>
        <row r="2574">
          <cell r="E2574" t="str">
            <v>ME Transportation Residual Fuel</v>
          </cell>
          <cell r="F2574">
            <v>926</v>
          </cell>
          <cell r="G2574">
            <v>725</v>
          </cell>
          <cell r="H2574">
            <v>970</v>
          </cell>
          <cell r="I2574">
            <v>1767</v>
          </cell>
          <cell r="J2574">
            <v>1461</v>
          </cell>
          <cell r="K2574">
            <v>1282</v>
          </cell>
          <cell r="L2574">
            <v>1268</v>
          </cell>
          <cell r="M2574">
            <v>675</v>
          </cell>
          <cell r="N2574">
            <v>1766</v>
          </cell>
          <cell r="O2574">
            <v>1174</v>
          </cell>
          <cell r="P2574">
            <v>4379</v>
          </cell>
          <cell r="Q2574">
            <v>3418</v>
          </cell>
          <cell r="R2574">
            <v>5229</v>
          </cell>
          <cell r="S2574">
            <v>16</v>
          </cell>
          <cell r="T2574">
            <v>172</v>
          </cell>
          <cell r="U2574">
            <v>5975</v>
          </cell>
          <cell r="V2574">
            <v>5139</v>
          </cell>
          <cell r="W2574">
            <v>1247</v>
          </cell>
          <cell r="X2574">
            <v>369</v>
          </cell>
          <cell r="Y2574">
            <v>5016</v>
          </cell>
          <cell r="Z2574">
            <v>2752</v>
          </cell>
          <cell r="AA2574">
            <v>3388</v>
          </cell>
          <cell r="AB2574">
            <v>3081</v>
          </cell>
          <cell r="AC2574">
            <v>4103</v>
          </cell>
          <cell r="AD2574">
            <v>2016</v>
          </cell>
          <cell r="AE2574">
            <v>1004</v>
          </cell>
          <cell r="AF2574">
            <v>1251</v>
          </cell>
          <cell r="AG2574">
            <v>379</v>
          </cell>
          <cell r="AH2574">
            <v>417</v>
          </cell>
          <cell r="AI2574">
            <v>364</v>
          </cell>
          <cell r="AJ2574">
            <v>118</v>
          </cell>
        </row>
        <row r="2575">
          <cell r="E2575" t="str">
            <v>MI Transportation Residual Fuel</v>
          </cell>
          <cell r="F2575">
            <v>577</v>
          </cell>
          <cell r="G2575">
            <v>313</v>
          </cell>
          <cell r="H2575">
            <v>610</v>
          </cell>
          <cell r="I2575">
            <v>461</v>
          </cell>
          <cell r="J2575">
            <v>610</v>
          </cell>
          <cell r="K2575">
            <v>591</v>
          </cell>
          <cell r="L2575">
            <v>772</v>
          </cell>
          <cell r="M2575">
            <v>325</v>
          </cell>
          <cell r="N2575">
            <v>516</v>
          </cell>
          <cell r="O2575">
            <v>226</v>
          </cell>
          <cell r="P2575">
            <v>301</v>
          </cell>
          <cell r="Q2575">
            <v>445</v>
          </cell>
          <cell r="R2575">
            <v>297</v>
          </cell>
          <cell r="S2575">
            <v>1243</v>
          </cell>
          <cell r="T2575">
            <v>1575</v>
          </cell>
          <cell r="U2575">
            <v>1238</v>
          </cell>
          <cell r="V2575">
            <v>1457</v>
          </cell>
          <cell r="W2575">
            <v>1808</v>
          </cell>
          <cell r="X2575">
            <v>1373</v>
          </cell>
          <cell r="Y2575">
            <v>840</v>
          </cell>
          <cell r="Z2575">
            <v>1544</v>
          </cell>
          <cell r="AA2575">
            <v>2064</v>
          </cell>
          <cell r="AB2575">
            <v>1415</v>
          </cell>
          <cell r="AC2575">
            <v>1509</v>
          </cell>
          <cell r="AD2575">
            <v>1139</v>
          </cell>
          <cell r="AE2575">
            <v>1009</v>
          </cell>
          <cell r="AF2575">
            <v>2881</v>
          </cell>
          <cell r="AG2575">
            <v>4258</v>
          </cell>
          <cell r="AH2575">
            <v>4910</v>
          </cell>
          <cell r="AI2575">
            <v>5584</v>
          </cell>
          <cell r="AJ2575">
            <v>3932</v>
          </cell>
        </row>
        <row r="2576">
          <cell r="E2576" t="str">
            <v>MN Transportation Residual Fuel</v>
          </cell>
          <cell r="F2576">
            <v>0</v>
          </cell>
          <cell r="G2576">
            <v>17</v>
          </cell>
          <cell r="H2576">
            <v>16</v>
          </cell>
          <cell r="I2576">
            <v>3</v>
          </cell>
          <cell r="J2576">
            <v>14</v>
          </cell>
          <cell r="K2576">
            <v>0</v>
          </cell>
          <cell r="L2576">
            <v>0</v>
          </cell>
          <cell r="M2576">
            <v>60</v>
          </cell>
          <cell r="N2576">
            <v>0</v>
          </cell>
          <cell r="O2576">
            <v>8</v>
          </cell>
          <cell r="P2576">
            <v>1395</v>
          </cell>
          <cell r="Q2576">
            <v>1126</v>
          </cell>
          <cell r="R2576">
            <v>1644</v>
          </cell>
          <cell r="S2576">
            <v>441</v>
          </cell>
          <cell r="T2576">
            <v>1859</v>
          </cell>
          <cell r="U2576">
            <v>1470</v>
          </cell>
          <cell r="V2576">
            <v>1249</v>
          </cell>
          <cell r="W2576">
            <v>2525</v>
          </cell>
          <cell r="X2576">
            <v>4000</v>
          </cell>
          <cell r="Y2576">
            <v>1002</v>
          </cell>
          <cell r="Z2576">
            <v>1284</v>
          </cell>
          <cell r="AA2576">
            <v>861</v>
          </cell>
          <cell r="AB2576">
            <v>446</v>
          </cell>
          <cell r="AC2576">
            <v>475</v>
          </cell>
          <cell r="AD2576">
            <v>307</v>
          </cell>
          <cell r="AE2576">
            <v>511</v>
          </cell>
          <cell r="AF2576">
            <v>708</v>
          </cell>
          <cell r="AG2576">
            <v>0</v>
          </cell>
          <cell r="AH2576">
            <v>0</v>
          </cell>
          <cell r="AI2576">
            <v>0</v>
          </cell>
          <cell r="AJ2576">
            <v>0</v>
          </cell>
        </row>
        <row r="2577">
          <cell r="E2577" t="str">
            <v>MO Transportation Residual Fuel</v>
          </cell>
          <cell r="F2577">
            <v>212</v>
          </cell>
          <cell r="G2577">
            <v>0</v>
          </cell>
          <cell r="H2577">
            <v>108</v>
          </cell>
          <cell r="I2577">
            <v>211</v>
          </cell>
          <cell r="J2577">
            <v>136</v>
          </cell>
          <cell r="K2577">
            <v>133</v>
          </cell>
          <cell r="L2577">
            <v>111</v>
          </cell>
          <cell r="M2577">
            <v>93</v>
          </cell>
          <cell r="N2577">
            <v>25</v>
          </cell>
          <cell r="O2577">
            <v>30</v>
          </cell>
          <cell r="P2577">
            <v>37</v>
          </cell>
          <cell r="Q2577">
            <v>26</v>
          </cell>
          <cell r="R2577">
            <v>64</v>
          </cell>
          <cell r="S2577">
            <v>81</v>
          </cell>
          <cell r="T2577">
            <v>113</v>
          </cell>
          <cell r="U2577">
            <v>86</v>
          </cell>
          <cell r="V2577">
            <v>58</v>
          </cell>
          <cell r="W2577">
            <v>17</v>
          </cell>
          <cell r="X2577">
            <v>0</v>
          </cell>
          <cell r="Y2577">
            <v>33</v>
          </cell>
          <cell r="Z2577">
            <v>0</v>
          </cell>
          <cell r="AA2577">
            <v>0</v>
          </cell>
          <cell r="AB2577">
            <v>0</v>
          </cell>
          <cell r="AC2577">
            <v>0</v>
          </cell>
          <cell r="AD2577">
            <v>0</v>
          </cell>
          <cell r="AE2577">
            <v>0</v>
          </cell>
          <cell r="AF2577">
            <v>3</v>
          </cell>
          <cell r="AG2577">
            <v>3</v>
          </cell>
          <cell r="AH2577">
            <v>0</v>
          </cell>
          <cell r="AI2577">
            <v>0</v>
          </cell>
          <cell r="AJ2577">
            <v>0</v>
          </cell>
        </row>
        <row r="2578">
          <cell r="E2578" t="str">
            <v>MS Transportation Residual Fuel</v>
          </cell>
          <cell r="F2578">
            <v>9634</v>
          </cell>
          <cell r="G2578">
            <v>24612</v>
          </cell>
          <cell r="H2578">
            <v>16275</v>
          </cell>
          <cell r="I2578">
            <v>20092</v>
          </cell>
          <cell r="J2578">
            <v>22221</v>
          </cell>
          <cell r="K2578">
            <v>15838</v>
          </cell>
          <cell r="L2578">
            <v>10531</v>
          </cell>
          <cell r="M2578">
            <v>7864</v>
          </cell>
          <cell r="N2578">
            <v>6537</v>
          </cell>
          <cell r="O2578">
            <v>5756</v>
          </cell>
          <cell r="P2578">
            <v>8589</v>
          </cell>
          <cell r="Q2578">
            <v>8114</v>
          </cell>
          <cell r="R2578">
            <v>7698</v>
          </cell>
          <cell r="S2578">
            <v>5162</v>
          </cell>
          <cell r="T2578">
            <v>10568</v>
          </cell>
          <cell r="U2578">
            <v>3770</v>
          </cell>
          <cell r="V2578">
            <v>4420</v>
          </cell>
          <cell r="W2578">
            <v>4301</v>
          </cell>
          <cell r="X2578">
            <v>4114</v>
          </cell>
          <cell r="Y2578">
            <v>4489</v>
          </cell>
          <cell r="Z2578">
            <v>4882</v>
          </cell>
          <cell r="AA2578">
            <v>5480</v>
          </cell>
          <cell r="AB2578">
            <v>6669</v>
          </cell>
          <cell r="AC2578">
            <v>4348</v>
          </cell>
          <cell r="AD2578">
            <v>906</v>
          </cell>
          <cell r="AE2578">
            <v>3067</v>
          </cell>
          <cell r="AF2578">
            <v>3635</v>
          </cell>
          <cell r="AG2578">
            <v>3950</v>
          </cell>
          <cell r="AH2578">
            <v>1345</v>
          </cell>
          <cell r="AI2578">
            <v>1543</v>
          </cell>
          <cell r="AJ2578">
            <v>1105</v>
          </cell>
        </row>
        <row r="2579">
          <cell r="E2579" t="str">
            <v>MT Transportation Residual Fuel</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190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row>
        <row r="2580">
          <cell r="E2580" t="str">
            <v>NC Transportation Residual Fuel</v>
          </cell>
          <cell r="F2580">
            <v>3225</v>
          </cell>
          <cell r="G2580">
            <v>4664</v>
          </cell>
          <cell r="H2580">
            <v>4098</v>
          </cell>
          <cell r="I2580">
            <v>2656</v>
          </cell>
          <cell r="J2580">
            <v>1319</v>
          </cell>
          <cell r="K2580">
            <v>1880</v>
          </cell>
          <cell r="L2580">
            <v>2063</v>
          </cell>
          <cell r="M2580">
            <v>1740</v>
          </cell>
          <cell r="N2580">
            <v>928</v>
          </cell>
          <cell r="O2580">
            <v>827</v>
          </cell>
          <cell r="P2580">
            <v>804</v>
          </cell>
          <cell r="Q2580">
            <v>657</v>
          </cell>
          <cell r="R2580">
            <v>5016</v>
          </cell>
          <cell r="S2580">
            <v>4914</v>
          </cell>
          <cell r="T2580">
            <v>2523</v>
          </cell>
          <cell r="U2580">
            <v>2649</v>
          </cell>
          <cell r="V2580">
            <v>1210</v>
          </cell>
          <cell r="W2580">
            <v>3707</v>
          </cell>
          <cell r="X2580">
            <v>4588</v>
          </cell>
          <cell r="Y2580">
            <v>4356</v>
          </cell>
          <cell r="Z2580">
            <v>2457</v>
          </cell>
          <cell r="AA2580">
            <v>1842</v>
          </cell>
          <cell r="AB2580">
            <v>22</v>
          </cell>
          <cell r="AC2580">
            <v>0</v>
          </cell>
          <cell r="AD2580">
            <v>3</v>
          </cell>
          <cell r="AE2580">
            <v>58</v>
          </cell>
          <cell r="AF2580">
            <v>133</v>
          </cell>
          <cell r="AG2580">
            <v>175</v>
          </cell>
          <cell r="AH2580">
            <v>170</v>
          </cell>
          <cell r="AI2580">
            <v>267</v>
          </cell>
          <cell r="AJ2580">
            <v>6</v>
          </cell>
        </row>
        <row r="2581">
          <cell r="E2581" t="str">
            <v>ND Transportation Residual Fuel</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row>
        <row r="2582">
          <cell r="E2582" t="str">
            <v>NE Transportation Residual Fuel</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row>
        <row r="2583">
          <cell r="E2583" t="str">
            <v>NH Transportation Residual Fuel</v>
          </cell>
          <cell r="F2583">
            <v>514</v>
          </cell>
          <cell r="G2583">
            <v>1252</v>
          </cell>
          <cell r="H2583">
            <v>759</v>
          </cell>
          <cell r="I2583">
            <v>8</v>
          </cell>
          <cell r="J2583">
            <v>60</v>
          </cell>
          <cell r="K2583">
            <v>0</v>
          </cell>
          <cell r="L2583">
            <v>31</v>
          </cell>
          <cell r="M2583">
            <v>18</v>
          </cell>
          <cell r="N2583">
            <v>38</v>
          </cell>
          <cell r="O2583">
            <v>4</v>
          </cell>
          <cell r="P2583">
            <v>0</v>
          </cell>
          <cell r="Q2583">
            <v>0</v>
          </cell>
          <cell r="R2583">
            <v>0</v>
          </cell>
          <cell r="S2583">
            <v>0</v>
          </cell>
          <cell r="T2583">
            <v>0</v>
          </cell>
          <cell r="U2583">
            <v>0</v>
          </cell>
          <cell r="V2583">
            <v>0</v>
          </cell>
          <cell r="W2583">
            <v>0</v>
          </cell>
          <cell r="X2583">
            <v>0</v>
          </cell>
          <cell r="Y2583">
            <v>0</v>
          </cell>
          <cell r="Z2583">
            <v>0</v>
          </cell>
          <cell r="AA2583">
            <v>0</v>
          </cell>
          <cell r="AB2583">
            <v>11</v>
          </cell>
          <cell r="AC2583">
            <v>5</v>
          </cell>
          <cell r="AD2583">
            <v>13</v>
          </cell>
          <cell r="AE2583">
            <v>0</v>
          </cell>
          <cell r="AF2583">
            <v>0</v>
          </cell>
          <cell r="AG2583">
            <v>0</v>
          </cell>
          <cell r="AH2583">
            <v>0</v>
          </cell>
          <cell r="AI2583">
            <v>0</v>
          </cell>
          <cell r="AJ2583">
            <v>0</v>
          </cell>
        </row>
        <row r="2584">
          <cell r="E2584" t="str">
            <v>NJ Transportation Residual Fuel</v>
          </cell>
          <cell r="F2584">
            <v>45723</v>
          </cell>
          <cell r="G2584">
            <v>63772</v>
          </cell>
          <cell r="H2584">
            <v>60232</v>
          </cell>
          <cell r="I2584">
            <v>40283</v>
          </cell>
          <cell r="J2584">
            <v>39489</v>
          </cell>
          <cell r="K2584">
            <v>50604</v>
          </cell>
          <cell r="L2584">
            <v>37779</v>
          </cell>
          <cell r="M2584">
            <v>41892</v>
          </cell>
          <cell r="N2584">
            <v>41860</v>
          </cell>
          <cell r="O2584">
            <v>40728</v>
          </cell>
          <cell r="P2584">
            <v>76865</v>
          </cell>
          <cell r="Q2584">
            <v>65364</v>
          </cell>
          <cell r="R2584">
            <v>90784</v>
          </cell>
          <cell r="S2584">
            <v>75075</v>
          </cell>
          <cell r="T2584">
            <v>77505</v>
          </cell>
          <cell r="U2584">
            <v>108103</v>
          </cell>
          <cell r="V2584">
            <v>100537</v>
          </cell>
          <cell r="W2584">
            <v>118222</v>
          </cell>
          <cell r="X2584">
            <v>165858</v>
          </cell>
          <cell r="Y2584">
            <v>65195</v>
          </cell>
          <cell r="Z2584">
            <v>48947</v>
          </cell>
          <cell r="AA2584">
            <v>41582</v>
          </cell>
          <cell r="AB2584">
            <v>40283</v>
          </cell>
          <cell r="AC2584">
            <v>34807</v>
          </cell>
          <cell r="AD2584">
            <v>11538</v>
          </cell>
          <cell r="AE2584">
            <v>23220</v>
          </cell>
          <cell r="AF2584">
            <v>24919</v>
          </cell>
          <cell r="AG2584">
            <v>20415</v>
          </cell>
          <cell r="AH2584">
            <v>48248</v>
          </cell>
          <cell r="AI2584">
            <v>4760</v>
          </cell>
          <cell r="AJ2584">
            <v>36092</v>
          </cell>
        </row>
        <row r="2585">
          <cell r="E2585" t="str">
            <v>NM Transportation Residual Fuel</v>
          </cell>
          <cell r="F2585">
            <v>0</v>
          </cell>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row>
        <row r="2586">
          <cell r="E2586" t="str">
            <v>NV Transportation Residual Fuel</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1</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row>
        <row r="2587">
          <cell r="E2587" t="str">
            <v>NY Transportation Residual Fuel</v>
          </cell>
          <cell r="F2587">
            <v>8535</v>
          </cell>
          <cell r="G2587">
            <v>24822</v>
          </cell>
          <cell r="H2587">
            <v>23188</v>
          </cell>
          <cell r="I2587">
            <v>20217</v>
          </cell>
          <cell r="J2587">
            <v>19628</v>
          </cell>
          <cell r="K2587">
            <v>14573</v>
          </cell>
          <cell r="L2587">
            <v>40496</v>
          </cell>
          <cell r="M2587">
            <v>32119</v>
          </cell>
          <cell r="N2587">
            <v>25297</v>
          </cell>
          <cell r="O2587">
            <v>39214</v>
          </cell>
          <cell r="P2587">
            <v>51086</v>
          </cell>
          <cell r="Q2587">
            <v>20163</v>
          </cell>
          <cell r="R2587">
            <v>24054</v>
          </cell>
          <cell r="S2587">
            <v>28816</v>
          </cell>
          <cell r="T2587">
            <v>36611</v>
          </cell>
          <cell r="U2587">
            <v>35735</v>
          </cell>
          <cell r="V2587">
            <v>41053</v>
          </cell>
          <cell r="W2587">
            <v>44407</v>
          </cell>
          <cell r="X2587">
            <v>64984</v>
          </cell>
          <cell r="Y2587">
            <v>73830</v>
          </cell>
          <cell r="Z2587">
            <v>76032</v>
          </cell>
          <cell r="AA2587">
            <v>32429</v>
          </cell>
          <cell r="AB2587">
            <v>31357</v>
          </cell>
          <cell r="AC2587">
            <v>39605</v>
          </cell>
          <cell r="AD2587">
            <v>48848</v>
          </cell>
          <cell r="AE2587">
            <v>30788</v>
          </cell>
          <cell r="AF2587">
            <v>31216</v>
          </cell>
          <cell r="AG2587">
            <v>23490</v>
          </cell>
          <cell r="AH2587">
            <v>20723</v>
          </cell>
          <cell r="AI2587">
            <v>8996</v>
          </cell>
          <cell r="AJ2587">
            <v>12067</v>
          </cell>
        </row>
        <row r="2588">
          <cell r="E2588" t="str">
            <v>OH Transportation Residual Fuel</v>
          </cell>
          <cell r="F2588">
            <v>32</v>
          </cell>
          <cell r="G2588">
            <v>49</v>
          </cell>
          <cell r="H2588">
            <v>340</v>
          </cell>
          <cell r="I2588">
            <v>102</v>
          </cell>
          <cell r="J2588">
            <v>396</v>
          </cell>
          <cell r="K2588">
            <v>354</v>
          </cell>
          <cell r="L2588">
            <v>518</v>
          </cell>
          <cell r="M2588">
            <v>368</v>
          </cell>
          <cell r="N2588">
            <v>362</v>
          </cell>
          <cell r="O2588">
            <v>45</v>
          </cell>
          <cell r="P2588">
            <v>77</v>
          </cell>
          <cell r="Q2588">
            <v>429</v>
          </cell>
          <cell r="R2588">
            <v>644</v>
          </cell>
          <cell r="S2588">
            <v>103</v>
          </cell>
          <cell r="T2588">
            <v>7</v>
          </cell>
          <cell r="U2588">
            <v>0</v>
          </cell>
          <cell r="V2588">
            <v>4</v>
          </cell>
          <cell r="W2588">
            <v>21</v>
          </cell>
          <cell r="X2588">
            <v>0</v>
          </cell>
          <cell r="Y2588">
            <v>0</v>
          </cell>
          <cell r="Z2588">
            <v>0</v>
          </cell>
          <cell r="AA2588">
            <v>0</v>
          </cell>
          <cell r="AB2588">
            <v>0</v>
          </cell>
          <cell r="AC2588">
            <v>0</v>
          </cell>
          <cell r="AD2588">
            <v>3</v>
          </cell>
          <cell r="AE2588">
            <v>41</v>
          </cell>
          <cell r="AF2588">
            <v>7</v>
          </cell>
          <cell r="AG2588">
            <v>0</v>
          </cell>
          <cell r="AH2588">
            <v>46</v>
          </cell>
          <cell r="AI2588">
            <v>151</v>
          </cell>
          <cell r="AJ2588">
            <v>71</v>
          </cell>
        </row>
        <row r="2589">
          <cell r="E2589" t="str">
            <v>OK Transportation Residual Fuel</v>
          </cell>
          <cell r="F2589">
            <v>0</v>
          </cell>
          <cell r="G2589">
            <v>0</v>
          </cell>
          <cell r="H2589">
            <v>0</v>
          </cell>
          <cell r="I2589">
            <v>0</v>
          </cell>
          <cell r="J2589">
            <v>0</v>
          </cell>
          <cell r="K2589">
            <v>0</v>
          </cell>
          <cell r="L2589">
            <v>0</v>
          </cell>
          <cell r="M2589">
            <v>0</v>
          </cell>
          <cell r="N2589">
            <v>14</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row>
        <row r="2590">
          <cell r="E2590" t="str">
            <v>OR Transportation Residual Fuel</v>
          </cell>
          <cell r="F2590">
            <v>23263</v>
          </cell>
          <cell r="G2590">
            <v>35806</v>
          </cell>
          <cell r="H2590">
            <v>36208</v>
          </cell>
          <cell r="I2590">
            <v>23607</v>
          </cell>
          <cell r="J2590">
            <v>24285</v>
          </cell>
          <cell r="K2590">
            <v>19977</v>
          </cell>
          <cell r="L2590">
            <v>19069</v>
          </cell>
          <cell r="M2590">
            <v>20338</v>
          </cell>
          <cell r="N2590">
            <v>23013</v>
          </cell>
          <cell r="O2590">
            <v>15022</v>
          </cell>
          <cell r="P2590">
            <v>7972</v>
          </cell>
          <cell r="Q2590">
            <v>7395</v>
          </cell>
          <cell r="R2590">
            <v>7669</v>
          </cell>
          <cell r="S2590">
            <v>9580</v>
          </cell>
          <cell r="T2590">
            <v>10764</v>
          </cell>
          <cell r="U2590">
            <v>11762</v>
          </cell>
          <cell r="V2590">
            <v>9818</v>
          </cell>
          <cell r="W2590">
            <v>13697</v>
          </cell>
          <cell r="X2590">
            <v>9339</v>
          </cell>
          <cell r="Y2590">
            <v>4855</v>
          </cell>
          <cell r="Z2590">
            <v>9890</v>
          </cell>
          <cell r="AA2590">
            <v>5796</v>
          </cell>
          <cell r="AB2590">
            <v>5056</v>
          </cell>
          <cell r="AC2590">
            <v>3823</v>
          </cell>
          <cell r="AD2590">
            <v>714</v>
          </cell>
          <cell r="AE2590">
            <v>1581</v>
          </cell>
          <cell r="AF2590">
            <v>0</v>
          </cell>
          <cell r="AG2590">
            <v>0</v>
          </cell>
          <cell r="AH2590">
            <v>0</v>
          </cell>
          <cell r="AI2590">
            <v>2159</v>
          </cell>
          <cell r="AJ2590">
            <v>3619</v>
          </cell>
        </row>
        <row r="2591">
          <cell r="E2591" t="str">
            <v>PA Transportation Residual Fuel</v>
          </cell>
          <cell r="F2591">
            <v>35105</v>
          </cell>
          <cell r="G2591">
            <v>35706</v>
          </cell>
          <cell r="H2591">
            <v>43480</v>
          </cell>
          <cell r="I2591">
            <v>37737</v>
          </cell>
          <cell r="J2591">
            <v>37118</v>
          </cell>
          <cell r="K2591">
            <v>29984</v>
          </cell>
          <cell r="L2591">
            <v>20912</v>
          </cell>
          <cell r="M2591">
            <v>28786</v>
          </cell>
          <cell r="N2591">
            <v>34460</v>
          </cell>
          <cell r="O2591">
            <v>31454</v>
          </cell>
          <cell r="P2591">
            <v>29543</v>
          </cell>
          <cell r="Q2591">
            <v>15377</v>
          </cell>
          <cell r="R2591">
            <v>18096</v>
          </cell>
          <cell r="S2591">
            <v>18602</v>
          </cell>
          <cell r="T2591">
            <v>25164</v>
          </cell>
          <cell r="U2591">
            <v>28923</v>
          </cell>
          <cell r="V2591">
            <v>26318</v>
          </cell>
          <cell r="W2591">
            <v>21496</v>
          </cell>
          <cell r="X2591">
            <v>22232</v>
          </cell>
          <cell r="Y2591">
            <v>15070</v>
          </cell>
          <cell r="Z2591">
            <v>5015</v>
          </cell>
          <cell r="AA2591">
            <v>2817</v>
          </cell>
          <cell r="AB2591">
            <v>7494</v>
          </cell>
          <cell r="AC2591">
            <v>6316</v>
          </cell>
          <cell r="AD2591">
            <v>3574</v>
          </cell>
          <cell r="AE2591">
            <v>2074</v>
          </cell>
          <cell r="AF2591">
            <v>2645</v>
          </cell>
          <cell r="AG2591">
            <v>1235</v>
          </cell>
          <cell r="AH2591">
            <v>1272</v>
          </cell>
          <cell r="AI2591">
            <v>1694</v>
          </cell>
          <cell r="AJ2591">
            <v>677</v>
          </cell>
        </row>
        <row r="2592">
          <cell r="E2592" t="str">
            <v>RI Transportation Residual Fuel</v>
          </cell>
          <cell r="F2592">
            <v>215</v>
          </cell>
          <cell r="G2592">
            <v>56</v>
          </cell>
          <cell r="H2592">
            <v>368</v>
          </cell>
          <cell r="I2592">
            <v>137</v>
          </cell>
          <cell r="J2592">
            <v>60</v>
          </cell>
          <cell r="K2592">
            <v>11</v>
          </cell>
          <cell r="L2592">
            <v>13</v>
          </cell>
          <cell r="M2592">
            <v>8</v>
          </cell>
          <cell r="N2592">
            <v>8</v>
          </cell>
          <cell r="O2592">
            <v>21</v>
          </cell>
          <cell r="P2592">
            <v>34</v>
          </cell>
          <cell r="Q2592">
            <v>0</v>
          </cell>
          <cell r="R2592">
            <v>0</v>
          </cell>
          <cell r="S2592">
            <v>0</v>
          </cell>
          <cell r="T2592">
            <v>0</v>
          </cell>
          <cell r="U2592">
            <v>0</v>
          </cell>
          <cell r="V2592">
            <v>27</v>
          </cell>
          <cell r="W2592">
            <v>10</v>
          </cell>
          <cell r="X2592">
            <v>16</v>
          </cell>
          <cell r="Y2592">
            <v>1060</v>
          </cell>
          <cell r="Z2592">
            <v>512</v>
          </cell>
          <cell r="AA2592">
            <v>256</v>
          </cell>
          <cell r="AB2592">
            <v>6</v>
          </cell>
          <cell r="AC2592">
            <v>36</v>
          </cell>
          <cell r="AD2592">
            <v>20</v>
          </cell>
          <cell r="AE2592">
            <v>1</v>
          </cell>
          <cell r="AF2592">
            <v>11</v>
          </cell>
          <cell r="AG2592">
            <v>67</v>
          </cell>
          <cell r="AH2592">
            <v>13</v>
          </cell>
          <cell r="AI2592">
            <v>43</v>
          </cell>
          <cell r="AJ2592">
            <v>0</v>
          </cell>
        </row>
        <row r="2593">
          <cell r="E2593" t="str">
            <v>SC Transportation Residual Fuel</v>
          </cell>
          <cell r="F2593">
            <v>3159</v>
          </cell>
          <cell r="G2593">
            <v>4947</v>
          </cell>
          <cell r="H2593">
            <v>3318</v>
          </cell>
          <cell r="I2593">
            <v>3937</v>
          </cell>
          <cell r="J2593">
            <v>470</v>
          </cell>
          <cell r="K2593">
            <v>2716</v>
          </cell>
          <cell r="L2593">
            <v>4161</v>
          </cell>
          <cell r="M2593">
            <v>3457</v>
          </cell>
          <cell r="N2593">
            <v>2630</v>
          </cell>
          <cell r="O2593">
            <v>2373</v>
          </cell>
          <cell r="P2593">
            <v>2345</v>
          </cell>
          <cell r="Q2593">
            <v>1757</v>
          </cell>
          <cell r="R2593">
            <v>3242</v>
          </cell>
          <cell r="S2593">
            <v>3732</v>
          </cell>
          <cell r="T2593">
            <v>12533</v>
          </cell>
          <cell r="U2593">
            <v>9821</v>
          </cell>
          <cell r="V2593">
            <v>10783</v>
          </cell>
          <cell r="W2593">
            <v>9827</v>
          </cell>
          <cell r="X2593">
            <v>8956</v>
          </cell>
          <cell r="Y2593">
            <v>11512</v>
          </cell>
          <cell r="Z2593">
            <v>13739</v>
          </cell>
          <cell r="AA2593">
            <v>16796</v>
          </cell>
          <cell r="AB2593">
            <v>13765</v>
          </cell>
          <cell r="AC2593">
            <v>9716</v>
          </cell>
          <cell r="AD2593">
            <v>6045</v>
          </cell>
          <cell r="AE2593">
            <v>10374</v>
          </cell>
          <cell r="AF2593">
            <v>9430</v>
          </cell>
          <cell r="AG2593">
            <v>14921</v>
          </cell>
          <cell r="AH2593">
            <v>15015</v>
          </cell>
          <cell r="AI2593">
            <v>837</v>
          </cell>
          <cell r="AJ2593">
            <v>202</v>
          </cell>
        </row>
        <row r="2594">
          <cell r="E2594" t="str">
            <v>SD Transportation Residual Fuel</v>
          </cell>
          <cell r="F2594">
            <v>1</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row>
        <row r="2595">
          <cell r="E2595" t="str">
            <v>TN Transportation Residual Fuel</v>
          </cell>
          <cell r="F2595">
            <v>31</v>
          </cell>
          <cell r="G2595">
            <v>315</v>
          </cell>
          <cell r="H2595">
            <v>275</v>
          </cell>
          <cell r="I2595">
            <v>96</v>
          </cell>
          <cell r="J2595">
            <v>16</v>
          </cell>
          <cell r="K2595">
            <v>12</v>
          </cell>
          <cell r="L2595">
            <v>13</v>
          </cell>
          <cell r="M2595">
            <v>25</v>
          </cell>
          <cell r="N2595">
            <v>0</v>
          </cell>
          <cell r="O2595">
            <v>0</v>
          </cell>
          <cell r="P2595">
            <v>0</v>
          </cell>
          <cell r="Q2595">
            <v>27</v>
          </cell>
          <cell r="R2595">
            <v>18</v>
          </cell>
          <cell r="S2595">
            <v>52</v>
          </cell>
          <cell r="T2595">
            <v>265</v>
          </cell>
          <cell r="U2595">
            <v>368</v>
          </cell>
          <cell r="V2595">
            <v>77</v>
          </cell>
          <cell r="W2595">
            <v>30</v>
          </cell>
          <cell r="X2595">
            <v>281</v>
          </cell>
          <cell r="Y2595">
            <v>0</v>
          </cell>
          <cell r="Z2595">
            <v>0</v>
          </cell>
          <cell r="AA2595">
            <v>0</v>
          </cell>
          <cell r="AB2595">
            <v>326</v>
          </cell>
          <cell r="AC2595">
            <v>323</v>
          </cell>
          <cell r="AD2595">
            <v>30</v>
          </cell>
          <cell r="AE2595">
            <v>74</v>
          </cell>
          <cell r="AF2595">
            <v>0</v>
          </cell>
          <cell r="AG2595">
            <v>92</v>
          </cell>
          <cell r="AH2595">
            <v>0</v>
          </cell>
          <cell r="AI2595">
            <v>83</v>
          </cell>
          <cell r="AJ2595">
            <v>0</v>
          </cell>
        </row>
        <row r="2596">
          <cell r="E2596" t="str">
            <v>TX Transportation Residual Fuel</v>
          </cell>
          <cell r="F2596">
            <v>162615</v>
          </cell>
          <cell r="G2596">
            <v>169875</v>
          </cell>
          <cell r="H2596">
            <v>186027</v>
          </cell>
          <cell r="I2596">
            <v>124648</v>
          </cell>
          <cell r="J2596">
            <v>118770</v>
          </cell>
          <cell r="K2596">
            <v>125890</v>
          </cell>
          <cell r="L2596">
            <v>112322</v>
          </cell>
          <cell r="M2596">
            <v>127126</v>
          </cell>
          <cell r="N2596">
            <v>154912</v>
          </cell>
          <cell r="O2596">
            <v>109840</v>
          </cell>
          <cell r="P2596">
            <v>132070</v>
          </cell>
          <cell r="Q2596">
            <v>101161</v>
          </cell>
          <cell r="R2596">
            <v>101143</v>
          </cell>
          <cell r="S2596">
            <v>104669</v>
          </cell>
          <cell r="T2596">
            <v>127505</v>
          </cell>
          <cell r="U2596">
            <v>141207</v>
          </cell>
          <cell r="V2596">
            <v>150767</v>
          </cell>
          <cell r="W2596">
            <v>185407</v>
          </cell>
          <cell r="X2596">
            <v>157743</v>
          </cell>
          <cell r="Y2596">
            <v>137438</v>
          </cell>
          <cell r="Z2596">
            <v>174956</v>
          </cell>
          <cell r="AA2596">
            <v>166957</v>
          </cell>
          <cell r="AB2596">
            <v>120303</v>
          </cell>
          <cell r="AC2596">
            <v>118275</v>
          </cell>
          <cell r="AD2596">
            <v>121624</v>
          </cell>
          <cell r="AE2596">
            <v>120797</v>
          </cell>
          <cell r="AF2596">
            <v>178684</v>
          </cell>
          <cell r="AG2596">
            <v>178516</v>
          </cell>
          <cell r="AH2596">
            <v>144701</v>
          </cell>
          <cell r="AI2596">
            <v>153293</v>
          </cell>
          <cell r="AJ2596">
            <v>126613</v>
          </cell>
        </row>
        <row r="2597">
          <cell r="E2597" t="str">
            <v>US Transportation Residual Fuel</v>
          </cell>
          <cell r="F2597">
            <v>1016003</v>
          </cell>
          <cell r="G2597">
            <v>1025918</v>
          </cell>
          <cell r="H2597">
            <v>1069971</v>
          </cell>
          <cell r="I2597">
            <v>901454</v>
          </cell>
          <cell r="J2597">
            <v>882585</v>
          </cell>
          <cell r="K2597">
            <v>910515</v>
          </cell>
          <cell r="L2597">
            <v>851305</v>
          </cell>
          <cell r="M2597">
            <v>711713</v>
          </cell>
          <cell r="N2597">
            <v>673713</v>
          </cell>
          <cell r="O2597">
            <v>665450</v>
          </cell>
          <cell r="P2597">
            <v>887541</v>
          </cell>
          <cell r="Q2597">
            <v>585537</v>
          </cell>
          <cell r="R2597">
            <v>676811</v>
          </cell>
          <cell r="S2597">
            <v>570929</v>
          </cell>
          <cell r="T2597">
            <v>739508</v>
          </cell>
          <cell r="U2597">
            <v>837442</v>
          </cell>
          <cell r="V2597">
            <v>905678</v>
          </cell>
          <cell r="W2597">
            <v>993643</v>
          </cell>
          <cell r="X2597">
            <v>925922</v>
          </cell>
          <cell r="Y2597">
            <v>790516</v>
          </cell>
          <cell r="Z2597">
            <v>891980</v>
          </cell>
          <cell r="AA2597">
            <v>776321</v>
          </cell>
          <cell r="AB2597">
            <v>670521</v>
          </cell>
          <cell r="AC2597">
            <v>581153</v>
          </cell>
          <cell r="AD2597">
            <v>446537</v>
          </cell>
          <cell r="AE2597">
            <v>463400</v>
          </cell>
          <cell r="AF2597">
            <v>623124</v>
          </cell>
          <cell r="AG2597">
            <v>664585</v>
          </cell>
          <cell r="AH2597">
            <v>604031</v>
          </cell>
          <cell r="AI2597">
            <v>529103</v>
          </cell>
          <cell r="AJ2597">
            <v>391461</v>
          </cell>
        </row>
        <row r="2598">
          <cell r="E2598" t="str">
            <v>UT Transportation Residual Fuel</v>
          </cell>
          <cell r="F2598">
            <v>300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row>
        <row r="2599">
          <cell r="E2599" t="str">
            <v>VA Transportation Residual Fuel</v>
          </cell>
          <cell r="F2599">
            <v>20845</v>
          </cell>
          <cell r="G2599">
            <v>23624</v>
          </cell>
          <cell r="H2599">
            <v>17855</v>
          </cell>
          <cell r="I2599">
            <v>14866</v>
          </cell>
          <cell r="J2599">
            <v>12245</v>
          </cell>
          <cell r="K2599">
            <v>12088</v>
          </cell>
          <cell r="L2599">
            <v>7652</v>
          </cell>
          <cell r="M2599">
            <v>9134</v>
          </cell>
          <cell r="N2599">
            <v>7911</v>
          </cell>
          <cell r="O2599">
            <v>7668</v>
          </cell>
          <cell r="P2599">
            <v>26564</v>
          </cell>
          <cell r="Q2599">
            <v>6589</v>
          </cell>
          <cell r="R2599">
            <v>5265</v>
          </cell>
          <cell r="S2599">
            <v>9843</v>
          </cell>
          <cell r="T2599">
            <v>11501</v>
          </cell>
          <cell r="U2599">
            <v>12136</v>
          </cell>
          <cell r="V2599">
            <v>10657</v>
          </cell>
          <cell r="W2599">
            <v>8345</v>
          </cell>
          <cell r="X2599">
            <v>6233</v>
          </cell>
          <cell r="Y2599">
            <v>3758</v>
          </cell>
          <cell r="Z2599">
            <v>5083</v>
          </cell>
          <cell r="AA2599">
            <v>6858</v>
          </cell>
          <cell r="AB2599">
            <v>6720</v>
          </cell>
          <cell r="AC2599">
            <v>4106</v>
          </cell>
          <cell r="AD2599">
            <v>3376</v>
          </cell>
          <cell r="AE2599">
            <v>1618</v>
          </cell>
          <cell r="AF2599">
            <v>2899</v>
          </cell>
          <cell r="AG2599">
            <v>4934</v>
          </cell>
          <cell r="AH2599">
            <v>1624</v>
          </cell>
          <cell r="AI2599">
            <v>1338</v>
          </cell>
          <cell r="AJ2599">
            <v>2311</v>
          </cell>
        </row>
        <row r="2600">
          <cell r="E2600" t="str">
            <v>VT Transportation Residual Fuel</v>
          </cell>
          <cell r="F2600">
            <v>20</v>
          </cell>
          <cell r="G2600">
            <v>16</v>
          </cell>
          <cell r="H2600">
            <v>28</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30</v>
          </cell>
          <cell r="AG2600">
            <v>46</v>
          </cell>
          <cell r="AH2600">
            <v>0</v>
          </cell>
          <cell r="AI2600">
            <v>0</v>
          </cell>
          <cell r="AJ2600">
            <v>0</v>
          </cell>
        </row>
        <row r="2601">
          <cell r="E2601" t="str">
            <v>WA Transportation Residual Fuel</v>
          </cell>
          <cell r="F2601">
            <v>89459</v>
          </cell>
          <cell r="G2601">
            <v>99735</v>
          </cell>
          <cell r="H2601">
            <v>139167</v>
          </cell>
          <cell r="I2601">
            <v>93126</v>
          </cell>
          <cell r="J2601">
            <v>91719</v>
          </cell>
          <cell r="K2601">
            <v>104059</v>
          </cell>
          <cell r="L2601">
            <v>77187</v>
          </cell>
          <cell r="M2601">
            <v>79067</v>
          </cell>
          <cell r="N2601">
            <v>58750</v>
          </cell>
          <cell r="O2601">
            <v>47843</v>
          </cell>
          <cell r="P2601">
            <v>41717</v>
          </cell>
          <cell r="Q2601">
            <v>39425</v>
          </cell>
          <cell r="R2601">
            <v>33246</v>
          </cell>
          <cell r="S2601">
            <v>37641</v>
          </cell>
          <cell r="T2601">
            <v>40963</v>
          </cell>
          <cell r="U2601">
            <v>48867</v>
          </cell>
          <cell r="V2601">
            <v>38973</v>
          </cell>
          <cell r="W2601">
            <v>62738</v>
          </cell>
          <cell r="X2601">
            <v>28302</v>
          </cell>
          <cell r="Y2601">
            <v>43932</v>
          </cell>
          <cell r="Z2601">
            <v>40649</v>
          </cell>
          <cell r="AA2601">
            <v>48830</v>
          </cell>
          <cell r="AB2601">
            <v>62197</v>
          </cell>
          <cell r="AC2601">
            <v>60212</v>
          </cell>
          <cell r="AD2601">
            <v>40807</v>
          </cell>
          <cell r="AE2601">
            <v>54953</v>
          </cell>
          <cell r="AF2601">
            <v>112543</v>
          </cell>
          <cell r="AG2601">
            <v>85966</v>
          </cell>
          <cell r="AH2601">
            <v>64800</v>
          </cell>
          <cell r="AI2601">
            <v>76582</v>
          </cell>
          <cell r="AJ2601">
            <v>37204</v>
          </cell>
        </row>
        <row r="2602">
          <cell r="E2602" t="str">
            <v>WI Transportation Residual Fuel</v>
          </cell>
          <cell r="F2602">
            <v>10</v>
          </cell>
          <cell r="G2602">
            <v>2</v>
          </cell>
          <cell r="H2602">
            <v>50</v>
          </cell>
          <cell r="I2602">
            <v>67</v>
          </cell>
          <cell r="J2602">
            <v>71</v>
          </cell>
          <cell r="K2602">
            <v>138</v>
          </cell>
          <cell r="L2602">
            <v>198</v>
          </cell>
          <cell r="M2602">
            <v>76</v>
          </cell>
          <cell r="N2602">
            <v>86</v>
          </cell>
          <cell r="O2602">
            <v>41</v>
          </cell>
          <cell r="P2602">
            <v>42</v>
          </cell>
          <cell r="Q2602">
            <v>17</v>
          </cell>
          <cell r="R2602">
            <v>26</v>
          </cell>
          <cell r="S2602">
            <v>16</v>
          </cell>
          <cell r="T2602">
            <v>21</v>
          </cell>
          <cell r="U2602">
            <v>634</v>
          </cell>
          <cell r="V2602">
            <v>822</v>
          </cell>
          <cell r="W2602">
            <v>223</v>
          </cell>
          <cell r="X2602">
            <v>41</v>
          </cell>
          <cell r="Y2602">
            <v>0</v>
          </cell>
          <cell r="Z2602">
            <v>0</v>
          </cell>
          <cell r="AA2602">
            <v>0</v>
          </cell>
          <cell r="AB2602">
            <v>0</v>
          </cell>
          <cell r="AC2602">
            <v>0</v>
          </cell>
          <cell r="AD2602">
            <v>0</v>
          </cell>
          <cell r="AE2602">
            <v>0</v>
          </cell>
          <cell r="AF2602">
            <v>0</v>
          </cell>
          <cell r="AG2602">
            <v>0</v>
          </cell>
          <cell r="AH2602">
            <v>21</v>
          </cell>
          <cell r="AI2602">
            <v>40</v>
          </cell>
          <cell r="AJ2602">
            <v>56</v>
          </cell>
        </row>
        <row r="2603">
          <cell r="E2603" t="str">
            <v>WV Transportation Residual Fuel</v>
          </cell>
          <cell r="F2603">
            <v>0</v>
          </cell>
          <cell r="G2603">
            <v>0</v>
          </cell>
          <cell r="H2603">
            <v>0</v>
          </cell>
          <cell r="I2603">
            <v>0</v>
          </cell>
          <cell r="J2603">
            <v>0</v>
          </cell>
          <cell r="K2603">
            <v>0</v>
          </cell>
          <cell r="L2603">
            <v>25</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row>
        <row r="2604">
          <cell r="E2604" t="str">
            <v>WY Transportation Residual Fuel</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row>
        <row r="2605">
          <cell r="E2605" t="str">
            <v>AK Commercial Residual Fuel</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19</v>
          </cell>
          <cell r="W2605">
            <v>0</v>
          </cell>
          <cell r="X2605">
            <v>8</v>
          </cell>
          <cell r="Y2605">
            <v>0</v>
          </cell>
          <cell r="Z2605">
            <v>0</v>
          </cell>
          <cell r="AA2605">
            <v>0</v>
          </cell>
          <cell r="AB2605">
            <v>0</v>
          </cell>
          <cell r="AC2605">
            <v>0</v>
          </cell>
          <cell r="AD2605">
            <v>0</v>
          </cell>
          <cell r="AE2605">
            <v>0</v>
          </cell>
          <cell r="AF2605">
            <v>0</v>
          </cell>
          <cell r="AG2605">
            <v>0</v>
          </cell>
          <cell r="AH2605">
            <v>0</v>
          </cell>
          <cell r="AI2605">
            <v>0</v>
          </cell>
          <cell r="AJ2605">
            <v>0</v>
          </cell>
        </row>
        <row r="2606">
          <cell r="E2606" t="str">
            <v>AL Commercial Residual Fuel</v>
          </cell>
          <cell r="F2606">
            <v>3807</v>
          </cell>
          <cell r="G2606">
            <v>1523</v>
          </cell>
          <cell r="H2606">
            <v>0</v>
          </cell>
          <cell r="I2606">
            <v>0</v>
          </cell>
          <cell r="J2606">
            <v>5</v>
          </cell>
          <cell r="K2606">
            <v>17</v>
          </cell>
          <cell r="L2606">
            <v>4</v>
          </cell>
          <cell r="M2606">
            <v>0</v>
          </cell>
          <cell r="N2606">
            <v>0</v>
          </cell>
          <cell r="O2606">
            <v>0</v>
          </cell>
          <cell r="P2606">
            <v>1</v>
          </cell>
          <cell r="Q2606">
            <v>0</v>
          </cell>
          <cell r="R2606">
            <v>0</v>
          </cell>
          <cell r="S2606">
            <v>0</v>
          </cell>
          <cell r="T2606">
            <v>0</v>
          </cell>
          <cell r="U2606">
            <v>53</v>
          </cell>
          <cell r="V2606">
            <v>6</v>
          </cell>
          <cell r="W2606">
            <v>0</v>
          </cell>
          <cell r="X2606">
            <v>0</v>
          </cell>
          <cell r="Y2606">
            <v>0</v>
          </cell>
          <cell r="Z2606">
            <v>0</v>
          </cell>
          <cell r="AA2606">
            <v>0</v>
          </cell>
          <cell r="AB2606">
            <v>0</v>
          </cell>
          <cell r="AC2606">
            <v>0</v>
          </cell>
          <cell r="AD2606">
            <v>0</v>
          </cell>
          <cell r="AE2606">
            <v>0</v>
          </cell>
          <cell r="AF2606">
            <v>0</v>
          </cell>
          <cell r="AG2606">
            <v>0</v>
          </cell>
          <cell r="AH2606">
            <v>69</v>
          </cell>
          <cell r="AI2606">
            <v>0</v>
          </cell>
          <cell r="AJ2606">
            <v>70</v>
          </cell>
        </row>
        <row r="2607">
          <cell r="E2607" t="str">
            <v>AR Commercial Residual Fuel</v>
          </cell>
          <cell r="F2607">
            <v>0</v>
          </cell>
          <cell r="G2607">
            <v>0</v>
          </cell>
          <cell r="H2607">
            <v>25</v>
          </cell>
          <cell r="I2607">
            <v>4</v>
          </cell>
          <cell r="J2607">
            <v>0</v>
          </cell>
          <cell r="K2607">
            <v>0</v>
          </cell>
          <cell r="L2607">
            <v>1</v>
          </cell>
          <cell r="M2607">
            <v>0</v>
          </cell>
          <cell r="N2607">
            <v>0</v>
          </cell>
          <cell r="O2607">
            <v>0</v>
          </cell>
          <cell r="P2607">
            <v>0</v>
          </cell>
          <cell r="Q2607">
            <v>0</v>
          </cell>
          <cell r="R2607">
            <v>0</v>
          </cell>
          <cell r="S2607">
            <v>0</v>
          </cell>
          <cell r="T2607">
            <v>2</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row>
        <row r="2608">
          <cell r="E2608" t="str">
            <v>AZ Commercial Residual Fuel</v>
          </cell>
          <cell r="F2608">
            <v>0</v>
          </cell>
          <cell r="G2608">
            <v>69</v>
          </cell>
          <cell r="H2608">
            <v>0</v>
          </cell>
          <cell r="I2608">
            <v>0</v>
          </cell>
          <cell r="J2608">
            <v>0</v>
          </cell>
          <cell r="K2608">
            <v>0</v>
          </cell>
          <cell r="L2608">
            <v>30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row>
        <row r="2609">
          <cell r="E2609" t="str">
            <v>CA Commercial Residual Fuel</v>
          </cell>
          <cell r="F2609">
            <v>5548</v>
          </cell>
          <cell r="G2609">
            <v>4774</v>
          </cell>
          <cell r="H2609">
            <v>266</v>
          </cell>
          <cell r="I2609">
            <v>114</v>
          </cell>
          <cell r="J2609">
            <v>48</v>
          </cell>
          <cell r="K2609">
            <v>25</v>
          </cell>
          <cell r="L2609">
            <v>77</v>
          </cell>
          <cell r="M2609">
            <v>11</v>
          </cell>
          <cell r="N2609">
            <v>371</v>
          </cell>
          <cell r="O2609">
            <v>0</v>
          </cell>
          <cell r="P2609">
            <v>3</v>
          </cell>
          <cell r="Q2609">
            <v>173</v>
          </cell>
          <cell r="R2609">
            <v>0</v>
          </cell>
          <cell r="S2609">
            <v>0</v>
          </cell>
          <cell r="T2609">
            <v>0</v>
          </cell>
          <cell r="U2609">
            <v>0</v>
          </cell>
          <cell r="V2609">
            <v>0</v>
          </cell>
          <cell r="W2609">
            <v>0</v>
          </cell>
          <cell r="X2609">
            <v>0</v>
          </cell>
          <cell r="Y2609">
            <v>0</v>
          </cell>
          <cell r="Z2609">
            <v>0</v>
          </cell>
          <cell r="AA2609">
            <v>0</v>
          </cell>
          <cell r="AB2609">
            <v>0</v>
          </cell>
          <cell r="AC2609">
            <v>0</v>
          </cell>
          <cell r="AD2609">
            <v>4</v>
          </cell>
          <cell r="AE2609">
            <v>4</v>
          </cell>
          <cell r="AF2609">
            <v>6</v>
          </cell>
          <cell r="AG2609">
            <v>0</v>
          </cell>
          <cell r="AH2609">
            <v>0</v>
          </cell>
          <cell r="AI2609">
            <v>0</v>
          </cell>
          <cell r="AJ2609">
            <v>0</v>
          </cell>
        </row>
        <row r="2610">
          <cell r="E2610" t="str">
            <v>CO Commercial Residual Fuel</v>
          </cell>
          <cell r="F2610">
            <v>0</v>
          </cell>
          <cell r="G2610">
            <v>0</v>
          </cell>
          <cell r="H2610">
            <v>1</v>
          </cell>
          <cell r="I2610">
            <v>2</v>
          </cell>
          <cell r="J2610">
            <v>0</v>
          </cell>
          <cell r="K2610">
            <v>0</v>
          </cell>
          <cell r="L2610">
            <v>0</v>
          </cell>
          <cell r="M2610">
            <v>0</v>
          </cell>
          <cell r="N2610">
            <v>19</v>
          </cell>
          <cell r="O2610">
            <v>7</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row>
        <row r="2611">
          <cell r="E2611" t="str">
            <v>CT Commercial Residual Fuel</v>
          </cell>
          <cell r="F2611">
            <v>6502</v>
          </cell>
          <cell r="G2611">
            <v>3308</v>
          </cell>
          <cell r="H2611">
            <v>5553</v>
          </cell>
          <cell r="I2611">
            <v>2563</v>
          </cell>
          <cell r="J2611">
            <v>4061</v>
          </cell>
          <cell r="K2611">
            <v>2811</v>
          </cell>
          <cell r="L2611">
            <v>2858</v>
          </cell>
          <cell r="M2611">
            <v>2019</v>
          </cell>
          <cell r="N2611">
            <v>1006</v>
          </cell>
          <cell r="O2611">
            <v>1320</v>
          </cell>
          <cell r="P2611">
            <v>1371</v>
          </cell>
          <cell r="Q2611">
            <v>1038</v>
          </cell>
          <cell r="R2611">
            <v>2018</v>
          </cell>
          <cell r="S2611">
            <v>4430</v>
          </cell>
          <cell r="T2611">
            <v>2070</v>
          </cell>
          <cell r="U2611">
            <v>2218</v>
          </cell>
          <cell r="V2611">
            <v>1991</v>
          </cell>
          <cell r="W2611">
            <v>1195</v>
          </cell>
          <cell r="X2611">
            <v>665</v>
          </cell>
          <cell r="Y2611">
            <v>596</v>
          </cell>
          <cell r="Z2611">
            <v>567</v>
          </cell>
          <cell r="AA2611">
            <v>48</v>
          </cell>
          <cell r="AB2611">
            <v>48</v>
          </cell>
          <cell r="AC2611">
            <v>60</v>
          </cell>
          <cell r="AD2611">
            <v>117</v>
          </cell>
          <cell r="AE2611">
            <v>182</v>
          </cell>
          <cell r="AF2611">
            <v>221</v>
          </cell>
          <cell r="AG2611">
            <v>275</v>
          </cell>
          <cell r="AH2611">
            <v>165</v>
          </cell>
          <cell r="AI2611">
            <v>150</v>
          </cell>
          <cell r="AJ2611">
            <v>68</v>
          </cell>
        </row>
        <row r="2612">
          <cell r="E2612" t="str">
            <v>DC Commercial Residual Fuel</v>
          </cell>
          <cell r="F2612">
            <v>1373</v>
          </cell>
          <cell r="G2612">
            <v>1388</v>
          </cell>
          <cell r="H2612">
            <v>1673</v>
          </cell>
          <cell r="I2612">
            <v>1288</v>
          </cell>
          <cell r="J2612">
            <v>1053</v>
          </cell>
          <cell r="K2612">
            <v>818</v>
          </cell>
          <cell r="L2612">
            <v>602</v>
          </cell>
          <cell r="M2612">
            <v>217</v>
          </cell>
          <cell r="N2612">
            <v>26</v>
          </cell>
          <cell r="O2612">
            <v>11</v>
          </cell>
          <cell r="P2612">
            <v>3</v>
          </cell>
          <cell r="Q2612">
            <v>9</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row>
        <row r="2613">
          <cell r="E2613" t="str">
            <v>DE Commercial Residual Fuel</v>
          </cell>
          <cell r="F2613">
            <v>1119</v>
          </cell>
          <cell r="G2613">
            <v>320</v>
          </cell>
          <cell r="H2613">
            <v>555</v>
          </cell>
          <cell r="I2613">
            <v>1366</v>
          </cell>
          <cell r="J2613">
            <v>998</v>
          </cell>
          <cell r="K2613">
            <v>826</v>
          </cell>
          <cell r="L2613">
            <v>1391</v>
          </cell>
          <cell r="M2613">
            <v>1220</v>
          </cell>
          <cell r="N2613">
            <v>779</v>
          </cell>
          <cell r="O2613">
            <v>625</v>
          </cell>
          <cell r="P2613">
            <v>1421</v>
          </cell>
          <cell r="Q2613">
            <v>1352</v>
          </cell>
          <cell r="R2613">
            <v>1346</v>
          </cell>
          <cell r="S2613">
            <v>1711</v>
          </cell>
          <cell r="T2613">
            <v>1201</v>
          </cell>
          <cell r="U2613">
            <v>1122</v>
          </cell>
          <cell r="V2613">
            <v>1030</v>
          </cell>
          <cell r="W2613">
            <v>671</v>
          </cell>
          <cell r="X2613">
            <v>82</v>
          </cell>
          <cell r="Y2613">
            <v>1</v>
          </cell>
          <cell r="Z2613">
            <v>0</v>
          </cell>
          <cell r="AA2613">
            <v>0</v>
          </cell>
          <cell r="AB2613">
            <v>0</v>
          </cell>
          <cell r="AC2613">
            <v>0</v>
          </cell>
          <cell r="AD2613">
            <v>3</v>
          </cell>
          <cell r="AE2613">
            <v>5</v>
          </cell>
          <cell r="AF2613">
            <v>6</v>
          </cell>
          <cell r="AG2613">
            <v>7</v>
          </cell>
          <cell r="AH2613">
            <v>0</v>
          </cell>
          <cell r="AI2613">
            <v>0</v>
          </cell>
          <cell r="AJ2613">
            <v>0</v>
          </cell>
        </row>
        <row r="2614">
          <cell r="E2614" t="str">
            <v>FL Commercial Residual Fuel</v>
          </cell>
          <cell r="F2614">
            <v>14869</v>
          </cell>
          <cell r="G2614">
            <v>13415</v>
          </cell>
          <cell r="H2614">
            <v>11215</v>
          </cell>
          <cell r="I2614">
            <v>889</v>
          </cell>
          <cell r="J2614">
            <v>841</v>
          </cell>
          <cell r="K2614">
            <v>866</v>
          </cell>
          <cell r="L2614">
            <v>621</v>
          </cell>
          <cell r="M2614">
            <v>781</v>
          </cell>
          <cell r="N2614">
            <v>62</v>
          </cell>
          <cell r="O2614">
            <v>82</v>
          </cell>
          <cell r="P2614">
            <v>96</v>
          </cell>
          <cell r="Q2614">
            <v>92</v>
          </cell>
          <cell r="R2614">
            <v>446</v>
          </cell>
          <cell r="S2614">
            <v>105</v>
          </cell>
          <cell r="T2614">
            <v>738</v>
          </cell>
          <cell r="U2614">
            <v>2204</v>
          </cell>
          <cell r="V2614">
            <v>513</v>
          </cell>
          <cell r="W2614">
            <v>258</v>
          </cell>
          <cell r="X2614">
            <v>0</v>
          </cell>
          <cell r="Y2614">
            <v>53</v>
          </cell>
          <cell r="Z2614">
            <v>223</v>
          </cell>
          <cell r="AA2614">
            <v>73</v>
          </cell>
          <cell r="AB2614">
            <v>36</v>
          </cell>
          <cell r="AC2614">
            <v>51</v>
          </cell>
          <cell r="AD2614">
            <v>1</v>
          </cell>
          <cell r="AE2614">
            <v>2</v>
          </cell>
          <cell r="AF2614">
            <v>0</v>
          </cell>
          <cell r="AG2614">
            <v>0</v>
          </cell>
          <cell r="AH2614">
            <v>0</v>
          </cell>
          <cell r="AI2614">
            <v>0</v>
          </cell>
          <cell r="AJ2614">
            <v>0</v>
          </cell>
        </row>
        <row r="2615">
          <cell r="E2615" t="str">
            <v>GA Commercial Residual Fuel</v>
          </cell>
          <cell r="F2615">
            <v>427</v>
          </cell>
          <cell r="G2615">
            <v>135</v>
          </cell>
          <cell r="H2615">
            <v>39</v>
          </cell>
          <cell r="I2615">
            <v>39</v>
          </cell>
          <cell r="J2615">
            <v>42</v>
          </cell>
          <cell r="K2615">
            <v>72</v>
          </cell>
          <cell r="L2615">
            <v>66</v>
          </cell>
          <cell r="M2615">
            <v>37</v>
          </cell>
          <cell r="N2615">
            <v>7</v>
          </cell>
          <cell r="O2615">
            <v>1</v>
          </cell>
          <cell r="P2615">
            <v>30</v>
          </cell>
          <cell r="Q2615">
            <v>1</v>
          </cell>
          <cell r="R2615">
            <v>0</v>
          </cell>
          <cell r="S2615">
            <v>68</v>
          </cell>
          <cell r="T2615">
            <v>0</v>
          </cell>
          <cell r="U2615">
            <v>0</v>
          </cell>
          <cell r="V2615">
            <v>0</v>
          </cell>
          <cell r="W2615">
            <v>0</v>
          </cell>
          <cell r="X2615">
            <v>0</v>
          </cell>
          <cell r="Y2615">
            <v>0</v>
          </cell>
          <cell r="Z2615">
            <v>201</v>
          </cell>
          <cell r="AA2615">
            <v>0</v>
          </cell>
          <cell r="AB2615">
            <v>0</v>
          </cell>
          <cell r="AC2615">
            <v>0</v>
          </cell>
          <cell r="AD2615">
            <v>10</v>
          </cell>
          <cell r="AE2615">
            <v>0</v>
          </cell>
          <cell r="AF2615">
            <v>4</v>
          </cell>
          <cell r="AG2615">
            <v>0</v>
          </cell>
          <cell r="AH2615">
            <v>0</v>
          </cell>
          <cell r="AI2615">
            <v>0</v>
          </cell>
          <cell r="AJ2615">
            <v>0</v>
          </cell>
        </row>
        <row r="2616">
          <cell r="E2616" t="str">
            <v>HI Commercial Residual Fuel</v>
          </cell>
          <cell r="F2616">
            <v>5189</v>
          </cell>
          <cell r="G2616">
            <v>116</v>
          </cell>
          <cell r="H2616">
            <v>6612</v>
          </cell>
          <cell r="I2616">
            <v>214</v>
          </cell>
          <cell r="J2616">
            <v>2719</v>
          </cell>
          <cell r="K2616">
            <v>392</v>
          </cell>
          <cell r="L2616">
            <v>79</v>
          </cell>
          <cell r="M2616">
            <v>69</v>
          </cell>
          <cell r="N2616">
            <v>10711</v>
          </cell>
          <cell r="O2616">
            <v>36</v>
          </cell>
          <cell r="P2616">
            <v>52</v>
          </cell>
          <cell r="Q2616">
            <v>34</v>
          </cell>
          <cell r="R2616">
            <v>0</v>
          </cell>
          <cell r="S2616">
            <v>0</v>
          </cell>
          <cell r="T2616">
            <v>27</v>
          </cell>
          <cell r="U2616">
            <v>18</v>
          </cell>
          <cell r="V2616">
            <v>5</v>
          </cell>
          <cell r="W2616">
            <v>3</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row>
        <row r="2617">
          <cell r="E2617" t="str">
            <v>IA Commercial Residual Fuel</v>
          </cell>
          <cell r="F2617">
            <v>190</v>
          </cell>
          <cell r="G2617">
            <v>56</v>
          </cell>
          <cell r="H2617">
            <v>232</v>
          </cell>
          <cell r="I2617">
            <v>29</v>
          </cell>
          <cell r="J2617">
            <v>7</v>
          </cell>
          <cell r="K2617">
            <v>0</v>
          </cell>
          <cell r="L2617">
            <v>5</v>
          </cell>
          <cell r="M2617">
            <v>0</v>
          </cell>
          <cell r="N2617">
            <v>5</v>
          </cell>
          <cell r="O2617">
            <v>0</v>
          </cell>
          <cell r="P2617">
            <v>16</v>
          </cell>
          <cell r="Q2617">
            <v>5</v>
          </cell>
          <cell r="R2617">
            <v>13</v>
          </cell>
          <cell r="S2617">
            <v>0</v>
          </cell>
          <cell r="T2617">
            <v>0</v>
          </cell>
          <cell r="U2617">
            <v>17</v>
          </cell>
          <cell r="V2617">
            <v>16</v>
          </cell>
          <cell r="W2617">
            <v>0</v>
          </cell>
          <cell r="X2617">
            <v>0</v>
          </cell>
          <cell r="Y2617">
            <v>0</v>
          </cell>
          <cell r="Z2617">
            <v>21</v>
          </cell>
          <cell r="AA2617">
            <v>0</v>
          </cell>
          <cell r="AB2617">
            <v>18</v>
          </cell>
          <cell r="AC2617">
            <v>0</v>
          </cell>
          <cell r="AD2617">
            <v>0</v>
          </cell>
          <cell r="AE2617">
            <v>0</v>
          </cell>
          <cell r="AF2617">
            <v>9</v>
          </cell>
          <cell r="AG2617">
            <v>0</v>
          </cell>
          <cell r="AH2617">
            <v>0</v>
          </cell>
          <cell r="AI2617">
            <v>0</v>
          </cell>
          <cell r="AJ2617">
            <v>0</v>
          </cell>
        </row>
        <row r="2618">
          <cell r="E2618" t="str">
            <v>ID Commercial Residual Fuel</v>
          </cell>
          <cell r="F2618">
            <v>117</v>
          </cell>
          <cell r="G2618">
            <v>8</v>
          </cell>
          <cell r="H2618">
            <v>86</v>
          </cell>
          <cell r="I2618">
            <v>185</v>
          </cell>
          <cell r="J2618">
            <v>43</v>
          </cell>
          <cell r="K2618">
            <v>27</v>
          </cell>
          <cell r="L2618">
            <v>27</v>
          </cell>
          <cell r="M2618">
            <v>5</v>
          </cell>
          <cell r="N2618">
            <v>21</v>
          </cell>
          <cell r="O2618">
            <v>0</v>
          </cell>
          <cell r="P2618">
            <v>0</v>
          </cell>
          <cell r="Q2618">
            <v>0</v>
          </cell>
          <cell r="R2618">
            <v>0</v>
          </cell>
          <cell r="S2618">
            <v>0</v>
          </cell>
          <cell r="T2618">
            <v>0</v>
          </cell>
          <cell r="U2618">
            <v>0</v>
          </cell>
          <cell r="V2618">
            <v>0</v>
          </cell>
          <cell r="W2618">
            <v>0</v>
          </cell>
          <cell r="X2618">
            <v>0</v>
          </cell>
          <cell r="Y2618">
            <v>0</v>
          </cell>
          <cell r="Z2618">
            <v>14</v>
          </cell>
          <cell r="AA2618">
            <v>20</v>
          </cell>
          <cell r="AB2618">
            <v>13</v>
          </cell>
          <cell r="AC2618">
            <v>0</v>
          </cell>
          <cell r="AD2618">
            <v>0</v>
          </cell>
          <cell r="AE2618">
            <v>0</v>
          </cell>
          <cell r="AF2618">
            <v>0</v>
          </cell>
          <cell r="AG2618">
            <v>0</v>
          </cell>
          <cell r="AH2618">
            <v>0</v>
          </cell>
          <cell r="AI2618">
            <v>0</v>
          </cell>
          <cell r="AJ2618">
            <v>0</v>
          </cell>
        </row>
        <row r="2619">
          <cell r="E2619" t="str">
            <v>IL Commercial Residual Fuel</v>
          </cell>
          <cell r="F2619">
            <v>1284</v>
          </cell>
          <cell r="G2619">
            <v>245</v>
          </cell>
          <cell r="H2619">
            <v>270</v>
          </cell>
          <cell r="I2619">
            <v>347</v>
          </cell>
          <cell r="J2619">
            <v>414</v>
          </cell>
          <cell r="K2619">
            <v>282</v>
          </cell>
          <cell r="L2619">
            <v>1192</v>
          </cell>
          <cell r="M2619">
            <v>813</v>
          </cell>
          <cell r="N2619">
            <v>726</v>
          </cell>
          <cell r="O2619">
            <v>492</v>
          </cell>
          <cell r="P2619">
            <v>88</v>
          </cell>
          <cell r="Q2619">
            <v>367</v>
          </cell>
          <cell r="R2619">
            <v>81</v>
          </cell>
          <cell r="S2619">
            <v>44</v>
          </cell>
          <cell r="T2619">
            <v>309</v>
          </cell>
          <cell r="U2619">
            <v>379</v>
          </cell>
          <cell r="V2619">
            <v>7</v>
          </cell>
          <cell r="W2619">
            <v>0</v>
          </cell>
          <cell r="X2619">
            <v>21</v>
          </cell>
          <cell r="Y2619">
            <v>0</v>
          </cell>
          <cell r="Z2619">
            <v>136</v>
          </cell>
          <cell r="AA2619">
            <v>123</v>
          </cell>
          <cell r="AB2619">
            <v>0</v>
          </cell>
          <cell r="AC2619">
            <v>0</v>
          </cell>
          <cell r="AD2619">
            <v>2</v>
          </cell>
          <cell r="AE2619">
            <v>0</v>
          </cell>
          <cell r="AF2619">
            <v>0</v>
          </cell>
          <cell r="AG2619">
            <v>0</v>
          </cell>
          <cell r="AH2619">
            <v>0</v>
          </cell>
          <cell r="AI2619">
            <v>0</v>
          </cell>
          <cell r="AJ2619">
            <v>0</v>
          </cell>
        </row>
        <row r="2620">
          <cell r="E2620" t="str">
            <v>IN Commercial Residual Fuel</v>
          </cell>
          <cell r="F2620">
            <v>389</v>
          </cell>
          <cell r="G2620">
            <v>1280</v>
          </cell>
          <cell r="H2620">
            <v>112</v>
          </cell>
          <cell r="I2620">
            <v>235</v>
          </cell>
          <cell r="J2620">
            <v>252</v>
          </cell>
          <cell r="K2620">
            <v>199</v>
          </cell>
          <cell r="L2620">
            <v>85</v>
          </cell>
          <cell r="M2620">
            <v>55</v>
          </cell>
          <cell r="N2620">
            <v>760</v>
          </cell>
          <cell r="O2620">
            <v>15</v>
          </cell>
          <cell r="P2620">
            <v>10</v>
          </cell>
          <cell r="Q2620">
            <v>3</v>
          </cell>
          <cell r="R2620">
            <v>4</v>
          </cell>
          <cell r="S2620">
            <v>399</v>
          </cell>
          <cell r="T2620">
            <v>718</v>
          </cell>
          <cell r="U2620">
            <v>702</v>
          </cell>
          <cell r="V2620">
            <v>0</v>
          </cell>
          <cell r="W2620">
            <v>23</v>
          </cell>
          <cell r="X2620">
            <v>11</v>
          </cell>
          <cell r="Y2620">
            <v>54</v>
          </cell>
          <cell r="Z2620">
            <v>0</v>
          </cell>
          <cell r="AA2620">
            <v>0</v>
          </cell>
          <cell r="AB2620">
            <v>0</v>
          </cell>
          <cell r="AC2620">
            <v>0</v>
          </cell>
          <cell r="AD2620">
            <v>2</v>
          </cell>
          <cell r="AE2620">
            <v>3</v>
          </cell>
          <cell r="AF2620">
            <v>0</v>
          </cell>
          <cell r="AG2620">
            <v>0</v>
          </cell>
          <cell r="AH2620">
            <v>48</v>
          </cell>
          <cell r="AI2620">
            <v>6</v>
          </cell>
          <cell r="AJ2620">
            <v>8</v>
          </cell>
        </row>
        <row r="2621">
          <cell r="E2621" t="str">
            <v>KS Commercial Residual Fuel</v>
          </cell>
          <cell r="F2621">
            <v>167</v>
          </cell>
          <cell r="G2621">
            <v>43</v>
          </cell>
          <cell r="H2621">
            <v>136</v>
          </cell>
          <cell r="I2621">
            <v>186</v>
          </cell>
          <cell r="J2621">
            <v>15</v>
          </cell>
          <cell r="K2621">
            <v>74</v>
          </cell>
          <cell r="L2621">
            <v>11</v>
          </cell>
          <cell r="M2621">
            <v>0</v>
          </cell>
          <cell r="N2621">
            <v>496</v>
          </cell>
          <cell r="O2621">
            <v>0</v>
          </cell>
          <cell r="P2621">
            <v>20</v>
          </cell>
          <cell r="Q2621">
            <v>42</v>
          </cell>
          <cell r="R2621">
            <v>54</v>
          </cell>
          <cell r="S2621">
            <v>0</v>
          </cell>
          <cell r="T2621">
            <v>0</v>
          </cell>
          <cell r="U2621">
            <v>0</v>
          </cell>
          <cell r="V2621">
            <v>0</v>
          </cell>
          <cell r="W2621">
            <v>0</v>
          </cell>
          <cell r="X2621">
            <v>0</v>
          </cell>
          <cell r="Y2621">
            <v>2</v>
          </cell>
          <cell r="Z2621">
            <v>1</v>
          </cell>
          <cell r="AA2621">
            <v>1</v>
          </cell>
          <cell r="AB2621">
            <v>0</v>
          </cell>
          <cell r="AC2621">
            <v>0</v>
          </cell>
          <cell r="AD2621">
            <v>0</v>
          </cell>
          <cell r="AE2621">
            <v>0</v>
          </cell>
          <cell r="AF2621">
            <v>0</v>
          </cell>
          <cell r="AG2621">
            <v>0</v>
          </cell>
          <cell r="AH2621">
            <v>0</v>
          </cell>
          <cell r="AI2621">
            <v>0</v>
          </cell>
          <cell r="AJ2621">
            <v>0</v>
          </cell>
        </row>
        <row r="2622">
          <cell r="E2622" t="str">
            <v>KY Commercial Residual Fuel</v>
          </cell>
          <cell r="F2622">
            <v>2</v>
          </cell>
          <cell r="G2622">
            <v>0</v>
          </cell>
          <cell r="H2622">
            <v>0</v>
          </cell>
          <cell r="I2622">
            <v>15</v>
          </cell>
          <cell r="J2622">
            <v>11</v>
          </cell>
          <cell r="K2622">
            <v>0</v>
          </cell>
          <cell r="L2622">
            <v>1</v>
          </cell>
          <cell r="M2622">
            <v>0</v>
          </cell>
          <cell r="N2622">
            <v>0</v>
          </cell>
          <cell r="O2622">
            <v>5</v>
          </cell>
          <cell r="P2622">
            <v>51</v>
          </cell>
          <cell r="Q2622">
            <v>38</v>
          </cell>
          <cell r="R2622">
            <v>0</v>
          </cell>
          <cell r="S2622">
            <v>0</v>
          </cell>
          <cell r="T2622">
            <v>0</v>
          </cell>
          <cell r="U2622">
            <v>6</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row>
        <row r="2623">
          <cell r="E2623" t="str">
            <v>LA Commercial Residual Fuel</v>
          </cell>
          <cell r="F2623">
            <v>249</v>
          </cell>
          <cell r="G2623">
            <v>756</v>
          </cell>
          <cell r="H2623">
            <v>38</v>
          </cell>
          <cell r="I2623">
            <v>1</v>
          </cell>
          <cell r="J2623">
            <v>0</v>
          </cell>
          <cell r="K2623">
            <v>0</v>
          </cell>
          <cell r="L2623">
            <v>4</v>
          </cell>
          <cell r="M2623">
            <v>0</v>
          </cell>
          <cell r="N2623">
            <v>0</v>
          </cell>
          <cell r="O2623">
            <v>0</v>
          </cell>
          <cell r="P2623">
            <v>0</v>
          </cell>
          <cell r="Q2623">
            <v>0</v>
          </cell>
          <cell r="R2623">
            <v>2</v>
          </cell>
          <cell r="S2623">
            <v>448</v>
          </cell>
          <cell r="T2623">
            <v>385</v>
          </cell>
          <cell r="U2623">
            <v>340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row>
        <row r="2624">
          <cell r="E2624" t="str">
            <v>MA Commercial Residual Fuel</v>
          </cell>
          <cell r="F2624">
            <v>28119</v>
          </cell>
          <cell r="G2624">
            <v>28515</v>
          </cell>
          <cell r="H2624">
            <v>23070</v>
          </cell>
          <cell r="I2624">
            <v>16085</v>
          </cell>
          <cell r="J2624">
            <v>18568</v>
          </cell>
          <cell r="K2624">
            <v>19296</v>
          </cell>
          <cell r="L2624">
            <v>15280</v>
          </cell>
          <cell r="M2624">
            <v>14078</v>
          </cell>
          <cell r="N2624">
            <v>8906</v>
          </cell>
          <cell r="O2624">
            <v>7446</v>
          </cell>
          <cell r="P2624">
            <v>8724</v>
          </cell>
          <cell r="Q2624">
            <v>3285</v>
          </cell>
          <cell r="R2624">
            <v>4038</v>
          </cell>
          <cell r="S2624">
            <v>11385</v>
          </cell>
          <cell r="T2624">
            <v>17424</v>
          </cell>
          <cell r="U2624">
            <v>16740</v>
          </cell>
          <cell r="V2624">
            <v>7356</v>
          </cell>
          <cell r="W2624">
            <v>5251</v>
          </cell>
          <cell r="X2624">
            <v>5988</v>
          </cell>
          <cell r="Y2624">
            <v>4425</v>
          </cell>
          <cell r="Z2624">
            <v>3473</v>
          </cell>
          <cell r="AA2624">
            <v>2139</v>
          </cell>
          <cell r="AB2624">
            <v>1383</v>
          </cell>
          <cell r="AC2624">
            <v>1395</v>
          </cell>
          <cell r="AD2624">
            <v>841</v>
          </cell>
          <cell r="AE2624">
            <v>319</v>
          </cell>
          <cell r="AF2624">
            <v>196</v>
          </cell>
          <cell r="AG2624">
            <v>152</v>
          </cell>
          <cell r="AH2624">
            <v>83</v>
          </cell>
          <cell r="AI2624">
            <v>123</v>
          </cell>
          <cell r="AJ2624">
            <v>208</v>
          </cell>
        </row>
        <row r="2625">
          <cell r="E2625" t="str">
            <v>MD Commercial Residual Fuel</v>
          </cell>
          <cell r="F2625">
            <v>3446</v>
          </cell>
          <cell r="G2625">
            <v>834</v>
          </cell>
          <cell r="H2625">
            <v>2972</v>
          </cell>
          <cell r="I2625">
            <v>1200</v>
          </cell>
          <cell r="J2625">
            <v>1346</v>
          </cell>
          <cell r="K2625">
            <v>748</v>
          </cell>
          <cell r="L2625">
            <v>676</v>
          </cell>
          <cell r="M2625">
            <v>313</v>
          </cell>
          <cell r="N2625">
            <v>264</v>
          </cell>
          <cell r="O2625">
            <v>328</v>
          </cell>
          <cell r="P2625">
            <v>546</v>
          </cell>
          <cell r="Q2625">
            <v>213</v>
          </cell>
          <cell r="R2625">
            <v>398</v>
          </cell>
          <cell r="S2625">
            <v>1760</v>
          </cell>
          <cell r="T2625">
            <v>545</v>
          </cell>
          <cell r="U2625">
            <v>616</v>
          </cell>
          <cell r="V2625">
            <v>302</v>
          </cell>
          <cell r="W2625">
            <v>114</v>
          </cell>
          <cell r="X2625">
            <v>71</v>
          </cell>
          <cell r="Y2625">
            <v>18</v>
          </cell>
          <cell r="Z2625">
            <v>32</v>
          </cell>
          <cell r="AA2625">
            <v>28</v>
          </cell>
          <cell r="AB2625">
            <v>5</v>
          </cell>
          <cell r="AC2625">
            <v>19</v>
          </cell>
          <cell r="AD2625">
            <v>19</v>
          </cell>
          <cell r="AE2625">
            <v>103</v>
          </cell>
          <cell r="AF2625">
            <v>37</v>
          </cell>
          <cell r="AG2625">
            <v>33</v>
          </cell>
          <cell r="AH2625">
            <v>56</v>
          </cell>
          <cell r="AI2625">
            <v>0</v>
          </cell>
          <cell r="AJ2625">
            <v>0</v>
          </cell>
        </row>
        <row r="2626">
          <cell r="E2626" t="str">
            <v>ME Commercial Residual Fuel</v>
          </cell>
          <cell r="F2626">
            <v>13432</v>
          </cell>
          <cell r="G2626">
            <v>15400</v>
          </cell>
          <cell r="H2626">
            <v>7814</v>
          </cell>
          <cell r="I2626">
            <v>4589</v>
          </cell>
          <cell r="J2626">
            <v>4781</v>
          </cell>
          <cell r="K2626">
            <v>2322</v>
          </cell>
          <cell r="L2626">
            <v>3193</v>
          </cell>
          <cell r="M2626">
            <v>3690</v>
          </cell>
          <cell r="N2626">
            <v>1770</v>
          </cell>
          <cell r="O2626">
            <v>683</v>
          </cell>
          <cell r="P2626">
            <v>1590</v>
          </cell>
          <cell r="Q2626">
            <v>1176</v>
          </cell>
          <cell r="R2626">
            <v>2491</v>
          </cell>
          <cell r="S2626">
            <v>2004</v>
          </cell>
          <cell r="T2626">
            <v>2190</v>
          </cell>
          <cell r="U2626">
            <v>3104</v>
          </cell>
          <cell r="V2626">
            <v>1760</v>
          </cell>
          <cell r="W2626">
            <v>2564</v>
          </cell>
          <cell r="X2626">
            <v>4687</v>
          </cell>
          <cell r="Y2626">
            <v>2562</v>
          </cell>
          <cell r="Z2626">
            <v>1782</v>
          </cell>
          <cell r="AA2626">
            <v>1306</v>
          </cell>
          <cell r="AB2626">
            <v>651</v>
          </cell>
          <cell r="AC2626">
            <v>1310</v>
          </cell>
          <cell r="AD2626">
            <v>366</v>
          </cell>
          <cell r="AE2626">
            <v>373</v>
          </cell>
          <cell r="AF2626">
            <v>271</v>
          </cell>
          <cell r="AG2626">
            <v>227</v>
          </cell>
          <cell r="AH2626">
            <v>253</v>
          </cell>
          <cell r="AI2626">
            <v>169</v>
          </cell>
          <cell r="AJ2626">
            <v>153</v>
          </cell>
        </row>
        <row r="2627">
          <cell r="E2627" t="str">
            <v>MI Commercial Residual Fuel</v>
          </cell>
          <cell r="F2627">
            <v>448</v>
          </cell>
          <cell r="G2627">
            <v>30</v>
          </cell>
          <cell r="H2627">
            <v>74</v>
          </cell>
          <cell r="I2627">
            <v>50</v>
          </cell>
          <cell r="J2627">
            <v>21</v>
          </cell>
          <cell r="K2627">
            <v>30</v>
          </cell>
          <cell r="L2627">
            <v>29</v>
          </cell>
          <cell r="M2627">
            <v>348</v>
          </cell>
          <cell r="N2627">
            <v>10</v>
          </cell>
          <cell r="O2627">
            <v>17</v>
          </cell>
          <cell r="P2627">
            <v>30</v>
          </cell>
          <cell r="Q2627">
            <v>107</v>
          </cell>
          <cell r="R2627">
            <v>403</v>
          </cell>
          <cell r="S2627">
            <v>568</v>
          </cell>
          <cell r="T2627">
            <v>310</v>
          </cell>
          <cell r="U2627">
            <v>28</v>
          </cell>
          <cell r="V2627">
            <v>12</v>
          </cell>
          <cell r="W2627">
            <v>0</v>
          </cell>
          <cell r="X2627">
            <v>353</v>
          </cell>
          <cell r="Y2627">
            <v>78</v>
          </cell>
          <cell r="Z2627">
            <v>476</v>
          </cell>
          <cell r="AA2627">
            <v>618</v>
          </cell>
          <cell r="AB2627">
            <v>295</v>
          </cell>
          <cell r="AC2627">
            <v>3</v>
          </cell>
          <cell r="AD2627">
            <v>24</v>
          </cell>
          <cell r="AE2627">
            <v>17</v>
          </cell>
          <cell r="AF2627">
            <v>2</v>
          </cell>
          <cell r="AG2627">
            <v>4</v>
          </cell>
          <cell r="AH2627">
            <v>46</v>
          </cell>
          <cell r="AI2627">
            <v>0</v>
          </cell>
          <cell r="AJ2627">
            <v>0</v>
          </cell>
        </row>
        <row r="2628">
          <cell r="E2628" t="str">
            <v>MN Commercial Residual Fuel</v>
          </cell>
          <cell r="F2628">
            <v>1629</v>
          </cell>
          <cell r="G2628">
            <v>1842</v>
          </cell>
          <cell r="H2628">
            <v>1227</v>
          </cell>
          <cell r="I2628">
            <v>835</v>
          </cell>
          <cell r="J2628">
            <v>997</v>
          </cell>
          <cell r="K2628">
            <v>701</v>
          </cell>
          <cell r="L2628">
            <v>870</v>
          </cell>
          <cell r="M2628">
            <v>1003</v>
          </cell>
          <cell r="N2628">
            <v>1013</v>
          </cell>
          <cell r="O2628">
            <v>974</v>
          </cell>
          <cell r="P2628">
            <v>862</v>
          </cell>
          <cell r="Q2628">
            <v>1373</v>
          </cell>
          <cell r="R2628">
            <v>1229</v>
          </cell>
          <cell r="S2628">
            <v>2148</v>
          </cell>
          <cell r="T2628">
            <v>2826</v>
          </cell>
          <cell r="U2628">
            <v>1921</v>
          </cell>
          <cell r="V2628">
            <v>1477</v>
          </cell>
          <cell r="W2628">
            <v>553</v>
          </cell>
          <cell r="X2628">
            <v>1171</v>
          </cell>
          <cell r="Y2628">
            <v>1196</v>
          </cell>
          <cell r="Z2628">
            <v>1145</v>
          </cell>
          <cell r="AA2628">
            <v>830</v>
          </cell>
          <cell r="AB2628">
            <v>95</v>
          </cell>
          <cell r="AC2628">
            <v>28</v>
          </cell>
          <cell r="AD2628">
            <v>50</v>
          </cell>
          <cell r="AE2628">
            <v>4</v>
          </cell>
          <cell r="AF2628">
            <v>24</v>
          </cell>
          <cell r="AG2628">
            <v>32</v>
          </cell>
          <cell r="AH2628">
            <v>27</v>
          </cell>
          <cell r="AI2628">
            <v>12</v>
          </cell>
          <cell r="AJ2628">
            <v>0</v>
          </cell>
        </row>
        <row r="2629">
          <cell r="E2629" t="str">
            <v>MO Commercial Residual Fuel</v>
          </cell>
          <cell r="F2629">
            <v>374</v>
          </cell>
          <cell r="G2629">
            <v>185</v>
          </cell>
          <cell r="H2629">
            <v>19</v>
          </cell>
          <cell r="I2629">
            <v>48</v>
          </cell>
          <cell r="J2629">
            <v>122</v>
          </cell>
          <cell r="K2629">
            <v>6</v>
          </cell>
          <cell r="L2629">
            <v>35</v>
          </cell>
          <cell r="M2629">
            <v>209</v>
          </cell>
          <cell r="N2629">
            <v>213</v>
          </cell>
          <cell r="O2629">
            <v>166</v>
          </cell>
          <cell r="P2629">
            <v>197</v>
          </cell>
          <cell r="Q2629">
            <v>183</v>
          </cell>
          <cell r="R2629">
            <v>188</v>
          </cell>
          <cell r="S2629">
            <v>138</v>
          </cell>
          <cell r="T2629">
            <v>103</v>
          </cell>
          <cell r="U2629">
            <v>108</v>
          </cell>
          <cell r="V2629">
            <v>58</v>
          </cell>
          <cell r="W2629">
            <v>37</v>
          </cell>
          <cell r="X2629">
            <v>8</v>
          </cell>
          <cell r="Y2629">
            <v>4</v>
          </cell>
          <cell r="Z2629">
            <v>27</v>
          </cell>
          <cell r="AA2629">
            <v>0</v>
          </cell>
          <cell r="AB2629">
            <v>1</v>
          </cell>
          <cell r="AC2629">
            <v>0</v>
          </cell>
          <cell r="AD2629">
            <v>0</v>
          </cell>
          <cell r="AE2629">
            <v>0</v>
          </cell>
          <cell r="AF2629">
            <v>0</v>
          </cell>
          <cell r="AG2629">
            <v>0</v>
          </cell>
          <cell r="AH2629">
            <v>0</v>
          </cell>
          <cell r="AI2629">
            <v>0</v>
          </cell>
          <cell r="AJ2629">
            <v>0</v>
          </cell>
        </row>
        <row r="2630">
          <cell r="E2630" t="str">
            <v>MS Commercial Residual Fuel</v>
          </cell>
          <cell r="F2630">
            <v>0</v>
          </cell>
          <cell r="G2630">
            <v>4</v>
          </cell>
          <cell r="H2630">
            <v>3</v>
          </cell>
          <cell r="I2630">
            <v>0</v>
          </cell>
          <cell r="J2630">
            <v>0</v>
          </cell>
          <cell r="K2630">
            <v>0</v>
          </cell>
          <cell r="L2630">
            <v>0</v>
          </cell>
          <cell r="M2630">
            <v>0</v>
          </cell>
          <cell r="N2630">
            <v>0</v>
          </cell>
          <cell r="O2630">
            <v>0</v>
          </cell>
          <cell r="P2630">
            <v>0</v>
          </cell>
          <cell r="Q2630">
            <v>311</v>
          </cell>
          <cell r="R2630">
            <v>0</v>
          </cell>
          <cell r="S2630">
            <v>14</v>
          </cell>
          <cell r="T2630">
            <v>55</v>
          </cell>
          <cell r="U2630">
            <v>0</v>
          </cell>
          <cell r="V2630">
            <v>0</v>
          </cell>
          <cell r="W2630">
            <v>0</v>
          </cell>
          <cell r="X2630">
            <v>2</v>
          </cell>
          <cell r="Y2630">
            <v>0</v>
          </cell>
          <cell r="Z2630">
            <v>0</v>
          </cell>
          <cell r="AA2630">
            <v>0</v>
          </cell>
          <cell r="AB2630">
            <v>0</v>
          </cell>
          <cell r="AC2630">
            <v>0</v>
          </cell>
          <cell r="AD2630">
            <v>0</v>
          </cell>
          <cell r="AE2630">
            <v>0</v>
          </cell>
          <cell r="AF2630">
            <v>0</v>
          </cell>
          <cell r="AG2630">
            <v>0</v>
          </cell>
          <cell r="AH2630">
            <v>0</v>
          </cell>
          <cell r="AI2630">
            <v>0</v>
          </cell>
          <cell r="AJ2630">
            <v>0</v>
          </cell>
        </row>
        <row r="2631">
          <cell r="E2631" t="str">
            <v>MT Commercial Residual Fuel</v>
          </cell>
          <cell r="F2631">
            <v>69</v>
          </cell>
          <cell r="G2631">
            <v>21</v>
          </cell>
          <cell r="H2631">
            <v>24</v>
          </cell>
          <cell r="I2631">
            <v>31</v>
          </cell>
          <cell r="J2631">
            <v>21</v>
          </cell>
          <cell r="K2631">
            <v>21</v>
          </cell>
          <cell r="L2631">
            <v>16</v>
          </cell>
          <cell r="M2631">
            <v>7</v>
          </cell>
          <cell r="N2631">
            <v>4</v>
          </cell>
          <cell r="O2631">
            <v>14</v>
          </cell>
          <cell r="P2631">
            <v>4</v>
          </cell>
          <cell r="Q2631">
            <v>0</v>
          </cell>
          <cell r="R2631">
            <v>0</v>
          </cell>
          <cell r="S2631">
            <v>3</v>
          </cell>
          <cell r="T2631">
            <v>0</v>
          </cell>
          <cell r="U2631">
            <v>0</v>
          </cell>
          <cell r="V2631">
            <v>0</v>
          </cell>
          <cell r="W2631">
            <v>0</v>
          </cell>
          <cell r="X2631">
            <v>0</v>
          </cell>
          <cell r="Y2631">
            <v>203</v>
          </cell>
          <cell r="Z2631">
            <v>4</v>
          </cell>
          <cell r="AA2631">
            <v>27</v>
          </cell>
          <cell r="AB2631">
            <v>1</v>
          </cell>
          <cell r="AC2631">
            <v>4</v>
          </cell>
          <cell r="AD2631">
            <v>17</v>
          </cell>
          <cell r="AE2631">
            <v>0</v>
          </cell>
          <cell r="AF2631">
            <v>0</v>
          </cell>
          <cell r="AG2631">
            <v>0</v>
          </cell>
          <cell r="AH2631">
            <v>0</v>
          </cell>
          <cell r="AI2631">
            <v>0</v>
          </cell>
          <cell r="AJ2631">
            <v>0</v>
          </cell>
        </row>
        <row r="2632">
          <cell r="E2632" t="str">
            <v>NC Commercial Residual Fuel</v>
          </cell>
          <cell r="F2632">
            <v>1401</v>
          </cell>
          <cell r="G2632">
            <v>736</v>
          </cell>
          <cell r="H2632">
            <v>698</v>
          </cell>
          <cell r="I2632">
            <v>1787</v>
          </cell>
          <cell r="J2632">
            <v>1657</v>
          </cell>
          <cell r="K2632">
            <v>1164</v>
          </cell>
          <cell r="L2632">
            <v>1381</v>
          </cell>
          <cell r="M2632">
            <v>1062</v>
          </cell>
          <cell r="N2632">
            <v>717</v>
          </cell>
          <cell r="O2632">
            <v>630</v>
          </cell>
          <cell r="P2632">
            <v>708</v>
          </cell>
          <cell r="Q2632">
            <v>802</v>
          </cell>
          <cell r="R2632">
            <v>468</v>
          </cell>
          <cell r="S2632">
            <v>1309</v>
          </cell>
          <cell r="T2632">
            <v>1735</v>
          </cell>
          <cell r="U2632">
            <v>1438</v>
          </cell>
          <cell r="V2632">
            <v>1014</v>
          </cell>
          <cell r="W2632">
            <v>192</v>
          </cell>
          <cell r="X2632">
            <v>285</v>
          </cell>
          <cell r="Y2632">
            <v>16</v>
          </cell>
          <cell r="Z2632">
            <v>4</v>
          </cell>
          <cell r="AA2632">
            <v>8</v>
          </cell>
          <cell r="AB2632">
            <v>3</v>
          </cell>
          <cell r="AC2632">
            <v>10</v>
          </cell>
          <cell r="AD2632">
            <v>36</v>
          </cell>
          <cell r="AE2632">
            <v>7</v>
          </cell>
          <cell r="AF2632">
            <v>12</v>
          </cell>
          <cell r="AG2632">
            <v>0</v>
          </cell>
          <cell r="AH2632">
            <v>7</v>
          </cell>
          <cell r="AI2632">
            <v>0</v>
          </cell>
          <cell r="AJ2632">
            <v>0</v>
          </cell>
        </row>
        <row r="2633">
          <cell r="E2633" t="str">
            <v>ND Commercial Residual Fuel</v>
          </cell>
          <cell r="F2633">
            <v>141</v>
          </cell>
          <cell r="G2633">
            <v>47</v>
          </cell>
          <cell r="H2633">
            <v>75</v>
          </cell>
          <cell r="I2633">
            <v>100</v>
          </cell>
          <cell r="J2633">
            <v>92</v>
          </cell>
          <cell r="K2633">
            <v>119</v>
          </cell>
          <cell r="L2633">
            <v>37</v>
          </cell>
          <cell r="M2633">
            <v>56</v>
          </cell>
          <cell r="N2633">
            <v>102</v>
          </cell>
          <cell r="O2633">
            <v>94</v>
          </cell>
          <cell r="P2633">
            <v>77</v>
          </cell>
          <cell r="Q2633">
            <v>229</v>
          </cell>
          <cell r="R2633">
            <v>593</v>
          </cell>
          <cell r="S2633">
            <v>630</v>
          </cell>
          <cell r="T2633">
            <v>115</v>
          </cell>
          <cell r="U2633">
            <v>289</v>
          </cell>
          <cell r="V2633">
            <v>63</v>
          </cell>
          <cell r="W2633">
            <v>163</v>
          </cell>
          <cell r="X2633">
            <v>74</v>
          </cell>
          <cell r="Y2633">
            <v>8</v>
          </cell>
          <cell r="Z2633">
            <v>16</v>
          </cell>
          <cell r="AA2633">
            <v>123</v>
          </cell>
          <cell r="AB2633">
            <v>96</v>
          </cell>
          <cell r="AC2633">
            <v>13</v>
          </cell>
          <cell r="AD2633">
            <v>12</v>
          </cell>
          <cell r="AE2633">
            <v>4</v>
          </cell>
          <cell r="AF2633">
            <v>0</v>
          </cell>
          <cell r="AG2633">
            <v>0</v>
          </cell>
          <cell r="AH2633">
            <v>0</v>
          </cell>
          <cell r="AI2633">
            <v>0</v>
          </cell>
          <cell r="AJ2633">
            <v>0</v>
          </cell>
        </row>
        <row r="2634">
          <cell r="E2634" t="str">
            <v>NE Commercial Residual Fuel</v>
          </cell>
          <cell r="F2634">
            <v>126</v>
          </cell>
          <cell r="G2634">
            <v>166</v>
          </cell>
          <cell r="H2634">
            <v>255</v>
          </cell>
          <cell r="I2634">
            <v>119</v>
          </cell>
          <cell r="J2634">
            <v>117</v>
          </cell>
          <cell r="K2634">
            <v>4</v>
          </cell>
          <cell r="L2634">
            <v>0</v>
          </cell>
          <cell r="M2634">
            <v>59</v>
          </cell>
          <cell r="N2634">
            <v>45</v>
          </cell>
          <cell r="O2634">
            <v>18</v>
          </cell>
          <cell r="P2634">
            <v>52</v>
          </cell>
          <cell r="Q2634">
            <v>132</v>
          </cell>
          <cell r="R2634">
            <v>0</v>
          </cell>
          <cell r="S2634">
            <v>90</v>
          </cell>
          <cell r="T2634">
            <v>308</v>
          </cell>
          <cell r="U2634">
            <v>146</v>
          </cell>
          <cell r="V2634">
            <v>259</v>
          </cell>
          <cell r="W2634">
            <v>0</v>
          </cell>
          <cell r="X2634">
            <v>266</v>
          </cell>
          <cell r="Y2634">
            <v>43</v>
          </cell>
          <cell r="Z2634">
            <v>3</v>
          </cell>
          <cell r="AA2634">
            <v>0</v>
          </cell>
          <cell r="AB2634">
            <v>1</v>
          </cell>
          <cell r="AC2634">
            <v>0</v>
          </cell>
          <cell r="AD2634">
            <v>7</v>
          </cell>
          <cell r="AE2634">
            <v>0</v>
          </cell>
          <cell r="AF2634">
            <v>0</v>
          </cell>
          <cell r="AG2634">
            <v>9</v>
          </cell>
          <cell r="AH2634">
            <v>38</v>
          </cell>
          <cell r="AI2634">
            <v>21</v>
          </cell>
          <cell r="AJ2634">
            <v>19</v>
          </cell>
        </row>
        <row r="2635">
          <cell r="E2635" t="str">
            <v>NH Commercial Residual Fuel</v>
          </cell>
          <cell r="F2635">
            <v>4072</v>
          </cell>
          <cell r="G2635">
            <v>4221</v>
          </cell>
          <cell r="H2635">
            <v>2026</v>
          </cell>
          <cell r="I2635">
            <v>2359</v>
          </cell>
          <cell r="J2635">
            <v>2803</v>
          </cell>
          <cell r="K2635">
            <v>2740</v>
          </cell>
          <cell r="L2635">
            <v>2811</v>
          </cell>
          <cell r="M2635">
            <v>2980</v>
          </cell>
          <cell r="N2635">
            <v>1739</v>
          </cell>
          <cell r="O2635">
            <v>791</v>
          </cell>
          <cell r="P2635">
            <v>783</v>
          </cell>
          <cell r="Q2635">
            <v>516</v>
          </cell>
          <cell r="R2635">
            <v>775</v>
          </cell>
          <cell r="S2635">
            <v>964</v>
          </cell>
          <cell r="T2635">
            <v>5093</v>
          </cell>
          <cell r="U2635">
            <v>7863</v>
          </cell>
          <cell r="V2635">
            <v>2569</v>
          </cell>
          <cell r="W2635">
            <v>2778</v>
          </cell>
          <cell r="X2635">
            <v>2238</v>
          </cell>
          <cell r="Y2635">
            <v>2048</v>
          </cell>
          <cell r="Z2635">
            <v>1589</v>
          </cell>
          <cell r="AA2635">
            <v>1558</v>
          </cell>
          <cell r="AB2635">
            <v>1005</v>
          </cell>
          <cell r="AC2635">
            <v>851</v>
          </cell>
          <cell r="AD2635">
            <v>421</v>
          </cell>
          <cell r="AE2635">
            <v>541</v>
          </cell>
          <cell r="AF2635">
            <v>1055</v>
          </cell>
          <cell r="AG2635">
            <v>1109</v>
          </cell>
          <cell r="AH2635">
            <v>994</v>
          </cell>
          <cell r="AI2635">
            <v>1023</v>
          </cell>
          <cell r="AJ2635">
            <v>700</v>
          </cell>
        </row>
        <row r="2636">
          <cell r="E2636" t="str">
            <v>NJ Commercial Residual Fuel</v>
          </cell>
          <cell r="F2636">
            <v>9179</v>
          </cell>
          <cell r="G2636">
            <v>10043</v>
          </cell>
          <cell r="H2636">
            <v>8526</v>
          </cell>
          <cell r="I2636">
            <v>12393</v>
          </cell>
          <cell r="J2636">
            <v>13061</v>
          </cell>
          <cell r="K2636">
            <v>7780</v>
          </cell>
          <cell r="L2636">
            <v>8055</v>
          </cell>
          <cell r="M2636">
            <v>4990</v>
          </cell>
          <cell r="N2636">
            <v>3076</v>
          </cell>
          <cell r="O2636">
            <v>3713</v>
          </cell>
          <cell r="P2636">
            <v>3009</v>
          </cell>
          <cell r="Q2636">
            <v>2418</v>
          </cell>
          <cell r="R2636">
            <v>1754</v>
          </cell>
          <cell r="S2636">
            <v>2776</v>
          </cell>
          <cell r="T2636">
            <v>2182</v>
          </cell>
          <cell r="U2636">
            <v>1769</v>
          </cell>
          <cell r="V2636">
            <v>1362</v>
          </cell>
          <cell r="W2636">
            <v>1466</v>
          </cell>
          <cell r="X2636">
            <v>2978</v>
          </cell>
          <cell r="Y2636">
            <v>2611</v>
          </cell>
          <cell r="Z2636">
            <v>885</v>
          </cell>
          <cell r="AA2636">
            <v>787</v>
          </cell>
          <cell r="AB2636">
            <v>269</v>
          </cell>
          <cell r="AC2636">
            <v>222</v>
          </cell>
          <cell r="AD2636">
            <v>43</v>
          </cell>
          <cell r="AE2636">
            <v>64</v>
          </cell>
          <cell r="AF2636">
            <v>106</v>
          </cell>
          <cell r="AG2636">
            <v>0</v>
          </cell>
          <cell r="AH2636">
            <v>17</v>
          </cell>
          <cell r="AI2636">
            <v>0</v>
          </cell>
          <cell r="AJ2636">
            <v>0</v>
          </cell>
        </row>
        <row r="2637">
          <cell r="E2637" t="str">
            <v>NM Commercial Residual Fuel</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row>
        <row r="2638">
          <cell r="E2638" t="str">
            <v>NV Commercial Residual Fuel</v>
          </cell>
          <cell r="F2638">
            <v>13</v>
          </cell>
          <cell r="G2638">
            <v>14</v>
          </cell>
          <cell r="H2638">
            <v>2</v>
          </cell>
          <cell r="I2638">
            <v>0</v>
          </cell>
          <cell r="J2638">
            <v>0</v>
          </cell>
          <cell r="K2638">
            <v>0</v>
          </cell>
          <cell r="L2638">
            <v>0</v>
          </cell>
          <cell r="M2638">
            <v>4</v>
          </cell>
          <cell r="N2638">
            <v>23</v>
          </cell>
          <cell r="O2638">
            <v>42</v>
          </cell>
          <cell r="P2638">
            <v>53</v>
          </cell>
          <cell r="Q2638">
            <v>0</v>
          </cell>
          <cell r="R2638">
            <v>0</v>
          </cell>
          <cell r="S2638">
            <v>0</v>
          </cell>
          <cell r="T2638">
            <v>0</v>
          </cell>
          <cell r="U2638">
            <v>0</v>
          </cell>
          <cell r="V2638">
            <v>0</v>
          </cell>
          <cell r="W2638">
            <v>30</v>
          </cell>
          <cell r="X2638">
            <v>0</v>
          </cell>
          <cell r="Y2638">
            <v>0</v>
          </cell>
          <cell r="Z2638">
            <v>0</v>
          </cell>
          <cell r="AA2638">
            <v>51</v>
          </cell>
          <cell r="AB2638">
            <v>0</v>
          </cell>
          <cell r="AC2638">
            <v>0</v>
          </cell>
          <cell r="AD2638">
            <v>0</v>
          </cell>
          <cell r="AE2638">
            <v>0</v>
          </cell>
          <cell r="AF2638">
            <v>0</v>
          </cell>
          <cell r="AG2638">
            <v>0</v>
          </cell>
          <cell r="AH2638">
            <v>0</v>
          </cell>
          <cell r="AI2638">
            <v>0</v>
          </cell>
          <cell r="AJ2638">
            <v>0</v>
          </cell>
        </row>
        <row r="2639">
          <cell r="E2639" t="str">
            <v>NY Commercial Residual Fuel</v>
          </cell>
          <cell r="F2639">
            <v>109393</v>
          </cell>
          <cell r="G2639">
            <v>106890</v>
          </cell>
          <cell r="H2639">
            <v>99165</v>
          </cell>
          <cell r="I2639">
            <v>108782</v>
          </cell>
          <cell r="J2639">
            <v>100953</v>
          </cell>
          <cell r="K2639">
            <v>85222</v>
          </cell>
          <cell r="L2639">
            <v>80417</v>
          </cell>
          <cell r="M2639">
            <v>63528</v>
          </cell>
          <cell r="N2639">
            <v>42534</v>
          </cell>
          <cell r="O2639">
            <v>46771</v>
          </cell>
          <cell r="P2639">
            <v>59280</v>
          </cell>
          <cell r="Q2639">
            <v>45223</v>
          </cell>
          <cell r="R2639">
            <v>54559</v>
          </cell>
          <cell r="S2639">
            <v>67798</v>
          </cell>
          <cell r="T2639">
            <v>71929</v>
          </cell>
          <cell r="U2639">
            <v>63283</v>
          </cell>
          <cell r="V2639">
            <v>49923</v>
          </cell>
          <cell r="W2639">
            <v>54842</v>
          </cell>
          <cell r="X2639">
            <v>48318</v>
          </cell>
          <cell r="Y2639">
            <v>53884</v>
          </cell>
          <cell r="Z2639">
            <v>49262</v>
          </cell>
          <cell r="AA2639">
            <v>44569</v>
          </cell>
          <cell r="AB2639">
            <v>26636</v>
          </cell>
          <cell r="AC2639">
            <v>19734</v>
          </cell>
          <cell r="AD2639">
            <v>5321</v>
          </cell>
          <cell r="AE2639">
            <v>1961</v>
          </cell>
          <cell r="AF2639">
            <v>1960</v>
          </cell>
          <cell r="AG2639">
            <v>1791</v>
          </cell>
          <cell r="AH2639">
            <v>984</v>
          </cell>
          <cell r="AI2639">
            <v>735</v>
          </cell>
          <cell r="AJ2639">
            <v>563</v>
          </cell>
        </row>
        <row r="2640">
          <cell r="E2640" t="str">
            <v>OH Commercial Residual Fuel</v>
          </cell>
          <cell r="F2640">
            <v>138</v>
          </cell>
          <cell r="G2640">
            <v>252</v>
          </cell>
          <cell r="H2640">
            <v>460</v>
          </cell>
          <cell r="I2640">
            <v>167</v>
          </cell>
          <cell r="J2640">
            <v>47</v>
          </cell>
          <cell r="K2640">
            <v>29</v>
          </cell>
          <cell r="L2640">
            <v>11</v>
          </cell>
          <cell r="M2640">
            <v>13</v>
          </cell>
          <cell r="N2640">
            <v>4</v>
          </cell>
          <cell r="O2640">
            <v>0</v>
          </cell>
          <cell r="P2640">
            <v>0</v>
          </cell>
          <cell r="Q2640">
            <v>4</v>
          </cell>
          <cell r="R2640">
            <v>28</v>
          </cell>
          <cell r="S2640">
            <v>13</v>
          </cell>
          <cell r="T2640">
            <v>633</v>
          </cell>
          <cell r="U2640">
            <v>681</v>
          </cell>
          <cell r="V2640">
            <v>177</v>
          </cell>
          <cell r="W2640">
            <v>6</v>
          </cell>
          <cell r="X2640">
            <v>51</v>
          </cell>
          <cell r="Y2640">
            <v>8</v>
          </cell>
          <cell r="Z2640">
            <v>36</v>
          </cell>
          <cell r="AA2640">
            <v>34</v>
          </cell>
          <cell r="AB2640">
            <v>1</v>
          </cell>
          <cell r="AC2640">
            <v>0</v>
          </cell>
          <cell r="AD2640">
            <v>0</v>
          </cell>
          <cell r="AE2640">
            <v>0</v>
          </cell>
          <cell r="AF2640">
            <v>0</v>
          </cell>
          <cell r="AG2640">
            <v>0</v>
          </cell>
          <cell r="AH2640">
            <v>0</v>
          </cell>
          <cell r="AI2640">
            <v>0</v>
          </cell>
          <cell r="AJ2640">
            <v>0</v>
          </cell>
        </row>
        <row r="2641">
          <cell r="E2641" t="str">
            <v>OK Commercial Residual Fuel</v>
          </cell>
          <cell r="F2641">
            <v>506</v>
          </cell>
          <cell r="G2641">
            <v>477</v>
          </cell>
          <cell r="H2641">
            <v>269</v>
          </cell>
          <cell r="I2641">
            <v>0</v>
          </cell>
          <cell r="J2641">
            <v>0</v>
          </cell>
          <cell r="K2641">
            <v>2</v>
          </cell>
          <cell r="L2641">
            <v>0</v>
          </cell>
          <cell r="M2641">
            <v>0</v>
          </cell>
          <cell r="N2641">
            <v>0</v>
          </cell>
          <cell r="O2641">
            <v>0</v>
          </cell>
          <cell r="P2641">
            <v>0</v>
          </cell>
          <cell r="Q2641">
            <v>0</v>
          </cell>
          <cell r="R2641">
            <v>64</v>
          </cell>
          <cell r="S2641">
            <v>0</v>
          </cell>
          <cell r="T2641">
            <v>6</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31</v>
          </cell>
        </row>
        <row r="2642">
          <cell r="E2642" t="str">
            <v>OR Commercial Residual Fuel</v>
          </cell>
          <cell r="F2642">
            <v>1781</v>
          </cell>
          <cell r="G2642">
            <v>1598</v>
          </cell>
          <cell r="H2642">
            <v>1509</v>
          </cell>
          <cell r="I2642">
            <v>1084</v>
          </cell>
          <cell r="J2642">
            <v>687</v>
          </cell>
          <cell r="K2642">
            <v>545</v>
          </cell>
          <cell r="L2642">
            <v>519</v>
          </cell>
          <cell r="M2642">
            <v>304</v>
          </cell>
          <cell r="N2642">
            <v>450</v>
          </cell>
          <cell r="O2642">
            <v>301</v>
          </cell>
          <cell r="P2642">
            <v>386</v>
          </cell>
          <cell r="Q2642">
            <v>317</v>
          </cell>
          <cell r="R2642">
            <v>403</v>
          </cell>
          <cell r="S2642">
            <v>333</v>
          </cell>
          <cell r="T2642">
            <v>343</v>
          </cell>
          <cell r="U2642">
            <v>306</v>
          </cell>
          <cell r="V2642">
            <v>250</v>
          </cell>
          <cell r="W2642">
            <v>203</v>
          </cell>
          <cell r="X2642">
            <v>256</v>
          </cell>
          <cell r="Y2642">
            <v>224</v>
          </cell>
          <cell r="Z2642">
            <v>166</v>
          </cell>
          <cell r="AA2642">
            <v>187</v>
          </cell>
          <cell r="AB2642">
            <v>95</v>
          </cell>
          <cell r="AC2642">
            <v>21</v>
          </cell>
          <cell r="AD2642">
            <v>2</v>
          </cell>
          <cell r="AE2642">
            <v>0</v>
          </cell>
          <cell r="AF2642">
            <v>0</v>
          </cell>
          <cell r="AG2642">
            <v>0</v>
          </cell>
          <cell r="AH2642">
            <v>0</v>
          </cell>
          <cell r="AI2642">
            <v>0</v>
          </cell>
          <cell r="AJ2642">
            <v>0</v>
          </cell>
        </row>
        <row r="2643">
          <cell r="E2643" t="str">
            <v>PA Commercial Residual Fuel</v>
          </cell>
          <cell r="F2643">
            <v>4992</v>
          </cell>
          <cell r="G2643">
            <v>3953</v>
          </cell>
          <cell r="H2643">
            <v>5504</v>
          </cell>
          <cell r="I2643">
            <v>6981</v>
          </cell>
          <cell r="J2643">
            <v>8577</v>
          </cell>
          <cell r="K2643">
            <v>7679</v>
          </cell>
          <cell r="L2643">
            <v>8195</v>
          </cell>
          <cell r="M2643">
            <v>6470</v>
          </cell>
          <cell r="N2643">
            <v>3758</v>
          </cell>
          <cell r="O2643">
            <v>3395</v>
          </cell>
          <cell r="P2643">
            <v>3985</v>
          </cell>
          <cell r="Q2643">
            <v>3144</v>
          </cell>
          <cell r="R2643">
            <v>2365</v>
          </cell>
          <cell r="S2643">
            <v>3543</v>
          </cell>
          <cell r="T2643">
            <v>3826</v>
          </cell>
          <cell r="U2643">
            <v>3934</v>
          </cell>
          <cell r="V2643">
            <v>1802</v>
          </cell>
          <cell r="W2643">
            <v>2445</v>
          </cell>
          <cell r="X2643">
            <v>1515</v>
          </cell>
          <cell r="Y2643">
            <v>1541</v>
          </cell>
          <cell r="Z2643">
            <v>570</v>
          </cell>
          <cell r="AA2643">
            <v>254</v>
          </cell>
          <cell r="AB2643">
            <v>163</v>
          </cell>
          <cell r="AC2643">
            <v>66</v>
          </cell>
          <cell r="AD2643">
            <v>79</v>
          </cell>
          <cell r="AE2643">
            <v>53</v>
          </cell>
          <cell r="AF2643">
            <v>127</v>
          </cell>
          <cell r="AG2643">
            <v>3</v>
          </cell>
          <cell r="AH2643">
            <v>5</v>
          </cell>
          <cell r="AI2643">
            <v>0</v>
          </cell>
          <cell r="AJ2643">
            <v>0</v>
          </cell>
        </row>
        <row r="2644">
          <cell r="E2644" t="str">
            <v>RI Commercial Residual Fuel</v>
          </cell>
          <cell r="F2644">
            <v>3754</v>
          </cell>
          <cell r="G2644">
            <v>3678</v>
          </cell>
          <cell r="H2644">
            <v>3254</v>
          </cell>
          <cell r="I2644">
            <v>3985</v>
          </cell>
          <cell r="J2644">
            <v>3923</v>
          </cell>
          <cell r="K2644">
            <v>3135</v>
          </cell>
          <cell r="L2644">
            <v>4195</v>
          </cell>
          <cell r="M2644">
            <v>3822</v>
          </cell>
          <cell r="N2644">
            <v>2439</v>
          </cell>
          <cell r="O2644">
            <v>2335</v>
          </cell>
          <cell r="P2644">
            <v>2632</v>
          </cell>
          <cell r="Q2644">
            <v>2697</v>
          </cell>
          <cell r="R2644">
            <v>2265</v>
          </cell>
          <cell r="S2644">
            <v>2345</v>
          </cell>
          <cell r="T2644">
            <v>2486</v>
          </cell>
          <cell r="U2644">
            <v>2744</v>
          </cell>
          <cell r="V2644">
            <v>1611</v>
          </cell>
          <cell r="W2644">
            <v>1473</v>
          </cell>
          <cell r="X2644">
            <v>1022</v>
          </cell>
          <cell r="Y2644">
            <v>944</v>
          </cell>
          <cell r="Z2644">
            <v>399</v>
          </cell>
          <cell r="AA2644">
            <v>278</v>
          </cell>
          <cell r="AB2644">
            <v>155</v>
          </cell>
          <cell r="AC2644">
            <v>160</v>
          </cell>
          <cell r="AD2644">
            <v>205</v>
          </cell>
          <cell r="AE2644">
            <v>187</v>
          </cell>
          <cell r="AF2644">
            <v>153</v>
          </cell>
          <cell r="AG2644">
            <v>6</v>
          </cell>
          <cell r="AH2644">
            <v>0</v>
          </cell>
          <cell r="AI2644">
            <v>2</v>
          </cell>
          <cell r="AJ2644">
            <v>9</v>
          </cell>
        </row>
        <row r="2645">
          <cell r="E2645" t="str">
            <v>SC Commercial Residual Fuel</v>
          </cell>
          <cell r="F2645">
            <v>108</v>
          </cell>
          <cell r="G2645">
            <v>154</v>
          </cell>
          <cell r="H2645">
            <v>328</v>
          </cell>
          <cell r="I2645">
            <v>174</v>
          </cell>
          <cell r="J2645">
            <v>411</v>
          </cell>
          <cell r="K2645">
            <v>240</v>
          </cell>
          <cell r="L2645">
            <v>235</v>
          </cell>
          <cell r="M2645">
            <v>63</v>
          </cell>
          <cell r="N2645">
            <v>41</v>
          </cell>
          <cell r="O2645">
            <v>60</v>
          </cell>
          <cell r="P2645">
            <v>317</v>
          </cell>
          <cell r="Q2645">
            <v>713</v>
          </cell>
          <cell r="R2645">
            <v>118</v>
          </cell>
          <cell r="S2645">
            <v>114</v>
          </cell>
          <cell r="T2645">
            <v>293</v>
          </cell>
          <cell r="U2645">
            <v>485</v>
          </cell>
          <cell r="V2645">
            <v>105</v>
          </cell>
          <cell r="W2645">
            <v>90</v>
          </cell>
          <cell r="X2645">
            <v>3</v>
          </cell>
          <cell r="Y2645">
            <v>2</v>
          </cell>
          <cell r="Z2645">
            <v>0</v>
          </cell>
          <cell r="AA2645">
            <v>3</v>
          </cell>
          <cell r="AB2645">
            <v>0</v>
          </cell>
          <cell r="AC2645">
            <v>0</v>
          </cell>
          <cell r="AD2645">
            <v>14</v>
          </cell>
          <cell r="AE2645">
            <v>36</v>
          </cell>
          <cell r="AF2645">
            <v>85</v>
          </cell>
          <cell r="AG2645">
            <v>14</v>
          </cell>
          <cell r="AH2645">
            <v>190</v>
          </cell>
          <cell r="AI2645">
            <v>1</v>
          </cell>
          <cell r="AJ2645">
            <v>34</v>
          </cell>
        </row>
        <row r="2646">
          <cell r="E2646" t="str">
            <v>SD Commercial Residual Fuel</v>
          </cell>
          <cell r="F2646">
            <v>154</v>
          </cell>
          <cell r="G2646">
            <v>219</v>
          </cell>
          <cell r="H2646">
            <v>222</v>
          </cell>
          <cell r="I2646">
            <v>4</v>
          </cell>
          <cell r="J2646">
            <v>38</v>
          </cell>
          <cell r="K2646">
            <v>15</v>
          </cell>
          <cell r="L2646">
            <v>0</v>
          </cell>
          <cell r="M2646">
            <v>53</v>
          </cell>
          <cell r="N2646">
            <v>34</v>
          </cell>
          <cell r="O2646">
            <v>49</v>
          </cell>
          <cell r="P2646">
            <v>436</v>
          </cell>
          <cell r="Q2646">
            <v>31</v>
          </cell>
          <cell r="R2646">
            <v>2</v>
          </cell>
          <cell r="S2646">
            <v>0</v>
          </cell>
          <cell r="T2646">
            <v>80</v>
          </cell>
          <cell r="U2646">
            <v>1</v>
          </cell>
          <cell r="V2646">
            <v>7</v>
          </cell>
          <cell r="W2646">
            <v>76</v>
          </cell>
          <cell r="X2646">
            <v>56</v>
          </cell>
          <cell r="Y2646">
            <v>21</v>
          </cell>
          <cell r="Z2646">
            <v>14</v>
          </cell>
          <cell r="AA2646">
            <v>2</v>
          </cell>
          <cell r="AB2646">
            <v>1</v>
          </cell>
          <cell r="AC2646">
            <v>2</v>
          </cell>
          <cell r="AD2646">
            <v>0</v>
          </cell>
          <cell r="AE2646">
            <v>0</v>
          </cell>
          <cell r="AF2646">
            <v>0</v>
          </cell>
          <cell r="AG2646">
            <v>0</v>
          </cell>
          <cell r="AH2646">
            <v>51</v>
          </cell>
          <cell r="AI2646">
            <v>58</v>
          </cell>
          <cell r="AJ2646">
            <v>62</v>
          </cell>
        </row>
        <row r="2647">
          <cell r="E2647" t="str">
            <v>TN Commercial Residual Fuel</v>
          </cell>
          <cell r="F2647">
            <v>206</v>
          </cell>
          <cell r="G2647">
            <v>103</v>
          </cell>
          <cell r="H2647">
            <v>357</v>
          </cell>
          <cell r="I2647">
            <v>209</v>
          </cell>
          <cell r="J2647">
            <v>202</v>
          </cell>
          <cell r="K2647">
            <v>89</v>
          </cell>
          <cell r="L2647">
            <v>174</v>
          </cell>
          <cell r="M2647">
            <v>278</v>
          </cell>
          <cell r="N2647">
            <v>9</v>
          </cell>
          <cell r="O2647">
            <v>0</v>
          </cell>
          <cell r="P2647">
            <v>0</v>
          </cell>
          <cell r="Q2647">
            <v>0</v>
          </cell>
          <cell r="R2647">
            <v>0</v>
          </cell>
          <cell r="S2647">
            <v>0</v>
          </cell>
          <cell r="T2647">
            <v>82</v>
          </cell>
          <cell r="U2647">
            <v>0</v>
          </cell>
          <cell r="V2647">
            <v>0</v>
          </cell>
          <cell r="W2647">
            <v>50</v>
          </cell>
          <cell r="X2647">
            <v>28</v>
          </cell>
          <cell r="Y2647">
            <v>22</v>
          </cell>
          <cell r="Z2647">
            <v>0</v>
          </cell>
          <cell r="AA2647">
            <v>0</v>
          </cell>
          <cell r="AB2647">
            <v>0</v>
          </cell>
          <cell r="AC2647">
            <v>11</v>
          </cell>
          <cell r="AD2647">
            <v>0</v>
          </cell>
          <cell r="AE2647">
            <v>0</v>
          </cell>
          <cell r="AF2647">
            <v>0</v>
          </cell>
          <cell r="AG2647">
            <v>0</v>
          </cell>
          <cell r="AH2647">
            <v>0</v>
          </cell>
          <cell r="AI2647">
            <v>0</v>
          </cell>
          <cell r="AJ2647">
            <v>0</v>
          </cell>
        </row>
        <row r="2648">
          <cell r="E2648" t="str">
            <v>TX Commercial Residual Fuel</v>
          </cell>
          <cell r="F2648">
            <v>446</v>
          </cell>
          <cell r="G2648">
            <v>1358</v>
          </cell>
          <cell r="H2648">
            <v>98</v>
          </cell>
          <cell r="I2648">
            <v>0</v>
          </cell>
          <cell r="J2648">
            <v>5</v>
          </cell>
          <cell r="K2648">
            <v>0</v>
          </cell>
          <cell r="L2648">
            <v>0</v>
          </cell>
          <cell r="M2648">
            <v>0</v>
          </cell>
          <cell r="N2648">
            <v>0</v>
          </cell>
          <cell r="O2648">
            <v>0</v>
          </cell>
          <cell r="P2648">
            <v>0</v>
          </cell>
          <cell r="Q2648">
            <v>70</v>
          </cell>
          <cell r="R2648">
            <v>145</v>
          </cell>
          <cell r="S2648">
            <v>0</v>
          </cell>
          <cell r="T2648">
            <v>0</v>
          </cell>
          <cell r="U2648">
            <v>0</v>
          </cell>
          <cell r="V2648">
            <v>0</v>
          </cell>
          <cell r="W2648">
            <v>87</v>
          </cell>
          <cell r="X2648">
            <v>46</v>
          </cell>
          <cell r="Y2648">
            <v>23</v>
          </cell>
          <cell r="Z2648">
            <v>90</v>
          </cell>
          <cell r="AA2648">
            <v>275</v>
          </cell>
          <cell r="AB2648">
            <v>152</v>
          </cell>
          <cell r="AC2648">
            <v>184</v>
          </cell>
          <cell r="AD2648">
            <v>58</v>
          </cell>
          <cell r="AE2648">
            <v>0</v>
          </cell>
          <cell r="AF2648">
            <v>43</v>
          </cell>
          <cell r="AG2648">
            <v>0</v>
          </cell>
          <cell r="AH2648">
            <v>0</v>
          </cell>
          <cell r="AI2648">
            <v>0</v>
          </cell>
          <cell r="AJ2648">
            <v>361</v>
          </cell>
        </row>
        <row r="2649">
          <cell r="E2649" t="str">
            <v>US Commercial Residual Fuel</v>
          </cell>
          <cell r="F2649">
            <v>229842</v>
          </cell>
          <cell r="G2649">
            <v>211928</v>
          </cell>
          <cell r="H2649">
            <v>189081</v>
          </cell>
          <cell r="I2649">
            <v>172717</v>
          </cell>
          <cell r="J2649">
            <v>171945</v>
          </cell>
          <cell r="K2649">
            <v>141481</v>
          </cell>
          <cell r="L2649">
            <v>137191</v>
          </cell>
          <cell r="M2649">
            <v>111242</v>
          </cell>
          <cell r="N2649">
            <v>85209</v>
          </cell>
          <cell r="O2649">
            <v>73302</v>
          </cell>
          <cell r="P2649">
            <v>91584</v>
          </cell>
          <cell r="Q2649">
            <v>69857</v>
          </cell>
          <cell r="R2649">
            <v>79801</v>
          </cell>
          <cell r="S2649">
            <v>111119</v>
          </cell>
          <cell r="T2649">
            <v>122492</v>
          </cell>
          <cell r="U2649">
            <v>115829</v>
          </cell>
          <cell r="V2649">
            <v>75262</v>
          </cell>
          <cell r="W2649">
            <v>75388</v>
          </cell>
          <cell r="X2649">
            <v>71016</v>
          </cell>
          <cell r="Y2649">
            <v>71280</v>
          </cell>
          <cell r="Z2649">
            <v>61690</v>
          </cell>
          <cell r="AA2649">
            <v>53746</v>
          </cell>
          <cell r="AB2649">
            <v>31396</v>
          </cell>
          <cell r="AC2649">
            <v>24403</v>
          </cell>
          <cell r="AD2649">
            <v>7939</v>
          </cell>
          <cell r="AE2649">
            <v>3972</v>
          </cell>
          <cell r="AF2649">
            <v>4439</v>
          </cell>
          <cell r="AG2649">
            <v>3832</v>
          </cell>
          <cell r="AH2649">
            <v>3106</v>
          </cell>
          <cell r="AI2649">
            <v>2337</v>
          </cell>
          <cell r="AJ2649">
            <v>2338</v>
          </cell>
        </row>
        <row r="2650">
          <cell r="E2650" t="str">
            <v>UT Commercial Residual Fuel</v>
          </cell>
          <cell r="F2650">
            <v>461</v>
          </cell>
          <cell r="G2650">
            <v>143</v>
          </cell>
          <cell r="H2650">
            <v>128</v>
          </cell>
          <cell r="I2650">
            <v>341</v>
          </cell>
          <cell r="J2650">
            <v>122</v>
          </cell>
          <cell r="K2650">
            <v>80</v>
          </cell>
          <cell r="L2650">
            <v>85</v>
          </cell>
          <cell r="M2650">
            <v>68</v>
          </cell>
          <cell r="N2650">
            <v>17</v>
          </cell>
          <cell r="O2650">
            <v>61</v>
          </cell>
          <cell r="P2650">
            <v>102</v>
          </cell>
          <cell r="Q2650">
            <v>114</v>
          </cell>
          <cell r="R2650">
            <v>0</v>
          </cell>
          <cell r="S2650">
            <v>0</v>
          </cell>
          <cell r="T2650">
            <v>0</v>
          </cell>
          <cell r="U2650">
            <v>18</v>
          </cell>
          <cell r="V2650">
            <v>5</v>
          </cell>
          <cell r="W2650">
            <v>0</v>
          </cell>
          <cell r="X2650">
            <v>0</v>
          </cell>
          <cell r="Y2650">
            <v>0</v>
          </cell>
          <cell r="Z2650">
            <v>0</v>
          </cell>
          <cell r="AA2650">
            <v>0</v>
          </cell>
          <cell r="AB2650">
            <v>0</v>
          </cell>
          <cell r="AC2650">
            <v>0</v>
          </cell>
          <cell r="AD2650">
            <v>110</v>
          </cell>
          <cell r="AE2650">
            <v>0</v>
          </cell>
          <cell r="AF2650">
            <v>0</v>
          </cell>
          <cell r="AG2650">
            <v>0</v>
          </cell>
          <cell r="AH2650">
            <v>0</v>
          </cell>
          <cell r="AI2650">
            <v>0</v>
          </cell>
          <cell r="AJ2650">
            <v>0</v>
          </cell>
        </row>
        <row r="2651">
          <cell r="E2651" t="str">
            <v>VA Commercial Residual Fuel</v>
          </cell>
          <cell r="F2651">
            <v>1367</v>
          </cell>
          <cell r="G2651">
            <v>718</v>
          </cell>
          <cell r="H2651">
            <v>1394</v>
          </cell>
          <cell r="I2651">
            <v>1129</v>
          </cell>
          <cell r="J2651">
            <v>975</v>
          </cell>
          <cell r="K2651">
            <v>1290</v>
          </cell>
          <cell r="L2651">
            <v>1593</v>
          </cell>
          <cell r="M2651">
            <v>802</v>
          </cell>
          <cell r="N2651">
            <v>706</v>
          </cell>
          <cell r="O2651">
            <v>1141</v>
          </cell>
          <cell r="P2651">
            <v>2708</v>
          </cell>
          <cell r="Q2651">
            <v>1774</v>
          </cell>
          <cell r="R2651">
            <v>465</v>
          </cell>
          <cell r="S2651">
            <v>2549</v>
          </cell>
          <cell r="T2651">
            <v>1988</v>
          </cell>
          <cell r="U2651">
            <v>523</v>
          </cell>
          <cell r="V2651">
            <v>233</v>
          </cell>
          <cell r="W2651">
            <v>115</v>
          </cell>
          <cell r="X2651">
            <v>123</v>
          </cell>
          <cell r="Y2651">
            <v>136</v>
          </cell>
          <cell r="Z2651">
            <v>182</v>
          </cell>
          <cell r="AA2651">
            <v>73</v>
          </cell>
          <cell r="AB2651">
            <v>38</v>
          </cell>
          <cell r="AC2651">
            <v>24</v>
          </cell>
          <cell r="AD2651">
            <v>24</v>
          </cell>
          <cell r="AE2651">
            <v>0</v>
          </cell>
          <cell r="AF2651">
            <v>1</v>
          </cell>
          <cell r="AG2651">
            <v>0</v>
          </cell>
          <cell r="AH2651">
            <v>5</v>
          </cell>
          <cell r="AI2651">
            <v>0</v>
          </cell>
          <cell r="AJ2651">
            <v>2</v>
          </cell>
        </row>
        <row r="2652">
          <cell r="E2652" t="str">
            <v>VT Commercial Residual Fuel</v>
          </cell>
          <cell r="F2652">
            <v>749</v>
          </cell>
          <cell r="G2652">
            <v>822</v>
          </cell>
          <cell r="H2652">
            <v>660</v>
          </cell>
          <cell r="I2652">
            <v>1078</v>
          </cell>
          <cell r="J2652">
            <v>539</v>
          </cell>
          <cell r="K2652">
            <v>444</v>
          </cell>
          <cell r="L2652">
            <v>456</v>
          </cell>
          <cell r="M2652">
            <v>698</v>
          </cell>
          <cell r="N2652">
            <v>671</v>
          </cell>
          <cell r="O2652">
            <v>448</v>
          </cell>
          <cell r="P2652">
            <v>637</v>
          </cell>
          <cell r="Q2652">
            <v>577</v>
          </cell>
          <cell r="R2652">
            <v>759</v>
          </cell>
          <cell r="S2652">
            <v>951</v>
          </cell>
          <cell r="T2652">
            <v>922</v>
          </cell>
          <cell r="U2652">
            <v>909</v>
          </cell>
          <cell r="V2652">
            <v>814</v>
          </cell>
          <cell r="W2652">
            <v>547</v>
          </cell>
          <cell r="X2652">
            <v>683</v>
          </cell>
          <cell r="Y2652">
            <v>557</v>
          </cell>
          <cell r="Z2652">
            <v>374</v>
          </cell>
          <cell r="AA2652">
            <v>331</v>
          </cell>
          <cell r="AB2652">
            <v>227</v>
          </cell>
          <cell r="AC2652">
            <v>232</v>
          </cell>
          <cell r="AD2652">
            <v>153</v>
          </cell>
          <cell r="AE2652">
            <v>108</v>
          </cell>
          <cell r="AF2652">
            <v>119</v>
          </cell>
          <cell r="AG2652">
            <v>169</v>
          </cell>
          <cell r="AH2652">
            <v>68</v>
          </cell>
          <cell r="AI2652">
            <v>40</v>
          </cell>
          <cell r="AJ2652">
            <v>50</v>
          </cell>
        </row>
        <row r="2653">
          <cell r="E2653" t="str">
            <v>WA Commercial Residual Fuel</v>
          </cell>
          <cell r="F2653">
            <v>331</v>
          </cell>
          <cell r="G2653">
            <v>629</v>
          </cell>
          <cell r="H2653">
            <v>350</v>
          </cell>
          <cell r="I2653">
            <v>370</v>
          </cell>
          <cell r="J2653">
            <v>298</v>
          </cell>
          <cell r="K2653">
            <v>690</v>
          </cell>
          <cell r="L2653">
            <v>1054</v>
          </cell>
          <cell r="M2653">
            <v>283</v>
          </cell>
          <cell r="N2653">
            <v>207</v>
          </cell>
          <cell r="O2653">
            <v>178</v>
          </cell>
          <cell r="P2653">
            <v>170</v>
          </cell>
          <cell r="Q2653">
            <v>44</v>
          </cell>
          <cell r="R2653">
            <v>22</v>
          </cell>
          <cell r="S2653">
            <v>7</v>
          </cell>
          <cell r="T2653">
            <v>0</v>
          </cell>
          <cell r="U2653">
            <v>0</v>
          </cell>
          <cell r="V2653">
            <v>4</v>
          </cell>
          <cell r="W2653">
            <v>2</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row>
        <row r="2654">
          <cell r="E2654" t="str">
            <v>WI Commercial Residual Fuel</v>
          </cell>
          <cell r="F2654">
            <v>1361</v>
          </cell>
          <cell r="G2654">
            <v>1117</v>
          </cell>
          <cell r="H2654">
            <v>1438</v>
          </cell>
          <cell r="I2654">
            <v>1221</v>
          </cell>
          <cell r="J2654">
            <v>1034</v>
          </cell>
          <cell r="K2654">
            <v>679</v>
          </cell>
          <cell r="L2654">
            <v>821</v>
          </cell>
          <cell r="M2654">
            <v>830</v>
          </cell>
          <cell r="N2654">
            <v>1469</v>
          </cell>
          <cell r="O2654">
            <v>1052</v>
          </cell>
          <cell r="P2654">
            <v>1132</v>
          </cell>
          <cell r="Q2654">
            <v>1248</v>
          </cell>
          <cell r="R2654">
            <v>2306</v>
          </cell>
          <cell r="S2654">
            <v>2471</v>
          </cell>
          <cell r="T2654">
            <v>1569</v>
          </cell>
          <cell r="U2654">
            <v>1862</v>
          </cell>
          <cell r="V2654">
            <v>512</v>
          </cell>
          <cell r="W2654">
            <v>155</v>
          </cell>
          <cell r="X2654">
            <v>6</v>
          </cell>
          <cell r="Y2654">
            <v>1</v>
          </cell>
          <cell r="Z2654">
            <v>0</v>
          </cell>
          <cell r="AA2654">
            <v>0</v>
          </cell>
          <cell r="AB2654">
            <v>0</v>
          </cell>
          <cell r="AC2654">
            <v>0</v>
          </cell>
          <cell r="AD2654">
            <v>0</v>
          </cell>
          <cell r="AE2654">
            <v>0</v>
          </cell>
          <cell r="AF2654">
            <v>0</v>
          </cell>
          <cell r="AG2654">
            <v>0</v>
          </cell>
          <cell r="AH2654">
            <v>0</v>
          </cell>
          <cell r="AI2654">
            <v>0</v>
          </cell>
          <cell r="AJ2654">
            <v>0</v>
          </cell>
        </row>
        <row r="2655">
          <cell r="E2655" t="str">
            <v>WV Commercial Residual Fuel</v>
          </cell>
          <cell r="F2655">
            <v>408</v>
          </cell>
          <cell r="G2655">
            <v>319</v>
          </cell>
          <cell r="H2655">
            <v>346</v>
          </cell>
          <cell r="I2655">
            <v>121</v>
          </cell>
          <cell r="J2655">
            <v>31</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2</v>
          </cell>
          <cell r="AD2655">
            <v>0</v>
          </cell>
          <cell r="AE2655">
            <v>0</v>
          </cell>
          <cell r="AF2655">
            <v>0</v>
          </cell>
          <cell r="AG2655">
            <v>0</v>
          </cell>
          <cell r="AH2655">
            <v>0</v>
          </cell>
          <cell r="AI2655">
            <v>0</v>
          </cell>
          <cell r="AJ2655">
            <v>0</v>
          </cell>
        </row>
        <row r="2656">
          <cell r="E2656" t="str">
            <v>WY Commercial Residual Fuel</v>
          </cell>
          <cell r="F2656">
            <v>4</v>
          </cell>
          <cell r="G2656">
            <v>7</v>
          </cell>
          <cell r="H2656">
            <v>0</v>
          </cell>
          <cell r="I2656">
            <v>0</v>
          </cell>
          <cell r="J2656">
            <v>5</v>
          </cell>
          <cell r="K2656">
            <v>2</v>
          </cell>
          <cell r="L2656">
            <v>1</v>
          </cell>
          <cell r="M2656">
            <v>1</v>
          </cell>
          <cell r="N2656">
            <v>0</v>
          </cell>
          <cell r="O2656">
            <v>0</v>
          </cell>
          <cell r="P2656">
            <v>1</v>
          </cell>
          <cell r="Q2656">
            <v>0</v>
          </cell>
          <cell r="R2656">
            <v>0</v>
          </cell>
          <cell r="S2656">
            <v>0</v>
          </cell>
          <cell r="T2656">
            <v>0</v>
          </cell>
          <cell r="U2656">
            <v>0</v>
          </cell>
          <cell r="V2656">
            <v>0</v>
          </cell>
          <cell r="W2656">
            <v>0</v>
          </cell>
          <cell r="X2656">
            <v>0</v>
          </cell>
          <cell r="Y2656">
            <v>0</v>
          </cell>
          <cell r="Z2656">
            <v>0</v>
          </cell>
          <cell r="AA2656">
            <v>0</v>
          </cell>
          <cell r="AB2656">
            <v>9</v>
          </cell>
          <cell r="AC2656">
            <v>0</v>
          </cell>
          <cell r="AD2656">
            <v>0</v>
          </cell>
          <cell r="AE2656">
            <v>0</v>
          </cell>
          <cell r="AF2656">
            <v>0</v>
          </cell>
          <cell r="AG2656">
            <v>0</v>
          </cell>
          <cell r="AH2656">
            <v>0</v>
          </cell>
          <cell r="AI2656">
            <v>0</v>
          </cell>
          <cell r="AJ2656">
            <v>0</v>
          </cell>
        </row>
        <row r="2657">
          <cell r="E2657" t="str">
            <v>AK Electric Power Residual Fuel</v>
          </cell>
          <cell r="F2657">
            <v>1077</v>
          </cell>
          <cell r="G2657">
            <v>1506</v>
          </cell>
          <cell r="H2657">
            <v>923</v>
          </cell>
          <cell r="I2657">
            <v>1927</v>
          </cell>
          <cell r="J2657">
            <v>1765</v>
          </cell>
          <cell r="K2657">
            <v>1615</v>
          </cell>
          <cell r="L2657">
            <v>3238</v>
          </cell>
          <cell r="M2657">
            <v>4544</v>
          </cell>
          <cell r="N2657">
            <v>5159</v>
          </cell>
          <cell r="O2657">
            <v>5270</v>
          </cell>
          <cell r="P2657">
            <v>4213</v>
          </cell>
          <cell r="Q2657">
            <v>6643</v>
          </cell>
          <cell r="R2657">
            <v>6330</v>
          </cell>
          <cell r="S2657">
            <v>5353</v>
          </cell>
          <cell r="T2657">
            <v>4415</v>
          </cell>
          <cell r="U2657">
            <v>4377</v>
          </cell>
          <cell r="V2657">
            <v>4289</v>
          </cell>
          <cell r="W2657">
            <v>2963</v>
          </cell>
          <cell r="X2657">
            <v>1239</v>
          </cell>
          <cell r="Y2657">
            <v>3433</v>
          </cell>
          <cell r="Z2657">
            <v>1923</v>
          </cell>
          <cell r="AA2657">
            <v>1462</v>
          </cell>
          <cell r="AB2657">
            <v>2361</v>
          </cell>
          <cell r="AC2657">
            <v>593</v>
          </cell>
          <cell r="AD2657">
            <v>750</v>
          </cell>
          <cell r="AE2657">
            <v>731</v>
          </cell>
          <cell r="AF2657">
            <v>0</v>
          </cell>
          <cell r="AG2657">
            <v>0</v>
          </cell>
          <cell r="AH2657">
            <v>0</v>
          </cell>
          <cell r="AI2657">
            <v>0</v>
          </cell>
          <cell r="AJ2657">
            <v>0</v>
          </cell>
        </row>
        <row r="2658">
          <cell r="E2658" t="str">
            <v>AL Electric Power Residual Fuel</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row>
        <row r="2659">
          <cell r="E2659" t="str">
            <v>AR Electric Power Residual Fuel</v>
          </cell>
          <cell r="F2659">
            <v>92</v>
          </cell>
          <cell r="G2659">
            <v>7</v>
          </cell>
          <cell r="H2659">
            <v>0</v>
          </cell>
          <cell r="I2659">
            <v>33</v>
          </cell>
          <cell r="J2659">
            <v>338</v>
          </cell>
          <cell r="K2659">
            <v>97</v>
          </cell>
          <cell r="L2659">
            <v>511</v>
          </cell>
          <cell r="M2659">
            <v>169</v>
          </cell>
          <cell r="N2659">
            <v>627</v>
          </cell>
          <cell r="O2659">
            <v>581</v>
          </cell>
          <cell r="P2659">
            <v>1842</v>
          </cell>
          <cell r="Q2659">
            <v>8424</v>
          </cell>
          <cell r="R2659">
            <v>1130</v>
          </cell>
          <cell r="S2659">
            <v>2403</v>
          </cell>
          <cell r="T2659">
            <v>4668</v>
          </cell>
          <cell r="U2659">
            <v>1445</v>
          </cell>
          <cell r="V2659">
            <v>1376</v>
          </cell>
          <cell r="W2659">
            <v>438</v>
          </cell>
          <cell r="X2659">
            <v>338</v>
          </cell>
          <cell r="Y2659">
            <v>487</v>
          </cell>
          <cell r="Z2659">
            <v>123</v>
          </cell>
          <cell r="AA2659">
            <v>78</v>
          </cell>
          <cell r="AB2659">
            <v>12</v>
          </cell>
          <cell r="AC2659">
            <v>44</v>
          </cell>
          <cell r="AD2659">
            <v>2</v>
          </cell>
          <cell r="AE2659">
            <v>4</v>
          </cell>
          <cell r="AF2659">
            <v>0</v>
          </cell>
          <cell r="AG2659">
            <v>0</v>
          </cell>
          <cell r="AH2659">
            <v>0</v>
          </cell>
          <cell r="AI2659">
            <v>0</v>
          </cell>
          <cell r="AJ2659">
            <v>21</v>
          </cell>
        </row>
        <row r="2660">
          <cell r="E2660" t="str">
            <v>AZ Electric Power Residual Fuel</v>
          </cell>
          <cell r="F2660">
            <v>61</v>
          </cell>
          <cell r="G2660">
            <v>85</v>
          </cell>
          <cell r="H2660">
            <v>72</v>
          </cell>
          <cell r="I2660">
            <v>99</v>
          </cell>
          <cell r="J2660">
            <v>977</v>
          </cell>
          <cell r="K2660">
            <v>76</v>
          </cell>
          <cell r="L2660">
            <v>143</v>
          </cell>
          <cell r="M2660">
            <v>3</v>
          </cell>
          <cell r="N2660">
            <v>0</v>
          </cell>
          <cell r="O2660">
            <v>78</v>
          </cell>
          <cell r="P2660">
            <v>286</v>
          </cell>
          <cell r="Q2660">
            <v>1413</v>
          </cell>
          <cell r="R2660">
            <v>0</v>
          </cell>
          <cell r="S2660">
            <v>0</v>
          </cell>
          <cell r="T2660">
            <v>45</v>
          </cell>
          <cell r="U2660">
            <v>4</v>
          </cell>
          <cell r="V2660">
            <v>4</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row>
        <row r="2661">
          <cell r="E2661" t="str">
            <v>CA Electric Power Residual Fuel</v>
          </cell>
          <cell r="F2661">
            <v>45071</v>
          </cell>
          <cell r="G2661">
            <v>5863</v>
          </cell>
          <cell r="H2661">
            <v>3029</v>
          </cell>
          <cell r="I2661">
            <v>20289</v>
          </cell>
          <cell r="J2661">
            <v>17946</v>
          </cell>
          <cell r="K2661">
            <v>4617</v>
          </cell>
          <cell r="L2661">
            <v>6183</v>
          </cell>
          <cell r="M2661">
            <v>280</v>
          </cell>
          <cell r="N2661">
            <v>63</v>
          </cell>
          <cell r="O2661">
            <v>14</v>
          </cell>
          <cell r="P2661">
            <v>539</v>
          </cell>
          <cell r="Q2661">
            <v>3094</v>
          </cell>
          <cell r="R2661">
            <v>250</v>
          </cell>
          <cell r="S2661">
            <v>66</v>
          </cell>
          <cell r="T2661">
            <v>0</v>
          </cell>
          <cell r="U2661">
            <v>24</v>
          </cell>
          <cell r="V2661">
            <v>96</v>
          </cell>
          <cell r="W2661">
            <v>109</v>
          </cell>
          <cell r="X2661">
            <v>56</v>
          </cell>
          <cell r="Y2661">
            <v>59</v>
          </cell>
          <cell r="Z2661">
            <v>53</v>
          </cell>
          <cell r="AA2661">
            <v>7</v>
          </cell>
          <cell r="AB2661">
            <v>0</v>
          </cell>
          <cell r="AC2661">
            <v>0</v>
          </cell>
          <cell r="AD2661">
            <v>0</v>
          </cell>
          <cell r="AE2661">
            <v>4</v>
          </cell>
          <cell r="AF2661">
            <v>0</v>
          </cell>
          <cell r="AG2661">
            <v>0</v>
          </cell>
          <cell r="AH2661">
            <v>0</v>
          </cell>
          <cell r="AI2661">
            <v>0</v>
          </cell>
          <cell r="AJ2661">
            <v>0</v>
          </cell>
        </row>
        <row r="2662">
          <cell r="E2662" t="str">
            <v>CO Electric Power Residual Fuel</v>
          </cell>
          <cell r="F2662">
            <v>0</v>
          </cell>
          <cell r="G2662">
            <v>292</v>
          </cell>
          <cell r="H2662">
            <v>230</v>
          </cell>
          <cell r="I2662">
            <v>0</v>
          </cell>
          <cell r="J2662">
            <v>0</v>
          </cell>
          <cell r="K2662">
            <v>50</v>
          </cell>
          <cell r="L2662">
            <v>99</v>
          </cell>
          <cell r="M2662">
            <v>0</v>
          </cell>
          <cell r="N2662">
            <v>0</v>
          </cell>
          <cell r="O2662">
            <v>9</v>
          </cell>
          <cell r="P2662">
            <v>46</v>
          </cell>
          <cell r="Q2662">
            <v>5</v>
          </cell>
          <cell r="R2662">
            <v>0</v>
          </cell>
          <cell r="S2662">
            <v>0</v>
          </cell>
          <cell r="T2662">
            <v>3</v>
          </cell>
          <cell r="U2662">
            <v>0</v>
          </cell>
          <cell r="V2662">
            <v>178</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row>
        <row r="2663">
          <cell r="E2663" t="str">
            <v>CT Electric Power Residual Fuel</v>
          </cell>
          <cell r="F2663">
            <v>88149</v>
          </cell>
          <cell r="G2663">
            <v>81224</v>
          </cell>
          <cell r="H2663">
            <v>54841</v>
          </cell>
          <cell r="I2663">
            <v>43747</v>
          </cell>
          <cell r="J2663">
            <v>35239</v>
          </cell>
          <cell r="K2663">
            <v>35139</v>
          </cell>
          <cell r="L2663">
            <v>56289</v>
          </cell>
          <cell r="M2663">
            <v>87645</v>
          </cell>
          <cell r="N2663">
            <v>91160</v>
          </cell>
          <cell r="O2663">
            <v>86775</v>
          </cell>
          <cell r="P2663">
            <v>70510</v>
          </cell>
          <cell r="Q2663">
            <v>51927</v>
          </cell>
          <cell r="R2663">
            <v>23688</v>
          </cell>
          <cell r="S2663">
            <v>20249</v>
          </cell>
          <cell r="T2663">
            <v>16586</v>
          </cell>
          <cell r="U2663">
            <v>32222</v>
          </cell>
          <cell r="V2663">
            <v>13580</v>
          </cell>
          <cell r="W2663">
            <v>13798</v>
          </cell>
          <cell r="X2663">
            <v>5546</v>
          </cell>
          <cell r="Y2663">
            <v>3079</v>
          </cell>
          <cell r="Z2663">
            <v>4413</v>
          </cell>
          <cell r="AA2663">
            <v>1525</v>
          </cell>
          <cell r="AB2663">
            <v>1116</v>
          </cell>
          <cell r="AC2663">
            <v>2087</v>
          </cell>
          <cell r="AD2663">
            <v>3997</v>
          </cell>
          <cell r="AE2663">
            <v>2463</v>
          </cell>
          <cell r="AF2663">
            <v>522</v>
          </cell>
          <cell r="AG2663">
            <v>1101</v>
          </cell>
          <cell r="AH2663">
            <v>1958</v>
          </cell>
          <cell r="AI2663">
            <v>103</v>
          </cell>
          <cell r="AJ2663">
            <v>375</v>
          </cell>
        </row>
        <row r="2664">
          <cell r="E2664" t="str">
            <v>DC Electric Power Residual Fuel</v>
          </cell>
          <cell r="F2664">
            <v>5019</v>
          </cell>
          <cell r="G2664">
            <v>2781</v>
          </cell>
          <cell r="H2664">
            <v>1220</v>
          </cell>
          <cell r="I2664">
            <v>2781</v>
          </cell>
          <cell r="J2664">
            <v>3561</v>
          </cell>
          <cell r="K2664">
            <v>2528</v>
          </cell>
          <cell r="L2664">
            <v>1518</v>
          </cell>
          <cell r="M2664">
            <v>790</v>
          </cell>
          <cell r="N2664">
            <v>2829</v>
          </cell>
          <cell r="O2664">
            <v>2766</v>
          </cell>
          <cell r="P2664">
            <v>1315</v>
          </cell>
          <cell r="Q2664">
            <v>1784</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row>
        <row r="2665">
          <cell r="E2665" t="str">
            <v>DE Electric Power Residual Fuel</v>
          </cell>
          <cell r="F2665">
            <v>12514</v>
          </cell>
          <cell r="G2665">
            <v>16905</v>
          </cell>
          <cell r="H2665">
            <v>16231</v>
          </cell>
          <cell r="I2665">
            <v>20712</v>
          </cell>
          <cell r="J2665">
            <v>15586</v>
          </cell>
          <cell r="K2665">
            <v>8393</v>
          </cell>
          <cell r="L2665">
            <v>10980</v>
          </cell>
          <cell r="M2665">
            <v>8257</v>
          </cell>
          <cell r="N2665">
            <v>12516</v>
          </cell>
          <cell r="O2665">
            <v>11606</v>
          </cell>
          <cell r="P2665">
            <v>5479</v>
          </cell>
          <cell r="Q2665">
            <v>13581</v>
          </cell>
          <cell r="R2665">
            <v>6654</v>
          </cell>
          <cell r="S2665">
            <v>10431</v>
          </cell>
          <cell r="T2665">
            <v>5973</v>
          </cell>
          <cell r="U2665">
            <v>7503</v>
          </cell>
          <cell r="V2665">
            <v>771</v>
          </cell>
          <cell r="W2665">
            <v>1664</v>
          </cell>
          <cell r="X2665">
            <v>583</v>
          </cell>
          <cell r="Y2665">
            <v>456</v>
          </cell>
          <cell r="Z2665">
            <v>40</v>
          </cell>
          <cell r="AA2665">
            <v>76</v>
          </cell>
          <cell r="AB2665">
            <v>66</v>
          </cell>
          <cell r="AC2665">
            <v>55</v>
          </cell>
          <cell r="AD2665">
            <v>431</v>
          </cell>
          <cell r="AE2665">
            <v>404</v>
          </cell>
          <cell r="AF2665">
            <v>111</v>
          </cell>
          <cell r="AG2665">
            <v>160</v>
          </cell>
          <cell r="AH2665">
            <v>681</v>
          </cell>
          <cell r="AI2665">
            <v>82</v>
          </cell>
          <cell r="AJ2665">
            <v>38</v>
          </cell>
        </row>
        <row r="2666">
          <cell r="E2666" t="str">
            <v>FL Electric Power Residual Fuel</v>
          </cell>
          <cell r="F2666">
            <v>243631</v>
          </cell>
          <cell r="G2666">
            <v>293107</v>
          </cell>
          <cell r="H2666">
            <v>273587</v>
          </cell>
          <cell r="I2666">
            <v>332779</v>
          </cell>
          <cell r="J2666">
            <v>327273</v>
          </cell>
          <cell r="K2666">
            <v>211822</v>
          </cell>
          <cell r="L2666">
            <v>221842</v>
          </cell>
          <cell r="M2666">
            <v>236695</v>
          </cell>
          <cell r="N2666">
            <v>369547</v>
          </cell>
          <cell r="O2666">
            <v>334026</v>
          </cell>
          <cell r="P2666">
            <v>325452</v>
          </cell>
          <cell r="Q2666">
            <v>363270</v>
          </cell>
          <cell r="R2666">
            <v>271047</v>
          </cell>
          <cell r="S2666">
            <v>295497</v>
          </cell>
          <cell r="T2666">
            <v>292574</v>
          </cell>
          <cell r="U2666">
            <v>279162</v>
          </cell>
          <cell r="V2666">
            <v>153263</v>
          </cell>
          <cell r="W2666">
            <v>149165</v>
          </cell>
          <cell r="X2666">
            <v>87718</v>
          </cell>
          <cell r="Y2666">
            <v>59838</v>
          </cell>
          <cell r="Z2666">
            <v>51906</v>
          </cell>
          <cell r="AA2666">
            <v>10060</v>
          </cell>
          <cell r="AB2666">
            <v>5146</v>
          </cell>
          <cell r="AC2666">
            <v>2522</v>
          </cell>
          <cell r="AD2666">
            <v>2689</v>
          </cell>
          <cell r="AE2666">
            <v>3633</v>
          </cell>
          <cell r="AF2666">
            <v>5044</v>
          </cell>
          <cell r="AG2666">
            <v>2205</v>
          </cell>
          <cell r="AH2666">
            <v>3148</v>
          </cell>
          <cell r="AI2666">
            <v>1198</v>
          </cell>
          <cell r="AJ2666">
            <v>603</v>
          </cell>
        </row>
        <row r="2667">
          <cell r="E2667" t="str">
            <v>GA Electric Power Residual Fuel</v>
          </cell>
          <cell r="F2667">
            <v>722</v>
          </cell>
          <cell r="G2667">
            <v>124</v>
          </cell>
          <cell r="H2667">
            <v>432</v>
          </cell>
          <cell r="I2667">
            <v>1070</v>
          </cell>
          <cell r="J2667">
            <v>384</v>
          </cell>
          <cell r="K2667">
            <v>686</v>
          </cell>
          <cell r="L2667">
            <v>530</v>
          </cell>
          <cell r="M2667">
            <v>509</v>
          </cell>
          <cell r="N2667">
            <v>1540</v>
          </cell>
          <cell r="O2667">
            <v>2457</v>
          </cell>
          <cell r="P2667">
            <v>3663</v>
          </cell>
          <cell r="Q2667">
            <v>963</v>
          </cell>
          <cell r="R2667">
            <v>582</v>
          </cell>
          <cell r="S2667">
            <v>817</v>
          </cell>
          <cell r="T2667">
            <v>548</v>
          </cell>
          <cell r="U2667">
            <v>1154</v>
          </cell>
          <cell r="V2667">
            <v>352</v>
          </cell>
          <cell r="W2667">
            <v>214</v>
          </cell>
          <cell r="X2667">
            <v>46</v>
          </cell>
          <cell r="Y2667">
            <v>26</v>
          </cell>
          <cell r="Z2667">
            <v>76</v>
          </cell>
          <cell r="AA2667">
            <v>80</v>
          </cell>
          <cell r="AB2667">
            <v>0</v>
          </cell>
          <cell r="AC2667">
            <v>0</v>
          </cell>
          <cell r="AD2667">
            <v>66</v>
          </cell>
          <cell r="AE2667">
            <v>47</v>
          </cell>
          <cell r="AF2667">
            <v>0</v>
          </cell>
          <cell r="AG2667">
            <v>0</v>
          </cell>
          <cell r="AH2667">
            <v>0</v>
          </cell>
          <cell r="AI2667">
            <v>0</v>
          </cell>
          <cell r="AJ2667">
            <v>0</v>
          </cell>
        </row>
        <row r="2668">
          <cell r="E2668" t="str">
            <v>HI Electric Power Residual Fuel</v>
          </cell>
          <cell r="F2668">
            <v>87038</v>
          </cell>
          <cell r="G2668">
            <v>70373</v>
          </cell>
          <cell r="H2668">
            <v>73505</v>
          </cell>
          <cell r="I2668">
            <v>63509</v>
          </cell>
          <cell r="J2668">
            <v>66437</v>
          </cell>
          <cell r="K2668">
            <v>67329</v>
          </cell>
          <cell r="L2668">
            <v>69130</v>
          </cell>
          <cell r="M2668">
            <v>68356</v>
          </cell>
          <cell r="N2668">
            <v>68222</v>
          </cell>
          <cell r="O2668">
            <v>68518</v>
          </cell>
          <cell r="P2668">
            <v>68202</v>
          </cell>
          <cell r="Q2668">
            <v>66725</v>
          </cell>
          <cell r="R2668">
            <v>68247</v>
          </cell>
          <cell r="S2668">
            <v>67907</v>
          </cell>
          <cell r="T2668">
            <v>70527</v>
          </cell>
          <cell r="U2668">
            <v>71070</v>
          </cell>
          <cell r="V2668">
            <v>72295</v>
          </cell>
          <cell r="W2668">
            <v>71832</v>
          </cell>
          <cell r="X2668">
            <v>69217</v>
          </cell>
          <cell r="Y2668">
            <v>67297</v>
          </cell>
          <cell r="Z2668">
            <v>65157</v>
          </cell>
          <cell r="AA2668">
            <v>64471</v>
          </cell>
          <cell r="AB2668">
            <v>59686</v>
          </cell>
          <cell r="AC2668">
            <v>57940</v>
          </cell>
          <cell r="AD2668">
            <v>55115</v>
          </cell>
          <cell r="AE2668">
            <v>54987</v>
          </cell>
          <cell r="AF2668">
            <v>53197</v>
          </cell>
          <cell r="AG2668">
            <v>52777</v>
          </cell>
          <cell r="AH2668">
            <v>52790</v>
          </cell>
          <cell r="AI2668">
            <v>52678</v>
          </cell>
          <cell r="AJ2668">
            <v>48786</v>
          </cell>
        </row>
        <row r="2669">
          <cell r="E2669" t="str">
            <v>IA Electric Power Residual Fuel</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row>
        <row r="2670">
          <cell r="E2670" t="str">
            <v>ID Electric Power Residual Fuel</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row>
        <row r="2671">
          <cell r="E2671" t="str">
            <v>IL Electric Power Residual Fuel</v>
          </cell>
          <cell r="F2671">
            <v>10199</v>
          </cell>
          <cell r="G2671">
            <v>16029</v>
          </cell>
          <cell r="H2671">
            <v>11983</v>
          </cell>
          <cell r="I2671">
            <v>10391</v>
          </cell>
          <cell r="J2671">
            <v>12488</v>
          </cell>
          <cell r="K2671">
            <v>6368</v>
          </cell>
          <cell r="L2671">
            <v>7445</v>
          </cell>
          <cell r="M2671">
            <v>3625</v>
          </cell>
          <cell r="N2671">
            <v>4674</v>
          </cell>
          <cell r="O2671">
            <v>1690</v>
          </cell>
          <cell r="P2671">
            <v>4996</v>
          </cell>
          <cell r="Q2671">
            <v>16815</v>
          </cell>
          <cell r="R2671">
            <v>1373</v>
          </cell>
          <cell r="S2671">
            <v>12379</v>
          </cell>
          <cell r="T2671">
            <v>6990</v>
          </cell>
          <cell r="U2671">
            <v>888</v>
          </cell>
          <cell r="V2671">
            <v>188</v>
          </cell>
          <cell r="W2671">
            <v>74</v>
          </cell>
          <cell r="X2671">
            <v>54</v>
          </cell>
          <cell r="Y2671">
            <v>8</v>
          </cell>
          <cell r="Z2671">
            <v>45</v>
          </cell>
          <cell r="AA2671">
            <v>0</v>
          </cell>
          <cell r="AB2671">
            <v>0</v>
          </cell>
          <cell r="AC2671">
            <v>0</v>
          </cell>
          <cell r="AD2671">
            <v>0</v>
          </cell>
          <cell r="AE2671">
            <v>0</v>
          </cell>
          <cell r="AF2671">
            <v>0</v>
          </cell>
          <cell r="AG2671">
            <v>0</v>
          </cell>
          <cell r="AH2671">
            <v>0</v>
          </cell>
          <cell r="AI2671">
            <v>0</v>
          </cell>
          <cell r="AJ2671">
            <v>0</v>
          </cell>
        </row>
        <row r="2672">
          <cell r="E2672" t="str">
            <v>IN Electric Power Residual Fuel</v>
          </cell>
          <cell r="F2672">
            <v>0</v>
          </cell>
          <cell r="G2672">
            <v>0</v>
          </cell>
          <cell r="H2672">
            <v>0</v>
          </cell>
          <cell r="I2672">
            <v>0</v>
          </cell>
          <cell r="J2672">
            <v>0</v>
          </cell>
          <cell r="K2672">
            <v>0</v>
          </cell>
          <cell r="L2672">
            <v>0</v>
          </cell>
          <cell r="M2672">
            <v>0</v>
          </cell>
          <cell r="N2672">
            <v>0</v>
          </cell>
          <cell r="O2672">
            <v>0</v>
          </cell>
          <cell r="P2672">
            <v>0</v>
          </cell>
          <cell r="Q2672">
            <v>4</v>
          </cell>
          <cell r="R2672">
            <v>6</v>
          </cell>
          <cell r="S2672">
            <v>4</v>
          </cell>
          <cell r="T2672">
            <v>6</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row>
        <row r="2673">
          <cell r="E2673" t="str">
            <v>KS Electric Power Residual Fuel</v>
          </cell>
          <cell r="F2673">
            <v>137</v>
          </cell>
          <cell r="G2673">
            <v>22</v>
          </cell>
          <cell r="H2673">
            <v>10</v>
          </cell>
          <cell r="I2673">
            <v>253</v>
          </cell>
          <cell r="J2673">
            <v>77</v>
          </cell>
          <cell r="K2673">
            <v>4</v>
          </cell>
          <cell r="L2673">
            <v>975</v>
          </cell>
          <cell r="M2673">
            <v>561</v>
          </cell>
          <cell r="N2673">
            <v>25</v>
          </cell>
          <cell r="O2673">
            <v>2133</v>
          </cell>
          <cell r="P2673">
            <v>3352</v>
          </cell>
          <cell r="Q2673">
            <v>6138</v>
          </cell>
          <cell r="R2673">
            <v>5044</v>
          </cell>
          <cell r="S2673">
            <v>9605</v>
          </cell>
          <cell r="T2673">
            <v>9490</v>
          </cell>
          <cell r="U2673">
            <v>10827</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row>
        <row r="2674">
          <cell r="E2674" t="str">
            <v>KY Electric Power Residual Fuel</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row>
        <row r="2675">
          <cell r="E2675" t="str">
            <v>LA Electric Power Residual Fuel</v>
          </cell>
          <cell r="F2675">
            <v>470</v>
          </cell>
          <cell r="G2675">
            <v>98</v>
          </cell>
          <cell r="H2675">
            <v>114</v>
          </cell>
          <cell r="I2675">
            <v>3984</v>
          </cell>
          <cell r="J2675">
            <v>2114</v>
          </cell>
          <cell r="K2675">
            <v>83</v>
          </cell>
          <cell r="L2675">
            <v>1939</v>
          </cell>
          <cell r="M2675">
            <v>6441</v>
          </cell>
          <cell r="N2675">
            <v>6083</v>
          </cell>
          <cell r="O2675">
            <v>3723</v>
          </cell>
          <cell r="P2675">
            <v>4455</v>
          </cell>
          <cell r="Q2675">
            <v>14844</v>
          </cell>
          <cell r="R2675">
            <v>215</v>
          </cell>
          <cell r="S2675">
            <v>10205</v>
          </cell>
          <cell r="T2675">
            <v>18679</v>
          </cell>
          <cell r="U2675">
            <v>19101</v>
          </cell>
          <cell r="V2675">
            <v>2358</v>
          </cell>
          <cell r="W2675">
            <v>2950</v>
          </cell>
          <cell r="X2675">
            <v>2910</v>
          </cell>
          <cell r="Y2675">
            <v>377</v>
          </cell>
          <cell r="Z2675">
            <v>883</v>
          </cell>
          <cell r="AA2675">
            <v>194</v>
          </cell>
          <cell r="AB2675">
            <v>18</v>
          </cell>
          <cell r="AC2675">
            <v>32</v>
          </cell>
          <cell r="AD2675">
            <v>15</v>
          </cell>
          <cell r="AE2675">
            <v>71</v>
          </cell>
          <cell r="AF2675">
            <v>0</v>
          </cell>
          <cell r="AG2675">
            <v>0</v>
          </cell>
          <cell r="AH2675">
            <v>0</v>
          </cell>
          <cell r="AI2675">
            <v>0</v>
          </cell>
          <cell r="AJ2675">
            <v>0</v>
          </cell>
        </row>
        <row r="2676">
          <cell r="E2676" t="str">
            <v>MA Electric Power Residual Fuel</v>
          </cell>
          <cell r="F2676">
            <v>147778</v>
          </cell>
          <cell r="G2676">
            <v>151701</v>
          </cell>
          <cell r="H2676">
            <v>132408</v>
          </cell>
          <cell r="I2676">
            <v>112430</v>
          </cell>
          <cell r="J2676">
            <v>94186</v>
          </cell>
          <cell r="K2676">
            <v>57479</v>
          </cell>
          <cell r="L2676">
            <v>58301</v>
          </cell>
          <cell r="M2676">
            <v>107152</v>
          </cell>
          <cell r="N2676">
            <v>141030</v>
          </cell>
          <cell r="O2676">
            <v>107774</v>
          </cell>
          <cell r="P2676">
            <v>85675</v>
          </cell>
          <cell r="Q2676">
            <v>84146</v>
          </cell>
          <cell r="R2676">
            <v>63841</v>
          </cell>
          <cell r="S2676">
            <v>68999</v>
          </cell>
          <cell r="T2676">
            <v>67008</v>
          </cell>
          <cell r="U2676">
            <v>64781</v>
          </cell>
          <cell r="V2676">
            <v>24168</v>
          </cell>
          <cell r="W2676">
            <v>30979</v>
          </cell>
          <cell r="X2676">
            <v>21198</v>
          </cell>
          <cell r="Y2676">
            <v>7597</v>
          </cell>
          <cell r="Z2676">
            <v>2071</v>
          </cell>
          <cell r="AA2676">
            <v>1198</v>
          </cell>
          <cell r="AB2676">
            <v>913</v>
          </cell>
          <cell r="AC2676">
            <v>2614</v>
          </cell>
          <cell r="AD2676">
            <v>6947</v>
          </cell>
          <cell r="AE2676">
            <v>5800</v>
          </cell>
          <cell r="AF2676">
            <v>3195</v>
          </cell>
          <cell r="AG2676">
            <v>1878</v>
          </cell>
          <cell r="AH2676">
            <v>2986</v>
          </cell>
          <cell r="AI2676">
            <v>691</v>
          </cell>
          <cell r="AJ2676">
            <v>110</v>
          </cell>
        </row>
        <row r="2677">
          <cell r="E2677" t="str">
            <v>MD Electric Power Residual Fuel</v>
          </cell>
          <cell r="F2677">
            <v>43665</v>
          </cell>
          <cell r="G2677">
            <v>47251</v>
          </cell>
          <cell r="H2677">
            <v>31917</v>
          </cell>
          <cell r="I2677">
            <v>48465</v>
          </cell>
          <cell r="J2677">
            <v>44372</v>
          </cell>
          <cell r="K2677">
            <v>14376</v>
          </cell>
          <cell r="L2677">
            <v>14416</v>
          </cell>
          <cell r="M2677">
            <v>16346</v>
          </cell>
          <cell r="N2677">
            <v>36170</v>
          </cell>
          <cell r="O2677">
            <v>46915</v>
          </cell>
          <cell r="P2677">
            <v>23472</v>
          </cell>
          <cell r="Q2677">
            <v>28855</v>
          </cell>
          <cell r="R2677">
            <v>21385</v>
          </cell>
          <cell r="S2677">
            <v>31573</v>
          </cell>
          <cell r="T2677">
            <v>28394</v>
          </cell>
          <cell r="U2677">
            <v>33496</v>
          </cell>
          <cell r="V2677">
            <v>3736</v>
          </cell>
          <cell r="W2677">
            <v>6567</v>
          </cell>
          <cell r="X2677">
            <v>1909</v>
          </cell>
          <cell r="Y2677">
            <v>1758</v>
          </cell>
          <cell r="Z2677">
            <v>872</v>
          </cell>
          <cell r="AA2677">
            <v>732</v>
          </cell>
          <cell r="AB2677">
            <v>263</v>
          </cell>
          <cell r="AC2677">
            <v>331</v>
          </cell>
          <cell r="AD2677">
            <v>1525</v>
          </cell>
          <cell r="AE2677">
            <v>914</v>
          </cell>
          <cell r="AF2677">
            <v>386</v>
          </cell>
          <cell r="AG2677">
            <v>178</v>
          </cell>
          <cell r="AH2677">
            <v>628</v>
          </cell>
          <cell r="AI2677">
            <v>215</v>
          </cell>
          <cell r="AJ2677">
            <v>108</v>
          </cell>
        </row>
        <row r="2678">
          <cell r="E2678" t="str">
            <v>ME Electric Power Residual Fuel</v>
          </cell>
          <cell r="F2678">
            <v>22366</v>
          </cell>
          <cell r="G2678">
            <v>14407</v>
          </cell>
          <cell r="H2678">
            <v>14042</v>
          </cell>
          <cell r="I2678">
            <v>8673</v>
          </cell>
          <cell r="J2678">
            <v>8038</v>
          </cell>
          <cell r="K2678">
            <v>9216</v>
          </cell>
          <cell r="L2678">
            <v>7192</v>
          </cell>
          <cell r="M2678">
            <v>15737</v>
          </cell>
          <cell r="N2678">
            <v>18599</v>
          </cell>
          <cell r="O2678">
            <v>35751</v>
          </cell>
          <cell r="P2678">
            <v>20337</v>
          </cell>
          <cell r="Q2678">
            <v>11707</v>
          </cell>
          <cell r="R2678">
            <v>4468</v>
          </cell>
          <cell r="S2678">
            <v>12680</v>
          </cell>
          <cell r="T2678">
            <v>7548</v>
          </cell>
          <cell r="U2678">
            <v>9544</v>
          </cell>
          <cell r="V2678">
            <v>995</v>
          </cell>
          <cell r="W2678">
            <v>4384</v>
          </cell>
          <cell r="X2678">
            <v>2242</v>
          </cell>
          <cell r="Y2678">
            <v>3085</v>
          </cell>
          <cell r="Z2678">
            <v>2509</v>
          </cell>
          <cell r="AA2678">
            <v>1476</v>
          </cell>
          <cell r="AB2678">
            <v>1222</v>
          </cell>
          <cell r="AC2678">
            <v>2719</v>
          </cell>
          <cell r="AD2678">
            <v>3065</v>
          </cell>
          <cell r="AE2678">
            <v>5449</v>
          </cell>
          <cell r="AF2678">
            <v>1427</v>
          </cell>
          <cell r="AG2678">
            <v>1614</v>
          </cell>
          <cell r="AH2678">
            <v>1925</v>
          </cell>
          <cell r="AI2678">
            <v>408</v>
          </cell>
          <cell r="AJ2678">
            <v>478</v>
          </cell>
        </row>
        <row r="2679">
          <cell r="E2679" t="str">
            <v>MI Electric Power Residual Fuel</v>
          </cell>
          <cell r="F2679">
            <v>7225</v>
          </cell>
          <cell r="G2679">
            <v>5937</v>
          </cell>
          <cell r="H2679">
            <v>5238</v>
          </cell>
          <cell r="I2679">
            <v>6581</v>
          </cell>
          <cell r="J2679">
            <v>7005</v>
          </cell>
          <cell r="K2679">
            <v>6924</v>
          </cell>
          <cell r="L2679">
            <v>7767</v>
          </cell>
          <cell r="M2679">
            <v>6485</v>
          </cell>
          <cell r="N2679">
            <v>10247</v>
          </cell>
          <cell r="O2679">
            <v>13330</v>
          </cell>
          <cell r="P2679">
            <v>10581</v>
          </cell>
          <cell r="Q2679">
            <v>7232</v>
          </cell>
          <cell r="R2679">
            <v>9663</v>
          </cell>
          <cell r="S2679">
            <v>7245</v>
          </cell>
          <cell r="T2679">
            <v>6989</v>
          </cell>
          <cell r="U2679">
            <v>6909</v>
          </cell>
          <cell r="V2679">
            <v>1454</v>
          </cell>
          <cell r="W2679">
            <v>3324</v>
          </cell>
          <cell r="X2679">
            <v>1349</v>
          </cell>
          <cell r="Y2679">
            <v>799</v>
          </cell>
          <cell r="Z2679">
            <v>735</v>
          </cell>
          <cell r="AA2679">
            <v>277</v>
          </cell>
          <cell r="AB2679">
            <v>316</v>
          </cell>
          <cell r="AC2679">
            <v>177</v>
          </cell>
          <cell r="AD2679">
            <v>101</v>
          </cell>
          <cell r="AE2679">
            <v>132</v>
          </cell>
          <cell r="AF2679">
            <v>176</v>
          </cell>
          <cell r="AG2679">
            <v>231</v>
          </cell>
          <cell r="AH2679">
            <v>108</v>
          </cell>
          <cell r="AI2679">
            <v>95</v>
          </cell>
          <cell r="AJ2679">
            <v>110</v>
          </cell>
        </row>
        <row r="2680">
          <cell r="E2680" t="str">
            <v>MN Electric Power Residual Fuel</v>
          </cell>
          <cell r="F2680">
            <v>9</v>
          </cell>
          <cell r="G2680">
            <v>14</v>
          </cell>
          <cell r="H2680">
            <v>2</v>
          </cell>
          <cell r="I2680">
            <v>6</v>
          </cell>
          <cell r="J2680">
            <v>0</v>
          </cell>
          <cell r="K2680">
            <v>0</v>
          </cell>
          <cell r="L2680">
            <v>10</v>
          </cell>
          <cell r="M2680">
            <v>43</v>
          </cell>
          <cell r="N2680">
            <v>5</v>
          </cell>
          <cell r="O2680">
            <v>11</v>
          </cell>
          <cell r="P2680">
            <v>7</v>
          </cell>
          <cell r="Q2680">
            <v>317</v>
          </cell>
          <cell r="R2680">
            <v>30</v>
          </cell>
          <cell r="S2680">
            <v>259</v>
          </cell>
          <cell r="T2680">
            <v>389</v>
          </cell>
          <cell r="U2680">
            <v>492</v>
          </cell>
          <cell r="V2680">
            <v>135</v>
          </cell>
          <cell r="W2680">
            <v>438</v>
          </cell>
          <cell r="X2680">
            <v>155</v>
          </cell>
          <cell r="Y2680">
            <v>34</v>
          </cell>
          <cell r="Z2680">
            <v>0</v>
          </cell>
          <cell r="AA2680">
            <v>0</v>
          </cell>
          <cell r="AB2680">
            <v>0</v>
          </cell>
          <cell r="AC2680">
            <v>0</v>
          </cell>
          <cell r="AD2680">
            <v>0</v>
          </cell>
          <cell r="AE2680">
            <v>0</v>
          </cell>
          <cell r="AF2680">
            <v>0</v>
          </cell>
          <cell r="AG2680">
            <v>0</v>
          </cell>
          <cell r="AH2680">
            <v>0</v>
          </cell>
          <cell r="AI2680">
            <v>0</v>
          </cell>
          <cell r="AJ2680">
            <v>0</v>
          </cell>
        </row>
        <row r="2681">
          <cell r="E2681" t="str">
            <v>MO Electric Power Residual Fuel</v>
          </cell>
          <cell r="F2681">
            <v>48</v>
          </cell>
          <cell r="G2681">
            <v>267</v>
          </cell>
          <cell r="H2681">
            <v>151</v>
          </cell>
          <cell r="I2681">
            <v>141</v>
          </cell>
          <cell r="J2681">
            <v>172</v>
          </cell>
          <cell r="K2681">
            <v>79</v>
          </cell>
          <cell r="L2681">
            <v>177</v>
          </cell>
          <cell r="M2681">
            <v>158</v>
          </cell>
          <cell r="N2681">
            <v>81</v>
          </cell>
          <cell r="O2681">
            <v>1</v>
          </cell>
          <cell r="P2681">
            <v>1</v>
          </cell>
          <cell r="Q2681">
            <v>1</v>
          </cell>
          <cell r="R2681">
            <v>4</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row>
        <row r="2682">
          <cell r="E2682" t="str">
            <v>MS Electric Power Residual Fuel</v>
          </cell>
          <cell r="F2682">
            <v>7411</v>
          </cell>
          <cell r="G2682">
            <v>3784</v>
          </cell>
          <cell r="H2682">
            <v>3916</v>
          </cell>
          <cell r="I2682">
            <v>34595</v>
          </cell>
          <cell r="J2682">
            <v>10580</v>
          </cell>
          <cell r="K2682">
            <v>46</v>
          </cell>
          <cell r="L2682">
            <v>10709</v>
          </cell>
          <cell r="M2682">
            <v>25368</v>
          </cell>
          <cell r="N2682">
            <v>52272</v>
          </cell>
          <cell r="O2682">
            <v>30906</v>
          </cell>
          <cell r="P2682">
            <v>28496</v>
          </cell>
          <cell r="Q2682">
            <v>52482</v>
          </cell>
          <cell r="R2682">
            <v>144</v>
          </cell>
          <cell r="S2682">
            <v>16346</v>
          </cell>
          <cell r="T2682">
            <v>27969</v>
          </cell>
          <cell r="U2682">
            <v>15013</v>
          </cell>
          <cell r="V2682">
            <v>4084</v>
          </cell>
          <cell r="W2682">
            <v>4086</v>
          </cell>
          <cell r="X2682">
            <v>691</v>
          </cell>
          <cell r="Y2682">
            <v>75</v>
          </cell>
          <cell r="Z2682">
            <v>726</v>
          </cell>
          <cell r="AA2682">
            <v>216</v>
          </cell>
          <cell r="AB2682">
            <v>0</v>
          </cell>
          <cell r="AC2682">
            <v>0</v>
          </cell>
          <cell r="AD2682">
            <v>1</v>
          </cell>
          <cell r="AE2682">
            <v>0</v>
          </cell>
          <cell r="AF2682">
            <v>0</v>
          </cell>
          <cell r="AG2682">
            <v>0</v>
          </cell>
          <cell r="AH2682">
            <v>0</v>
          </cell>
          <cell r="AI2682">
            <v>0</v>
          </cell>
          <cell r="AJ2682">
            <v>0</v>
          </cell>
        </row>
        <row r="2683">
          <cell r="E2683" t="str">
            <v>MT Electric Power Residual Fuel</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row>
        <row r="2684">
          <cell r="E2684" t="str">
            <v>NC Electric Power Residual Fuel</v>
          </cell>
          <cell r="F2684">
            <v>0</v>
          </cell>
          <cell r="G2684">
            <v>0</v>
          </cell>
          <cell r="H2684">
            <v>0</v>
          </cell>
          <cell r="I2684">
            <v>0</v>
          </cell>
          <cell r="J2684">
            <v>0</v>
          </cell>
          <cell r="K2684">
            <v>0</v>
          </cell>
          <cell r="L2684">
            <v>26</v>
          </cell>
          <cell r="M2684">
            <v>1</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row>
        <row r="2685">
          <cell r="E2685" t="str">
            <v>ND Electric Power Residual Fuel</v>
          </cell>
          <cell r="F2685">
            <v>0</v>
          </cell>
          <cell r="G2685">
            <v>0</v>
          </cell>
          <cell r="H2685">
            <v>0</v>
          </cell>
          <cell r="I2685">
            <v>0</v>
          </cell>
          <cell r="J2685">
            <v>0</v>
          </cell>
          <cell r="K2685">
            <v>0</v>
          </cell>
          <cell r="L2685">
            <v>0</v>
          </cell>
          <cell r="M2685">
            <v>0</v>
          </cell>
          <cell r="N2685">
            <v>0</v>
          </cell>
          <cell r="O2685">
            <v>0</v>
          </cell>
          <cell r="P2685">
            <v>0</v>
          </cell>
          <cell r="Q2685">
            <v>0</v>
          </cell>
          <cell r="R2685">
            <v>20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row>
        <row r="2686">
          <cell r="E2686" t="str">
            <v>NE Electric Power Residual Fuel</v>
          </cell>
          <cell r="F2686">
            <v>5</v>
          </cell>
          <cell r="G2686">
            <v>21</v>
          </cell>
          <cell r="H2686">
            <v>0</v>
          </cell>
          <cell r="I2686">
            <v>0</v>
          </cell>
          <cell r="J2686">
            <v>4</v>
          </cell>
          <cell r="K2686">
            <v>0</v>
          </cell>
          <cell r="L2686">
            <v>0</v>
          </cell>
          <cell r="M2686">
            <v>0</v>
          </cell>
          <cell r="N2686">
            <v>66</v>
          </cell>
          <cell r="O2686">
            <v>28</v>
          </cell>
          <cell r="P2686">
            <v>118</v>
          </cell>
          <cell r="Q2686">
            <v>3</v>
          </cell>
          <cell r="R2686">
            <v>3</v>
          </cell>
          <cell r="S2686">
            <v>4</v>
          </cell>
          <cell r="T2686">
            <v>11</v>
          </cell>
          <cell r="U2686">
            <v>119</v>
          </cell>
          <cell r="V2686">
            <v>11</v>
          </cell>
          <cell r="W2686">
            <v>143</v>
          </cell>
          <cell r="X2686">
            <v>5</v>
          </cell>
          <cell r="Y2686">
            <v>6</v>
          </cell>
          <cell r="Z2686">
            <v>3</v>
          </cell>
          <cell r="AA2686">
            <v>8</v>
          </cell>
          <cell r="AB2686">
            <v>4</v>
          </cell>
          <cell r="AC2686">
            <v>0</v>
          </cell>
          <cell r="AD2686">
            <v>0</v>
          </cell>
          <cell r="AE2686">
            <v>0</v>
          </cell>
          <cell r="AF2686">
            <v>0</v>
          </cell>
          <cell r="AG2686">
            <v>0</v>
          </cell>
          <cell r="AH2686">
            <v>0</v>
          </cell>
          <cell r="AI2686">
            <v>0</v>
          </cell>
          <cell r="AJ2686">
            <v>0</v>
          </cell>
        </row>
        <row r="2687">
          <cell r="E2687" t="str">
            <v>NH Electric Power Residual Fuel</v>
          </cell>
          <cell r="F2687">
            <v>25042</v>
          </cell>
          <cell r="G2687">
            <v>16782</v>
          </cell>
          <cell r="H2687">
            <v>14355</v>
          </cell>
          <cell r="I2687">
            <v>14406</v>
          </cell>
          <cell r="J2687">
            <v>15177</v>
          </cell>
          <cell r="K2687">
            <v>11114</v>
          </cell>
          <cell r="L2687">
            <v>9317</v>
          </cell>
          <cell r="M2687">
            <v>11370</v>
          </cell>
          <cell r="N2687">
            <v>14717</v>
          </cell>
          <cell r="O2687">
            <v>16521</v>
          </cell>
          <cell r="P2687">
            <v>4742</v>
          </cell>
          <cell r="Q2687">
            <v>4996</v>
          </cell>
          <cell r="R2687">
            <v>6894</v>
          </cell>
          <cell r="S2687">
            <v>21725</v>
          </cell>
          <cell r="T2687">
            <v>19479</v>
          </cell>
          <cell r="U2687">
            <v>13025</v>
          </cell>
          <cell r="V2687">
            <v>2664</v>
          </cell>
          <cell r="W2687">
            <v>3384</v>
          </cell>
          <cell r="X2687">
            <v>1346</v>
          </cell>
          <cell r="Y2687">
            <v>1770</v>
          </cell>
          <cell r="Z2687">
            <v>560</v>
          </cell>
          <cell r="AA2687">
            <v>708</v>
          </cell>
          <cell r="AB2687">
            <v>229</v>
          </cell>
          <cell r="AC2687">
            <v>752</v>
          </cell>
          <cell r="AD2687">
            <v>1206</v>
          </cell>
          <cell r="AE2687">
            <v>1229</v>
          </cell>
          <cell r="AF2687">
            <v>236</v>
          </cell>
          <cell r="AG2687">
            <v>298</v>
          </cell>
          <cell r="AH2687">
            <v>1197</v>
          </cell>
          <cell r="AI2687">
            <v>134</v>
          </cell>
          <cell r="AJ2687">
            <v>53</v>
          </cell>
        </row>
        <row r="2688">
          <cell r="E2688" t="str">
            <v>NJ Electric Power Residual Fuel</v>
          </cell>
          <cell r="F2688">
            <v>17848</v>
          </cell>
          <cell r="G2688">
            <v>17097</v>
          </cell>
          <cell r="H2688">
            <v>11158</v>
          </cell>
          <cell r="I2688">
            <v>10775</v>
          </cell>
          <cell r="J2688">
            <v>16309</v>
          </cell>
          <cell r="K2688">
            <v>8416</v>
          </cell>
          <cell r="L2688">
            <v>4771</v>
          </cell>
          <cell r="M2688">
            <v>2216</v>
          </cell>
          <cell r="N2688">
            <v>4197</v>
          </cell>
          <cell r="O2688">
            <v>4346</v>
          </cell>
          <cell r="P2688">
            <v>4636</v>
          </cell>
          <cell r="Q2688">
            <v>7927</v>
          </cell>
          <cell r="R2688">
            <v>5354</v>
          </cell>
          <cell r="S2688">
            <v>7619</v>
          </cell>
          <cell r="T2688">
            <v>5281</v>
          </cell>
          <cell r="U2688">
            <v>5494</v>
          </cell>
          <cell r="V2688">
            <v>1286</v>
          </cell>
          <cell r="W2688">
            <v>1445</v>
          </cell>
          <cell r="X2688">
            <v>623</v>
          </cell>
          <cell r="Y2688">
            <v>479</v>
          </cell>
          <cell r="Z2688">
            <v>359</v>
          </cell>
          <cell r="AA2688">
            <v>276</v>
          </cell>
          <cell r="AB2688">
            <v>92</v>
          </cell>
          <cell r="AC2688">
            <v>90</v>
          </cell>
          <cell r="AD2688">
            <v>126</v>
          </cell>
          <cell r="AE2688">
            <v>125</v>
          </cell>
          <cell r="AF2688">
            <v>21</v>
          </cell>
          <cell r="AG2688">
            <v>0</v>
          </cell>
          <cell r="AH2688">
            <v>0</v>
          </cell>
          <cell r="AI2688">
            <v>0</v>
          </cell>
          <cell r="AJ2688">
            <v>0</v>
          </cell>
        </row>
        <row r="2689">
          <cell r="E2689" t="str">
            <v>NM Electric Power Residual Fuel</v>
          </cell>
          <cell r="F2689">
            <v>203</v>
          </cell>
          <cell r="G2689">
            <v>65</v>
          </cell>
          <cell r="H2689">
            <v>12</v>
          </cell>
          <cell r="I2689">
            <v>9</v>
          </cell>
          <cell r="J2689">
            <v>3</v>
          </cell>
          <cell r="K2689">
            <v>4</v>
          </cell>
          <cell r="L2689">
            <v>2</v>
          </cell>
          <cell r="M2689">
            <v>2</v>
          </cell>
          <cell r="N2689">
            <v>0</v>
          </cell>
          <cell r="O2689">
            <v>0</v>
          </cell>
          <cell r="P2689">
            <v>0</v>
          </cell>
          <cell r="Q2689">
            <v>59</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row>
        <row r="2690">
          <cell r="E2690" t="str">
            <v>NV Electric Power Residual Fuel</v>
          </cell>
          <cell r="F2690">
            <v>2792</v>
          </cell>
          <cell r="G2690">
            <v>2390</v>
          </cell>
          <cell r="H2690">
            <v>3255</v>
          </cell>
          <cell r="I2690">
            <v>2488</v>
          </cell>
          <cell r="J2690">
            <v>1516</v>
          </cell>
          <cell r="K2690">
            <v>166</v>
          </cell>
          <cell r="L2690">
            <v>927</v>
          </cell>
          <cell r="M2690">
            <v>145</v>
          </cell>
          <cell r="N2690">
            <v>403</v>
          </cell>
          <cell r="O2690">
            <v>240</v>
          </cell>
          <cell r="P2690">
            <v>451</v>
          </cell>
          <cell r="Q2690">
            <v>13142</v>
          </cell>
          <cell r="R2690">
            <v>81</v>
          </cell>
          <cell r="S2690">
            <v>43</v>
          </cell>
          <cell r="T2690">
            <v>934</v>
          </cell>
          <cell r="U2690">
            <v>34</v>
          </cell>
          <cell r="V2690">
            <v>70</v>
          </cell>
          <cell r="W2690">
            <v>21</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row>
        <row r="2691">
          <cell r="E2691" t="str">
            <v>NY Electric Power Residual Fuel</v>
          </cell>
          <cell r="F2691">
            <v>338242</v>
          </cell>
          <cell r="G2691">
            <v>279345</v>
          </cell>
          <cell r="H2691">
            <v>180978</v>
          </cell>
          <cell r="I2691">
            <v>147390</v>
          </cell>
          <cell r="J2691">
            <v>111818</v>
          </cell>
          <cell r="K2691">
            <v>77101</v>
          </cell>
          <cell r="L2691">
            <v>93929</v>
          </cell>
          <cell r="M2691">
            <v>80556</v>
          </cell>
          <cell r="N2691">
            <v>145072</v>
          </cell>
          <cell r="O2691">
            <v>126075</v>
          </cell>
          <cell r="P2691">
            <v>143273</v>
          </cell>
          <cell r="Q2691">
            <v>158094</v>
          </cell>
          <cell r="R2691">
            <v>108414</v>
          </cell>
          <cell r="S2691">
            <v>186263</v>
          </cell>
          <cell r="T2691">
            <v>205725</v>
          </cell>
          <cell r="U2691">
            <v>220446</v>
          </cell>
          <cell r="V2691">
            <v>61326</v>
          </cell>
          <cell r="W2691">
            <v>73731</v>
          </cell>
          <cell r="X2691">
            <v>31024</v>
          </cell>
          <cell r="Y2691">
            <v>20502</v>
          </cell>
          <cell r="Z2691">
            <v>11256</v>
          </cell>
          <cell r="AA2691">
            <v>6448</v>
          </cell>
          <cell r="AB2691">
            <v>2887</v>
          </cell>
          <cell r="AC2691">
            <v>5547</v>
          </cell>
          <cell r="AD2691">
            <v>14008</v>
          </cell>
          <cell r="AE2691">
            <v>12211</v>
          </cell>
          <cell r="AF2691">
            <v>3925</v>
          </cell>
          <cell r="AG2691">
            <v>4034</v>
          </cell>
          <cell r="AH2691">
            <v>10158</v>
          </cell>
          <cell r="AI2691">
            <v>2269</v>
          </cell>
          <cell r="AJ2691">
            <v>1335</v>
          </cell>
        </row>
        <row r="2692">
          <cell r="E2692" t="str">
            <v>OH Electric Power Residual Fuel</v>
          </cell>
          <cell r="F2692">
            <v>852</v>
          </cell>
          <cell r="G2692">
            <v>1064</v>
          </cell>
          <cell r="H2692">
            <v>388</v>
          </cell>
          <cell r="I2692">
            <v>129</v>
          </cell>
          <cell r="J2692">
            <v>177</v>
          </cell>
          <cell r="K2692">
            <v>0</v>
          </cell>
          <cell r="L2692">
            <v>0</v>
          </cell>
          <cell r="M2692">
            <v>0</v>
          </cell>
          <cell r="N2692">
            <v>72</v>
          </cell>
          <cell r="O2692">
            <v>131</v>
          </cell>
          <cell r="P2692">
            <v>79</v>
          </cell>
          <cell r="Q2692">
            <v>81</v>
          </cell>
          <cell r="R2692">
            <v>48</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row>
        <row r="2693">
          <cell r="E2693" t="str">
            <v>OK Electric Power Residual Fuel</v>
          </cell>
          <cell r="F2693">
            <v>366</v>
          </cell>
          <cell r="G2693">
            <v>76</v>
          </cell>
          <cell r="H2693">
            <v>62</v>
          </cell>
          <cell r="I2693">
            <v>38</v>
          </cell>
          <cell r="J2693">
            <v>39</v>
          </cell>
          <cell r="K2693">
            <v>707</v>
          </cell>
          <cell r="L2693">
            <v>837</v>
          </cell>
          <cell r="M2693">
            <v>60</v>
          </cell>
          <cell r="N2693">
            <v>0</v>
          </cell>
          <cell r="O2693">
            <v>0</v>
          </cell>
          <cell r="P2693">
            <v>0</v>
          </cell>
          <cell r="Q2693">
            <v>7</v>
          </cell>
          <cell r="R2693">
            <v>14</v>
          </cell>
          <cell r="S2693">
            <v>221</v>
          </cell>
          <cell r="T2693">
            <v>69</v>
          </cell>
          <cell r="U2693">
            <v>19</v>
          </cell>
          <cell r="V2693">
            <v>1</v>
          </cell>
          <cell r="W2693">
            <v>1197</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row>
        <row r="2694">
          <cell r="E2694" t="str">
            <v>OR Electric Power Residual Fuel</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row>
        <row r="2695">
          <cell r="E2695" t="str">
            <v>PA Electric Power Residual Fuel</v>
          </cell>
          <cell r="F2695">
            <v>41811</v>
          </cell>
          <cell r="G2695">
            <v>37510</v>
          </cell>
          <cell r="H2695">
            <v>23054</v>
          </cell>
          <cell r="I2695">
            <v>47692</v>
          </cell>
          <cell r="J2695">
            <v>51743</v>
          </cell>
          <cell r="K2695">
            <v>30405</v>
          </cell>
          <cell r="L2695">
            <v>31670</v>
          </cell>
          <cell r="M2695">
            <v>23015</v>
          </cell>
          <cell r="N2695">
            <v>35426</v>
          </cell>
          <cell r="O2695">
            <v>27827</v>
          </cell>
          <cell r="P2695">
            <v>29826</v>
          </cell>
          <cell r="Q2695">
            <v>32533</v>
          </cell>
          <cell r="R2695">
            <v>20523</v>
          </cell>
          <cell r="S2695">
            <v>36605</v>
          </cell>
          <cell r="T2695">
            <v>33513</v>
          </cell>
          <cell r="U2695">
            <v>44377</v>
          </cell>
          <cell r="V2695">
            <v>5969</v>
          </cell>
          <cell r="W2695">
            <v>9528</v>
          </cell>
          <cell r="X2695">
            <v>4409</v>
          </cell>
          <cell r="Y2695">
            <v>4876</v>
          </cell>
          <cell r="Z2695">
            <v>2567</v>
          </cell>
          <cell r="AA2695">
            <v>1448</v>
          </cell>
          <cell r="AB2695">
            <v>670</v>
          </cell>
          <cell r="AC2695">
            <v>608</v>
          </cell>
          <cell r="AD2695">
            <v>1433</v>
          </cell>
          <cell r="AE2695">
            <v>0</v>
          </cell>
          <cell r="AF2695">
            <v>0</v>
          </cell>
          <cell r="AG2695">
            <v>0</v>
          </cell>
          <cell r="AH2695">
            <v>60</v>
          </cell>
          <cell r="AI2695">
            <v>43</v>
          </cell>
          <cell r="AJ2695">
            <v>52</v>
          </cell>
        </row>
        <row r="2696">
          <cell r="E2696" t="str">
            <v>RI Electric Power Residual Fuel</v>
          </cell>
          <cell r="F2696">
            <v>2136</v>
          </cell>
          <cell r="G2696">
            <v>771</v>
          </cell>
          <cell r="H2696">
            <v>1016</v>
          </cell>
          <cell r="I2696">
            <v>343</v>
          </cell>
          <cell r="J2696">
            <v>410</v>
          </cell>
          <cell r="K2696">
            <v>397</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row>
        <row r="2697">
          <cell r="E2697" t="str">
            <v>SC Electric Power Residual Fuel</v>
          </cell>
          <cell r="F2697">
            <v>50</v>
          </cell>
          <cell r="G2697">
            <v>70</v>
          </cell>
          <cell r="H2697">
            <v>95</v>
          </cell>
          <cell r="I2697">
            <v>378</v>
          </cell>
          <cell r="J2697">
            <v>58</v>
          </cell>
          <cell r="K2697">
            <v>429</v>
          </cell>
          <cell r="L2697">
            <v>244</v>
          </cell>
          <cell r="M2697">
            <v>352</v>
          </cell>
          <cell r="N2697">
            <v>1244</v>
          </cell>
          <cell r="O2697">
            <v>1570</v>
          </cell>
          <cell r="P2697">
            <v>1046</v>
          </cell>
          <cell r="Q2697">
            <v>530</v>
          </cell>
          <cell r="R2697">
            <v>425</v>
          </cell>
          <cell r="S2697">
            <v>232</v>
          </cell>
          <cell r="T2697">
            <v>424</v>
          </cell>
          <cell r="U2697">
            <v>450</v>
          </cell>
          <cell r="V2697">
            <v>179</v>
          </cell>
          <cell r="W2697">
            <v>284</v>
          </cell>
          <cell r="X2697">
            <v>28</v>
          </cell>
          <cell r="Y2697">
            <v>219</v>
          </cell>
          <cell r="Z2697">
            <v>70</v>
          </cell>
          <cell r="AA2697">
            <v>0</v>
          </cell>
          <cell r="AB2697">
            <v>0</v>
          </cell>
          <cell r="AC2697">
            <v>0</v>
          </cell>
          <cell r="AD2697">
            <v>0</v>
          </cell>
          <cell r="AE2697">
            <v>0</v>
          </cell>
          <cell r="AF2697">
            <v>0</v>
          </cell>
          <cell r="AG2697">
            <v>0</v>
          </cell>
          <cell r="AH2697">
            <v>0</v>
          </cell>
          <cell r="AI2697">
            <v>0</v>
          </cell>
          <cell r="AJ2697">
            <v>0</v>
          </cell>
        </row>
        <row r="2698">
          <cell r="E2698" t="str">
            <v>SD Electric Power Residual Fuel</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row>
        <row r="2699">
          <cell r="E2699" t="str">
            <v>TN Electric Power Residual Fuel</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row>
        <row r="2700">
          <cell r="E2700" t="str">
            <v>TX Electric Power Residual Fuel</v>
          </cell>
          <cell r="F2700">
            <v>1595</v>
          </cell>
          <cell r="G2700">
            <v>652</v>
          </cell>
          <cell r="H2700">
            <v>1111</v>
          </cell>
          <cell r="I2700">
            <v>2060</v>
          </cell>
          <cell r="J2700">
            <v>2158</v>
          </cell>
          <cell r="K2700">
            <v>388</v>
          </cell>
          <cell r="L2700">
            <v>2104</v>
          </cell>
          <cell r="M2700">
            <v>150</v>
          </cell>
          <cell r="N2700">
            <v>72</v>
          </cell>
          <cell r="O2700">
            <v>62</v>
          </cell>
          <cell r="P2700">
            <v>2523</v>
          </cell>
          <cell r="Q2700">
            <v>3877</v>
          </cell>
          <cell r="R2700">
            <v>541</v>
          </cell>
          <cell r="S2700">
            <v>3131</v>
          </cell>
          <cell r="T2700">
            <v>1194</v>
          </cell>
          <cell r="U2700">
            <v>184</v>
          </cell>
          <cell r="V2700">
            <v>346</v>
          </cell>
          <cell r="W2700">
            <v>287</v>
          </cell>
          <cell r="X2700">
            <v>40</v>
          </cell>
          <cell r="Y2700">
            <v>0</v>
          </cell>
          <cell r="Z2700">
            <v>0</v>
          </cell>
          <cell r="AA2700">
            <v>1</v>
          </cell>
          <cell r="AB2700">
            <v>163</v>
          </cell>
          <cell r="AC2700">
            <v>0</v>
          </cell>
          <cell r="AD2700">
            <v>0</v>
          </cell>
          <cell r="AE2700">
            <v>0</v>
          </cell>
          <cell r="AF2700">
            <v>0</v>
          </cell>
          <cell r="AG2700">
            <v>0</v>
          </cell>
          <cell r="AH2700">
            <v>0</v>
          </cell>
          <cell r="AI2700">
            <v>0</v>
          </cell>
          <cell r="AJ2700">
            <v>0</v>
          </cell>
        </row>
        <row r="2701">
          <cell r="E2701" t="str">
            <v>US Electric Power Residual Fuel</v>
          </cell>
          <cell r="F2701">
            <v>1162562</v>
          </cell>
          <cell r="G2701">
            <v>1085292</v>
          </cell>
          <cell r="H2701">
            <v>872170</v>
          </cell>
          <cell r="I2701">
            <v>958645</v>
          </cell>
          <cell r="J2701">
            <v>869000</v>
          </cell>
          <cell r="K2701">
            <v>565973</v>
          </cell>
          <cell r="L2701">
            <v>628391</v>
          </cell>
          <cell r="M2701">
            <v>714634</v>
          </cell>
          <cell r="N2701">
            <v>1046960</v>
          </cell>
          <cell r="O2701">
            <v>958723</v>
          </cell>
          <cell r="P2701">
            <v>870834</v>
          </cell>
          <cell r="Q2701">
            <v>1002803</v>
          </cell>
          <cell r="R2701">
            <v>658710</v>
          </cell>
          <cell r="S2701">
            <v>869363</v>
          </cell>
          <cell r="T2701">
            <v>879022</v>
          </cell>
          <cell r="U2701">
            <v>876462</v>
          </cell>
          <cell r="V2701">
            <v>360527</v>
          </cell>
          <cell r="W2701">
            <v>396624</v>
          </cell>
          <cell r="X2701">
            <v>240421</v>
          </cell>
          <cell r="Y2701">
            <v>180955</v>
          </cell>
          <cell r="Z2701">
            <v>154052</v>
          </cell>
          <cell r="AA2701">
            <v>93065</v>
          </cell>
          <cell r="AB2701">
            <v>76720</v>
          </cell>
          <cell r="AC2701">
            <v>77225</v>
          </cell>
          <cell r="AD2701">
            <v>95138</v>
          </cell>
          <cell r="AE2701">
            <v>93861</v>
          </cell>
          <cell r="AF2701">
            <v>70680</v>
          </cell>
          <cell r="AG2701">
            <v>65788</v>
          </cell>
          <cell r="AH2701">
            <v>78251</v>
          </cell>
          <cell r="AI2701">
            <v>58794</v>
          </cell>
          <cell r="AJ2701">
            <v>52696</v>
          </cell>
        </row>
        <row r="2702">
          <cell r="E2702" t="str">
            <v>UT Electric Power Residual Fuel</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row>
        <row r="2703">
          <cell r="E2703" t="str">
            <v>VA Electric Power Residual Fuel</v>
          </cell>
          <cell r="F2703">
            <v>8931</v>
          </cell>
          <cell r="G2703">
            <v>17667</v>
          </cell>
          <cell r="H2703">
            <v>12832</v>
          </cell>
          <cell r="I2703">
            <v>20467</v>
          </cell>
          <cell r="J2703">
            <v>21052</v>
          </cell>
          <cell r="K2703">
            <v>9917</v>
          </cell>
          <cell r="L2703">
            <v>5169</v>
          </cell>
          <cell r="M2703">
            <v>7603</v>
          </cell>
          <cell r="N2703">
            <v>24834</v>
          </cell>
          <cell r="O2703">
            <v>27579</v>
          </cell>
          <cell r="P2703">
            <v>21205</v>
          </cell>
          <cell r="Q2703">
            <v>41171</v>
          </cell>
          <cell r="R2703">
            <v>32293</v>
          </cell>
          <cell r="S2703">
            <v>41504</v>
          </cell>
          <cell r="T2703">
            <v>43591</v>
          </cell>
          <cell r="U2703">
            <v>34303</v>
          </cell>
          <cell r="V2703">
            <v>5353</v>
          </cell>
          <cell r="W2703">
            <v>13619</v>
          </cell>
          <cell r="X2703">
            <v>7689</v>
          </cell>
          <cell r="Y2703">
            <v>4689</v>
          </cell>
          <cell r="Z2703">
            <v>7700</v>
          </cell>
          <cell r="AA2703">
            <v>2322</v>
          </cell>
          <cell r="AB2703">
            <v>1552</v>
          </cell>
          <cell r="AC2703">
            <v>1112</v>
          </cell>
          <cell r="AD2703">
            <v>3661</v>
          </cell>
          <cell r="AE2703">
            <v>5655</v>
          </cell>
          <cell r="AF2703">
            <v>2440</v>
          </cell>
          <cell r="AG2703">
            <v>1312</v>
          </cell>
          <cell r="AH2703">
            <v>2612</v>
          </cell>
          <cell r="AI2703">
            <v>879</v>
          </cell>
          <cell r="AJ2703">
            <v>627</v>
          </cell>
        </row>
        <row r="2704">
          <cell r="E2704" t="str">
            <v>VT Electric Power Residual Fuel</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7</v>
          </cell>
          <cell r="Y2704">
            <v>4</v>
          </cell>
          <cell r="Z2704">
            <v>4</v>
          </cell>
          <cell r="AA2704">
            <v>4</v>
          </cell>
          <cell r="AB2704">
            <v>3</v>
          </cell>
          <cell r="AC2704">
            <v>0</v>
          </cell>
          <cell r="AD2704">
            <v>0</v>
          </cell>
          <cell r="AE2704">
            <v>0</v>
          </cell>
          <cell r="AF2704">
            <v>0</v>
          </cell>
          <cell r="AG2704">
            <v>0</v>
          </cell>
          <cell r="AH2704">
            <v>0</v>
          </cell>
          <cell r="AI2704">
            <v>0</v>
          </cell>
          <cell r="AJ2704">
            <v>0</v>
          </cell>
        </row>
        <row r="2705">
          <cell r="E2705" t="str">
            <v>WA Electric Power Residual Fuel</v>
          </cell>
          <cell r="F2705">
            <v>5</v>
          </cell>
          <cell r="G2705">
            <v>4</v>
          </cell>
          <cell r="H2705">
            <v>6</v>
          </cell>
          <cell r="I2705">
            <v>4</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row>
        <row r="2706">
          <cell r="E2706" t="str">
            <v>WI Electric Power Residual Fuel</v>
          </cell>
          <cell r="F2706">
            <v>0</v>
          </cell>
          <cell r="G2706">
            <v>0</v>
          </cell>
          <cell r="H2706">
            <v>0</v>
          </cell>
          <cell r="I2706">
            <v>0</v>
          </cell>
          <cell r="J2706">
            <v>0</v>
          </cell>
          <cell r="K2706">
            <v>0</v>
          </cell>
          <cell r="L2706">
            <v>0</v>
          </cell>
          <cell r="M2706">
            <v>0</v>
          </cell>
          <cell r="N2706">
            <v>8</v>
          </cell>
          <cell r="O2706">
            <v>11</v>
          </cell>
          <cell r="P2706">
            <v>14</v>
          </cell>
          <cell r="Q2706">
            <v>12</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row>
        <row r="2707">
          <cell r="E2707" t="str">
            <v>WV Electric Power Residual Fuel</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row>
        <row r="2708">
          <cell r="E2708" t="str">
            <v>WY Electric Power Residual Fuel</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row>
        <row r="2709">
          <cell r="E2709" t="str">
            <v>AK Industrial Residual Fuel</v>
          </cell>
          <cell r="F2709">
            <v>646.08390436235254</v>
          </cell>
          <cell r="G2709">
            <v>1418.9554620229471</v>
          </cell>
          <cell r="H2709">
            <v>1590.6169061398339</v>
          </cell>
          <cell r="I2709">
            <v>1649.339010605303</v>
          </cell>
          <cell r="J2709">
            <v>1881.7197225239249</v>
          </cell>
          <cell r="K2709">
            <v>1993.4007703553898</v>
          </cell>
          <cell r="L2709">
            <v>2044.1972115185556</v>
          </cell>
          <cell r="M2709">
            <v>705.94198470095216</v>
          </cell>
          <cell r="N2709">
            <v>0</v>
          </cell>
          <cell r="O2709">
            <v>0</v>
          </cell>
          <cell r="P2709">
            <v>0</v>
          </cell>
          <cell r="Q2709">
            <v>88.321111231377799</v>
          </cell>
          <cell r="R2709">
            <v>0</v>
          </cell>
          <cell r="S2709">
            <v>0</v>
          </cell>
          <cell r="T2709">
            <v>0</v>
          </cell>
          <cell r="U2709">
            <v>0</v>
          </cell>
          <cell r="V2709">
            <v>0</v>
          </cell>
          <cell r="W2709">
            <v>0</v>
          </cell>
          <cell r="X2709">
            <v>2.9781653434321087</v>
          </cell>
          <cell r="Y2709">
            <v>7.0505209814121823</v>
          </cell>
          <cell r="Z2709">
            <v>4.9551002071530137</v>
          </cell>
          <cell r="AA2709">
            <v>0</v>
          </cell>
          <cell r="AB2709">
            <v>0</v>
          </cell>
          <cell r="AC2709">
            <v>0</v>
          </cell>
          <cell r="AD2709">
            <v>0</v>
          </cell>
          <cell r="AE2709">
            <v>0</v>
          </cell>
          <cell r="AF2709">
            <v>0</v>
          </cell>
          <cell r="AG2709">
            <v>0</v>
          </cell>
          <cell r="AH2709">
            <v>0</v>
          </cell>
          <cell r="AI2709">
            <v>0</v>
          </cell>
          <cell r="AJ2709">
            <v>0</v>
          </cell>
        </row>
        <row r="2710">
          <cell r="E2710" t="str">
            <v>AL Industrial Residual Fuel</v>
          </cell>
          <cell r="F2710">
            <v>2472.8197654635792</v>
          </cell>
          <cell r="G2710">
            <v>431.6090942231034</v>
          </cell>
          <cell r="H2710">
            <v>1956.0518136804887</v>
          </cell>
          <cell r="I2710">
            <v>4220.728712777719</v>
          </cell>
          <cell r="J2710">
            <v>5879.0551704649351</v>
          </cell>
          <cell r="K2710">
            <v>2677.311382406921</v>
          </cell>
          <cell r="L2710">
            <v>3723.749297760065</v>
          </cell>
          <cell r="M2710">
            <v>3055.569784526509</v>
          </cell>
          <cell r="N2710">
            <v>2906.7174612014396</v>
          </cell>
          <cell r="O2710">
            <v>2770.7365392123311</v>
          </cell>
          <cell r="P2710">
            <v>6653.7990841014307</v>
          </cell>
          <cell r="Q2710">
            <v>3844.6563723850195</v>
          </cell>
          <cell r="R2710">
            <v>9038.3761671058946</v>
          </cell>
          <cell r="S2710">
            <v>1341.3815137067397</v>
          </cell>
          <cell r="T2710">
            <v>2126.1339246583325</v>
          </cell>
          <cell r="U2710">
            <v>3725.4693571486955</v>
          </cell>
          <cell r="V2710">
            <v>3549.0534138023272</v>
          </cell>
          <cell r="W2710">
            <v>3245.9932001304082</v>
          </cell>
          <cell r="X2710">
            <v>3871.6149464617415</v>
          </cell>
          <cell r="Y2710">
            <v>675.1713187438047</v>
          </cell>
          <cell r="Z2710">
            <v>963.44383158209905</v>
          </cell>
          <cell r="AA2710">
            <v>2484.6266370205667</v>
          </cell>
          <cell r="AB2710">
            <v>0</v>
          </cell>
          <cell r="AC2710">
            <v>0</v>
          </cell>
          <cell r="AD2710">
            <v>0</v>
          </cell>
          <cell r="AE2710">
            <v>0</v>
          </cell>
          <cell r="AF2710">
            <v>242.60457884193377</v>
          </cell>
          <cell r="AG2710">
            <v>259.06215831948202</v>
          </cell>
          <cell r="AH2710">
            <v>0</v>
          </cell>
          <cell r="AI2710">
            <v>0</v>
          </cell>
          <cell r="AJ2710">
            <v>0</v>
          </cell>
        </row>
        <row r="2711">
          <cell r="E2711" t="str">
            <v>AR Industrial Residual Fuel</v>
          </cell>
          <cell r="F2711">
            <v>1189.5024211821942</v>
          </cell>
          <cell r="G2711">
            <v>735.03353264310465</v>
          </cell>
          <cell r="H2711">
            <v>141.59542821180824</v>
          </cell>
          <cell r="I2711">
            <v>1189.629626798293</v>
          </cell>
          <cell r="J2711">
            <v>1464.9275970676911</v>
          </cell>
          <cell r="K2711">
            <v>1083.7742949938972</v>
          </cell>
          <cell r="L2711">
            <v>610.82259464611172</v>
          </cell>
          <cell r="M2711">
            <v>106.9854672566311</v>
          </cell>
          <cell r="N2711">
            <v>15.830152148659291</v>
          </cell>
          <cell r="O2711">
            <v>77.954806167549521</v>
          </cell>
          <cell r="P2711">
            <v>44.295381444327163</v>
          </cell>
          <cell r="Q2711">
            <v>978.44431051108961</v>
          </cell>
          <cell r="R2711">
            <v>224.40318347036145</v>
          </cell>
          <cell r="S2711">
            <v>920.73922717849382</v>
          </cell>
          <cell r="T2711">
            <v>2199.9362100785261</v>
          </cell>
          <cell r="U2711">
            <v>166.59892781116397</v>
          </cell>
          <cell r="V2711">
            <v>20.642603985555702</v>
          </cell>
          <cell r="W2711">
            <v>275.14864235480411</v>
          </cell>
          <cell r="X2711">
            <v>166.77725923219808</v>
          </cell>
          <cell r="Y2711">
            <v>85.613469060005073</v>
          </cell>
          <cell r="Z2711">
            <v>1.077195697207177</v>
          </cell>
          <cell r="AA2711">
            <v>51.562123401889934</v>
          </cell>
          <cell r="AB2711">
            <v>0</v>
          </cell>
          <cell r="AC2711">
            <v>0</v>
          </cell>
          <cell r="AD2711">
            <v>0</v>
          </cell>
          <cell r="AE2711">
            <v>0</v>
          </cell>
          <cell r="AF2711">
            <v>0.2425641514833532</v>
          </cell>
          <cell r="AG2711">
            <v>0</v>
          </cell>
          <cell r="AH2711">
            <v>0</v>
          </cell>
          <cell r="AI2711">
            <v>0</v>
          </cell>
          <cell r="AJ2711">
            <v>0</v>
          </cell>
        </row>
        <row r="2712">
          <cell r="E2712" t="str">
            <v>AZ Industrial Residual Fuel</v>
          </cell>
          <cell r="F2712">
            <v>100.89529465384683</v>
          </cell>
          <cell r="G2712">
            <v>894.04740946214281</v>
          </cell>
          <cell r="H2712">
            <v>496.00793714914863</v>
          </cell>
          <cell r="I2712">
            <v>959.77493489478798</v>
          </cell>
          <cell r="J2712">
            <v>246.20631883490606</v>
          </cell>
          <cell r="K2712">
            <v>366.04857233413219</v>
          </cell>
          <cell r="L2712">
            <v>420.09807059567521</v>
          </cell>
          <cell r="M2712">
            <v>71.32364483775406</v>
          </cell>
          <cell r="N2712">
            <v>92.719462585004422</v>
          </cell>
          <cell r="O2712">
            <v>127.69739676970016</v>
          </cell>
          <cell r="P2712">
            <v>114.69339838263284</v>
          </cell>
          <cell r="Q2712">
            <v>132.09766201562593</v>
          </cell>
          <cell r="R2712">
            <v>140.63624169546625</v>
          </cell>
          <cell r="S2712">
            <v>0</v>
          </cell>
          <cell r="T2712">
            <v>161.73692336765751</v>
          </cell>
          <cell r="U2712">
            <v>103.92599782505944</v>
          </cell>
          <cell r="V2712">
            <v>79.621472515714856</v>
          </cell>
          <cell r="W2712">
            <v>86.221694378463965</v>
          </cell>
          <cell r="X2712">
            <v>0</v>
          </cell>
          <cell r="Y2712">
            <v>0</v>
          </cell>
          <cell r="Z2712">
            <v>0</v>
          </cell>
          <cell r="AA2712">
            <v>15.208971650917174</v>
          </cell>
          <cell r="AB2712">
            <v>0</v>
          </cell>
          <cell r="AC2712">
            <v>0</v>
          </cell>
          <cell r="AD2712">
            <v>0</v>
          </cell>
          <cell r="AE2712">
            <v>0</v>
          </cell>
          <cell r="AF2712">
            <v>0</v>
          </cell>
          <cell r="AG2712">
            <v>0</v>
          </cell>
          <cell r="AH2712">
            <v>0</v>
          </cell>
          <cell r="AI2712">
            <v>0</v>
          </cell>
          <cell r="AJ2712">
            <v>0</v>
          </cell>
        </row>
        <row r="2713">
          <cell r="E2713" t="str">
            <v>CA Industrial Residual Fuel</v>
          </cell>
          <cell r="F2713">
            <v>10226.711664256141</v>
          </cell>
          <cell r="G2713">
            <v>8933.1724370123902</v>
          </cell>
          <cell r="H2713">
            <v>9957.465322871114</v>
          </cell>
          <cell r="I2713">
            <v>8376.5366347124636</v>
          </cell>
          <cell r="J2713">
            <v>7365.0861662899042</v>
          </cell>
          <cell r="K2713">
            <v>7795.2283729631254</v>
          </cell>
          <cell r="L2713">
            <v>1606.4550219578621</v>
          </cell>
          <cell r="M2713">
            <v>518.71741700184771</v>
          </cell>
          <cell r="N2713">
            <v>146.24045318285252</v>
          </cell>
          <cell r="O2713">
            <v>2659.3725304015461</v>
          </cell>
          <cell r="P2713">
            <v>535.4995221037409</v>
          </cell>
          <cell r="Q2713">
            <v>1606.6762147481943</v>
          </cell>
          <cell r="R2713">
            <v>937.57494463644173</v>
          </cell>
          <cell r="S2713">
            <v>257.83814229786924</v>
          </cell>
          <cell r="T2713">
            <v>69.091501244436216</v>
          </cell>
          <cell r="U2713">
            <v>55.532975937054658</v>
          </cell>
          <cell r="V2713">
            <v>470.35647652801924</v>
          </cell>
          <cell r="W2713">
            <v>41.842881095431046</v>
          </cell>
          <cell r="X2713">
            <v>1483.1263410291901</v>
          </cell>
          <cell r="Y2713">
            <v>13.429563774118442</v>
          </cell>
          <cell r="Z2713">
            <v>13.788104924251865</v>
          </cell>
          <cell r="AA2713">
            <v>16.321823235130626</v>
          </cell>
          <cell r="AB2713">
            <v>0</v>
          </cell>
          <cell r="AC2713">
            <v>0</v>
          </cell>
          <cell r="AD2713">
            <v>0</v>
          </cell>
          <cell r="AE2713">
            <v>0</v>
          </cell>
          <cell r="AF2713">
            <v>14.553849089001192</v>
          </cell>
          <cell r="AG2713">
            <v>6.635470693073259</v>
          </cell>
          <cell r="AH2713">
            <v>0</v>
          </cell>
          <cell r="AI2713">
            <v>0</v>
          </cell>
          <cell r="AJ2713">
            <v>0</v>
          </cell>
        </row>
        <row r="2714">
          <cell r="E2714" t="str">
            <v>CO Industrial Residual Fuel</v>
          </cell>
          <cell r="F2714">
            <v>69.918669102227184</v>
          </cell>
          <cell r="G2714">
            <v>171.18330616743387</v>
          </cell>
          <cell r="H2714">
            <v>19.501166759710117</v>
          </cell>
          <cell r="I2714">
            <v>61.4115589055166</v>
          </cell>
          <cell r="J2714">
            <v>7.0344662524258874</v>
          </cell>
          <cell r="K2714">
            <v>1.6907555304116961</v>
          </cell>
          <cell r="L2714">
            <v>21.004903529783761</v>
          </cell>
          <cell r="M2714">
            <v>17.02041524537313</v>
          </cell>
          <cell r="N2714">
            <v>0.75381676898377581</v>
          </cell>
          <cell r="O2714">
            <v>3.7121336270261676</v>
          </cell>
          <cell r="P2714">
            <v>0</v>
          </cell>
          <cell r="Q2714">
            <v>19.968251234920196</v>
          </cell>
          <cell r="R2714">
            <v>0</v>
          </cell>
          <cell r="S2714">
            <v>0</v>
          </cell>
          <cell r="T2714">
            <v>0</v>
          </cell>
          <cell r="U2714">
            <v>0</v>
          </cell>
          <cell r="V2714">
            <v>2.2117075698809683</v>
          </cell>
          <cell r="W2714">
            <v>0</v>
          </cell>
          <cell r="X2714">
            <v>9.5301290989827478</v>
          </cell>
          <cell r="Y2714">
            <v>0</v>
          </cell>
          <cell r="Z2714">
            <v>0</v>
          </cell>
          <cell r="AA2714">
            <v>0</v>
          </cell>
          <cell r="AB2714">
            <v>0</v>
          </cell>
          <cell r="AC2714">
            <v>0</v>
          </cell>
          <cell r="AD2714">
            <v>0</v>
          </cell>
          <cell r="AE2714">
            <v>0</v>
          </cell>
          <cell r="AF2714">
            <v>0</v>
          </cell>
          <cell r="AG2714">
            <v>0</v>
          </cell>
          <cell r="AH2714">
            <v>0</v>
          </cell>
          <cell r="AI2714">
            <v>0</v>
          </cell>
          <cell r="AJ2714">
            <v>0</v>
          </cell>
        </row>
        <row r="2715">
          <cell r="E2715" t="str">
            <v>CT Industrial Residual Fuel</v>
          </cell>
          <cell r="F2715">
            <v>7870.7180294443851</v>
          </cell>
          <cell r="G2715">
            <v>5048.69058900446</v>
          </cell>
          <cell r="H2715">
            <v>6477.7788714863173</v>
          </cell>
          <cell r="I2715">
            <v>7850.1518440937507</v>
          </cell>
          <cell r="J2715">
            <v>7149.6556373093617</v>
          </cell>
          <cell r="K2715">
            <v>4012.162873666955</v>
          </cell>
          <cell r="L2715">
            <v>5090.748419478392</v>
          </cell>
          <cell r="M2715">
            <v>1971.1261846070213</v>
          </cell>
          <cell r="N2715">
            <v>1458.6354479836061</v>
          </cell>
          <cell r="O2715">
            <v>1887.9911627055087</v>
          </cell>
          <cell r="P2715">
            <v>1888.0906340644456</v>
          </cell>
          <cell r="Q2715">
            <v>2886.9483227717315</v>
          </cell>
          <cell r="R2715">
            <v>1679.1813557628075</v>
          </cell>
          <cell r="S2715">
            <v>3742.9373829041142</v>
          </cell>
          <cell r="T2715">
            <v>5445.6665071751095</v>
          </cell>
          <cell r="U2715">
            <v>5531.8777315583166</v>
          </cell>
          <cell r="V2715">
            <v>2733.6705563728769</v>
          </cell>
          <cell r="W2715">
            <v>1566.5721088910623</v>
          </cell>
          <cell r="X2715">
            <v>543.81299171070305</v>
          </cell>
          <cell r="Y2715">
            <v>355.54770091978577</v>
          </cell>
          <cell r="Z2715">
            <v>33.393066613422484</v>
          </cell>
          <cell r="AA2715">
            <v>38.949805447470808</v>
          </cell>
          <cell r="AB2715">
            <v>0</v>
          </cell>
          <cell r="AC2715">
            <v>0</v>
          </cell>
          <cell r="AD2715">
            <v>0</v>
          </cell>
          <cell r="AE2715">
            <v>0</v>
          </cell>
          <cell r="AF2715">
            <v>0.44470094438614755</v>
          </cell>
          <cell r="AG2715">
            <v>0.72488335302480977</v>
          </cell>
          <cell r="AH2715">
            <v>0</v>
          </cell>
          <cell r="AI2715">
            <v>0</v>
          </cell>
          <cell r="AJ2715">
            <v>0</v>
          </cell>
        </row>
        <row r="2716">
          <cell r="E2716" t="str">
            <v>DC Industrial Residual Fuel</v>
          </cell>
          <cell r="F2716">
            <v>4.4252322216599485</v>
          </cell>
          <cell r="G2716">
            <v>6.4903623191444124</v>
          </cell>
          <cell r="H2716">
            <v>10.174521787674843</v>
          </cell>
          <cell r="I2716">
            <v>0</v>
          </cell>
          <cell r="J2716">
            <v>4.39654140776618</v>
          </cell>
          <cell r="K2716">
            <v>0.84537776520584806</v>
          </cell>
          <cell r="L2716">
            <v>0.84019614119135044</v>
          </cell>
          <cell r="M2716">
            <v>0</v>
          </cell>
          <cell r="N2716">
            <v>0</v>
          </cell>
          <cell r="O2716">
            <v>0</v>
          </cell>
          <cell r="P2716">
            <v>0.79098895436298511</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row>
        <row r="2717">
          <cell r="E2717" t="str">
            <v>DE Industrial Residual Fuel</v>
          </cell>
          <cell r="F2717">
            <v>4095.1098979241165</v>
          </cell>
          <cell r="G2717">
            <v>4815.8488408051544</v>
          </cell>
          <cell r="H2717">
            <v>6526.9557267934124</v>
          </cell>
          <cell r="I2717">
            <v>9556.515873682747</v>
          </cell>
          <cell r="J2717">
            <v>9872.8733852797322</v>
          </cell>
          <cell r="K2717">
            <v>8342.187787051309</v>
          </cell>
          <cell r="L2717">
            <v>7711.3201838542145</v>
          </cell>
          <cell r="M2717">
            <v>6193.8101573876875</v>
          </cell>
          <cell r="N2717">
            <v>4632.9578621742858</v>
          </cell>
          <cell r="O2717">
            <v>5458.3212851792769</v>
          </cell>
          <cell r="P2717">
            <v>7146.5852026695702</v>
          </cell>
          <cell r="Q2717">
            <v>6478.9295160687225</v>
          </cell>
          <cell r="R2717">
            <v>5600.0890340702872</v>
          </cell>
          <cell r="S2717">
            <v>3170.396492907335</v>
          </cell>
          <cell r="T2717">
            <v>3823.5864893227772</v>
          </cell>
          <cell r="U2717">
            <v>3562.0437422482205</v>
          </cell>
          <cell r="V2717">
            <v>2822.1388591681157</v>
          </cell>
          <cell r="W2717">
            <v>2069.9546481300358</v>
          </cell>
          <cell r="X2717">
            <v>1823.8284563178233</v>
          </cell>
          <cell r="Y2717">
            <v>724.86070470804293</v>
          </cell>
          <cell r="Z2717">
            <v>479.13664611775232</v>
          </cell>
          <cell r="AA2717">
            <v>606.13316286826011</v>
          </cell>
          <cell r="AB2717">
            <v>0</v>
          </cell>
          <cell r="AC2717">
            <v>0</v>
          </cell>
          <cell r="AD2717">
            <v>0</v>
          </cell>
          <cell r="AE2717">
            <v>0</v>
          </cell>
          <cell r="AF2717">
            <v>8.0854717161117737E-2</v>
          </cell>
          <cell r="AG2717">
            <v>0.44608206339988293</v>
          </cell>
          <cell r="AH2717">
            <v>0</v>
          </cell>
          <cell r="AI2717">
            <v>0</v>
          </cell>
          <cell r="AJ2717">
            <v>0</v>
          </cell>
        </row>
        <row r="2718">
          <cell r="E2718" t="str">
            <v>FL Industrial Residual Fuel</v>
          </cell>
          <cell r="F2718">
            <v>17917.765265501133</v>
          </cell>
          <cell r="G2718">
            <v>13250.885969823212</v>
          </cell>
          <cell r="H2718">
            <v>21754.823335680096</v>
          </cell>
          <cell r="I2718">
            <v>28616.909141986369</v>
          </cell>
          <cell r="J2718">
            <v>25303.85441825747</v>
          </cell>
          <cell r="K2718">
            <v>26469.623206360309</v>
          </cell>
          <cell r="L2718">
            <v>20616.732912553358</v>
          </cell>
          <cell r="M2718">
            <v>17527.785718878062</v>
          </cell>
          <cell r="N2718">
            <v>19604.512710961058</v>
          </cell>
          <cell r="O2718">
            <v>14817.352585637649</v>
          </cell>
          <cell r="P2718">
            <v>17381.191283172237</v>
          </cell>
          <cell r="Q2718">
            <v>13540.778366264538</v>
          </cell>
          <cell r="R2718">
            <v>7678.8924973830535</v>
          </cell>
          <cell r="S2718">
            <v>9214.4029765604082</v>
          </cell>
          <cell r="T2718">
            <v>15133.394164619411</v>
          </cell>
          <cell r="U2718">
            <v>14220.408481024355</v>
          </cell>
          <cell r="V2718">
            <v>11245.795756988096</v>
          </cell>
          <cell r="W2718">
            <v>7011.2185156723017</v>
          </cell>
          <cell r="X2718">
            <v>5571.5517244927887</v>
          </cell>
          <cell r="Y2718">
            <v>2312.906620997549</v>
          </cell>
          <cell r="Z2718">
            <v>1210.337085381984</v>
          </cell>
          <cell r="AA2718">
            <v>2134.4493385214005</v>
          </cell>
          <cell r="AB2718">
            <v>0</v>
          </cell>
          <cell r="AC2718">
            <v>0</v>
          </cell>
          <cell r="AD2718">
            <v>0</v>
          </cell>
          <cell r="AE2718">
            <v>0</v>
          </cell>
          <cell r="AF2718">
            <v>85.665572832204248</v>
          </cell>
          <cell r="AG2718">
            <v>67.135350541682385</v>
          </cell>
          <cell r="AH2718">
            <v>0</v>
          </cell>
          <cell r="AI2718">
            <v>0</v>
          </cell>
          <cell r="AJ2718">
            <v>0</v>
          </cell>
        </row>
        <row r="2719">
          <cell r="E2719" t="str">
            <v>GA Industrial Residual Fuel</v>
          </cell>
          <cell r="F2719">
            <v>11139.194548362422</v>
          </cell>
          <cell r="G2719">
            <v>8860.9671562119092</v>
          </cell>
          <cell r="H2719">
            <v>18053.84103541337</v>
          </cell>
          <cell r="I2719">
            <v>15263.404311973969</v>
          </cell>
          <cell r="J2719">
            <v>15560.239350366062</v>
          </cell>
          <cell r="K2719">
            <v>13811.781927933145</v>
          </cell>
          <cell r="L2719">
            <v>18197.808222063461</v>
          </cell>
          <cell r="M2719">
            <v>15585.026893013328</v>
          </cell>
          <cell r="N2719">
            <v>5730.5150778146635</v>
          </cell>
          <cell r="O2719">
            <v>4915.6073489080509</v>
          </cell>
          <cell r="P2719">
            <v>6463.1707460999514</v>
          </cell>
          <cell r="Q2719">
            <v>4452.9200253872041</v>
          </cell>
          <cell r="R2719">
            <v>8755.5666756089995</v>
          </cell>
          <cell r="S2719">
            <v>11249.844263038754</v>
          </cell>
          <cell r="T2719">
            <v>14085.244685513475</v>
          </cell>
          <cell r="U2719">
            <v>15028.809945022336</v>
          </cell>
          <cell r="V2719">
            <v>8864.5239400829214</v>
          </cell>
          <cell r="W2719">
            <v>5352.0848819337707</v>
          </cell>
          <cell r="X2719">
            <v>2803.6448543069873</v>
          </cell>
          <cell r="Y2719">
            <v>722.17479195321926</v>
          </cell>
          <cell r="Z2719">
            <v>451.56043626924856</v>
          </cell>
          <cell r="AA2719">
            <v>1075.3855808782655</v>
          </cell>
          <cell r="AB2719">
            <v>0</v>
          </cell>
          <cell r="AC2719">
            <v>0</v>
          </cell>
          <cell r="AD2719">
            <v>0</v>
          </cell>
          <cell r="AE2719">
            <v>0</v>
          </cell>
          <cell r="AF2719">
            <v>44.753085948678667</v>
          </cell>
          <cell r="AG2719">
            <v>45.61189098263803</v>
          </cell>
          <cell r="AH2719">
            <v>0</v>
          </cell>
          <cell r="AI2719">
            <v>0</v>
          </cell>
          <cell r="AJ2719">
            <v>0</v>
          </cell>
        </row>
        <row r="2720">
          <cell r="E2720" t="str">
            <v>HI Industrial Residual Fuel</v>
          </cell>
          <cell r="F2720">
            <v>9684.1781938806325</v>
          </cell>
          <cell r="G2720">
            <v>9146.5430982542639</v>
          </cell>
          <cell r="H2720">
            <v>7230.6934837742556</v>
          </cell>
          <cell r="I2720">
            <v>5825.3250161804317</v>
          </cell>
          <cell r="J2720">
            <v>6548.2087727269482</v>
          </cell>
          <cell r="K2720">
            <v>5445.078185690867</v>
          </cell>
          <cell r="L2720">
            <v>5054.6199854071647</v>
          </cell>
          <cell r="M2720">
            <v>4303.7335691872049</v>
          </cell>
          <cell r="N2720">
            <v>1445.820562910882</v>
          </cell>
          <cell r="O2720">
            <v>1551.671856096938</v>
          </cell>
          <cell r="P2720">
            <v>2176.0106134525722</v>
          </cell>
          <cell r="Q2720">
            <v>38.400483144077299</v>
          </cell>
          <cell r="R2720">
            <v>2155.6538686108352</v>
          </cell>
          <cell r="S2720">
            <v>1781.4979801668489</v>
          </cell>
          <cell r="T2720">
            <v>1947.9092566755255</v>
          </cell>
          <cell r="U2720">
            <v>3896.8282543258929</v>
          </cell>
          <cell r="V2720">
            <v>3761.3773405109</v>
          </cell>
          <cell r="W2720">
            <v>1705.4143961622653</v>
          </cell>
          <cell r="X2720">
            <v>1626.0782775139314</v>
          </cell>
          <cell r="Y2720">
            <v>983.71554645417586</v>
          </cell>
          <cell r="Z2720">
            <v>610.55452117702794</v>
          </cell>
          <cell r="AA2720">
            <v>1057.9509060589214</v>
          </cell>
          <cell r="AB2720">
            <v>0</v>
          </cell>
          <cell r="AC2720">
            <v>0</v>
          </cell>
          <cell r="AD2720">
            <v>0</v>
          </cell>
          <cell r="AE2720">
            <v>0</v>
          </cell>
          <cell r="AF2720">
            <v>103.6961747591335</v>
          </cell>
          <cell r="AG2720">
            <v>180.2729138714777</v>
          </cell>
          <cell r="AH2720">
            <v>0</v>
          </cell>
          <cell r="AI2720">
            <v>0</v>
          </cell>
          <cell r="AJ2720">
            <v>0</v>
          </cell>
        </row>
        <row r="2721">
          <cell r="E2721" t="str">
            <v>IA Industrial Residual Fuel</v>
          </cell>
          <cell r="F2721">
            <v>522.17740215587401</v>
          </cell>
          <cell r="G2721">
            <v>442.96722828160614</v>
          </cell>
          <cell r="H2721">
            <v>367.13066117193392</v>
          </cell>
          <cell r="I2721">
            <v>869.41221250524211</v>
          </cell>
          <cell r="J2721">
            <v>985.70458362117745</v>
          </cell>
          <cell r="K2721">
            <v>489.47372605418605</v>
          </cell>
          <cell r="L2721">
            <v>492.35493873813135</v>
          </cell>
          <cell r="M2721">
            <v>363.91268786535881</v>
          </cell>
          <cell r="N2721">
            <v>414.59922294107668</v>
          </cell>
          <cell r="O2721">
            <v>467.72883700529707</v>
          </cell>
          <cell r="P2721">
            <v>696.86126879378992</v>
          </cell>
          <cell r="Q2721">
            <v>209.66663796666208</v>
          </cell>
          <cell r="R2721">
            <v>289.72602797372008</v>
          </cell>
          <cell r="S2721">
            <v>733.00813263533223</v>
          </cell>
          <cell r="T2721">
            <v>1390.4664625442788</v>
          </cell>
          <cell r="U2721">
            <v>953.5805296619958</v>
          </cell>
          <cell r="V2721">
            <v>206.42603985555704</v>
          </cell>
          <cell r="W2721">
            <v>176.24728703833077</v>
          </cell>
          <cell r="X2721">
            <v>637.92301656315772</v>
          </cell>
          <cell r="Y2721">
            <v>138.32450687341995</v>
          </cell>
          <cell r="Z2721">
            <v>27.360770709062294</v>
          </cell>
          <cell r="AA2721">
            <v>74.561056142301268</v>
          </cell>
          <cell r="AB2721">
            <v>0</v>
          </cell>
          <cell r="AC2721">
            <v>0</v>
          </cell>
          <cell r="AD2721">
            <v>0</v>
          </cell>
          <cell r="AE2721">
            <v>0</v>
          </cell>
          <cell r="AF2721">
            <v>0</v>
          </cell>
          <cell r="AG2721">
            <v>5.8548270821234638</v>
          </cell>
          <cell r="AH2721">
            <v>0</v>
          </cell>
          <cell r="AI2721">
            <v>0</v>
          </cell>
          <cell r="AJ2721">
            <v>0</v>
          </cell>
        </row>
        <row r="2722">
          <cell r="E2722" t="str">
            <v>ID Industrial Residual Fuel</v>
          </cell>
          <cell r="F2722">
            <v>155.7681742024302</v>
          </cell>
          <cell r="G2722">
            <v>218.23843298123086</v>
          </cell>
          <cell r="H2722">
            <v>41.545963966338945</v>
          </cell>
          <cell r="I2722">
            <v>43.865399218226145</v>
          </cell>
          <cell r="J2722">
            <v>76.49982049513153</v>
          </cell>
          <cell r="K2722">
            <v>16.062177538911115</v>
          </cell>
          <cell r="L2722">
            <v>12.602942117870256</v>
          </cell>
          <cell r="M2722">
            <v>7.2944636765884834</v>
          </cell>
          <cell r="N2722">
            <v>6.0305341518702065</v>
          </cell>
          <cell r="O2722">
            <v>28.212215565398871</v>
          </cell>
          <cell r="P2722">
            <v>9.4918674523558213</v>
          </cell>
          <cell r="Q2722">
            <v>109.05737212917954</v>
          </cell>
          <cell r="R2722">
            <v>386.55753864928704</v>
          </cell>
          <cell r="S2722">
            <v>1.5579343945490589</v>
          </cell>
          <cell r="T2722">
            <v>0</v>
          </cell>
          <cell r="U2722">
            <v>1102.7262364643711</v>
          </cell>
          <cell r="V2722">
            <v>671.62186538718731</v>
          </cell>
          <cell r="W2722">
            <v>147.08406688090912</v>
          </cell>
          <cell r="X2722">
            <v>0</v>
          </cell>
          <cell r="Y2722">
            <v>17.122693812001014</v>
          </cell>
          <cell r="Z2722">
            <v>25.637257593530812</v>
          </cell>
          <cell r="AA2722">
            <v>7.7899610894941622</v>
          </cell>
          <cell r="AB2722">
            <v>0</v>
          </cell>
          <cell r="AC2722">
            <v>0</v>
          </cell>
          <cell r="AD2722">
            <v>0</v>
          </cell>
          <cell r="AE2722">
            <v>0</v>
          </cell>
          <cell r="AF2722">
            <v>0.97025660593341279</v>
          </cell>
          <cell r="AG2722">
            <v>0</v>
          </cell>
          <cell r="AH2722">
            <v>0</v>
          </cell>
          <cell r="AI2722">
            <v>0</v>
          </cell>
          <cell r="AJ2722">
            <v>0</v>
          </cell>
        </row>
        <row r="2723">
          <cell r="E2723" t="str">
            <v>IL Industrial Residual Fuel</v>
          </cell>
          <cell r="F2723">
            <v>9552.3062736751654</v>
          </cell>
          <cell r="G2723">
            <v>4316.902237520927</v>
          </cell>
          <cell r="H2723">
            <v>1964.5305818368843</v>
          </cell>
          <cell r="I2723">
            <v>2916.1717400276739</v>
          </cell>
          <cell r="J2723">
            <v>3310.5956800479335</v>
          </cell>
          <cell r="K2723">
            <v>1930.8428157301569</v>
          </cell>
          <cell r="L2723">
            <v>3127.2100375142063</v>
          </cell>
          <cell r="M2723">
            <v>3450.2813190263528</v>
          </cell>
          <cell r="N2723">
            <v>710.09539638271679</v>
          </cell>
          <cell r="O2723">
            <v>735.00245815118114</v>
          </cell>
          <cell r="P2723">
            <v>1209.4221112210043</v>
          </cell>
          <cell r="Q2723">
            <v>1491.4747653159625</v>
          </cell>
          <cell r="R2723">
            <v>420.37171698043738</v>
          </cell>
          <cell r="S2723">
            <v>646.54277373785942</v>
          </cell>
          <cell r="T2723">
            <v>1652.7001149947528</v>
          </cell>
          <cell r="U2723">
            <v>1509.7036172602145</v>
          </cell>
          <cell r="V2723">
            <v>832.33928213187107</v>
          </cell>
          <cell r="W2723">
            <v>337.27898095105024</v>
          </cell>
          <cell r="X2723">
            <v>536.66539488646595</v>
          </cell>
          <cell r="Y2723">
            <v>26.523388453883925</v>
          </cell>
          <cell r="Z2723">
            <v>5.1705393465944489</v>
          </cell>
          <cell r="AA2723">
            <v>24.482734852695938</v>
          </cell>
          <cell r="AB2723">
            <v>0</v>
          </cell>
          <cell r="AC2723">
            <v>0</v>
          </cell>
          <cell r="AD2723">
            <v>0</v>
          </cell>
          <cell r="AE2723">
            <v>0</v>
          </cell>
          <cell r="AF2723">
            <v>24.862825527043704</v>
          </cell>
          <cell r="AG2723">
            <v>70.759767306806424</v>
          </cell>
          <cell r="AH2723">
            <v>0</v>
          </cell>
          <cell r="AI2723">
            <v>0</v>
          </cell>
          <cell r="AJ2723">
            <v>0</v>
          </cell>
        </row>
        <row r="2724">
          <cell r="E2724" t="str">
            <v>IN Industrial Residual Fuel</v>
          </cell>
          <cell r="F2724">
            <v>19866.637535920174</v>
          </cell>
          <cell r="G2724">
            <v>14930.267219901827</v>
          </cell>
          <cell r="H2724">
            <v>20485.551742667656</v>
          </cell>
          <cell r="I2724">
            <v>13864.098076912554</v>
          </cell>
          <cell r="J2724">
            <v>15130.257600686531</v>
          </cell>
          <cell r="K2724">
            <v>8326.9709872776039</v>
          </cell>
          <cell r="L2724">
            <v>5396.5798148720442</v>
          </cell>
          <cell r="M2724">
            <v>5478.1422211179506</v>
          </cell>
          <cell r="N2724">
            <v>3499.2174416226871</v>
          </cell>
          <cell r="O2724">
            <v>1464.0655024991204</v>
          </cell>
          <cell r="P2724">
            <v>2306.5237909224647</v>
          </cell>
          <cell r="Q2724">
            <v>1893.9118286658925</v>
          </cell>
          <cell r="R2724">
            <v>827.67886506020307</v>
          </cell>
          <cell r="S2724">
            <v>1528.3336410526267</v>
          </cell>
          <cell r="T2724">
            <v>2627.8324393764547</v>
          </cell>
          <cell r="U2724">
            <v>2763.1622169823054</v>
          </cell>
          <cell r="V2724">
            <v>4279.6541477196733</v>
          </cell>
          <cell r="W2724">
            <v>1253.3844837222298</v>
          </cell>
          <cell r="X2724">
            <v>1370.5516910474564</v>
          </cell>
          <cell r="Y2724">
            <v>272.62014461460438</v>
          </cell>
          <cell r="Z2724">
            <v>104.27254348965472</v>
          </cell>
          <cell r="AA2724">
            <v>90.140978321289595</v>
          </cell>
          <cell r="AB2724">
            <v>0</v>
          </cell>
          <cell r="AC2724">
            <v>0</v>
          </cell>
          <cell r="AD2724">
            <v>0</v>
          </cell>
          <cell r="AE2724">
            <v>0</v>
          </cell>
          <cell r="AF2724">
            <v>21.46692740627676</v>
          </cell>
          <cell r="AG2724">
            <v>44.32940505036337</v>
          </cell>
          <cell r="AH2724">
            <v>0</v>
          </cell>
          <cell r="AI2724">
            <v>0</v>
          </cell>
          <cell r="AJ2724">
            <v>0</v>
          </cell>
        </row>
        <row r="2725">
          <cell r="E2725" t="str">
            <v>KS Industrial Residual Fuel</v>
          </cell>
          <cell r="F2725">
            <v>1007.1828536498043</v>
          </cell>
          <cell r="G2725">
            <v>598.73592394107209</v>
          </cell>
          <cell r="H2725">
            <v>827.52777206422058</v>
          </cell>
          <cell r="I2725">
            <v>1648.4617026209385</v>
          </cell>
          <cell r="J2725">
            <v>954.92879376681424</v>
          </cell>
          <cell r="K2725">
            <v>97.218442998672529</v>
          </cell>
          <cell r="L2725">
            <v>700.72358175358625</v>
          </cell>
          <cell r="M2725">
            <v>853.4522501608526</v>
          </cell>
          <cell r="N2725">
            <v>871.4121849452448</v>
          </cell>
          <cell r="O2725">
            <v>1042.3671224689479</v>
          </cell>
          <cell r="P2725">
            <v>1994.8741429034485</v>
          </cell>
          <cell r="Q2725">
            <v>1529.1072387971581</v>
          </cell>
          <cell r="R2725">
            <v>833.05839343106788</v>
          </cell>
          <cell r="S2725">
            <v>3056.6672821052534</v>
          </cell>
          <cell r="T2725">
            <v>3290.4827467662749</v>
          </cell>
          <cell r="U2725">
            <v>1659.6426522902623</v>
          </cell>
          <cell r="V2725">
            <v>2870.0591898488697</v>
          </cell>
          <cell r="W2725">
            <v>1850.5965139024729</v>
          </cell>
          <cell r="X2725">
            <v>4567.3143706874816</v>
          </cell>
          <cell r="Y2725">
            <v>938.05502962217327</v>
          </cell>
          <cell r="Z2725">
            <v>488.83140739261688</v>
          </cell>
          <cell r="AA2725">
            <v>638.40585881045013</v>
          </cell>
          <cell r="AB2725">
            <v>0</v>
          </cell>
          <cell r="AC2725">
            <v>0</v>
          </cell>
          <cell r="AD2725">
            <v>0</v>
          </cell>
          <cell r="AE2725">
            <v>0</v>
          </cell>
          <cell r="AF2725">
            <v>146.02361919297863</v>
          </cell>
          <cell r="AG2725">
            <v>210.43921340889477</v>
          </cell>
          <cell r="AH2725">
            <v>0</v>
          </cell>
          <cell r="AI2725">
            <v>0</v>
          </cell>
          <cell r="AJ2725">
            <v>0</v>
          </cell>
        </row>
        <row r="2726">
          <cell r="E2726" t="str">
            <v>KY Industrial Residual Fuel</v>
          </cell>
          <cell r="F2726">
            <v>2987.0317496204652</v>
          </cell>
          <cell r="G2726">
            <v>2321.9271196739137</v>
          </cell>
          <cell r="H2726">
            <v>2222.2851337913139</v>
          </cell>
          <cell r="I2726">
            <v>1817.7821436032914</v>
          </cell>
          <cell r="J2726">
            <v>1784.1165032715157</v>
          </cell>
          <cell r="K2726">
            <v>1069.4028729853978</v>
          </cell>
          <cell r="L2726">
            <v>1282.9795075991922</v>
          </cell>
          <cell r="M2726">
            <v>841.29481069987173</v>
          </cell>
          <cell r="N2726">
            <v>262.32823560635399</v>
          </cell>
          <cell r="O2726">
            <v>357.84968164532251</v>
          </cell>
          <cell r="P2726">
            <v>404.98634463384838</v>
          </cell>
          <cell r="Q2726">
            <v>655.88025210084027</v>
          </cell>
          <cell r="R2726">
            <v>445.73235072880016</v>
          </cell>
          <cell r="S2726">
            <v>588.12023394226969</v>
          </cell>
          <cell r="T2726">
            <v>288.14296541713742</v>
          </cell>
          <cell r="U2726">
            <v>679.88229111508349</v>
          </cell>
          <cell r="V2726">
            <v>546.29176976059921</v>
          </cell>
          <cell r="W2726">
            <v>412.08898048530574</v>
          </cell>
          <cell r="X2726">
            <v>0</v>
          </cell>
          <cell r="Y2726">
            <v>147.72520151530287</v>
          </cell>
          <cell r="Z2726">
            <v>68.294207202935013</v>
          </cell>
          <cell r="AA2726">
            <v>0</v>
          </cell>
          <cell r="AB2726">
            <v>0</v>
          </cell>
          <cell r="AC2726">
            <v>0</v>
          </cell>
          <cell r="AD2726">
            <v>0</v>
          </cell>
          <cell r="AE2726">
            <v>0</v>
          </cell>
          <cell r="AF2726">
            <v>1.6170943432223548</v>
          </cell>
          <cell r="AG2726">
            <v>8.9774015259226445</v>
          </cell>
          <cell r="AH2726">
            <v>0</v>
          </cell>
          <cell r="AI2726">
            <v>0</v>
          </cell>
          <cell r="AJ2726">
            <v>0</v>
          </cell>
        </row>
        <row r="2727">
          <cell r="E2727" t="str">
            <v>LA Industrial Residual Fuel</v>
          </cell>
          <cell r="F2727">
            <v>6290.9101263117836</v>
          </cell>
          <cell r="G2727">
            <v>5703.4058879481527</v>
          </cell>
          <cell r="H2727">
            <v>5286.5119455127206</v>
          </cell>
          <cell r="I2727">
            <v>1694.9590257922582</v>
          </cell>
          <cell r="J2727">
            <v>1260.9280757473402</v>
          </cell>
          <cell r="K2727">
            <v>2029.7520142592412</v>
          </cell>
          <cell r="L2727">
            <v>3934.6385291990941</v>
          </cell>
          <cell r="M2727">
            <v>5162.8592910965153</v>
          </cell>
          <cell r="N2727">
            <v>3474.3414882462225</v>
          </cell>
          <cell r="O2727">
            <v>5573.3974276170875</v>
          </cell>
          <cell r="P2727">
            <v>6800.9230296129463</v>
          </cell>
          <cell r="Q2727">
            <v>4789.3082577293208</v>
          </cell>
          <cell r="R2727">
            <v>6351.6859978854018</v>
          </cell>
          <cell r="S2727">
            <v>13977.787387894157</v>
          </cell>
          <cell r="T2727">
            <v>6759.9752922113166</v>
          </cell>
          <cell r="U2727">
            <v>13830.884321237299</v>
          </cell>
          <cell r="V2727">
            <v>14836.871614618161</v>
          </cell>
          <cell r="W2727">
            <v>2351.4431209538448</v>
          </cell>
          <cell r="X2727">
            <v>7680.6884207114081</v>
          </cell>
          <cell r="Y2727">
            <v>3443.3401516839685</v>
          </cell>
          <cell r="Z2727">
            <v>4200.2014625502243</v>
          </cell>
          <cell r="AA2727">
            <v>10357.680644802667</v>
          </cell>
          <cell r="AB2727">
            <v>0</v>
          </cell>
          <cell r="AC2727">
            <v>0</v>
          </cell>
          <cell r="AD2727">
            <v>0</v>
          </cell>
          <cell r="AE2727">
            <v>0</v>
          </cell>
          <cell r="AF2727">
            <v>202.8644853572444</v>
          </cell>
          <cell r="AG2727">
            <v>214.73275326911866</v>
          </cell>
          <cell r="AH2727">
            <v>0</v>
          </cell>
          <cell r="AI2727">
            <v>0</v>
          </cell>
          <cell r="AJ2727">
            <v>0</v>
          </cell>
        </row>
        <row r="2728">
          <cell r="E2728" t="str">
            <v>MA Industrial Residual Fuel</v>
          </cell>
          <cell r="F2728">
            <v>14489.095340159005</v>
          </cell>
          <cell r="G2728">
            <v>7131.2855981599232</v>
          </cell>
          <cell r="H2728">
            <v>11489.578728731816</v>
          </cell>
          <cell r="I2728">
            <v>19252.523716879452</v>
          </cell>
          <cell r="J2728">
            <v>14869.10304106522</v>
          </cell>
          <cell r="K2728">
            <v>7748.7325958768033</v>
          </cell>
          <cell r="L2728">
            <v>8927.9241962992892</v>
          </cell>
          <cell r="M2728">
            <v>8778.4817867922065</v>
          </cell>
          <cell r="N2728">
            <v>8435.2096449284509</v>
          </cell>
          <cell r="O2728">
            <v>4201.3928390682158</v>
          </cell>
          <cell r="P2728">
            <v>5467.315652556953</v>
          </cell>
          <cell r="Q2728">
            <v>10395.010787101726</v>
          </cell>
          <cell r="R2728">
            <v>8369.7776410126935</v>
          </cell>
          <cell r="S2728">
            <v>4744.6891985991588</v>
          </cell>
          <cell r="T2728">
            <v>3555.8569220005866</v>
          </cell>
          <cell r="U2728">
            <v>3826.2220420630661</v>
          </cell>
          <cell r="V2728">
            <v>5168.760590811823</v>
          </cell>
          <cell r="W2728">
            <v>3856.5188742955611</v>
          </cell>
          <cell r="X2728">
            <v>1449.7708891827506</v>
          </cell>
          <cell r="Y2728">
            <v>623.46749821344872</v>
          </cell>
          <cell r="Z2728">
            <v>160.93303716275224</v>
          </cell>
          <cell r="AA2728">
            <v>533.42685936631449</v>
          </cell>
          <cell r="AB2728">
            <v>0</v>
          </cell>
          <cell r="AC2728">
            <v>0</v>
          </cell>
          <cell r="AD2728">
            <v>0</v>
          </cell>
          <cell r="AE2728">
            <v>0</v>
          </cell>
          <cell r="AF2728">
            <v>3.8405990651530924</v>
          </cell>
          <cell r="AG2728">
            <v>6.635470693073259</v>
          </cell>
          <cell r="AH2728">
            <v>0</v>
          </cell>
          <cell r="AI2728">
            <v>0</v>
          </cell>
          <cell r="AJ2728">
            <v>0</v>
          </cell>
        </row>
        <row r="2729">
          <cell r="E2729" t="str">
            <v>MD Industrial Residual Fuel</v>
          </cell>
          <cell r="F2729">
            <v>6807.7772498016648</v>
          </cell>
          <cell r="G2729">
            <v>3939.6499277206585</v>
          </cell>
          <cell r="H2729">
            <v>5656.1862371315738</v>
          </cell>
          <cell r="I2729">
            <v>6772.8176392941159</v>
          </cell>
          <cell r="J2729">
            <v>6818.1564151637913</v>
          </cell>
          <cell r="K2729">
            <v>3871.830164642784</v>
          </cell>
          <cell r="L2729">
            <v>7191.2387724567689</v>
          </cell>
          <cell r="M2729">
            <v>4273.7452185167858</v>
          </cell>
          <cell r="N2729">
            <v>3015.2670759351031</v>
          </cell>
          <cell r="O2729">
            <v>2765.5395521344944</v>
          </cell>
          <cell r="P2729">
            <v>2721.0020030086689</v>
          </cell>
          <cell r="Q2729">
            <v>2605.8567861570859</v>
          </cell>
          <cell r="R2729">
            <v>1993.4995134319097</v>
          </cell>
          <cell r="S2729">
            <v>2903.2107442421711</v>
          </cell>
          <cell r="T2729">
            <v>3550.3610071288704</v>
          </cell>
          <cell r="U2729">
            <v>4222.0928276714985</v>
          </cell>
          <cell r="V2729">
            <v>3514.4033285408586</v>
          </cell>
          <cell r="W2729">
            <v>2606.3043058078338</v>
          </cell>
          <cell r="X2729">
            <v>1934.6162070934979</v>
          </cell>
          <cell r="Y2729">
            <v>686.25070885745242</v>
          </cell>
          <cell r="Z2729">
            <v>246.24693638156066</v>
          </cell>
          <cell r="AA2729">
            <v>589.81133963312948</v>
          </cell>
          <cell r="AB2729">
            <v>0</v>
          </cell>
          <cell r="AC2729">
            <v>0</v>
          </cell>
          <cell r="AD2729">
            <v>0</v>
          </cell>
          <cell r="AE2729">
            <v>0</v>
          </cell>
          <cell r="AF2729">
            <v>5.2555566154726527</v>
          </cell>
          <cell r="AG2729">
            <v>5.0741834711736686</v>
          </cell>
          <cell r="AH2729">
            <v>0</v>
          </cell>
          <cell r="AI2729">
            <v>0</v>
          </cell>
          <cell r="AJ2729">
            <v>0</v>
          </cell>
        </row>
        <row r="2730">
          <cell r="E2730" t="str">
            <v>ME Industrial Residual Fuel</v>
          </cell>
          <cell r="F2730">
            <v>26647.863392391879</v>
          </cell>
          <cell r="G2730">
            <v>27029.925173366799</v>
          </cell>
          <cell r="H2730">
            <v>31737.724963020395</v>
          </cell>
          <cell r="I2730">
            <v>37847.066445485514</v>
          </cell>
          <cell r="J2730">
            <v>50110.89965743736</v>
          </cell>
          <cell r="K2730">
            <v>39214.538394603675</v>
          </cell>
          <cell r="L2730">
            <v>40792.362850981255</v>
          </cell>
          <cell r="M2730">
            <v>34049.745946350973</v>
          </cell>
          <cell r="N2730">
            <v>25699.121288194885</v>
          </cell>
          <cell r="O2730">
            <v>24650.794563629966</v>
          </cell>
          <cell r="P2730">
            <v>26431.68689899351</v>
          </cell>
          <cell r="Q2730">
            <v>21339.148483163757</v>
          </cell>
          <cell r="R2730">
            <v>20082.547912491387</v>
          </cell>
          <cell r="S2730">
            <v>13252.56892723157</v>
          </cell>
          <cell r="T2730">
            <v>15573.85248505269</v>
          </cell>
          <cell r="U2730">
            <v>19809.40584497507</v>
          </cell>
          <cell r="V2730">
            <v>15234.241741340109</v>
          </cell>
          <cell r="W2730">
            <v>11047.788575287597</v>
          </cell>
          <cell r="X2730">
            <v>7432.3094310691704</v>
          </cell>
          <cell r="Y2730">
            <v>3973.1364425729412</v>
          </cell>
          <cell r="Z2730">
            <v>1812.4894801207959</v>
          </cell>
          <cell r="AA2730">
            <v>2596.6536964980542</v>
          </cell>
          <cell r="AB2730">
            <v>0</v>
          </cell>
          <cell r="AC2730">
            <v>0</v>
          </cell>
          <cell r="AD2730">
            <v>0</v>
          </cell>
          <cell r="AE2730">
            <v>0</v>
          </cell>
          <cell r="AF2730">
            <v>34.28240007631392</v>
          </cell>
          <cell r="AG2730">
            <v>43.883322986963485</v>
          </cell>
          <cell r="AH2730">
            <v>0</v>
          </cell>
          <cell r="AI2730">
            <v>0</v>
          </cell>
          <cell r="AJ2730">
            <v>0</v>
          </cell>
        </row>
        <row r="2731">
          <cell r="E2731" t="str">
            <v>MI Industrial Residual Fuel</v>
          </cell>
          <cell r="F2731">
            <v>7876.9133545547093</v>
          </cell>
          <cell r="G2731">
            <v>3805.7862048883048</v>
          </cell>
          <cell r="H2731">
            <v>4022.3276133941213</v>
          </cell>
          <cell r="I2731">
            <v>5255.0748263434916</v>
          </cell>
          <cell r="J2731">
            <v>5294.3151632320332</v>
          </cell>
          <cell r="K2731">
            <v>2134.5788571447665</v>
          </cell>
          <cell r="L2731">
            <v>2190.3913400858505</v>
          </cell>
          <cell r="M2731">
            <v>2112.9629783184641</v>
          </cell>
          <cell r="N2731">
            <v>1894.3415404562286</v>
          </cell>
          <cell r="O2731">
            <v>1550.1870026461274</v>
          </cell>
          <cell r="P2731">
            <v>3093.5578005136349</v>
          </cell>
          <cell r="Q2731">
            <v>1701.1414032826244</v>
          </cell>
          <cell r="R2731">
            <v>1660.7372584912709</v>
          </cell>
          <cell r="S2731">
            <v>3491.3309781844409</v>
          </cell>
          <cell r="T2731">
            <v>3390.1943451531315</v>
          </cell>
          <cell r="U2731">
            <v>4533.8708211466774</v>
          </cell>
          <cell r="V2731">
            <v>3412.664780326334</v>
          </cell>
          <cell r="W2731">
            <v>3855.2509082017605</v>
          </cell>
          <cell r="X2731">
            <v>3676.2472999325951</v>
          </cell>
          <cell r="Y2731">
            <v>721.50331376451334</v>
          </cell>
          <cell r="Z2731">
            <v>208.7605261187509</v>
          </cell>
          <cell r="AA2731">
            <v>507.460322401334</v>
          </cell>
          <cell r="AB2731">
            <v>0</v>
          </cell>
          <cell r="AC2731">
            <v>0</v>
          </cell>
          <cell r="AD2731">
            <v>0</v>
          </cell>
          <cell r="AE2731">
            <v>0</v>
          </cell>
          <cell r="AF2731">
            <v>6.5088047314699775</v>
          </cell>
          <cell r="AG2731">
            <v>6.4124296613733174</v>
          </cell>
          <cell r="AH2731">
            <v>0</v>
          </cell>
          <cell r="AI2731">
            <v>0</v>
          </cell>
          <cell r="AJ2731">
            <v>0</v>
          </cell>
        </row>
        <row r="2732">
          <cell r="E2732" t="str">
            <v>MN Industrial Residual Fuel</v>
          </cell>
          <cell r="F2732">
            <v>3895.9744479494188</v>
          </cell>
          <cell r="G2732">
            <v>3820.3895201063797</v>
          </cell>
          <cell r="H2732">
            <v>5211.050908920799</v>
          </cell>
          <cell r="I2732">
            <v>6070.971251802498</v>
          </cell>
          <cell r="J2732">
            <v>5110.5397323874076</v>
          </cell>
          <cell r="K2732">
            <v>2846.3869354480903</v>
          </cell>
          <cell r="L2732">
            <v>3396.9129988366299</v>
          </cell>
          <cell r="M2732">
            <v>2647.0798186375541</v>
          </cell>
          <cell r="N2732">
            <v>1672.7194103749985</v>
          </cell>
          <cell r="O2732">
            <v>1840.4758522795737</v>
          </cell>
          <cell r="P2732">
            <v>2833.3224345282129</v>
          </cell>
          <cell r="Q2732">
            <v>3372.3304297128689</v>
          </cell>
          <cell r="R2732">
            <v>2560.6555045316586</v>
          </cell>
          <cell r="S2732">
            <v>2985.7812671532715</v>
          </cell>
          <cell r="T2732">
            <v>3226.1020296975958</v>
          </cell>
          <cell r="U2732">
            <v>5446.9916111973898</v>
          </cell>
          <cell r="V2732">
            <v>1834.9800471445767</v>
          </cell>
          <cell r="W2732">
            <v>3143.2879465325323</v>
          </cell>
          <cell r="X2732">
            <v>4506.559797681467</v>
          </cell>
          <cell r="Y2732">
            <v>709.7524454621597</v>
          </cell>
          <cell r="Z2732">
            <v>268.4371677440285</v>
          </cell>
          <cell r="AA2732">
            <v>586.47278488048903</v>
          </cell>
          <cell r="AB2732">
            <v>0</v>
          </cell>
          <cell r="AC2732">
            <v>0</v>
          </cell>
          <cell r="AD2732">
            <v>0</v>
          </cell>
          <cell r="AE2732">
            <v>0</v>
          </cell>
          <cell r="AF2732">
            <v>1.1723933988362072</v>
          </cell>
          <cell r="AG2732">
            <v>5.2414642449486246</v>
          </cell>
          <cell r="AH2732">
            <v>0</v>
          </cell>
          <cell r="AI2732">
            <v>0</v>
          </cell>
          <cell r="AJ2732">
            <v>0</v>
          </cell>
        </row>
        <row r="2733">
          <cell r="E2733" t="str">
            <v>MO Industrial Residual Fuel</v>
          </cell>
          <cell r="F2733">
            <v>2888.7915942996146</v>
          </cell>
          <cell r="G2733">
            <v>2414.4147827217216</v>
          </cell>
          <cell r="H2733">
            <v>3275.3481388156601</v>
          </cell>
          <cell r="I2733">
            <v>5526.1629935121291</v>
          </cell>
          <cell r="J2733">
            <v>2532.4078508733196</v>
          </cell>
          <cell r="K2733">
            <v>1696.673174768137</v>
          </cell>
          <cell r="L2733">
            <v>1629.9805139112198</v>
          </cell>
          <cell r="M2733">
            <v>915.04994342982195</v>
          </cell>
          <cell r="N2733">
            <v>863.87401725540713</v>
          </cell>
          <cell r="O2733">
            <v>509.30473362799017</v>
          </cell>
          <cell r="P2733">
            <v>357.52700737206925</v>
          </cell>
          <cell r="Q2733">
            <v>520.71055143368824</v>
          </cell>
          <cell r="R2733">
            <v>341.984303576407</v>
          </cell>
          <cell r="S2733">
            <v>408.95777856912798</v>
          </cell>
          <cell r="T2733">
            <v>624.17890328780447</v>
          </cell>
          <cell r="U2733">
            <v>394.28412915308809</v>
          </cell>
          <cell r="V2733">
            <v>237.38994583389061</v>
          </cell>
          <cell r="W2733">
            <v>117.28686367658702</v>
          </cell>
          <cell r="X2733">
            <v>157.24713013321534</v>
          </cell>
          <cell r="Y2733">
            <v>53.04677690776785</v>
          </cell>
          <cell r="Z2733">
            <v>31.454114358449566</v>
          </cell>
          <cell r="AA2733">
            <v>43.772162312395771</v>
          </cell>
          <cell r="AB2733">
            <v>0</v>
          </cell>
          <cell r="AC2733">
            <v>0</v>
          </cell>
          <cell r="AD2733">
            <v>0</v>
          </cell>
          <cell r="AE2733">
            <v>0</v>
          </cell>
          <cell r="AF2733">
            <v>4.4065820852809168</v>
          </cell>
          <cell r="AG2733">
            <v>1.0036846426497366</v>
          </cell>
          <cell r="AH2733">
            <v>0</v>
          </cell>
          <cell r="AI2733">
            <v>0</v>
          </cell>
          <cell r="AJ2733">
            <v>0</v>
          </cell>
        </row>
        <row r="2734">
          <cell r="E2734" t="str">
            <v>MS Industrial Residual Fuel</v>
          </cell>
          <cell r="F2734">
            <v>5266.9113902196714</v>
          </cell>
          <cell r="G2734">
            <v>1208.0186866507538</v>
          </cell>
          <cell r="H2734">
            <v>1010.6691642423677</v>
          </cell>
          <cell r="I2734">
            <v>1405.4473909519656</v>
          </cell>
          <cell r="J2734">
            <v>941.73916954351569</v>
          </cell>
          <cell r="K2734">
            <v>427.76114919415915</v>
          </cell>
          <cell r="L2734">
            <v>593.17847568109346</v>
          </cell>
          <cell r="M2734">
            <v>156.42572106461969</v>
          </cell>
          <cell r="N2734">
            <v>724.41791499340854</v>
          </cell>
          <cell r="O2734">
            <v>53.454724229176811</v>
          </cell>
          <cell r="P2734">
            <v>34.803513991971343</v>
          </cell>
          <cell r="Q2734">
            <v>940.81183702989392</v>
          </cell>
          <cell r="R2734">
            <v>583.2945762123436</v>
          </cell>
          <cell r="S2734">
            <v>825.70522911100124</v>
          </cell>
          <cell r="T2734">
            <v>1530.2197264250703</v>
          </cell>
          <cell r="U2734">
            <v>1468.4505494212597</v>
          </cell>
          <cell r="V2734">
            <v>304.47840878694666</v>
          </cell>
          <cell r="W2734">
            <v>456.46779376833865</v>
          </cell>
          <cell r="X2734">
            <v>459.8287290259176</v>
          </cell>
          <cell r="Y2734">
            <v>112.47259660824196</v>
          </cell>
          <cell r="Z2734">
            <v>26.499014151296553</v>
          </cell>
          <cell r="AA2734">
            <v>110.54325736520288</v>
          </cell>
          <cell r="AB2734">
            <v>0</v>
          </cell>
          <cell r="AC2734">
            <v>0</v>
          </cell>
          <cell r="AD2734">
            <v>0</v>
          </cell>
          <cell r="AE2734">
            <v>0</v>
          </cell>
          <cell r="AF2734">
            <v>4.0427358580558868E-2</v>
          </cell>
          <cell r="AG2734">
            <v>0.11152051584997073</v>
          </cell>
          <cell r="AH2734">
            <v>0</v>
          </cell>
          <cell r="AI2734">
            <v>0</v>
          </cell>
          <cell r="AJ2734">
            <v>0</v>
          </cell>
        </row>
        <row r="2735">
          <cell r="E2735" t="str">
            <v>MT Industrial Residual Fuel</v>
          </cell>
          <cell r="F2735">
            <v>1149.6753311872546</v>
          </cell>
          <cell r="G2735">
            <v>722.86410329470891</v>
          </cell>
          <cell r="H2735">
            <v>451.07046592025142</v>
          </cell>
          <cell r="I2735">
            <v>3723.2950856430348</v>
          </cell>
          <cell r="J2735">
            <v>2020.6504310093362</v>
          </cell>
          <cell r="K2735">
            <v>1237.6330482613616</v>
          </cell>
          <cell r="L2735">
            <v>942.70007041669521</v>
          </cell>
          <cell r="M2735">
            <v>820.22191563417164</v>
          </cell>
          <cell r="N2735">
            <v>500.53433460522712</v>
          </cell>
          <cell r="O2735">
            <v>84.636646696196621</v>
          </cell>
          <cell r="P2735">
            <v>0</v>
          </cell>
          <cell r="Q2735">
            <v>12.288154606104737</v>
          </cell>
          <cell r="R2735">
            <v>189.82050108623042</v>
          </cell>
          <cell r="S2735">
            <v>28.042819101883062</v>
          </cell>
          <cell r="T2735">
            <v>208.05963442926816</v>
          </cell>
          <cell r="U2735">
            <v>529.94325608503596</v>
          </cell>
          <cell r="V2735">
            <v>440.1298064063127</v>
          </cell>
          <cell r="W2735">
            <v>0</v>
          </cell>
          <cell r="X2735">
            <v>0</v>
          </cell>
          <cell r="Y2735">
            <v>57.075646040003384</v>
          </cell>
          <cell r="Z2735">
            <v>0</v>
          </cell>
          <cell r="AA2735">
            <v>0</v>
          </cell>
          <cell r="AB2735">
            <v>0</v>
          </cell>
          <cell r="AC2735">
            <v>0</v>
          </cell>
          <cell r="AD2735">
            <v>0</v>
          </cell>
          <cell r="AE2735">
            <v>0</v>
          </cell>
          <cell r="AF2735">
            <v>0</v>
          </cell>
          <cell r="AG2735">
            <v>0</v>
          </cell>
          <cell r="AH2735">
            <v>0</v>
          </cell>
          <cell r="AI2735">
            <v>0</v>
          </cell>
          <cell r="AJ2735">
            <v>0</v>
          </cell>
        </row>
        <row r="2736">
          <cell r="E2736" t="str">
            <v>NC Industrial Residual Fuel</v>
          </cell>
          <cell r="F2736">
            <v>28495.840368157074</v>
          </cell>
          <cell r="G2736">
            <v>26592.637012114443</v>
          </cell>
          <cell r="H2736">
            <v>35622.696532280905</v>
          </cell>
          <cell r="I2736">
            <v>40141.226824598743</v>
          </cell>
          <cell r="J2736">
            <v>32208.18304501348</v>
          </cell>
          <cell r="K2736">
            <v>30715.110343224078</v>
          </cell>
          <cell r="L2736">
            <v>33174.304438799278</v>
          </cell>
          <cell r="M2736">
            <v>28299.277081307053</v>
          </cell>
          <cell r="N2736">
            <v>21904.407673130558</v>
          </cell>
          <cell r="O2736">
            <v>19286.761472577156</v>
          </cell>
          <cell r="P2736">
            <v>23516.101613211547</v>
          </cell>
          <cell r="Q2736">
            <v>16371.661983645918</v>
          </cell>
          <cell r="R2736">
            <v>14975.069976381723</v>
          </cell>
          <cell r="S2736">
            <v>19167.26685613707</v>
          </cell>
          <cell r="T2736">
            <v>25831.585027763591</v>
          </cell>
          <cell r="U2736">
            <v>24528.12214316937</v>
          </cell>
          <cell r="V2736">
            <v>17932.52497659489</v>
          </cell>
          <cell r="W2736">
            <v>12500.877718783475</v>
          </cell>
          <cell r="X2736">
            <v>10646.345469701102</v>
          </cell>
          <cell r="Y2736">
            <v>4398.18213602379</v>
          </cell>
          <cell r="Z2736">
            <v>2367.0298250430506</v>
          </cell>
          <cell r="AA2736">
            <v>2136.6750416898276</v>
          </cell>
          <cell r="AB2736">
            <v>0</v>
          </cell>
          <cell r="AC2736">
            <v>0</v>
          </cell>
          <cell r="AD2736">
            <v>0</v>
          </cell>
          <cell r="AE2736">
            <v>0</v>
          </cell>
          <cell r="AF2736">
            <v>14.149575503195605</v>
          </cell>
          <cell r="AG2736">
            <v>29.162614894767348</v>
          </cell>
          <cell r="AH2736">
            <v>0</v>
          </cell>
          <cell r="AI2736">
            <v>0</v>
          </cell>
          <cell r="AJ2736">
            <v>0</v>
          </cell>
        </row>
        <row r="2737">
          <cell r="E2737" t="str">
            <v>ND Industrial Residual Fuel</v>
          </cell>
          <cell r="F2737">
            <v>1690.4387086741003</v>
          </cell>
          <cell r="G2737">
            <v>1513.0657156505411</v>
          </cell>
          <cell r="H2737">
            <v>1468.5226446877357</v>
          </cell>
          <cell r="I2737">
            <v>2086.2383868188354</v>
          </cell>
          <cell r="J2737">
            <v>1784.995811553069</v>
          </cell>
          <cell r="K2737">
            <v>770.13914410252755</v>
          </cell>
          <cell r="L2737">
            <v>683.91965892975929</v>
          </cell>
          <cell r="M2737">
            <v>904.5134958969719</v>
          </cell>
          <cell r="N2737">
            <v>130.41030103419322</v>
          </cell>
          <cell r="O2737">
            <v>215.30375036751769</v>
          </cell>
          <cell r="P2737">
            <v>325.88744919754987</v>
          </cell>
          <cell r="Q2737">
            <v>159.74600987936157</v>
          </cell>
          <cell r="R2737">
            <v>18.444097271536556</v>
          </cell>
          <cell r="S2737">
            <v>209.54217606684841</v>
          </cell>
          <cell r="T2737">
            <v>219.83659486866068</v>
          </cell>
          <cell r="U2737">
            <v>1047.9865887549886</v>
          </cell>
          <cell r="V2737">
            <v>437.91809883643174</v>
          </cell>
          <cell r="W2737">
            <v>270.71076102650085</v>
          </cell>
          <cell r="X2737">
            <v>300.19906661795653</v>
          </cell>
          <cell r="Y2737">
            <v>125.90216038236039</v>
          </cell>
          <cell r="Z2737">
            <v>51.48995432650306</v>
          </cell>
          <cell r="AA2737">
            <v>91.99573096164535</v>
          </cell>
          <cell r="AB2737">
            <v>0</v>
          </cell>
          <cell r="AC2737">
            <v>0</v>
          </cell>
          <cell r="AD2737">
            <v>0</v>
          </cell>
          <cell r="AE2737">
            <v>0</v>
          </cell>
          <cell r="AF2737">
            <v>0</v>
          </cell>
          <cell r="AG2737">
            <v>0</v>
          </cell>
          <cell r="AH2737">
            <v>0</v>
          </cell>
          <cell r="AI2737">
            <v>0</v>
          </cell>
          <cell r="AJ2737">
            <v>0</v>
          </cell>
        </row>
        <row r="2738">
          <cell r="E2738" t="str">
            <v>NE Industrial Residual Fuel</v>
          </cell>
          <cell r="F2738">
            <v>1312.5238769443408</v>
          </cell>
          <cell r="G2738">
            <v>863.2181884462068</v>
          </cell>
          <cell r="H2738">
            <v>769.02427178509026</v>
          </cell>
          <cell r="I2738">
            <v>1410.7112388581527</v>
          </cell>
          <cell r="J2738">
            <v>1065.7216372425219</v>
          </cell>
          <cell r="K2738">
            <v>639.10559049562119</v>
          </cell>
          <cell r="L2738">
            <v>883.88634053330065</v>
          </cell>
          <cell r="M2738">
            <v>512.23344928932465</v>
          </cell>
          <cell r="N2738">
            <v>464.35112969400592</v>
          </cell>
          <cell r="O2738">
            <v>324.44047900208705</v>
          </cell>
          <cell r="P2738">
            <v>573.46699191316418</v>
          </cell>
          <cell r="Q2738">
            <v>509.19040649046502</v>
          </cell>
          <cell r="R2738">
            <v>597.1276491659961</v>
          </cell>
          <cell r="S2738">
            <v>621.6158234250745</v>
          </cell>
          <cell r="T2738">
            <v>890.3382092180758</v>
          </cell>
          <cell r="U2738">
            <v>511.6967068485751</v>
          </cell>
          <cell r="V2738">
            <v>160.7174167446837</v>
          </cell>
          <cell r="W2738">
            <v>187.02499883563877</v>
          </cell>
          <cell r="X2738">
            <v>143.54756955342765</v>
          </cell>
          <cell r="Y2738">
            <v>0.33573909435296106</v>
          </cell>
          <cell r="Z2738">
            <v>0</v>
          </cell>
          <cell r="AA2738">
            <v>0</v>
          </cell>
          <cell r="AB2738">
            <v>0</v>
          </cell>
          <cell r="AC2738">
            <v>0</v>
          </cell>
          <cell r="AD2738">
            <v>0</v>
          </cell>
          <cell r="AE2738">
            <v>0</v>
          </cell>
          <cell r="AF2738">
            <v>0</v>
          </cell>
          <cell r="AG2738">
            <v>0</v>
          </cell>
          <cell r="AH2738">
            <v>0</v>
          </cell>
          <cell r="AI2738">
            <v>0</v>
          </cell>
          <cell r="AJ2738">
            <v>0</v>
          </cell>
        </row>
        <row r="2739">
          <cell r="E2739" t="str">
            <v>NH Industrial Residual Fuel</v>
          </cell>
          <cell r="F2739">
            <v>2904.7224302975906</v>
          </cell>
          <cell r="G2739">
            <v>2338.9643207616678</v>
          </cell>
          <cell r="H2739">
            <v>5436.5861418809245</v>
          </cell>
          <cell r="I2739">
            <v>7795.7587490631504</v>
          </cell>
          <cell r="J2739">
            <v>7203.2934424841087</v>
          </cell>
          <cell r="K2739">
            <v>5801.8276026077356</v>
          </cell>
          <cell r="L2739">
            <v>5053.7797892659728</v>
          </cell>
          <cell r="M2739">
            <v>4225.1154606728624</v>
          </cell>
          <cell r="N2739">
            <v>3390.6678268890237</v>
          </cell>
          <cell r="O2739">
            <v>2764.7971254090894</v>
          </cell>
          <cell r="P2739">
            <v>2716.2560692824909</v>
          </cell>
          <cell r="Q2739">
            <v>2991.397636923622</v>
          </cell>
          <cell r="R2739">
            <v>2383.8995723461003</v>
          </cell>
          <cell r="S2739">
            <v>1881.9847486152632</v>
          </cell>
          <cell r="T2739">
            <v>2136.3406237058061</v>
          </cell>
          <cell r="U2739">
            <v>716.37538958800519</v>
          </cell>
          <cell r="V2739">
            <v>2975.4839173465293</v>
          </cell>
          <cell r="W2739">
            <v>1626.8004983466069</v>
          </cell>
          <cell r="X2739">
            <v>1324.687944758602</v>
          </cell>
          <cell r="Y2739">
            <v>731.57548659510212</v>
          </cell>
          <cell r="Z2739">
            <v>341.04015773579221</v>
          </cell>
          <cell r="AA2739">
            <v>259.29441912173428</v>
          </cell>
          <cell r="AB2739">
            <v>0</v>
          </cell>
          <cell r="AC2739">
            <v>0</v>
          </cell>
          <cell r="AD2739">
            <v>0</v>
          </cell>
          <cell r="AE2739">
            <v>0</v>
          </cell>
          <cell r="AF2739">
            <v>6.6705141657922136</v>
          </cell>
          <cell r="AG2739">
            <v>6.6912309509982437</v>
          </cell>
          <cell r="AH2739">
            <v>0</v>
          </cell>
          <cell r="AI2739">
            <v>0</v>
          </cell>
          <cell r="AJ2739">
            <v>0</v>
          </cell>
        </row>
        <row r="2740">
          <cell r="E2740" t="str">
            <v>NJ Industrial Residual Fuel</v>
          </cell>
          <cell r="F2740">
            <v>20154.27763032807</v>
          </cell>
          <cell r="G2740">
            <v>15951.68798987718</v>
          </cell>
          <cell r="H2740">
            <v>16417.438781229001</v>
          </cell>
          <cell r="I2740">
            <v>14237.831278251841</v>
          </cell>
          <cell r="J2740">
            <v>13760.295298026589</v>
          </cell>
          <cell r="K2740">
            <v>10102.264294209885</v>
          </cell>
          <cell r="L2740">
            <v>8770.8075178965064</v>
          </cell>
          <cell r="M2740">
            <v>6908.6675976933593</v>
          </cell>
          <cell r="N2740">
            <v>4049.5036829808437</v>
          </cell>
          <cell r="O2740">
            <v>2955.6007938382345</v>
          </cell>
          <cell r="P2740">
            <v>2936.1509985954008</v>
          </cell>
          <cell r="Q2740">
            <v>2897.7004580520734</v>
          </cell>
          <cell r="R2740">
            <v>1409.4364331665854</v>
          </cell>
          <cell r="S2740">
            <v>2476.3367201357291</v>
          </cell>
          <cell r="T2740">
            <v>2659.2376672148348</v>
          </cell>
          <cell r="U2740">
            <v>2141.9862147149656</v>
          </cell>
          <cell r="V2740">
            <v>2174.8457770496188</v>
          </cell>
          <cell r="W2740">
            <v>2042.0593940664151</v>
          </cell>
          <cell r="X2740">
            <v>1178.7578429304285</v>
          </cell>
          <cell r="Y2740">
            <v>509.31620613344194</v>
          </cell>
          <cell r="Z2740">
            <v>103.62622607133042</v>
          </cell>
          <cell r="AA2740">
            <v>718.16022234574757</v>
          </cell>
          <cell r="AB2740">
            <v>0</v>
          </cell>
          <cell r="AC2740">
            <v>0</v>
          </cell>
          <cell r="AD2740">
            <v>0</v>
          </cell>
          <cell r="AE2740">
            <v>0</v>
          </cell>
          <cell r="AF2740">
            <v>0</v>
          </cell>
          <cell r="AG2740">
            <v>0</v>
          </cell>
          <cell r="AH2740">
            <v>0</v>
          </cell>
          <cell r="AI2740">
            <v>0</v>
          </cell>
          <cell r="AJ2740">
            <v>0</v>
          </cell>
        </row>
        <row r="2741">
          <cell r="E2741" t="str">
            <v>NM Industrial Residual Fuel</v>
          </cell>
          <cell r="F2741">
            <v>641.6586721406926</v>
          </cell>
          <cell r="G2741">
            <v>601.16980981075119</v>
          </cell>
          <cell r="H2741">
            <v>674.06206843345842</v>
          </cell>
          <cell r="I2741">
            <v>993.1126383006399</v>
          </cell>
          <cell r="J2741">
            <v>972.5149593978789</v>
          </cell>
          <cell r="K2741">
            <v>949.35923032616734</v>
          </cell>
          <cell r="L2741">
            <v>1027.5598806770215</v>
          </cell>
          <cell r="M2741">
            <v>804.82249231692936</v>
          </cell>
          <cell r="N2741">
            <v>643.75952071214454</v>
          </cell>
          <cell r="O2741">
            <v>658.5325054344421</v>
          </cell>
          <cell r="P2741">
            <v>674.71357807162633</v>
          </cell>
          <cell r="Q2741">
            <v>416.26123728179795</v>
          </cell>
          <cell r="R2741">
            <v>634.78434776204983</v>
          </cell>
          <cell r="S2741">
            <v>768.8406237099606</v>
          </cell>
          <cell r="T2741">
            <v>518.18625933327166</v>
          </cell>
          <cell r="U2741">
            <v>431.57055585368192</v>
          </cell>
          <cell r="V2741">
            <v>639.92072355222683</v>
          </cell>
          <cell r="W2741">
            <v>630.17914861906752</v>
          </cell>
          <cell r="X2741">
            <v>855.92471970238807</v>
          </cell>
          <cell r="Y2741">
            <v>20.480084755530626</v>
          </cell>
          <cell r="Z2741">
            <v>46.103975840467172</v>
          </cell>
          <cell r="AA2741">
            <v>0</v>
          </cell>
          <cell r="AB2741">
            <v>0</v>
          </cell>
          <cell r="AC2741">
            <v>0</v>
          </cell>
          <cell r="AD2741">
            <v>0</v>
          </cell>
          <cell r="AE2741">
            <v>0</v>
          </cell>
          <cell r="AF2741">
            <v>0</v>
          </cell>
          <cell r="AG2741">
            <v>0</v>
          </cell>
          <cell r="AH2741">
            <v>0</v>
          </cell>
          <cell r="AI2741">
            <v>0</v>
          </cell>
          <cell r="AJ2741">
            <v>0</v>
          </cell>
        </row>
        <row r="2742">
          <cell r="E2742" t="str">
            <v>NV Industrial Residual Fuel</v>
          </cell>
          <cell r="F2742">
            <v>42.482229327935507</v>
          </cell>
          <cell r="G2742">
            <v>414.57189313534934</v>
          </cell>
          <cell r="H2742">
            <v>421.39477737286643</v>
          </cell>
          <cell r="I2742">
            <v>552.70403014964938</v>
          </cell>
          <cell r="J2742">
            <v>767.63612979597497</v>
          </cell>
          <cell r="K2742">
            <v>5751.1049366953848</v>
          </cell>
          <cell r="L2742">
            <v>681.39907050618524</v>
          </cell>
          <cell r="M2742">
            <v>1049.5922734646763</v>
          </cell>
          <cell r="N2742">
            <v>367.10876649509879</v>
          </cell>
          <cell r="O2742">
            <v>88.348780323222783</v>
          </cell>
          <cell r="P2742">
            <v>0</v>
          </cell>
          <cell r="Q2742">
            <v>0</v>
          </cell>
          <cell r="R2742">
            <v>31.508666172208287</v>
          </cell>
          <cell r="S2742">
            <v>3.8948359863726472</v>
          </cell>
          <cell r="T2742">
            <v>1.5702613919190049</v>
          </cell>
          <cell r="U2742">
            <v>0.79332822767220945</v>
          </cell>
          <cell r="V2742">
            <v>10.321301992777851</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row>
        <row r="2743">
          <cell r="E2743" t="str">
            <v>NY Industrial Residual Fuel</v>
          </cell>
          <cell r="F2743">
            <v>26065.50283202143</v>
          </cell>
          <cell r="G2743">
            <v>12084.243342957003</v>
          </cell>
          <cell r="H2743">
            <v>16313.149932905333</v>
          </cell>
          <cell r="I2743">
            <v>21287.878240605147</v>
          </cell>
          <cell r="J2743">
            <v>17467.459013055031</v>
          </cell>
          <cell r="K2743">
            <v>10574.830464959954</v>
          </cell>
          <cell r="L2743">
            <v>12973.468616135642</v>
          </cell>
          <cell r="M2743">
            <v>10012.056644099726</v>
          </cell>
          <cell r="N2743">
            <v>8852.8241349454638</v>
          </cell>
          <cell r="O2743">
            <v>7575.7223060350025</v>
          </cell>
          <cell r="P2743">
            <v>9971.9977476541535</v>
          </cell>
          <cell r="Q2743">
            <v>7454.3017879282861</v>
          </cell>
          <cell r="R2743">
            <v>6581.4687097266287</v>
          </cell>
          <cell r="S2743">
            <v>7756.1763832624902</v>
          </cell>
          <cell r="T2743">
            <v>7318.988347734482</v>
          </cell>
          <cell r="U2743">
            <v>6667.130425357248</v>
          </cell>
          <cell r="V2743">
            <v>6031.3265430654001</v>
          </cell>
          <cell r="W2743">
            <v>5823.7682688277209</v>
          </cell>
          <cell r="X2743">
            <v>4670.9545246389189</v>
          </cell>
          <cell r="Y2743">
            <v>1023.3327595878253</v>
          </cell>
          <cell r="Z2743">
            <v>696.73017695360204</v>
          </cell>
          <cell r="AA2743">
            <v>2901.2040800444688</v>
          </cell>
          <cell r="AB2743">
            <v>0</v>
          </cell>
          <cell r="AC2743">
            <v>0</v>
          </cell>
          <cell r="AD2743">
            <v>0</v>
          </cell>
          <cell r="AE2743">
            <v>0</v>
          </cell>
          <cell r="AF2743">
            <v>116.06694648478451</v>
          </cell>
          <cell r="AG2743">
            <v>188.97151410777542</v>
          </cell>
          <cell r="AH2743">
            <v>0</v>
          </cell>
          <cell r="AI2743">
            <v>0</v>
          </cell>
          <cell r="AJ2743">
            <v>0</v>
          </cell>
        </row>
        <row r="2744">
          <cell r="E2744" t="str">
            <v>OH Industrial Residual Fuel</v>
          </cell>
          <cell r="F2744">
            <v>8309.701065833051</v>
          </cell>
          <cell r="G2744">
            <v>5719.6317937460135</v>
          </cell>
          <cell r="H2744">
            <v>7555.4303041642106</v>
          </cell>
          <cell r="I2744">
            <v>11432.200344254097</v>
          </cell>
          <cell r="J2744">
            <v>10610.613033502897</v>
          </cell>
          <cell r="K2744">
            <v>7236.4336701620596</v>
          </cell>
          <cell r="L2744">
            <v>8451.532984243795</v>
          </cell>
          <cell r="M2744">
            <v>6039.8159242152642</v>
          </cell>
          <cell r="N2744">
            <v>4011.8128445316547</v>
          </cell>
          <cell r="O2744">
            <v>5566.7155870884408</v>
          </cell>
          <cell r="P2744">
            <v>7387.0458447959181</v>
          </cell>
          <cell r="Q2744">
            <v>4595.7698226831717</v>
          </cell>
          <cell r="R2744">
            <v>4114.5706996586141</v>
          </cell>
          <cell r="S2744">
            <v>2706.1320433317155</v>
          </cell>
          <cell r="T2744">
            <v>3200.1927167309323</v>
          </cell>
          <cell r="U2744">
            <v>6560.0311146214999</v>
          </cell>
          <cell r="V2744">
            <v>6240.7015263474659</v>
          </cell>
          <cell r="W2744">
            <v>3606.0955707698754</v>
          </cell>
          <cell r="X2744">
            <v>4680.4846537379017</v>
          </cell>
          <cell r="Y2744">
            <v>1548.4287031558565</v>
          </cell>
          <cell r="Z2744">
            <v>884.8085456859751</v>
          </cell>
          <cell r="AA2744">
            <v>1125.0929516397998</v>
          </cell>
          <cell r="AB2744">
            <v>0</v>
          </cell>
          <cell r="AC2744">
            <v>0</v>
          </cell>
          <cell r="AD2744">
            <v>0</v>
          </cell>
          <cell r="AE2744">
            <v>0</v>
          </cell>
          <cell r="AF2744">
            <v>155.36233902508772</v>
          </cell>
          <cell r="AG2744">
            <v>143.6941846726873</v>
          </cell>
          <cell r="AH2744">
            <v>0</v>
          </cell>
          <cell r="AI2744">
            <v>0</v>
          </cell>
          <cell r="AJ2744">
            <v>0</v>
          </cell>
        </row>
        <row r="2745">
          <cell r="E2745" t="str">
            <v>OK Industrial Residual Fuel</v>
          </cell>
          <cell r="F2745">
            <v>2694.966422990909</v>
          </cell>
          <cell r="G2745">
            <v>780.46606887711562</v>
          </cell>
          <cell r="H2745">
            <v>3027.7681086489056</v>
          </cell>
          <cell r="I2745">
            <v>3851.3820513602554</v>
          </cell>
          <cell r="J2745">
            <v>2997.5619318149811</v>
          </cell>
          <cell r="K2745">
            <v>1749.0865962108996</v>
          </cell>
          <cell r="L2745">
            <v>1366.1589255771357</v>
          </cell>
          <cell r="M2745">
            <v>1320.2979254625154</v>
          </cell>
          <cell r="N2745">
            <v>474.15074769079496</v>
          </cell>
          <cell r="O2745">
            <v>518.21385433285297</v>
          </cell>
          <cell r="P2745">
            <v>1177.7825530464847</v>
          </cell>
          <cell r="Q2745">
            <v>1648.9167462066794</v>
          </cell>
          <cell r="R2745">
            <v>2169.4869415644876</v>
          </cell>
          <cell r="S2745">
            <v>2340.0174606126866</v>
          </cell>
          <cell r="T2745">
            <v>3018.0423952683277</v>
          </cell>
          <cell r="U2745">
            <v>1104.3128929197155</v>
          </cell>
          <cell r="V2745">
            <v>1139.7666343453257</v>
          </cell>
          <cell r="W2745">
            <v>517.96414931768425</v>
          </cell>
          <cell r="X2745">
            <v>1573.0669344008397</v>
          </cell>
          <cell r="Y2745">
            <v>644.28332206333232</v>
          </cell>
          <cell r="Z2745">
            <v>733.57026979808745</v>
          </cell>
          <cell r="AA2745">
            <v>1366.2107948860476</v>
          </cell>
          <cell r="AB2745">
            <v>0</v>
          </cell>
          <cell r="AC2745">
            <v>0</v>
          </cell>
          <cell r="AD2745">
            <v>0</v>
          </cell>
          <cell r="AE2745">
            <v>0</v>
          </cell>
          <cell r="AF2745">
            <v>104.383439855003</v>
          </cell>
          <cell r="AG2745">
            <v>177.37338045937844</v>
          </cell>
          <cell r="AH2745">
            <v>0</v>
          </cell>
          <cell r="AI2745">
            <v>0</v>
          </cell>
          <cell r="AJ2745">
            <v>0</v>
          </cell>
        </row>
        <row r="2746">
          <cell r="E2746" t="str">
            <v>OR Industrial Residual Fuel</v>
          </cell>
          <cell r="F2746">
            <v>2486.9805085728913</v>
          </cell>
          <cell r="G2746">
            <v>1767.0011413870664</v>
          </cell>
          <cell r="H2746">
            <v>2653.854432951855</v>
          </cell>
          <cell r="I2746">
            <v>3684.693534330996</v>
          </cell>
          <cell r="J2746">
            <v>2284.442915475307</v>
          </cell>
          <cell r="K2746">
            <v>1727.1067743155477</v>
          </cell>
          <cell r="L2746">
            <v>705.76475860073435</v>
          </cell>
          <cell r="M2746">
            <v>846.15778648426408</v>
          </cell>
          <cell r="N2746">
            <v>658.08203932283629</v>
          </cell>
          <cell r="O2746">
            <v>670.4113330409258</v>
          </cell>
          <cell r="P2746">
            <v>688.16039029579701</v>
          </cell>
          <cell r="Q2746">
            <v>645.12811682049869</v>
          </cell>
          <cell r="R2746">
            <v>2290.9105819354368</v>
          </cell>
          <cell r="S2746">
            <v>1790.0666193368686</v>
          </cell>
          <cell r="T2746">
            <v>1490.1780609311356</v>
          </cell>
          <cell r="U2746">
            <v>1327.2381248956065</v>
          </cell>
          <cell r="V2746">
            <v>2169.6851260532299</v>
          </cell>
          <cell r="W2746">
            <v>1307.9070257556702</v>
          </cell>
          <cell r="X2746">
            <v>824.35616706200767</v>
          </cell>
          <cell r="Y2746">
            <v>339.0964852964907</v>
          </cell>
          <cell r="Z2746">
            <v>130.12524022262699</v>
          </cell>
          <cell r="AA2746">
            <v>379.8533407448582</v>
          </cell>
          <cell r="AB2746">
            <v>0</v>
          </cell>
          <cell r="AC2746">
            <v>0</v>
          </cell>
          <cell r="AD2746">
            <v>0</v>
          </cell>
          <cell r="AE2746">
            <v>0</v>
          </cell>
          <cell r="AF2746">
            <v>30.401373652580268</v>
          </cell>
          <cell r="AG2746">
            <v>7.4161143040230542</v>
          </cell>
          <cell r="AH2746">
            <v>0</v>
          </cell>
          <cell r="AI2746">
            <v>0</v>
          </cell>
          <cell r="AJ2746">
            <v>0</v>
          </cell>
        </row>
        <row r="2747">
          <cell r="E2747" t="str">
            <v>PA Industrial Residual Fuel</v>
          </cell>
          <cell r="F2747">
            <v>31905.924318168232</v>
          </cell>
          <cell r="G2747">
            <v>22649.741903234215</v>
          </cell>
          <cell r="H2747">
            <v>22167.739344896567</v>
          </cell>
          <cell r="I2747">
            <v>23417.104718657843</v>
          </cell>
          <cell r="J2747">
            <v>22466.326593685179</v>
          </cell>
          <cell r="K2747">
            <v>15350.36946060779</v>
          </cell>
          <cell r="L2747">
            <v>17387.859141954996</v>
          </cell>
          <cell r="M2747">
            <v>11346.133000951353</v>
          </cell>
          <cell r="N2747">
            <v>10518.005377630623</v>
          </cell>
          <cell r="O2747">
            <v>8883.8781961990244</v>
          </cell>
          <cell r="P2747">
            <v>9917.4195098031068</v>
          </cell>
          <cell r="Q2747">
            <v>7726.945218251235</v>
          </cell>
          <cell r="R2747">
            <v>6357.0655262562668</v>
          </cell>
          <cell r="S2747">
            <v>10340.010576622104</v>
          </cell>
          <cell r="T2747">
            <v>9467.1059318796815</v>
          </cell>
          <cell r="U2747">
            <v>9550.8785329457296</v>
          </cell>
          <cell r="V2747">
            <v>7919.3875718871204</v>
          </cell>
          <cell r="W2747">
            <v>5179.6414931768431</v>
          </cell>
          <cell r="X2747">
            <v>3912.7136282011043</v>
          </cell>
          <cell r="Y2747">
            <v>1583.6813080629174</v>
          </cell>
          <cell r="Z2747">
            <v>920.356003693812</v>
          </cell>
          <cell r="AA2747">
            <v>1623.279510839355</v>
          </cell>
          <cell r="AB2747">
            <v>0</v>
          </cell>
          <cell r="AC2747">
            <v>0</v>
          </cell>
          <cell r="AD2747">
            <v>0</v>
          </cell>
          <cell r="AE2747">
            <v>0</v>
          </cell>
          <cell r="AF2747">
            <v>31.129066107030329</v>
          </cell>
          <cell r="AG2747">
            <v>33.34463423914125</v>
          </cell>
          <cell r="AH2747">
            <v>0</v>
          </cell>
          <cell r="AI2747">
            <v>0</v>
          </cell>
          <cell r="AJ2747">
            <v>0</v>
          </cell>
        </row>
        <row r="2748">
          <cell r="E2748" t="str">
            <v>RI Industrial Residual Fuel</v>
          </cell>
          <cell r="F2748">
            <v>2518.8421805688427</v>
          </cell>
          <cell r="G2748">
            <v>1919.5246558869599</v>
          </cell>
          <cell r="H2748">
            <v>2423.2319390978919</v>
          </cell>
          <cell r="I2748">
            <v>3271.4814736953058</v>
          </cell>
          <cell r="J2748">
            <v>2566.7008738538957</v>
          </cell>
          <cell r="K2748">
            <v>1978.1839705816844</v>
          </cell>
          <cell r="L2748">
            <v>1661.9079672764913</v>
          </cell>
          <cell r="M2748">
            <v>1501.8490214131623</v>
          </cell>
          <cell r="N2748">
            <v>1393.8072058510015</v>
          </cell>
          <cell r="O2748">
            <v>1242.8223383283607</v>
          </cell>
          <cell r="P2748">
            <v>1277.4471612962209</v>
          </cell>
          <cell r="Q2748">
            <v>985.35639747702362</v>
          </cell>
          <cell r="R2748">
            <v>1205.0143550737218</v>
          </cell>
          <cell r="S2748">
            <v>1520.5439690798814</v>
          </cell>
          <cell r="T2748">
            <v>1360.6314960978177</v>
          </cell>
          <cell r="U2748">
            <v>1450.2040001847988</v>
          </cell>
          <cell r="V2748">
            <v>1007.0641801524675</v>
          </cell>
          <cell r="W2748">
            <v>699.28330073121879</v>
          </cell>
          <cell r="X2748">
            <v>287.69077217554172</v>
          </cell>
          <cell r="Y2748">
            <v>482.79281767955803</v>
          </cell>
          <cell r="Z2748">
            <v>118.06064841390659</v>
          </cell>
          <cell r="AA2748">
            <v>219.60271261812116</v>
          </cell>
          <cell r="AB2748">
            <v>0</v>
          </cell>
          <cell r="AC2748">
            <v>0</v>
          </cell>
          <cell r="AD2748">
            <v>0</v>
          </cell>
          <cell r="AE2748">
            <v>0</v>
          </cell>
          <cell r="AF2748">
            <v>9.5408566250118927</v>
          </cell>
          <cell r="AG2748">
            <v>5.018423213248683</v>
          </cell>
          <cell r="AH2748">
            <v>0</v>
          </cell>
          <cell r="AI2748">
            <v>0</v>
          </cell>
          <cell r="AJ2748">
            <v>0</v>
          </cell>
        </row>
        <row r="2749">
          <cell r="E2749" t="str">
            <v>SC Industrial Residual Fuel</v>
          </cell>
          <cell r="F2749">
            <v>10507.271387109382</v>
          </cell>
          <cell r="G2749">
            <v>8143.7821199464515</v>
          </cell>
          <cell r="H2749">
            <v>9451.2828639342897</v>
          </cell>
          <cell r="I2749">
            <v>16815.362136314809</v>
          </cell>
          <cell r="J2749">
            <v>13372.520345861612</v>
          </cell>
          <cell r="K2749">
            <v>11217.317566516398</v>
          </cell>
          <cell r="L2749">
            <v>11861.048925198294</v>
          </cell>
          <cell r="M2749">
            <v>10060.686401943649</v>
          </cell>
          <cell r="N2749">
            <v>7531.383338916904</v>
          </cell>
          <cell r="O2749">
            <v>5228.9114270290593</v>
          </cell>
          <cell r="P2749">
            <v>8624.9435583739905</v>
          </cell>
          <cell r="Q2749">
            <v>8210.023296203728</v>
          </cell>
          <cell r="R2749">
            <v>7134.7916278727253</v>
          </cell>
          <cell r="S2749">
            <v>15511.573799327705</v>
          </cell>
          <cell r="T2749">
            <v>16943.905549502022</v>
          </cell>
          <cell r="U2749">
            <v>16597.219851130292</v>
          </cell>
          <cell r="V2749">
            <v>8473.7889360706158</v>
          </cell>
          <cell r="W2749">
            <v>6391.1830958036417</v>
          </cell>
          <cell r="X2749">
            <v>3872.8062125991141</v>
          </cell>
          <cell r="Y2749">
            <v>1940.571965360115</v>
          </cell>
          <cell r="Z2749">
            <v>903.98262909626294</v>
          </cell>
          <cell r="AA2749">
            <v>1222.6529405225124</v>
          </cell>
          <cell r="AB2749">
            <v>0</v>
          </cell>
          <cell r="AC2749">
            <v>0</v>
          </cell>
          <cell r="AD2749">
            <v>0</v>
          </cell>
          <cell r="AE2749">
            <v>0</v>
          </cell>
          <cell r="AF2749">
            <v>45.925479347514873</v>
          </cell>
          <cell r="AG2749">
            <v>17.78752227807033</v>
          </cell>
          <cell r="AH2749">
            <v>0</v>
          </cell>
          <cell r="AI2749">
            <v>0</v>
          </cell>
          <cell r="AJ2749">
            <v>0</v>
          </cell>
        </row>
        <row r="2750">
          <cell r="E2750" t="str">
            <v>SD Industrial Residual Fuel</v>
          </cell>
          <cell r="F2750">
            <v>198.2504035303657</v>
          </cell>
          <cell r="G2750">
            <v>163.88164855839642</v>
          </cell>
          <cell r="H2750">
            <v>573.16472737234949</v>
          </cell>
          <cell r="I2750">
            <v>631.66174874245644</v>
          </cell>
          <cell r="J2750">
            <v>449.32653187370357</v>
          </cell>
          <cell r="K2750">
            <v>60.021821329615214</v>
          </cell>
          <cell r="L2750">
            <v>210.88923143902895</v>
          </cell>
          <cell r="M2750">
            <v>281.2420995306893</v>
          </cell>
          <cell r="N2750">
            <v>452.29006139026546</v>
          </cell>
          <cell r="O2750">
            <v>374.18306960423769</v>
          </cell>
          <cell r="P2750">
            <v>314.81360383646808</v>
          </cell>
          <cell r="Q2750">
            <v>489.99016491842639</v>
          </cell>
          <cell r="R2750">
            <v>499.52763443744846</v>
          </cell>
          <cell r="S2750">
            <v>224.34255281506449</v>
          </cell>
          <cell r="T2750">
            <v>396.49100145954873</v>
          </cell>
          <cell r="U2750">
            <v>307.81135233681727</v>
          </cell>
          <cell r="V2750">
            <v>127.54180319646917</v>
          </cell>
          <cell r="W2750">
            <v>89.39160961296632</v>
          </cell>
          <cell r="X2750">
            <v>134.01744045444488</v>
          </cell>
          <cell r="Y2750">
            <v>40.624430416708286</v>
          </cell>
          <cell r="Z2750">
            <v>0</v>
          </cell>
          <cell r="AA2750">
            <v>89.770027793218446</v>
          </cell>
          <cell r="AB2750">
            <v>0</v>
          </cell>
          <cell r="AC2750">
            <v>0</v>
          </cell>
          <cell r="AD2750">
            <v>0</v>
          </cell>
          <cell r="AE2750">
            <v>0</v>
          </cell>
          <cell r="AF2750">
            <v>2.0213679290279436</v>
          </cell>
          <cell r="AG2750">
            <v>3.1783347017241659</v>
          </cell>
          <cell r="AH2750">
            <v>0</v>
          </cell>
          <cell r="AI2750">
            <v>0</v>
          </cell>
          <cell r="AJ2750">
            <v>0</v>
          </cell>
        </row>
        <row r="2751">
          <cell r="E2751" t="str">
            <v>TN Industrial Residual Fuel</v>
          </cell>
          <cell r="F2751">
            <v>1498.3836302540587</v>
          </cell>
          <cell r="G2751">
            <v>1719.1347192833762</v>
          </cell>
          <cell r="H2751">
            <v>1555.006079882972</v>
          </cell>
          <cell r="I2751">
            <v>2607.3593295313617</v>
          </cell>
          <cell r="J2751">
            <v>2320.4945550189896</v>
          </cell>
          <cell r="K2751">
            <v>1837.8512615575137</v>
          </cell>
          <cell r="L2751">
            <v>953.62262025218274</v>
          </cell>
          <cell r="M2751">
            <v>551.1372555644632</v>
          </cell>
          <cell r="N2751">
            <v>739.49425037308401</v>
          </cell>
          <cell r="O2751">
            <v>232.37956505183809</v>
          </cell>
          <cell r="P2751">
            <v>326.67843815191287</v>
          </cell>
          <cell r="Q2751">
            <v>705.03287052525923</v>
          </cell>
          <cell r="R2751">
            <v>640.16387613291465</v>
          </cell>
          <cell r="S2751">
            <v>1209.7360573673443</v>
          </cell>
          <cell r="T2751">
            <v>1414.8055141190234</v>
          </cell>
          <cell r="U2751">
            <v>1504.9436478941814</v>
          </cell>
          <cell r="V2751">
            <v>818.33180085595825</v>
          </cell>
          <cell r="W2751">
            <v>646.66270783847972</v>
          </cell>
          <cell r="X2751">
            <v>583.12477424400686</v>
          </cell>
          <cell r="Y2751">
            <v>76.548513512475125</v>
          </cell>
          <cell r="Z2751">
            <v>7.540369880450239</v>
          </cell>
          <cell r="AA2751">
            <v>58.610183435241794</v>
          </cell>
          <cell r="AB2751">
            <v>0</v>
          </cell>
          <cell r="AC2751">
            <v>0</v>
          </cell>
          <cell r="AD2751">
            <v>0</v>
          </cell>
          <cell r="AE2751">
            <v>0</v>
          </cell>
          <cell r="AF2751">
            <v>5.3364113326337703</v>
          </cell>
          <cell r="AG2751">
            <v>2.1188898011494439</v>
          </cell>
          <cell r="AH2751">
            <v>0</v>
          </cell>
          <cell r="AI2751">
            <v>0</v>
          </cell>
          <cell r="AJ2751">
            <v>0</v>
          </cell>
        </row>
        <row r="2752">
          <cell r="E2752" t="str">
            <v>TX Industrial Residual Fuel</v>
          </cell>
          <cell r="F2752">
            <v>7083.9117404332465</v>
          </cell>
          <cell r="G2752">
            <v>5580.9002991743018</v>
          </cell>
          <cell r="H2752">
            <v>4333.4984047338439</v>
          </cell>
          <cell r="I2752">
            <v>13302.620966919259</v>
          </cell>
          <cell r="J2752">
            <v>13201.055230958731</v>
          </cell>
          <cell r="K2752">
            <v>13069.540250082411</v>
          </cell>
          <cell r="L2752">
            <v>11050.25964894864</v>
          </cell>
          <cell r="M2752">
            <v>9413.9106226194708</v>
          </cell>
          <cell r="N2752">
            <v>4054.7804003637302</v>
          </cell>
          <cell r="O2752">
            <v>2961.5402076414762</v>
          </cell>
          <cell r="P2752">
            <v>1995.6651318578115</v>
          </cell>
          <cell r="Q2752">
            <v>2506.0155299824846</v>
          </cell>
          <cell r="R2752">
            <v>3847.8997932743146</v>
          </cell>
          <cell r="S2752">
            <v>6895.4176302741344</v>
          </cell>
          <cell r="T2752">
            <v>5316.9050730377503</v>
          </cell>
          <cell r="U2752">
            <v>17641.239798746923</v>
          </cell>
          <cell r="V2752">
            <v>18181.710696134814</v>
          </cell>
          <cell r="W2752">
            <v>12438.747380187229</v>
          </cell>
          <cell r="X2752">
            <v>13555.417377165586</v>
          </cell>
          <cell r="Y2752">
            <v>7192.8743574178379</v>
          </cell>
          <cell r="Z2752">
            <v>4443.0013727007217</v>
          </cell>
          <cell r="AA2752">
            <v>10606.959399666481</v>
          </cell>
          <cell r="AB2752">
            <v>0</v>
          </cell>
          <cell r="AC2752">
            <v>0</v>
          </cell>
          <cell r="AD2752">
            <v>0</v>
          </cell>
          <cell r="AE2752">
            <v>0</v>
          </cell>
          <cell r="AF2752">
            <v>510.23369264523348</v>
          </cell>
          <cell r="AG2752">
            <v>881.84847908364361</v>
          </cell>
          <cell r="AH2752">
            <v>0</v>
          </cell>
          <cell r="AI2752">
            <v>0</v>
          </cell>
          <cell r="AJ2752">
            <v>0</v>
          </cell>
        </row>
        <row r="2753">
          <cell r="E2753" t="str">
            <v>US Industrial Residual Fuel</v>
          </cell>
          <cell r="F2753">
            <v>364147.93428817554</v>
          </cell>
          <cell r="G2753">
            <v>270890.68600000005</v>
          </cell>
          <cell r="H2753">
            <v>328057.10599999997</v>
          </cell>
          <cell r="I2753">
            <v>391199.52600000001</v>
          </cell>
          <cell r="J2753">
            <v>368363.34254140779</v>
          </cell>
          <cell r="K2753">
            <v>284663.2095</v>
          </cell>
          <cell r="L2753">
            <v>281661.473</v>
          </cell>
          <cell r="M2753">
            <v>235561.73650000003</v>
          </cell>
          <cell r="N2753">
            <v>173258.00000000003</v>
          </cell>
          <cell r="O2753">
            <v>154033.5</v>
          </cell>
          <cell r="P2753">
            <v>190342</v>
          </cell>
          <cell r="Q2753">
            <v>156099.5</v>
          </cell>
          <cell r="R2753">
            <v>146098.00000000003</v>
          </cell>
          <cell r="S2753">
            <v>171716.30793439454</v>
          </cell>
          <cell r="T2753">
            <v>195267.49999999997</v>
          </cell>
          <cell r="U2753">
            <v>223230.66334354467</v>
          </cell>
          <cell r="V2753">
            <v>176396.21170756989</v>
          </cell>
          <cell r="W2753">
            <v>122510.88398304689</v>
          </cell>
          <cell r="X2753">
            <v>115760.09563306869</v>
          </cell>
          <cell r="Y2753">
            <v>43692.75</v>
          </cell>
          <cell r="Z2753">
            <v>25895.569121721092</v>
          </cell>
          <cell r="AA2753">
            <v>50051.241901056135</v>
          </cell>
          <cell r="AB2753">
            <v>0</v>
          </cell>
          <cell r="AC2753">
            <v>0</v>
          </cell>
          <cell r="AD2753">
            <v>0</v>
          </cell>
          <cell r="AE2753">
            <v>0</v>
          </cell>
          <cell r="AF2753">
            <v>2118.8787179242513</v>
          </cell>
          <cell r="AG2753">
            <v>2784.3884794841442</v>
          </cell>
          <cell r="AH2753">
            <v>0</v>
          </cell>
          <cell r="AI2753">
            <v>0</v>
          </cell>
          <cell r="AJ2753">
            <v>0</v>
          </cell>
        </row>
        <row r="2754">
          <cell r="E2754" t="str">
            <v>UT Industrial Residual Fuel</v>
          </cell>
          <cell r="F2754">
            <v>1365.6266636042601</v>
          </cell>
          <cell r="G2754">
            <v>905.40554352064555</v>
          </cell>
          <cell r="H2754">
            <v>1198.0499404987129</v>
          </cell>
          <cell r="I2754">
            <v>1270.3419613598292</v>
          </cell>
          <cell r="J2754">
            <v>1791.1509695239415</v>
          </cell>
          <cell r="K2754">
            <v>1497.1640221795569</v>
          </cell>
          <cell r="L2754">
            <v>386.49022494802119</v>
          </cell>
          <cell r="M2754">
            <v>705.94198470095216</v>
          </cell>
          <cell r="N2754">
            <v>443.99807693144396</v>
          </cell>
          <cell r="O2754">
            <v>235.34927195345901</v>
          </cell>
          <cell r="P2754">
            <v>271.3092113465039</v>
          </cell>
          <cell r="Q2754">
            <v>0</v>
          </cell>
          <cell r="R2754">
            <v>397.31659539101668</v>
          </cell>
          <cell r="S2754">
            <v>543.71910369762156</v>
          </cell>
          <cell r="T2754">
            <v>842.44523676454617</v>
          </cell>
          <cell r="U2754">
            <v>1082.0997025448937</v>
          </cell>
          <cell r="V2754">
            <v>1122.810209642905</v>
          </cell>
          <cell r="W2754">
            <v>1231.829060127614</v>
          </cell>
          <cell r="X2754">
            <v>1650.4992333300747</v>
          </cell>
          <cell r="Y2754">
            <v>275.30605736942806</v>
          </cell>
          <cell r="Z2754">
            <v>18.527765991963445</v>
          </cell>
          <cell r="AA2754">
            <v>3.3385547526403552</v>
          </cell>
          <cell r="AB2754">
            <v>0</v>
          </cell>
          <cell r="AC2754">
            <v>0</v>
          </cell>
          <cell r="AD2754">
            <v>0</v>
          </cell>
          <cell r="AE2754">
            <v>0</v>
          </cell>
          <cell r="AF2754">
            <v>0</v>
          </cell>
          <cell r="AG2754">
            <v>0</v>
          </cell>
          <cell r="AH2754">
            <v>0</v>
          </cell>
          <cell r="AI2754">
            <v>0</v>
          </cell>
          <cell r="AJ2754">
            <v>0</v>
          </cell>
        </row>
        <row r="2755">
          <cell r="E2755" t="str">
            <v>VA Industrial Residual Fuel</v>
          </cell>
          <cell r="F2755">
            <v>15874.193025538569</v>
          </cell>
          <cell r="G2755">
            <v>12630.245073055026</v>
          </cell>
          <cell r="H2755">
            <v>15526.320247991811</v>
          </cell>
          <cell r="I2755">
            <v>14944.941513649646</v>
          </cell>
          <cell r="J2755">
            <v>13607.295657036326</v>
          </cell>
          <cell r="K2755">
            <v>9442.8696373493221</v>
          </cell>
          <cell r="L2755">
            <v>9453.8869806850744</v>
          </cell>
          <cell r="M2755">
            <v>12292.792286979726</v>
          </cell>
          <cell r="N2755">
            <v>9534.2744941067958</v>
          </cell>
          <cell r="O2755">
            <v>7952.8750825408606</v>
          </cell>
          <cell r="P2755">
            <v>9282.2553794496307</v>
          </cell>
          <cell r="Q2755">
            <v>5892.9381432901027</v>
          </cell>
          <cell r="R2755">
            <v>3313.0209723997541</v>
          </cell>
          <cell r="S2755">
            <v>10243.418644160063</v>
          </cell>
          <cell r="T2755">
            <v>12072.169581073311</v>
          </cell>
          <cell r="U2755">
            <v>11998.296115314495</v>
          </cell>
          <cell r="V2755">
            <v>5218.1553932058314</v>
          </cell>
          <cell r="W2755">
            <v>6500.8621629174231</v>
          </cell>
          <cell r="X2755">
            <v>7509.1460969297186</v>
          </cell>
          <cell r="Y2755">
            <v>3429.5748488154973</v>
          </cell>
          <cell r="Z2755">
            <v>1999.059774877079</v>
          </cell>
          <cell r="AA2755">
            <v>2383.3571428571427</v>
          </cell>
          <cell r="AB2755">
            <v>0</v>
          </cell>
          <cell r="AC2755">
            <v>0</v>
          </cell>
          <cell r="AD2755">
            <v>0</v>
          </cell>
          <cell r="AE2755">
            <v>0</v>
          </cell>
          <cell r="AF2755">
            <v>88.697624725746152</v>
          </cell>
          <cell r="AG2755">
            <v>36.690249714640373</v>
          </cell>
          <cell r="AH2755">
            <v>0</v>
          </cell>
          <cell r="AI2755">
            <v>0</v>
          </cell>
          <cell r="AJ2755">
            <v>0</v>
          </cell>
        </row>
        <row r="2756">
          <cell r="E2756" t="str">
            <v>VT Industrial Residual Fuel</v>
          </cell>
          <cell r="F2756">
            <v>639.00353280769662</v>
          </cell>
          <cell r="G2756">
            <v>665.26213771230232</v>
          </cell>
          <cell r="H2756">
            <v>892.81428686846755</v>
          </cell>
          <cell r="I2756">
            <v>1666.8851702925933</v>
          </cell>
          <cell r="J2756">
            <v>1081.5491863104801</v>
          </cell>
          <cell r="K2756">
            <v>766.75763304170414</v>
          </cell>
          <cell r="L2756">
            <v>1108.2187102313912</v>
          </cell>
          <cell r="M2756">
            <v>1082.0121120272918</v>
          </cell>
          <cell r="N2756">
            <v>794.52287450889969</v>
          </cell>
          <cell r="O2756">
            <v>694.91141497929857</v>
          </cell>
          <cell r="P2756">
            <v>1031.4495964893326</v>
          </cell>
          <cell r="Q2756">
            <v>718.08903479424555</v>
          </cell>
          <cell r="R2756">
            <v>639.39537207993396</v>
          </cell>
          <cell r="S2756">
            <v>689.38596958795858</v>
          </cell>
          <cell r="T2756">
            <v>743.51876907364885</v>
          </cell>
          <cell r="U2756">
            <v>775.87500666342089</v>
          </cell>
          <cell r="V2756">
            <v>604.53340243413129</v>
          </cell>
          <cell r="W2756">
            <v>603.55186064924783</v>
          </cell>
          <cell r="X2756">
            <v>438.98157162189284</v>
          </cell>
          <cell r="Y2756">
            <v>222.5950195560132</v>
          </cell>
          <cell r="Z2756">
            <v>131.84875333815845</v>
          </cell>
          <cell r="AA2756">
            <v>225.16697053918841</v>
          </cell>
          <cell r="AB2756">
            <v>0</v>
          </cell>
          <cell r="AC2756">
            <v>0</v>
          </cell>
          <cell r="AD2756">
            <v>0</v>
          </cell>
          <cell r="AE2756">
            <v>0</v>
          </cell>
          <cell r="AF2756">
            <v>3.4767528379280628</v>
          </cell>
          <cell r="AG2756">
            <v>5.6875463083485078</v>
          </cell>
          <cell r="AH2756">
            <v>0</v>
          </cell>
          <cell r="AI2756">
            <v>0</v>
          </cell>
          <cell r="AJ2756">
            <v>0</v>
          </cell>
        </row>
        <row r="2757">
          <cell r="E2757" t="str">
            <v>WA Industrial Residual Fuel</v>
          </cell>
          <cell r="F2757">
            <v>11070.160925704527</v>
          </cell>
          <cell r="G2757">
            <v>6794.5980528543068</v>
          </cell>
          <cell r="H2757">
            <v>5251.7489960714984</v>
          </cell>
          <cell r="I2757">
            <v>4678.6834806160005</v>
          </cell>
          <cell r="J2757">
            <v>4940.8332340476327</v>
          </cell>
          <cell r="K2757">
            <v>3423.7799490836846</v>
          </cell>
          <cell r="L2757">
            <v>1705.5981666184414</v>
          </cell>
          <cell r="M2757">
            <v>1543.184315580497</v>
          </cell>
          <cell r="N2757">
            <v>1206.8606471430251</v>
          </cell>
          <cell r="O2757">
            <v>1637.793356243945</v>
          </cell>
          <cell r="P2757">
            <v>4416.0913322085462</v>
          </cell>
          <cell r="Q2757">
            <v>664.32835839253733</v>
          </cell>
          <cell r="R2757">
            <v>753.13397192107607</v>
          </cell>
          <cell r="S2757">
            <v>404.2839753854808</v>
          </cell>
          <cell r="T2757">
            <v>94.215683515140299</v>
          </cell>
          <cell r="U2757">
            <v>61.086273530760131</v>
          </cell>
          <cell r="V2757">
            <v>33.912849404841516</v>
          </cell>
          <cell r="W2757">
            <v>13.313643984909877</v>
          </cell>
          <cell r="X2757">
            <v>25.612221953516134</v>
          </cell>
          <cell r="Y2757">
            <v>560.348548475092</v>
          </cell>
          <cell r="Z2757">
            <v>337.59313150472923</v>
          </cell>
          <cell r="AA2757">
            <v>610.95551973318504</v>
          </cell>
          <cell r="AB2757">
            <v>0</v>
          </cell>
          <cell r="AC2757">
            <v>0</v>
          </cell>
          <cell r="AD2757">
            <v>0</v>
          </cell>
          <cell r="AE2757">
            <v>0</v>
          </cell>
          <cell r="AF2757">
            <v>0</v>
          </cell>
          <cell r="AG2757">
            <v>3.5128962492740783</v>
          </cell>
          <cell r="AH2757">
            <v>0</v>
          </cell>
          <cell r="AI2757">
            <v>0</v>
          </cell>
          <cell r="AJ2757">
            <v>0</v>
          </cell>
        </row>
        <row r="2758">
          <cell r="E2758" t="str">
            <v>WI Industrial Residual Fuel</v>
          </cell>
          <cell r="F2758">
            <v>4957.1451347034745</v>
          </cell>
          <cell r="G2758">
            <v>3406.6289222609234</v>
          </cell>
          <cell r="H2758">
            <v>3237.1936821118793</v>
          </cell>
          <cell r="I2758">
            <v>5750.7538375094473</v>
          </cell>
          <cell r="J2758">
            <v>6038.2099694260714</v>
          </cell>
          <cell r="K2758">
            <v>3713.7445225492907</v>
          </cell>
          <cell r="L2758">
            <v>4530.3375933037614</v>
          </cell>
          <cell r="M2758">
            <v>4693.5821279026568</v>
          </cell>
          <cell r="N2758">
            <v>3193.9216501842579</v>
          </cell>
          <cell r="O2758">
            <v>3898.4827351028807</v>
          </cell>
          <cell r="P2758">
            <v>4582.1990126247729</v>
          </cell>
          <cell r="Q2758">
            <v>3449.1313960010234</v>
          </cell>
          <cell r="R2758">
            <v>3280.7438021745652</v>
          </cell>
          <cell r="S2758">
            <v>2618.887717236968</v>
          </cell>
          <cell r="T2758">
            <v>4446.9802619146221</v>
          </cell>
          <cell r="U2758">
            <v>5342.2722851446588</v>
          </cell>
          <cell r="V2758">
            <v>2961.4764360706167</v>
          </cell>
          <cell r="W2758">
            <v>2949.2891341809882</v>
          </cell>
          <cell r="X2758">
            <v>2676.7750106767794</v>
          </cell>
          <cell r="Y2758">
            <v>515.69524892614822</v>
          </cell>
          <cell r="Z2758">
            <v>143.48246686799598</v>
          </cell>
          <cell r="AA2758">
            <v>282.29335186214558</v>
          </cell>
          <cell r="AB2758">
            <v>0</v>
          </cell>
          <cell r="AC2758">
            <v>0</v>
          </cell>
          <cell r="AD2758">
            <v>0</v>
          </cell>
          <cell r="AE2758">
            <v>0</v>
          </cell>
          <cell r="AF2758">
            <v>36.18248592960019</v>
          </cell>
          <cell r="AG2758">
            <v>58.380990047459676</v>
          </cell>
          <cell r="AH2758">
            <v>0</v>
          </cell>
          <cell r="AI2758">
            <v>0</v>
          </cell>
          <cell r="AJ2758">
            <v>0</v>
          </cell>
        </row>
        <row r="2759">
          <cell r="E2759" t="str">
            <v>WV Industrial Residual Fuel</v>
          </cell>
          <cell r="F2759">
            <v>6691.8361655941744</v>
          </cell>
          <cell r="G2759">
            <v>5167.9509966187388</v>
          </cell>
          <cell r="H2759">
            <v>2770.0135566944759</v>
          </cell>
          <cell r="I2759">
            <v>2701.2312838583657</v>
          </cell>
          <cell r="J2759">
            <v>2700.3557326499877</v>
          </cell>
          <cell r="K2759">
            <v>1044.8869177944282</v>
          </cell>
          <cell r="L2759">
            <v>1837.5089607854834</v>
          </cell>
          <cell r="M2759">
            <v>1177.6506357870073</v>
          </cell>
          <cell r="N2759">
            <v>341.47899634965046</v>
          </cell>
          <cell r="O2759">
            <v>432.83478091125113</v>
          </cell>
          <cell r="P2759">
            <v>1455.4196760278926</v>
          </cell>
          <cell r="Q2759">
            <v>1102.0938662350186</v>
          </cell>
          <cell r="R2759">
            <v>545.63787761628987</v>
          </cell>
          <cell r="S2759">
            <v>244.59569994420224</v>
          </cell>
          <cell r="T2759">
            <v>1695.8823032725254</v>
          </cell>
          <cell r="U2759">
            <v>2195.1392059690033</v>
          </cell>
          <cell r="V2759">
            <v>1559.2538367660827</v>
          </cell>
          <cell r="W2759">
            <v>3982.0475175818542</v>
          </cell>
          <cell r="X2759">
            <v>2269.3619916952666</v>
          </cell>
          <cell r="Y2759">
            <v>182.30632823365787</v>
          </cell>
          <cell r="Z2759">
            <v>53.428906581475978</v>
          </cell>
          <cell r="AA2759">
            <v>104.60804891606446</v>
          </cell>
          <cell r="AB2759">
            <v>0</v>
          </cell>
          <cell r="AC2759">
            <v>0</v>
          </cell>
          <cell r="AD2759">
            <v>0</v>
          </cell>
          <cell r="AE2759">
            <v>0</v>
          </cell>
          <cell r="AF2759">
            <v>13.947438710292809</v>
          </cell>
          <cell r="AG2759">
            <v>0</v>
          </cell>
          <cell r="AH2759">
            <v>0</v>
          </cell>
          <cell r="AI2759">
            <v>0</v>
          </cell>
          <cell r="AJ2759">
            <v>0</v>
          </cell>
        </row>
        <row r="2760">
          <cell r="E2760" t="str">
            <v>WY Industrial Residual Fuel</v>
          </cell>
          <cell r="F2760">
            <v>215.95133241700549</v>
          </cell>
          <cell r="G2760">
            <v>199.5786413136907</v>
          </cell>
          <cell r="H2760">
            <v>52.56836256965336</v>
          </cell>
          <cell r="I2760">
            <v>391.27936102657719</v>
          </cell>
          <cell r="J2760">
            <v>217.18914554364926</v>
          </cell>
          <cell r="K2760">
            <v>105.67222065073101</v>
          </cell>
          <cell r="L2760">
            <v>30.247061082888617</v>
          </cell>
          <cell r="M2760">
            <v>20.262399101634678</v>
          </cell>
          <cell r="N2760">
            <v>29.398853990367257</v>
          </cell>
          <cell r="O2760">
            <v>37.121336270261672</v>
          </cell>
          <cell r="P2760">
            <v>113.11142047390688</v>
          </cell>
          <cell r="Q2760">
            <v>325.6360970617755</v>
          </cell>
          <cell r="R2760">
            <v>729.31034627867473</v>
          </cell>
          <cell r="S2760">
            <v>699.51254315252743</v>
          </cell>
          <cell r="T2760">
            <v>527.60782768478566</v>
          </cell>
          <cell r="U2760">
            <v>660.84241365095045</v>
          </cell>
          <cell r="V2760">
            <v>516.06509963889255</v>
          </cell>
          <cell r="W2760">
            <v>304.94584555912627</v>
          </cell>
          <cell r="X2760">
            <v>333.55451846439615</v>
          </cell>
          <cell r="Y2760">
            <v>48.010690492473429</v>
          </cell>
          <cell r="Z2760">
            <v>21.328474804702104</v>
          </cell>
          <cell r="AA2760">
            <v>1.1128515842134519</v>
          </cell>
          <cell r="AB2760">
            <v>0</v>
          </cell>
          <cell r="AC2760">
            <v>0</v>
          </cell>
          <cell r="AD2760">
            <v>0</v>
          </cell>
          <cell r="AE2760">
            <v>0</v>
          </cell>
          <cell r="AF2760">
            <v>0</v>
          </cell>
          <cell r="AG2760">
            <v>0</v>
          </cell>
          <cell r="AH2760">
            <v>0</v>
          </cell>
          <cell r="AI2760">
            <v>0</v>
          </cell>
          <cell r="AJ2760">
            <v>0</v>
          </cell>
        </row>
        <row r="2761">
          <cell r="E2761" t="str">
            <v>AK Industrial Still Gas</v>
          </cell>
          <cell r="F2761">
            <v>23591</v>
          </cell>
          <cell r="G2761">
            <v>21209</v>
          </cell>
          <cell r="H2761">
            <v>25097</v>
          </cell>
          <cell r="I2761">
            <v>25414</v>
          </cell>
          <cell r="J2761">
            <v>25149</v>
          </cell>
          <cell r="K2761">
            <v>24857</v>
          </cell>
          <cell r="L2761">
            <v>26846</v>
          </cell>
          <cell r="M2761">
            <v>26356</v>
          </cell>
          <cell r="N2761">
            <v>31270</v>
          </cell>
          <cell r="O2761">
            <v>31671</v>
          </cell>
          <cell r="P2761">
            <v>31803</v>
          </cell>
          <cell r="Q2761">
            <v>32266</v>
          </cell>
          <cell r="R2761">
            <v>31819</v>
          </cell>
          <cell r="S2761">
            <v>33952</v>
          </cell>
          <cell r="T2761">
            <v>33957</v>
          </cell>
          <cell r="U2761">
            <v>34052</v>
          </cell>
          <cell r="V2761">
            <v>34270</v>
          </cell>
          <cell r="W2761">
            <v>33264</v>
          </cell>
          <cell r="X2761">
            <v>27980</v>
          </cell>
          <cell r="Y2761">
            <v>25822</v>
          </cell>
          <cell r="Z2761">
            <v>25638</v>
          </cell>
          <cell r="AA2761">
            <v>25431</v>
          </cell>
          <cell r="AB2761">
            <v>21761</v>
          </cell>
          <cell r="AC2761">
            <v>21139</v>
          </cell>
          <cell r="AD2761">
            <v>18517</v>
          </cell>
          <cell r="AE2761">
            <v>13075</v>
          </cell>
          <cell r="AF2761">
            <v>13814</v>
          </cell>
          <cell r="AG2761">
            <v>13504</v>
          </cell>
          <cell r="AH2761">
            <v>14152</v>
          </cell>
          <cell r="AI2761">
            <v>13430</v>
          </cell>
          <cell r="AJ2761">
            <v>12828</v>
          </cell>
        </row>
        <row r="2762">
          <cell r="E2762" t="str">
            <v>AL Industrial Still Gas</v>
          </cell>
          <cell r="F2762">
            <v>11178</v>
          </cell>
          <cell r="G2762">
            <v>13355</v>
          </cell>
          <cell r="H2762">
            <v>10233</v>
          </cell>
          <cell r="I2762">
            <v>11769</v>
          </cell>
          <cell r="J2762">
            <v>11548</v>
          </cell>
          <cell r="K2762">
            <v>11371</v>
          </cell>
          <cell r="L2762">
            <v>11843</v>
          </cell>
          <cell r="M2762">
            <v>12107</v>
          </cell>
          <cell r="N2762">
            <v>11633</v>
          </cell>
          <cell r="O2762">
            <v>11451</v>
          </cell>
          <cell r="P2762">
            <v>11536</v>
          </cell>
          <cell r="Q2762">
            <v>10246</v>
          </cell>
          <cell r="R2762">
            <v>11523</v>
          </cell>
          <cell r="S2762">
            <v>11935</v>
          </cell>
          <cell r="T2762">
            <v>10319</v>
          </cell>
          <cell r="U2762">
            <v>12335</v>
          </cell>
          <cell r="V2762">
            <v>10838</v>
          </cell>
          <cell r="W2762">
            <v>11044</v>
          </cell>
          <cell r="X2762">
            <v>10709</v>
          </cell>
          <cell r="Y2762">
            <v>10371</v>
          </cell>
          <cell r="Z2762">
            <v>10437</v>
          </cell>
          <cell r="AA2762">
            <v>10456</v>
          </cell>
          <cell r="AB2762">
            <v>10680</v>
          </cell>
          <cell r="AC2762">
            <v>10413</v>
          </cell>
          <cell r="AD2762">
            <v>10205</v>
          </cell>
          <cell r="AE2762">
            <v>10848</v>
          </cell>
          <cell r="AF2762">
            <v>11447</v>
          </cell>
          <cell r="AG2762">
            <v>12078</v>
          </cell>
          <cell r="AH2762">
            <v>12210</v>
          </cell>
          <cell r="AI2762">
            <v>11418</v>
          </cell>
          <cell r="AJ2762">
            <v>10906</v>
          </cell>
        </row>
        <row r="2763">
          <cell r="E2763" t="str">
            <v>AR Industrial Still Gas</v>
          </cell>
          <cell r="F2763">
            <v>5308</v>
          </cell>
          <cell r="G2763">
            <v>5786</v>
          </cell>
          <cell r="H2763">
            <v>6042</v>
          </cell>
          <cell r="I2763">
            <v>6118</v>
          </cell>
          <cell r="J2763">
            <v>6099</v>
          </cell>
          <cell r="K2763">
            <v>6005</v>
          </cell>
          <cell r="L2763">
            <v>6149</v>
          </cell>
          <cell r="M2763">
            <v>6044</v>
          </cell>
          <cell r="N2763">
            <v>5807</v>
          </cell>
          <cell r="O2763">
            <v>5304</v>
          </cell>
          <cell r="P2763">
            <v>5453</v>
          </cell>
          <cell r="Q2763">
            <v>5850</v>
          </cell>
          <cell r="R2763">
            <v>6187</v>
          </cell>
          <cell r="S2763">
            <v>6398</v>
          </cell>
          <cell r="T2763">
            <v>6982</v>
          </cell>
          <cell r="U2763">
            <v>7038</v>
          </cell>
          <cell r="V2763">
            <v>7055</v>
          </cell>
          <cell r="W2763">
            <v>6869</v>
          </cell>
          <cell r="X2763">
            <v>6581</v>
          </cell>
          <cell r="Y2763">
            <v>7124</v>
          </cell>
          <cell r="Z2763">
            <v>7169</v>
          </cell>
          <cell r="AA2763">
            <v>7879</v>
          </cell>
          <cell r="AB2763">
            <v>8048</v>
          </cell>
          <cell r="AC2763">
            <v>7847</v>
          </cell>
          <cell r="AD2763">
            <v>7690</v>
          </cell>
          <cell r="AE2763">
            <v>7456</v>
          </cell>
          <cell r="AF2763">
            <v>7868</v>
          </cell>
          <cell r="AG2763">
            <v>7715</v>
          </cell>
          <cell r="AH2763">
            <v>7800</v>
          </cell>
          <cell r="AI2763">
            <v>7402</v>
          </cell>
          <cell r="AJ2763">
            <v>7070</v>
          </cell>
        </row>
        <row r="2764">
          <cell r="E2764" t="str">
            <v>AZ Industrial Still Gas</v>
          </cell>
          <cell r="F2764">
            <v>985</v>
          </cell>
          <cell r="G2764">
            <v>953</v>
          </cell>
          <cell r="H2764">
            <v>979</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row>
        <row r="2765">
          <cell r="E2765" t="str">
            <v>CA Industrial Still Gas</v>
          </cell>
          <cell r="F2765">
            <v>206242</v>
          </cell>
          <cell r="G2765">
            <v>180742</v>
          </cell>
          <cell r="H2765">
            <v>183053</v>
          </cell>
          <cell r="I2765">
            <v>183078</v>
          </cell>
          <cell r="J2765">
            <v>181547</v>
          </cell>
          <cell r="K2765">
            <v>172137</v>
          </cell>
          <cell r="L2765">
            <v>175403</v>
          </cell>
          <cell r="M2765">
            <v>174521</v>
          </cell>
          <cell r="N2765">
            <v>170538</v>
          </cell>
          <cell r="O2765">
            <v>167804</v>
          </cell>
          <cell r="P2765">
            <v>170298</v>
          </cell>
          <cell r="Q2765">
            <v>178561</v>
          </cell>
          <cell r="R2765">
            <v>176372</v>
          </cell>
          <cell r="S2765">
            <v>181888</v>
          </cell>
          <cell r="T2765">
            <v>182266</v>
          </cell>
          <cell r="U2765">
            <v>182803</v>
          </cell>
          <cell r="V2765">
            <v>184799</v>
          </cell>
          <cell r="W2765">
            <v>177913</v>
          </cell>
          <cell r="X2765">
            <v>169353</v>
          </cell>
          <cell r="Y2765">
            <v>160587</v>
          </cell>
          <cell r="Z2765">
            <v>162916</v>
          </cell>
          <cell r="AA2765">
            <v>162631</v>
          </cell>
          <cell r="AB2765">
            <v>144522</v>
          </cell>
          <cell r="AC2765">
            <v>162673</v>
          </cell>
          <cell r="AD2765">
            <v>161656</v>
          </cell>
          <cell r="AE2765">
            <v>156343</v>
          </cell>
          <cell r="AF2765">
            <v>165715</v>
          </cell>
          <cell r="AG2765">
            <v>161332</v>
          </cell>
          <cell r="AH2765">
            <v>164586</v>
          </cell>
          <cell r="AI2765">
            <v>156148</v>
          </cell>
          <cell r="AJ2765">
            <v>140456</v>
          </cell>
        </row>
        <row r="2766">
          <cell r="E2766" t="str">
            <v>CO Industrial Still Gas</v>
          </cell>
          <cell r="F2766">
            <v>7485</v>
          </cell>
          <cell r="G2766">
            <v>7245</v>
          </cell>
          <cell r="H2766">
            <v>8372</v>
          </cell>
          <cell r="I2766">
            <v>8316</v>
          </cell>
          <cell r="J2766">
            <v>8160</v>
          </cell>
          <cell r="K2766">
            <v>8035</v>
          </cell>
          <cell r="L2766">
            <v>8101</v>
          </cell>
          <cell r="M2766">
            <v>7963</v>
          </cell>
          <cell r="N2766">
            <v>7651</v>
          </cell>
          <cell r="O2766">
            <v>7443</v>
          </cell>
          <cell r="P2766">
            <v>7498</v>
          </cell>
          <cell r="Q2766">
            <v>8034</v>
          </cell>
          <cell r="R2766">
            <v>7711</v>
          </cell>
          <cell r="S2766">
            <v>7975</v>
          </cell>
          <cell r="T2766">
            <v>7910</v>
          </cell>
          <cell r="U2766">
            <v>8570</v>
          </cell>
          <cell r="V2766">
            <v>8590</v>
          </cell>
          <cell r="W2766">
            <v>8332</v>
          </cell>
          <cell r="X2766">
            <v>8662</v>
          </cell>
          <cell r="Y2766">
            <v>8808</v>
          </cell>
          <cell r="Z2766">
            <v>8951</v>
          </cell>
          <cell r="AA2766">
            <v>8968</v>
          </cell>
          <cell r="AB2766">
            <v>9159</v>
          </cell>
          <cell r="AC2766">
            <v>8931</v>
          </cell>
          <cell r="AD2766">
            <v>8752</v>
          </cell>
          <cell r="AE2766">
            <v>8486</v>
          </cell>
          <cell r="AF2766">
            <v>8954</v>
          </cell>
          <cell r="AG2766">
            <v>8781</v>
          </cell>
          <cell r="AH2766">
            <v>8877</v>
          </cell>
          <cell r="AI2766">
            <v>8424</v>
          </cell>
          <cell r="AJ2766">
            <v>8047</v>
          </cell>
        </row>
        <row r="2767">
          <cell r="E2767" t="str">
            <v>CT Industrial Still Gas</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row>
        <row r="2768">
          <cell r="E2768" t="str">
            <v>DC Industrial Still Gas</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row>
        <row r="2769">
          <cell r="E2769" t="str">
            <v>DE Industrial Still Gas</v>
          </cell>
          <cell r="F2769">
            <v>13788</v>
          </cell>
          <cell r="G2769">
            <v>13345</v>
          </cell>
          <cell r="H2769">
            <v>13709</v>
          </cell>
          <cell r="I2769">
            <v>13616</v>
          </cell>
          <cell r="J2769">
            <v>13362</v>
          </cell>
          <cell r="K2769">
            <v>13157</v>
          </cell>
          <cell r="L2769">
            <v>13264</v>
          </cell>
          <cell r="M2769">
            <v>13039</v>
          </cell>
          <cell r="N2769">
            <v>14049</v>
          </cell>
          <cell r="O2769">
            <v>13829</v>
          </cell>
          <cell r="P2769">
            <v>14375</v>
          </cell>
          <cell r="Q2769">
            <v>15798</v>
          </cell>
          <cell r="R2769">
            <v>15512</v>
          </cell>
          <cell r="S2769">
            <v>16042</v>
          </cell>
          <cell r="T2769">
            <v>15910</v>
          </cell>
          <cell r="U2769">
            <v>16547</v>
          </cell>
          <cell r="V2769">
            <v>16651</v>
          </cell>
          <cell r="W2769">
            <v>16150</v>
          </cell>
          <cell r="X2769">
            <v>15473</v>
          </cell>
          <cell r="Y2769">
            <v>0</v>
          </cell>
          <cell r="Z2769">
            <v>0</v>
          </cell>
          <cell r="AA2769">
            <v>15863</v>
          </cell>
          <cell r="AB2769">
            <v>16202</v>
          </cell>
          <cell r="AC2769">
            <v>15798</v>
          </cell>
          <cell r="AD2769">
            <v>15482</v>
          </cell>
          <cell r="AE2769">
            <v>15011</v>
          </cell>
          <cell r="AF2769">
            <v>15840</v>
          </cell>
          <cell r="AG2769">
            <v>15532</v>
          </cell>
          <cell r="AH2769">
            <v>15703</v>
          </cell>
          <cell r="AI2769">
            <v>14902</v>
          </cell>
          <cell r="AJ2769">
            <v>13359</v>
          </cell>
        </row>
        <row r="2770">
          <cell r="E2770" t="str">
            <v>FL Industrial Still Gas</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row>
        <row r="2771">
          <cell r="E2771" t="str">
            <v>GA Industrial Still Gas</v>
          </cell>
          <cell r="F2771">
            <v>546</v>
          </cell>
          <cell r="G2771">
            <v>528</v>
          </cell>
          <cell r="H2771">
            <v>542</v>
          </cell>
          <cell r="I2771">
            <v>539</v>
          </cell>
          <cell r="J2771">
            <v>529</v>
          </cell>
          <cell r="K2771">
            <v>521</v>
          </cell>
          <cell r="L2771">
            <v>525</v>
          </cell>
          <cell r="M2771">
            <v>516</v>
          </cell>
          <cell r="N2771">
            <v>483</v>
          </cell>
          <cell r="O2771">
            <v>1709</v>
          </cell>
          <cell r="P2771">
            <v>479</v>
          </cell>
          <cell r="Q2771">
            <v>487</v>
          </cell>
          <cell r="R2771">
            <v>479</v>
          </cell>
          <cell r="S2771">
            <v>495</v>
          </cell>
          <cell r="T2771">
            <v>0</v>
          </cell>
          <cell r="U2771">
            <v>0</v>
          </cell>
          <cell r="V2771">
            <v>0</v>
          </cell>
          <cell r="W2771">
            <v>0</v>
          </cell>
          <cell r="X2771">
            <v>0</v>
          </cell>
          <cell r="Y2771">
            <v>0</v>
          </cell>
          <cell r="Z2771">
            <v>1217</v>
          </cell>
          <cell r="AA2771">
            <v>0</v>
          </cell>
          <cell r="AB2771">
            <v>0</v>
          </cell>
          <cell r="AC2771">
            <v>0</v>
          </cell>
          <cell r="AD2771">
            <v>0</v>
          </cell>
          <cell r="AE2771">
            <v>0</v>
          </cell>
          <cell r="AF2771">
            <v>0</v>
          </cell>
          <cell r="AG2771">
            <v>0</v>
          </cell>
          <cell r="AH2771">
            <v>0</v>
          </cell>
          <cell r="AI2771">
            <v>0</v>
          </cell>
          <cell r="AJ2771">
            <v>0</v>
          </cell>
        </row>
        <row r="2772">
          <cell r="E2772" t="str">
            <v>HI Industrial Still Gas</v>
          </cell>
          <cell r="F2772">
            <v>14408</v>
          </cell>
          <cell r="G2772">
            <v>13946</v>
          </cell>
          <cell r="H2772">
            <v>14326</v>
          </cell>
          <cell r="I2772">
            <v>14229</v>
          </cell>
          <cell r="J2772">
            <v>14078</v>
          </cell>
          <cell r="K2772">
            <v>13862</v>
          </cell>
          <cell r="L2772">
            <v>13975</v>
          </cell>
          <cell r="M2772">
            <v>13737</v>
          </cell>
          <cell r="N2772">
            <v>13199</v>
          </cell>
          <cell r="O2772">
            <v>12993</v>
          </cell>
          <cell r="P2772">
            <v>13089</v>
          </cell>
          <cell r="Q2772">
            <v>13315</v>
          </cell>
          <cell r="R2772">
            <v>13074</v>
          </cell>
          <cell r="S2772">
            <v>13521</v>
          </cell>
          <cell r="T2772">
            <v>13410</v>
          </cell>
          <cell r="U2772">
            <v>13447</v>
          </cell>
          <cell r="V2772">
            <v>13479</v>
          </cell>
          <cell r="W2772">
            <v>13074</v>
          </cell>
          <cell r="X2772">
            <v>12526</v>
          </cell>
          <cell r="Y2772">
            <v>12737</v>
          </cell>
          <cell r="Z2772">
            <v>12818</v>
          </cell>
          <cell r="AA2772">
            <v>12842</v>
          </cell>
          <cell r="AB2772">
            <v>13117</v>
          </cell>
          <cell r="AC2772">
            <v>12789</v>
          </cell>
          <cell r="AD2772">
            <v>12533</v>
          </cell>
          <cell r="AE2772">
            <v>12152</v>
          </cell>
          <cell r="AF2772">
            <v>12823</v>
          </cell>
          <cell r="AG2772">
            <v>12574</v>
          </cell>
          <cell r="AH2772">
            <v>12712</v>
          </cell>
          <cell r="AI2772">
            <v>12064</v>
          </cell>
          <cell r="AJ2772">
            <v>8349</v>
          </cell>
        </row>
        <row r="2773">
          <cell r="E2773" t="str">
            <v>IA Industrial Still Gas</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row>
        <row r="2774">
          <cell r="E2774" t="str">
            <v>ID Industrial Still Gas</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row>
        <row r="2775">
          <cell r="E2775" t="str">
            <v>IL Industrial Still Gas</v>
          </cell>
          <cell r="F2775">
            <v>92339</v>
          </cell>
          <cell r="G2775">
            <v>90805</v>
          </cell>
          <cell r="H2775">
            <v>94552</v>
          </cell>
          <cell r="I2775">
            <v>92971</v>
          </cell>
          <cell r="J2775">
            <v>95609</v>
          </cell>
          <cell r="K2775">
            <v>89422</v>
          </cell>
          <cell r="L2775">
            <v>89792</v>
          </cell>
          <cell r="M2775">
            <v>91057</v>
          </cell>
          <cell r="N2775">
            <v>91883</v>
          </cell>
          <cell r="O2775">
            <v>90686</v>
          </cell>
          <cell r="P2775">
            <v>90323</v>
          </cell>
          <cell r="Q2775">
            <v>70394</v>
          </cell>
          <cell r="R2775">
            <v>77851</v>
          </cell>
          <cell r="S2775">
            <v>80494</v>
          </cell>
          <cell r="T2775">
            <v>81460</v>
          </cell>
          <cell r="U2775">
            <v>82372</v>
          </cell>
          <cell r="V2775">
            <v>82576</v>
          </cell>
          <cell r="W2775">
            <v>81157</v>
          </cell>
          <cell r="X2775">
            <v>77755</v>
          </cell>
          <cell r="Y2775">
            <v>79235</v>
          </cell>
          <cell r="Z2775">
            <v>79739</v>
          </cell>
          <cell r="AA2775">
            <v>79889</v>
          </cell>
          <cell r="AB2775">
            <v>82710</v>
          </cell>
          <cell r="AC2775">
            <v>81212</v>
          </cell>
          <cell r="AD2775">
            <v>79919</v>
          </cell>
          <cell r="AE2775">
            <v>77489</v>
          </cell>
          <cell r="AF2775">
            <v>83418</v>
          </cell>
          <cell r="AG2775">
            <v>83277</v>
          </cell>
          <cell r="AH2775">
            <v>85915</v>
          </cell>
          <cell r="AI2775">
            <v>83986</v>
          </cell>
          <cell r="AJ2775">
            <v>81253</v>
          </cell>
        </row>
        <row r="2776">
          <cell r="E2776" t="str">
            <v>IN Industrial Still Gas</v>
          </cell>
          <cell r="F2776">
            <v>42339</v>
          </cell>
          <cell r="G2776">
            <v>42886</v>
          </cell>
          <cell r="H2776">
            <v>46502</v>
          </cell>
          <cell r="I2776">
            <v>40966</v>
          </cell>
          <cell r="J2776">
            <v>41459</v>
          </cell>
          <cell r="K2776">
            <v>39189</v>
          </cell>
          <cell r="L2776">
            <v>40930</v>
          </cell>
          <cell r="M2776">
            <v>40233</v>
          </cell>
          <cell r="N2776">
            <v>38746</v>
          </cell>
          <cell r="O2776">
            <v>38141</v>
          </cell>
          <cell r="P2776">
            <v>38423</v>
          </cell>
          <cell r="Q2776">
            <v>39088</v>
          </cell>
          <cell r="R2776">
            <v>38380</v>
          </cell>
          <cell r="S2776">
            <v>39693</v>
          </cell>
          <cell r="T2776">
            <v>39366</v>
          </cell>
          <cell r="U2776">
            <v>39476</v>
          </cell>
          <cell r="V2776">
            <v>39570</v>
          </cell>
          <cell r="W2776">
            <v>38380</v>
          </cell>
          <cell r="X2776">
            <v>36644</v>
          </cell>
          <cell r="Y2776">
            <v>37260</v>
          </cell>
          <cell r="Z2776">
            <v>37497</v>
          </cell>
          <cell r="AA2776">
            <v>31647</v>
          </cell>
          <cell r="AB2776">
            <v>17083</v>
          </cell>
          <cell r="AC2776">
            <v>38202</v>
          </cell>
          <cell r="AD2776">
            <v>37439</v>
          </cell>
          <cell r="AE2776">
            <v>36300</v>
          </cell>
          <cell r="AF2776">
            <v>38400</v>
          </cell>
          <cell r="AG2776">
            <v>37706</v>
          </cell>
          <cell r="AH2776">
            <v>39542</v>
          </cell>
          <cell r="AI2776">
            <v>37933</v>
          </cell>
          <cell r="AJ2776">
            <v>36233</v>
          </cell>
        </row>
        <row r="2777">
          <cell r="E2777" t="str">
            <v>KS Industrial Still Gas</v>
          </cell>
          <cell r="F2777">
            <v>34637</v>
          </cell>
          <cell r="G2777">
            <v>31199</v>
          </cell>
          <cell r="H2777">
            <v>29073</v>
          </cell>
          <cell r="I2777">
            <v>26581</v>
          </cell>
          <cell r="J2777">
            <v>28136</v>
          </cell>
          <cell r="K2777">
            <v>27705</v>
          </cell>
          <cell r="L2777">
            <v>26941</v>
          </cell>
          <cell r="M2777">
            <v>26482</v>
          </cell>
          <cell r="N2777">
            <v>25615</v>
          </cell>
          <cell r="O2777">
            <v>25933</v>
          </cell>
          <cell r="P2777">
            <v>26124</v>
          </cell>
          <cell r="Q2777">
            <v>27100</v>
          </cell>
          <cell r="R2777">
            <v>26255</v>
          </cell>
          <cell r="S2777">
            <v>27152</v>
          </cell>
          <cell r="T2777">
            <v>26929</v>
          </cell>
          <cell r="U2777">
            <v>27278</v>
          </cell>
          <cell r="V2777">
            <v>27480</v>
          </cell>
          <cell r="W2777">
            <v>27114</v>
          </cell>
          <cell r="X2777">
            <v>28126</v>
          </cell>
          <cell r="Y2777">
            <v>28599</v>
          </cell>
          <cell r="Z2777">
            <v>29476</v>
          </cell>
          <cell r="AA2777">
            <v>29532</v>
          </cell>
          <cell r="AB2777">
            <v>30208</v>
          </cell>
          <cell r="AC2777">
            <v>29393</v>
          </cell>
          <cell r="AD2777">
            <v>28805</v>
          </cell>
          <cell r="AE2777">
            <v>27930</v>
          </cell>
          <cell r="AF2777">
            <v>31384</v>
          </cell>
          <cell r="AG2777">
            <v>33241</v>
          </cell>
          <cell r="AH2777">
            <v>33934</v>
          </cell>
          <cell r="AI2777">
            <v>33026</v>
          </cell>
          <cell r="AJ2777">
            <v>31546</v>
          </cell>
        </row>
        <row r="2778">
          <cell r="E2778" t="str">
            <v>KY Industrial Still Gas</v>
          </cell>
          <cell r="F2778">
            <v>21558</v>
          </cell>
          <cell r="G2778">
            <v>20866</v>
          </cell>
          <cell r="H2778">
            <v>21435</v>
          </cell>
          <cell r="I2778">
            <v>21290</v>
          </cell>
          <cell r="J2778">
            <v>20892</v>
          </cell>
          <cell r="K2778">
            <v>20572</v>
          </cell>
          <cell r="L2778">
            <v>21299</v>
          </cell>
          <cell r="M2778">
            <v>20936</v>
          </cell>
          <cell r="N2778">
            <v>20357</v>
          </cell>
          <cell r="O2778">
            <v>20040</v>
          </cell>
          <cell r="P2778">
            <v>20187</v>
          </cell>
          <cell r="Q2778">
            <v>20537</v>
          </cell>
          <cell r="R2778">
            <v>20165</v>
          </cell>
          <cell r="S2778">
            <v>20855</v>
          </cell>
          <cell r="T2778">
            <v>20683</v>
          </cell>
          <cell r="U2778">
            <v>20741</v>
          </cell>
          <cell r="V2778">
            <v>20288</v>
          </cell>
          <cell r="W2778">
            <v>20032</v>
          </cell>
          <cell r="X2778">
            <v>19192</v>
          </cell>
          <cell r="Y2778">
            <v>18781</v>
          </cell>
          <cell r="Z2778">
            <v>18423</v>
          </cell>
          <cell r="AA2778">
            <v>20286</v>
          </cell>
          <cell r="AB2778">
            <v>21831</v>
          </cell>
          <cell r="AC2778">
            <v>21459</v>
          </cell>
          <cell r="AD2778">
            <v>21031</v>
          </cell>
          <cell r="AE2778">
            <v>22945</v>
          </cell>
          <cell r="AF2778">
            <v>24212</v>
          </cell>
          <cell r="AG2778">
            <v>24083</v>
          </cell>
          <cell r="AH2778">
            <v>23933</v>
          </cell>
          <cell r="AI2778">
            <v>23800</v>
          </cell>
          <cell r="AJ2778">
            <v>22734</v>
          </cell>
        </row>
        <row r="2779">
          <cell r="E2779" t="str">
            <v>LA Industrial Still Gas</v>
          </cell>
          <cell r="F2779">
            <v>225206</v>
          </cell>
          <cell r="G2779">
            <v>220539</v>
          </cell>
          <cell r="H2779">
            <v>230985</v>
          </cell>
          <cell r="I2779">
            <v>229510</v>
          </cell>
          <cell r="J2779">
            <v>224911</v>
          </cell>
          <cell r="K2779">
            <v>225774</v>
          </cell>
          <cell r="L2779">
            <v>230260</v>
          </cell>
          <cell r="M2779">
            <v>226796</v>
          </cell>
          <cell r="N2779">
            <v>232683</v>
          </cell>
          <cell r="O2779">
            <v>235945</v>
          </cell>
          <cell r="P2779">
            <v>237121</v>
          </cell>
          <cell r="Q2779">
            <v>239763</v>
          </cell>
          <cell r="R2779">
            <v>240999</v>
          </cell>
          <cell r="S2779">
            <v>252393</v>
          </cell>
          <cell r="T2779">
            <v>252083</v>
          </cell>
          <cell r="U2779">
            <v>231012</v>
          </cell>
          <cell r="V2779">
            <v>271524</v>
          </cell>
          <cell r="W2779">
            <v>261604</v>
          </cell>
          <cell r="X2779">
            <v>251974</v>
          </cell>
          <cell r="Y2779">
            <v>260598</v>
          </cell>
          <cell r="Z2779">
            <v>274994</v>
          </cell>
          <cell r="AA2779">
            <v>277820</v>
          </cell>
          <cell r="AB2779">
            <v>291055</v>
          </cell>
          <cell r="AC2779">
            <v>283917</v>
          </cell>
          <cell r="AD2779">
            <v>282372</v>
          </cell>
          <cell r="AE2779">
            <v>275904</v>
          </cell>
          <cell r="AF2779">
            <v>290645</v>
          </cell>
          <cell r="AG2779">
            <v>281538</v>
          </cell>
          <cell r="AH2779">
            <v>286652</v>
          </cell>
          <cell r="AI2779">
            <v>275354</v>
          </cell>
          <cell r="AJ2779">
            <v>240055</v>
          </cell>
        </row>
        <row r="2780">
          <cell r="E2780" t="str">
            <v>MA Industrial Still Gas</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row>
        <row r="2781">
          <cell r="E2781" t="str">
            <v>MD Industrial Still Gas</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row>
        <row r="2782">
          <cell r="E2782" t="str">
            <v>ME Industrial Still Gas</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row>
        <row r="2783">
          <cell r="E2783" t="str">
            <v>MI Industrial Still Gas</v>
          </cell>
          <cell r="F2783">
            <v>11680</v>
          </cell>
          <cell r="G2783">
            <v>11305</v>
          </cell>
          <cell r="H2783">
            <v>11320</v>
          </cell>
          <cell r="I2783">
            <v>11243</v>
          </cell>
          <cell r="J2783">
            <v>11033</v>
          </cell>
          <cell r="K2783">
            <v>11371</v>
          </cell>
          <cell r="L2783">
            <v>11464</v>
          </cell>
          <cell r="M2783">
            <v>11269</v>
          </cell>
          <cell r="N2783">
            <v>11275</v>
          </cell>
          <cell r="O2783">
            <v>6518</v>
          </cell>
          <cell r="P2783">
            <v>6566</v>
          </cell>
          <cell r="Q2783">
            <v>6680</v>
          </cell>
          <cell r="R2783">
            <v>6559</v>
          </cell>
          <cell r="S2783">
            <v>6783</v>
          </cell>
          <cell r="T2783">
            <v>6728</v>
          </cell>
          <cell r="U2783">
            <v>9117</v>
          </cell>
          <cell r="V2783">
            <v>9139</v>
          </cell>
          <cell r="W2783">
            <v>9041</v>
          </cell>
          <cell r="X2783">
            <v>8662</v>
          </cell>
          <cell r="Y2783">
            <v>9153</v>
          </cell>
          <cell r="Z2783">
            <v>9211</v>
          </cell>
          <cell r="AA2783">
            <v>9229</v>
          </cell>
          <cell r="AB2783">
            <v>10671</v>
          </cell>
          <cell r="AC2783">
            <v>10665</v>
          </cell>
          <cell r="AD2783">
            <v>11046</v>
          </cell>
          <cell r="AE2783">
            <v>10875</v>
          </cell>
          <cell r="AF2783">
            <v>11476</v>
          </cell>
          <cell r="AG2783">
            <v>11850</v>
          </cell>
          <cell r="AH2783">
            <v>12066</v>
          </cell>
          <cell r="AI2783">
            <v>11450</v>
          </cell>
          <cell r="AJ2783">
            <v>10937</v>
          </cell>
        </row>
        <row r="2784">
          <cell r="E2784" t="str">
            <v>MN Industrial Still Gas</v>
          </cell>
          <cell r="F2784">
            <v>26305</v>
          </cell>
          <cell r="G2784">
            <v>25461</v>
          </cell>
          <cell r="H2784">
            <v>26155</v>
          </cell>
          <cell r="I2784">
            <v>27923</v>
          </cell>
          <cell r="J2784">
            <v>28355</v>
          </cell>
          <cell r="K2784">
            <v>27921</v>
          </cell>
          <cell r="L2784">
            <v>30224</v>
          </cell>
          <cell r="M2784">
            <v>29709</v>
          </cell>
          <cell r="N2784">
            <v>29529</v>
          </cell>
          <cell r="O2784">
            <v>29068</v>
          </cell>
          <cell r="P2784">
            <v>29727</v>
          </cell>
          <cell r="Q2784">
            <v>30241</v>
          </cell>
          <cell r="R2784">
            <v>29694</v>
          </cell>
          <cell r="S2784">
            <v>30709</v>
          </cell>
          <cell r="T2784">
            <v>30457</v>
          </cell>
          <cell r="U2784">
            <v>31845</v>
          </cell>
          <cell r="V2784">
            <v>31921</v>
          </cell>
          <cell r="W2784">
            <v>32100</v>
          </cell>
          <cell r="X2784">
            <v>30105</v>
          </cell>
          <cell r="Y2784">
            <v>30611</v>
          </cell>
          <cell r="Z2784">
            <v>29198</v>
          </cell>
          <cell r="AA2784">
            <v>30577</v>
          </cell>
          <cell r="AB2784">
            <v>30991</v>
          </cell>
          <cell r="AC2784">
            <v>31170</v>
          </cell>
          <cell r="AD2784">
            <v>30632</v>
          </cell>
          <cell r="AE2784">
            <v>31217</v>
          </cell>
          <cell r="AF2784">
            <v>33776</v>
          </cell>
          <cell r="AG2784">
            <v>34826</v>
          </cell>
          <cell r="AH2784">
            <v>36070</v>
          </cell>
          <cell r="AI2784">
            <v>35823</v>
          </cell>
          <cell r="AJ2784">
            <v>34218</v>
          </cell>
        </row>
        <row r="2785">
          <cell r="E2785" t="str">
            <v>MO Industrial Still Gas</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row>
        <row r="2786">
          <cell r="E2786" t="str">
            <v>MS Industrial Still Gas</v>
          </cell>
          <cell r="F2786">
            <v>35691</v>
          </cell>
          <cell r="G2786">
            <v>35212</v>
          </cell>
          <cell r="H2786">
            <v>36407</v>
          </cell>
          <cell r="I2786">
            <v>36161</v>
          </cell>
          <cell r="J2786">
            <v>31954</v>
          </cell>
          <cell r="K2786">
            <v>31464</v>
          </cell>
          <cell r="L2786">
            <v>31721</v>
          </cell>
          <cell r="M2786">
            <v>31181</v>
          </cell>
          <cell r="N2786">
            <v>30048</v>
          </cell>
          <cell r="O2786">
            <v>29579</v>
          </cell>
          <cell r="P2786">
            <v>29709</v>
          </cell>
          <cell r="Q2786">
            <v>30223</v>
          </cell>
          <cell r="R2786">
            <v>32335</v>
          </cell>
          <cell r="S2786">
            <v>33441</v>
          </cell>
          <cell r="T2786">
            <v>33166</v>
          </cell>
          <cell r="U2786">
            <v>33186</v>
          </cell>
          <cell r="V2786">
            <v>33264</v>
          </cell>
          <cell r="W2786">
            <v>32264</v>
          </cell>
          <cell r="X2786">
            <v>30912</v>
          </cell>
          <cell r="Y2786">
            <v>31431</v>
          </cell>
          <cell r="Z2786">
            <v>31631</v>
          </cell>
          <cell r="AA2786">
            <v>31691</v>
          </cell>
          <cell r="AB2786">
            <v>32369</v>
          </cell>
          <cell r="AC2786">
            <v>31561</v>
          </cell>
          <cell r="AD2786">
            <v>30930</v>
          </cell>
          <cell r="AE2786">
            <v>29989</v>
          </cell>
          <cell r="AF2786">
            <v>32818</v>
          </cell>
          <cell r="AG2786">
            <v>33205</v>
          </cell>
          <cell r="AH2786">
            <v>33952</v>
          </cell>
          <cell r="AI2786">
            <v>32220</v>
          </cell>
          <cell r="AJ2786">
            <v>30776</v>
          </cell>
        </row>
        <row r="2787">
          <cell r="E2787" t="str">
            <v>MT Industrial Still Gas</v>
          </cell>
          <cell r="F2787">
            <v>13753</v>
          </cell>
          <cell r="G2787">
            <v>13312</v>
          </cell>
          <cell r="H2787">
            <v>13675</v>
          </cell>
          <cell r="I2787">
            <v>13602</v>
          </cell>
          <cell r="J2787">
            <v>13548</v>
          </cell>
          <cell r="K2787">
            <v>13340</v>
          </cell>
          <cell r="L2787">
            <v>13875</v>
          </cell>
          <cell r="M2787">
            <v>13732</v>
          </cell>
          <cell r="N2787">
            <v>13597</v>
          </cell>
          <cell r="O2787">
            <v>14278</v>
          </cell>
          <cell r="P2787">
            <v>14783</v>
          </cell>
          <cell r="Q2787">
            <v>16249</v>
          </cell>
          <cell r="R2787">
            <v>15955</v>
          </cell>
          <cell r="S2787">
            <v>16610</v>
          </cell>
          <cell r="T2787">
            <v>16474</v>
          </cell>
          <cell r="U2787">
            <v>16520</v>
          </cell>
          <cell r="V2787">
            <v>16678</v>
          </cell>
          <cell r="W2787">
            <v>16584</v>
          </cell>
          <cell r="X2787">
            <v>15889</v>
          </cell>
          <cell r="Y2787">
            <v>16199</v>
          </cell>
          <cell r="Z2787">
            <v>16302</v>
          </cell>
          <cell r="AA2787">
            <v>16333</v>
          </cell>
          <cell r="AB2787">
            <v>16771</v>
          </cell>
          <cell r="AC2787">
            <v>16353</v>
          </cell>
          <cell r="AD2787">
            <v>16026</v>
          </cell>
          <cell r="AE2787">
            <v>16774</v>
          </cell>
          <cell r="AF2787">
            <v>17831</v>
          </cell>
          <cell r="AG2787">
            <v>17485</v>
          </cell>
          <cell r="AH2787">
            <v>17677</v>
          </cell>
          <cell r="AI2787">
            <v>17454</v>
          </cell>
          <cell r="AJ2787">
            <v>16757</v>
          </cell>
        </row>
        <row r="2788">
          <cell r="E2788" t="str">
            <v>NC Industrial Still Gas</v>
          </cell>
          <cell r="F2788">
            <v>295</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row>
        <row r="2789">
          <cell r="E2789" t="str">
            <v>ND Industrial Still Gas</v>
          </cell>
          <cell r="F2789">
            <v>5712</v>
          </cell>
          <cell r="G2789">
            <v>5529</v>
          </cell>
          <cell r="H2789">
            <v>5679</v>
          </cell>
          <cell r="I2789">
            <v>5641</v>
          </cell>
          <cell r="J2789">
            <v>5536</v>
          </cell>
          <cell r="K2789">
            <v>5451</v>
          </cell>
          <cell r="L2789">
            <v>5495</v>
          </cell>
          <cell r="M2789">
            <v>5402</v>
          </cell>
          <cell r="N2789">
            <v>5190</v>
          </cell>
          <cell r="O2789">
            <v>5109</v>
          </cell>
          <cell r="P2789">
            <v>5147</v>
          </cell>
          <cell r="Q2789">
            <v>5236</v>
          </cell>
          <cell r="R2789">
            <v>5141</v>
          </cell>
          <cell r="S2789">
            <v>5317</v>
          </cell>
          <cell r="T2789">
            <v>5273</v>
          </cell>
          <cell r="U2789">
            <v>5288</v>
          </cell>
          <cell r="V2789">
            <v>5300</v>
          </cell>
          <cell r="W2789">
            <v>5141</v>
          </cell>
          <cell r="X2789">
            <v>4925</v>
          </cell>
          <cell r="Y2789">
            <v>5008</v>
          </cell>
          <cell r="Z2789">
            <v>5040</v>
          </cell>
          <cell r="AA2789">
            <v>5224</v>
          </cell>
          <cell r="AB2789">
            <v>6047</v>
          </cell>
          <cell r="AC2789">
            <v>6069</v>
          </cell>
          <cell r="AD2789">
            <v>6276</v>
          </cell>
          <cell r="AE2789">
            <v>7692</v>
          </cell>
          <cell r="AF2789">
            <v>8111</v>
          </cell>
          <cell r="AG2789">
            <v>7954</v>
          </cell>
          <cell r="AH2789">
            <v>7757</v>
          </cell>
          <cell r="AI2789">
            <v>7361</v>
          </cell>
          <cell r="AJ2789">
            <v>6042</v>
          </cell>
        </row>
        <row r="2790">
          <cell r="E2790" t="str">
            <v>NE Industrial Still Gas</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row>
        <row r="2791">
          <cell r="E2791" t="str">
            <v>NH Industrial Still Gas</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row>
        <row r="2792">
          <cell r="E2792" t="str">
            <v>NJ Industrial Still Gas</v>
          </cell>
          <cell r="F2792">
            <v>32943</v>
          </cell>
          <cell r="G2792">
            <v>43324</v>
          </cell>
          <cell r="H2792">
            <v>39903</v>
          </cell>
          <cell r="I2792">
            <v>41822</v>
          </cell>
          <cell r="J2792">
            <v>48293</v>
          </cell>
          <cell r="K2792">
            <v>45580</v>
          </cell>
          <cell r="L2792">
            <v>53531</v>
          </cell>
          <cell r="M2792">
            <v>52806</v>
          </cell>
          <cell r="N2792">
            <v>48500</v>
          </cell>
          <cell r="O2792">
            <v>51795</v>
          </cell>
          <cell r="P2792">
            <v>48539</v>
          </cell>
          <cell r="Q2792">
            <v>50462</v>
          </cell>
          <cell r="R2792">
            <v>48953</v>
          </cell>
          <cell r="S2792">
            <v>59126</v>
          </cell>
          <cell r="T2792">
            <v>55913</v>
          </cell>
          <cell r="U2792">
            <v>59716</v>
          </cell>
          <cell r="V2792">
            <v>56933</v>
          </cell>
          <cell r="W2792">
            <v>55221</v>
          </cell>
          <cell r="X2792">
            <v>46113</v>
          </cell>
          <cell r="Y2792">
            <v>34367</v>
          </cell>
          <cell r="Z2792">
            <v>34586</v>
          </cell>
          <cell r="AA2792">
            <v>34651</v>
          </cell>
          <cell r="AB2792">
            <v>41617</v>
          </cell>
          <cell r="AC2792">
            <v>40578</v>
          </cell>
          <cell r="AD2792">
            <v>39767</v>
          </cell>
          <cell r="AE2792">
            <v>38887</v>
          </cell>
          <cell r="AF2792">
            <v>41295</v>
          </cell>
          <cell r="AG2792">
            <v>35634</v>
          </cell>
          <cell r="AH2792">
            <v>36069</v>
          </cell>
          <cell r="AI2792">
            <v>34228</v>
          </cell>
          <cell r="AJ2792">
            <v>28007</v>
          </cell>
        </row>
        <row r="2793">
          <cell r="E2793" t="str">
            <v>NM Industrial Still Gas</v>
          </cell>
          <cell r="F2793">
            <v>7367</v>
          </cell>
          <cell r="G2793">
            <v>9323</v>
          </cell>
          <cell r="H2793">
            <v>9263</v>
          </cell>
          <cell r="I2793">
            <v>9201</v>
          </cell>
          <cell r="J2793">
            <v>9029</v>
          </cell>
          <cell r="K2793">
            <v>8890</v>
          </cell>
          <cell r="L2793">
            <v>8963</v>
          </cell>
          <cell r="M2793">
            <v>8810</v>
          </cell>
          <cell r="N2793">
            <v>8465</v>
          </cell>
          <cell r="O2793">
            <v>8421</v>
          </cell>
          <cell r="P2793">
            <v>8483</v>
          </cell>
          <cell r="Q2793">
            <v>8630</v>
          </cell>
          <cell r="R2793">
            <v>8474</v>
          </cell>
          <cell r="S2793">
            <v>8764</v>
          </cell>
          <cell r="T2793">
            <v>10237</v>
          </cell>
          <cell r="U2793">
            <v>10266</v>
          </cell>
          <cell r="V2793">
            <v>11113</v>
          </cell>
          <cell r="W2793">
            <v>10778</v>
          </cell>
          <cell r="X2793">
            <v>11261</v>
          </cell>
          <cell r="Y2793">
            <v>10863</v>
          </cell>
          <cell r="Z2793">
            <v>10958</v>
          </cell>
          <cell r="AA2793">
            <v>10979</v>
          </cell>
          <cell r="AB2793">
            <v>11258</v>
          </cell>
          <cell r="AC2793">
            <v>11332</v>
          </cell>
          <cell r="AD2793">
            <v>10834</v>
          </cell>
          <cell r="AE2793">
            <v>10505</v>
          </cell>
          <cell r="AF2793">
            <v>10737</v>
          </cell>
          <cell r="AG2793">
            <v>11645</v>
          </cell>
          <cell r="AH2793">
            <v>11721</v>
          </cell>
          <cell r="AI2793">
            <v>11205</v>
          </cell>
          <cell r="AJ2793">
            <v>9121</v>
          </cell>
        </row>
        <row r="2794">
          <cell r="E2794" t="str">
            <v>NV Industrial Still Gas</v>
          </cell>
          <cell r="F2794">
            <v>0</v>
          </cell>
          <cell r="G2794">
            <v>667</v>
          </cell>
          <cell r="H2794">
            <v>685</v>
          </cell>
          <cell r="I2794">
            <v>681</v>
          </cell>
          <cell r="J2794">
            <v>668</v>
          </cell>
          <cell r="K2794">
            <v>658</v>
          </cell>
          <cell r="L2794">
            <v>663</v>
          </cell>
          <cell r="M2794">
            <v>652</v>
          </cell>
          <cell r="N2794">
            <v>626</v>
          </cell>
          <cell r="O2794">
            <v>440</v>
          </cell>
          <cell r="P2794">
            <v>444</v>
          </cell>
          <cell r="Q2794">
            <v>451</v>
          </cell>
          <cell r="R2794">
            <v>443</v>
          </cell>
          <cell r="S2794">
            <v>176</v>
          </cell>
          <cell r="T2794">
            <v>155</v>
          </cell>
          <cell r="U2794">
            <v>182</v>
          </cell>
          <cell r="V2794">
            <v>183</v>
          </cell>
          <cell r="W2794">
            <v>177</v>
          </cell>
          <cell r="X2794">
            <v>170</v>
          </cell>
          <cell r="Y2794">
            <v>173</v>
          </cell>
          <cell r="Z2794">
            <v>174</v>
          </cell>
          <cell r="AA2794">
            <v>174</v>
          </cell>
          <cell r="AB2794">
            <v>178</v>
          </cell>
          <cell r="AC2794">
            <v>173</v>
          </cell>
          <cell r="AD2794">
            <v>170</v>
          </cell>
          <cell r="AE2794">
            <v>165</v>
          </cell>
          <cell r="AF2794">
            <v>174</v>
          </cell>
          <cell r="AG2794">
            <v>170</v>
          </cell>
          <cell r="AH2794">
            <v>172</v>
          </cell>
          <cell r="AI2794">
            <v>164</v>
          </cell>
          <cell r="AJ2794">
            <v>156</v>
          </cell>
        </row>
        <row r="2795">
          <cell r="E2795" t="str">
            <v>NY Industrial Still Gas</v>
          </cell>
          <cell r="F2795">
            <v>4122</v>
          </cell>
          <cell r="G2795">
            <v>0</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row>
        <row r="2796">
          <cell r="E2796" t="str">
            <v>OH Industrial Still Gas</v>
          </cell>
          <cell r="F2796">
            <v>45017</v>
          </cell>
          <cell r="G2796">
            <v>44049</v>
          </cell>
          <cell r="H2796">
            <v>45249</v>
          </cell>
          <cell r="I2796">
            <v>44944</v>
          </cell>
          <cell r="J2796">
            <v>46575</v>
          </cell>
          <cell r="K2796">
            <v>45861</v>
          </cell>
          <cell r="L2796">
            <v>48178</v>
          </cell>
          <cell r="M2796">
            <v>47358</v>
          </cell>
          <cell r="N2796">
            <v>46576</v>
          </cell>
          <cell r="O2796">
            <v>46289</v>
          </cell>
          <cell r="P2796">
            <v>46631</v>
          </cell>
          <cell r="Q2796">
            <v>47438</v>
          </cell>
          <cell r="R2796">
            <v>47111</v>
          </cell>
          <cell r="S2796">
            <v>48979</v>
          </cell>
          <cell r="T2796">
            <v>50131</v>
          </cell>
          <cell r="U2796">
            <v>46578</v>
          </cell>
          <cell r="V2796">
            <v>46618</v>
          </cell>
          <cell r="W2796">
            <v>45666</v>
          </cell>
          <cell r="X2796">
            <v>43293</v>
          </cell>
          <cell r="Y2796">
            <v>44358</v>
          </cell>
          <cell r="Z2796">
            <v>45570</v>
          </cell>
          <cell r="AA2796">
            <v>45969</v>
          </cell>
          <cell r="AB2796">
            <v>47131</v>
          </cell>
          <cell r="AC2796">
            <v>45954</v>
          </cell>
          <cell r="AD2796">
            <v>47329</v>
          </cell>
          <cell r="AE2796">
            <v>45973</v>
          </cell>
          <cell r="AF2796">
            <v>50684</v>
          </cell>
          <cell r="AG2796">
            <v>50962</v>
          </cell>
          <cell r="AH2796">
            <v>51522</v>
          </cell>
          <cell r="AI2796">
            <v>49220</v>
          </cell>
          <cell r="AJ2796">
            <v>46936</v>
          </cell>
        </row>
        <row r="2797">
          <cell r="E2797" t="str">
            <v>OK Industrial Still Gas</v>
          </cell>
          <cell r="F2797">
            <v>38951</v>
          </cell>
          <cell r="G2797">
            <v>37986</v>
          </cell>
          <cell r="H2797">
            <v>38825</v>
          </cell>
          <cell r="I2797">
            <v>39283</v>
          </cell>
          <cell r="J2797">
            <v>38224</v>
          </cell>
          <cell r="K2797">
            <v>38578</v>
          </cell>
          <cell r="L2797">
            <v>38656</v>
          </cell>
          <cell r="M2797">
            <v>38836</v>
          </cell>
          <cell r="N2797">
            <v>39194</v>
          </cell>
          <cell r="O2797">
            <v>40034</v>
          </cell>
          <cell r="P2797">
            <v>41626</v>
          </cell>
          <cell r="Q2797">
            <v>43516</v>
          </cell>
          <cell r="R2797">
            <v>41828</v>
          </cell>
          <cell r="S2797">
            <v>43681</v>
          </cell>
          <cell r="T2797">
            <v>44090</v>
          </cell>
          <cell r="U2797">
            <v>44394</v>
          </cell>
          <cell r="V2797">
            <v>44843</v>
          </cell>
          <cell r="W2797">
            <v>46127</v>
          </cell>
          <cell r="X2797">
            <v>43404</v>
          </cell>
          <cell r="Y2797">
            <v>44134</v>
          </cell>
          <cell r="Z2797">
            <v>44206</v>
          </cell>
          <cell r="AA2797">
            <v>44289</v>
          </cell>
          <cell r="AB2797">
            <v>45236</v>
          </cell>
          <cell r="AC2797">
            <v>44332</v>
          </cell>
          <cell r="AD2797">
            <v>43446</v>
          </cell>
          <cell r="AE2797">
            <v>42125</v>
          </cell>
          <cell r="AF2797">
            <v>44450</v>
          </cell>
          <cell r="AG2797">
            <v>44483</v>
          </cell>
          <cell r="AH2797">
            <v>45058</v>
          </cell>
          <cell r="AI2797">
            <v>42759</v>
          </cell>
          <cell r="AJ2797">
            <v>40765</v>
          </cell>
        </row>
        <row r="2798">
          <cell r="E2798" t="str">
            <v>OR Industrial Still Gas</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row>
        <row r="2799">
          <cell r="E2799" t="str">
            <v>PA Industrial Still Gas</v>
          </cell>
          <cell r="F2799">
            <v>73304</v>
          </cell>
          <cell r="G2799">
            <v>69930</v>
          </cell>
          <cell r="H2799">
            <v>71621</v>
          </cell>
          <cell r="I2799">
            <v>63676</v>
          </cell>
          <cell r="J2799">
            <v>64012</v>
          </cell>
          <cell r="K2799">
            <v>70268</v>
          </cell>
          <cell r="L2799">
            <v>54545</v>
          </cell>
          <cell r="M2799">
            <v>70380</v>
          </cell>
          <cell r="N2799">
            <v>68705</v>
          </cell>
          <cell r="O2799">
            <v>68073</v>
          </cell>
          <cell r="P2799">
            <v>67440</v>
          </cell>
          <cell r="Q2799">
            <v>68607</v>
          </cell>
          <cell r="R2799">
            <v>67365</v>
          </cell>
          <cell r="S2799">
            <v>69668</v>
          </cell>
          <cell r="T2799">
            <v>70005</v>
          </cell>
          <cell r="U2799">
            <v>70200</v>
          </cell>
          <cell r="V2799">
            <v>70641</v>
          </cell>
          <cell r="W2799">
            <v>68517</v>
          </cell>
          <cell r="X2799">
            <v>65645</v>
          </cell>
          <cell r="Y2799">
            <v>66749</v>
          </cell>
          <cell r="Z2799">
            <v>67173</v>
          </cell>
          <cell r="AA2799">
            <v>64615</v>
          </cell>
          <cell r="AB2799">
            <v>41943</v>
          </cell>
          <cell r="AC2799">
            <v>51676</v>
          </cell>
          <cell r="AD2799">
            <v>50643</v>
          </cell>
          <cell r="AE2799">
            <v>49515</v>
          </cell>
          <cell r="AF2799">
            <v>50075</v>
          </cell>
          <cell r="AG2799">
            <v>51235</v>
          </cell>
          <cell r="AH2799">
            <v>51797</v>
          </cell>
          <cell r="AI2799">
            <v>35455</v>
          </cell>
          <cell r="AJ2799">
            <v>20781</v>
          </cell>
        </row>
        <row r="2800">
          <cell r="E2800" t="str">
            <v>RI Industrial Still Gas</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row>
        <row r="2801">
          <cell r="E2801" t="str">
            <v>SC Industrial Still Gas</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row>
        <row r="2802">
          <cell r="E2802" t="str">
            <v>SD Industrial Still Gas</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row>
        <row r="2803">
          <cell r="E2803" t="str">
            <v>TN Industrial Still Gas</v>
          </cell>
          <cell r="F2803">
            <v>5909</v>
          </cell>
          <cell r="G2803">
            <v>7245</v>
          </cell>
          <cell r="H2803">
            <v>7442</v>
          </cell>
          <cell r="I2803">
            <v>7392</v>
          </cell>
          <cell r="J2803">
            <v>8494</v>
          </cell>
          <cell r="K2803">
            <v>8364</v>
          </cell>
          <cell r="L2803">
            <v>9948</v>
          </cell>
          <cell r="M2803">
            <v>9779</v>
          </cell>
          <cell r="N2803">
            <v>12528</v>
          </cell>
          <cell r="O2803">
            <v>14094</v>
          </cell>
          <cell r="P2803">
            <v>15085</v>
          </cell>
          <cell r="Q2803">
            <v>16249</v>
          </cell>
          <cell r="R2803">
            <v>15955</v>
          </cell>
          <cell r="S2803">
            <v>16500</v>
          </cell>
          <cell r="T2803">
            <v>16365</v>
          </cell>
          <cell r="U2803">
            <v>16410</v>
          </cell>
          <cell r="V2803">
            <v>16449</v>
          </cell>
          <cell r="W2803">
            <v>15955</v>
          </cell>
          <cell r="X2803">
            <v>15286</v>
          </cell>
          <cell r="Y2803">
            <v>15543</v>
          </cell>
          <cell r="Z2803">
            <v>15642</v>
          </cell>
          <cell r="AA2803">
            <v>15671</v>
          </cell>
          <cell r="AB2803">
            <v>16007</v>
          </cell>
          <cell r="AC2803">
            <v>15607</v>
          </cell>
          <cell r="AD2803">
            <v>15295</v>
          </cell>
          <cell r="AE2803">
            <v>15654</v>
          </cell>
          <cell r="AF2803">
            <v>16518</v>
          </cell>
          <cell r="AG2803">
            <v>15345</v>
          </cell>
          <cell r="AH2803">
            <v>15513</v>
          </cell>
          <cell r="AI2803">
            <v>14722</v>
          </cell>
          <cell r="AJ2803">
            <v>14062</v>
          </cell>
        </row>
        <row r="2804">
          <cell r="E2804" t="str">
            <v>TX Industrial Still Gas</v>
          </cell>
          <cell r="F2804">
            <v>381677</v>
          </cell>
          <cell r="G2804">
            <v>372403</v>
          </cell>
          <cell r="H2804">
            <v>365337</v>
          </cell>
          <cell r="I2804">
            <v>366083</v>
          </cell>
          <cell r="J2804">
            <v>373369</v>
          </cell>
          <cell r="K2804">
            <v>367958</v>
          </cell>
          <cell r="L2804">
            <v>373245</v>
          </cell>
          <cell r="M2804">
            <v>377657</v>
          </cell>
          <cell r="N2804">
            <v>371924</v>
          </cell>
          <cell r="O2804">
            <v>374017</v>
          </cell>
          <cell r="P2804">
            <v>378498</v>
          </cell>
          <cell r="Q2804">
            <v>389830</v>
          </cell>
          <cell r="R2804">
            <v>383698</v>
          </cell>
          <cell r="S2804">
            <v>409540</v>
          </cell>
          <cell r="T2804">
            <v>420721</v>
          </cell>
          <cell r="U2804">
            <v>386677</v>
          </cell>
          <cell r="V2804">
            <v>396343</v>
          </cell>
          <cell r="W2804">
            <v>399685</v>
          </cell>
          <cell r="X2804">
            <v>398214</v>
          </cell>
          <cell r="Y2804">
            <v>404250</v>
          </cell>
          <cell r="Z2804">
            <v>404837</v>
          </cell>
          <cell r="AA2804">
            <v>405401</v>
          </cell>
          <cell r="AB2804">
            <v>422813</v>
          </cell>
          <cell r="AC2804">
            <v>448630</v>
          </cell>
          <cell r="AD2804">
            <v>441152</v>
          </cell>
          <cell r="AE2804">
            <v>444996</v>
          </cell>
          <cell r="AF2804">
            <v>489361</v>
          </cell>
          <cell r="AG2804">
            <v>486044</v>
          </cell>
          <cell r="AH2804">
            <v>495781</v>
          </cell>
          <cell r="AI2804">
            <v>477960</v>
          </cell>
          <cell r="AJ2804">
            <v>452804</v>
          </cell>
        </row>
        <row r="2805">
          <cell r="E2805" t="str">
            <v>US Industrial Still Gas</v>
          </cell>
          <cell r="F2805">
            <v>1473210</v>
          </cell>
          <cell r="G2805">
            <v>1426554</v>
          </cell>
          <cell r="H2805">
            <v>1446960</v>
          </cell>
          <cell r="I2805">
            <v>1430190</v>
          </cell>
          <cell r="J2805">
            <v>1439406</v>
          </cell>
          <cell r="K2805">
            <v>1417452</v>
          </cell>
          <cell r="L2805">
            <v>1437090</v>
          </cell>
          <cell r="M2805">
            <v>1447104</v>
          </cell>
          <cell r="N2805">
            <v>1437234</v>
          </cell>
          <cell r="O2805">
            <v>1437120</v>
          </cell>
          <cell r="P2805">
            <v>1448190</v>
          </cell>
          <cell r="Q2805">
            <v>1466592</v>
          </cell>
          <cell r="R2805">
            <v>1461102</v>
          </cell>
          <cell r="S2805">
            <v>1536306</v>
          </cell>
          <cell r="T2805">
            <v>1546134</v>
          </cell>
          <cell r="U2805">
            <v>1497084</v>
          </cell>
          <cell r="V2805">
            <v>1553358</v>
          </cell>
          <cell r="W2805">
            <v>1526856</v>
          </cell>
          <cell r="X2805">
            <v>1470300</v>
          </cell>
          <cell r="Y2805">
            <v>1455018</v>
          </cell>
          <cell r="Z2805">
            <v>1471812</v>
          </cell>
          <cell r="AA2805">
            <v>1486974</v>
          </cell>
          <cell r="AB2805">
            <v>1480818</v>
          </cell>
          <cell r="AC2805">
            <v>1537296</v>
          </cell>
          <cell r="AD2805">
            <v>1516944</v>
          </cell>
          <cell r="AE2805">
            <v>1495026</v>
          </cell>
          <cell r="AF2805">
            <v>1604700</v>
          </cell>
          <cell r="AG2805">
            <v>1582821</v>
          </cell>
          <cell r="AH2805">
            <v>1612157</v>
          </cell>
          <cell r="AI2805">
            <v>1533475</v>
          </cell>
          <cell r="AJ2805">
            <v>1404786</v>
          </cell>
        </row>
        <row r="2806">
          <cell r="E2806" t="str">
            <v>UT Industrial Still Gas</v>
          </cell>
          <cell r="F2806">
            <v>15216</v>
          </cell>
          <cell r="G2806">
            <v>14727</v>
          </cell>
          <cell r="H2806">
            <v>15129</v>
          </cell>
          <cell r="I2806">
            <v>15027</v>
          </cell>
          <cell r="J2806">
            <v>14364</v>
          </cell>
          <cell r="K2806">
            <v>14144</v>
          </cell>
          <cell r="L2806">
            <v>15017</v>
          </cell>
          <cell r="M2806">
            <v>14761</v>
          </cell>
          <cell r="N2806">
            <v>14138</v>
          </cell>
          <cell r="O2806">
            <v>13389</v>
          </cell>
          <cell r="P2806">
            <v>13488</v>
          </cell>
          <cell r="Q2806">
            <v>14236</v>
          </cell>
          <cell r="R2806">
            <v>14421</v>
          </cell>
          <cell r="S2806">
            <v>14846</v>
          </cell>
          <cell r="T2806">
            <v>15215</v>
          </cell>
          <cell r="U2806">
            <v>15257</v>
          </cell>
          <cell r="V2806">
            <v>15293</v>
          </cell>
          <cell r="W2806">
            <v>14865</v>
          </cell>
          <cell r="X2806">
            <v>14241</v>
          </cell>
          <cell r="Y2806">
            <v>13596</v>
          </cell>
          <cell r="Z2806">
            <v>14530</v>
          </cell>
          <cell r="AA2806">
            <v>14557</v>
          </cell>
          <cell r="AB2806">
            <v>15291</v>
          </cell>
          <cell r="AC2806">
            <v>15004</v>
          </cell>
          <cell r="AD2806">
            <v>15129</v>
          </cell>
          <cell r="AE2806">
            <v>14916</v>
          </cell>
          <cell r="AF2806">
            <v>17112</v>
          </cell>
          <cell r="AG2806">
            <v>16754</v>
          </cell>
          <cell r="AH2806">
            <v>17284</v>
          </cell>
          <cell r="AI2806">
            <v>16661</v>
          </cell>
          <cell r="AJ2806">
            <v>15915</v>
          </cell>
        </row>
        <row r="2807">
          <cell r="E2807" t="str">
            <v>VA Industrial Still Gas</v>
          </cell>
          <cell r="F2807">
            <v>5584</v>
          </cell>
          <cell r="G2807">
            <v>5634</v>
          </cell>
          <cell r="H2807">
            <v>5190</v>
          </cell>
          <cell r="I2807">
            <v>5155</v>
          </cell>
          <cell r="J2807">
            <v>5058</v>
          </cell>
          <cell r="K2807">
            <v>5385</v>
          </cell>
          <cell r="L2807">
            <v>5372</v>
          </cell>
          <cell r="M2807">
            <v>5281</v>
          </cell>
          <cell r="N2807">
            <v>5244</v>
          </cell>
          <cell r="O2807">
            <v>5241</v>
          </cell>
          <cell r="P2807">
            <v>5298</v>
          </cell>
          <cell r="Q2807">
            <v>5290</v>
          </cell>
          <cell r="R2807">
            <v>5194</v>
          </cell>
          <cell r="S2807">
            <v>5372</v>
          </cell>
          <cell r="T2807">
            <v>5328</v>
          </cell>
          <cell r="U2807">
            <v>0</v>
          </cell>
          <cell r="V2807">
            <v>5426</v>
          </cell>
          <cell r="W2807">
            <v>5642</v>
          </cell>
          <cell r="X2807">
            <v>5477</v>
          </cell>
          <cell r="Y2807">
            <v>5725</v>
          </cell>
          <cell r="Z2807">
            <v>0</v>
          </cell>
          <cell r="AA2807">
            <v>0</v>
          </cell>
          <cell r="AB2807">
            <v>0</v>
          </cell>
          <cell r="AC2807">
            <v>0</v>
          </cell>
          <cell r="AD2807">
            <v>0</v>
          </cell>
          <cell r="AE2807">
            <v>0</v>
          </cell>
          <cell r="AF2807">
            <v>0</v>
          </cell>
          <cell r="AG2807">
            <v>0</v>
          </cell>
          <cell r="AH2807">
            <v>0</v>
          </cell>
          <cell r="AI2807">
            <v>0</v>
          </cell>
          <cell r="AJ2807">
            <v>0</v>
          </cell>
        </row>
        <row r="2808">
          <cell r="E2808" t="str">
            <v>VT Industrial Still Gas</v>
          </cell>
          <cell r="F2808">
            <v>0</v>
          </cell>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row>
        <row r="2809">
          <cell r="E2809" t="str">
            <v>WA Industrial Still Gas</v>
          </cell>
          <cell r="F2809">
            <v>48858</v>
          </cell>
          <cell r="G2809">
            <v>49987</v>
          </cell>
          <cell r="H2809">
            <v>52711</v>
          </cell>
          <cell r="I2809">
            <v>50994</v>
          </cell>
          <cell r="J2809">
            <v>52769</v>
          </cell>
          <cell r="K2809">
            <v>53220</v>
          </cell>
          <cell r="L2809">
            <v>54071</v>
          </cell>
          <cell r="M2809">
            <v>53151</v>
          </cell>
          <cell r="N2809">
            <v>51900</v>
          </cell>
          <cell r="O2809">
            <v>52105</v>
          </cell>
          <cell r="P2809">
            <v>53231</v>
          </cell>
          <cell r="Q2809">
            <v>54457</v>
          </cell>
          <cell r="R2809">
            <v>53887</v>
          </cell>
          <cell r="S2809">
            <v>55262</v>
          </cell>
          <cell r="T2809">
            <v>56018</v>
          </cell>
          <cell r="U2809">
            <v>56876</v>
          </cell>
          <cell r="V2809">
            <v>57011</v>
          </cell>
          <cell r="W2809">
            <v>55651</v>
          </cell>
          <cell r="X2809">
            <v>53318</v>
          </cell>
          <cell r="Y2809">
            <v>54215</v>
          </cell>
          <cell r="Z2809">
            <v>54642</v>
          </cell>
          <cell r="AA2809">
            <v>54911</v>
          </cell>
          <cell r="AB2809">
            <v>56174</v>
          </cell>
          <cell r="AC2809">
            <v>54772</v>
          </cell>
          <cell r="AD2809">
            <v>53677</v>
          </cell>
          <cell r="AE2809">
            <v>52209</v>
          </cell>
          <cell r="AF2809">
            <v>55091</v>
          </cell>
          <cell r="AG2809">
            <v>54364</v>
          </cell>
          <cell r="AH2809">
            <v>56167</v>
          </cell>
          <cell r="AI2809">
            <v>53301</v>
          </cell>
          <cell r="AJ2809">
            <v>50913</v>
          </cell>
        </row>
        <row r="2810">
          <cell r="E2810" t="str">
            <v>WI Industrial Still Gas</v>
          </cell>
          <cell r="F2810">
            <v>3270</v>
          </cell>
          <cell r="G2810">
            <v>3165</v>
          </cell>
          <cell r="H2810">
            <v>3251</v>
          </cell>
          <cell r="I2810">
            <v>3229</v>
          </cell>
          <cell r="J2810">
            <v>3169</v>
          </cell>
          <cell r="K2810">
            <v>3120</v>
          </cell>
          <cell r="L2810">
            <v>3411</v>
          </cell>
          <cell r="M2810">
            <v>3353</v>
          </cell>
          <cell r="N2810">
            <v>2953</v>
          </cell>
          <cell r="O2810">
            <v>2907</v>
          </cell>
          <cell r="P2810">
            <v>2928</v>
          </cell>
          <cell r="Q2810">
            <v>2979</v>
          </cell>
          <cell r="R2810">
            <v>2925</v>
          </cell>
          <cell r="S2810">
            <v>3025</v>
          </cell>
          <cell r="T2810">
            <v>3000</v>
          </cell>
          <cell r="U2810">
            <v>3127</v>
          </cell>
          <cell r="V2810">
            <v>3135</v>
          </cell>
          <cell r="W2810">
            <v>3040</v>
          </cell>
          <cell r="X2810">
            <v>2913</v>
          </cell>
          <cell r="Y2810">
            <v>2962</v>
          </cell>
          <cell r="Z2810">
            <v>2981</v>
          </cell>
          <cell r="AA2810">
            <v>3308</v>
          </cell>
          <cell r="AB2810">
            <v>3379</v>
          </cell>
          <cell r="AC2810">
            <v>3295</v>
          </cell>
          <cell r="AD2810">
            <v>3229</v>
          </cell>
          <cell r="AE2810">
            <v>3131</v>
          </cell>
          <cell r="AF2810">
            <v>3304</v>
          </cell>
          <cell r="AG2810">
            <v>3239</v>
          </cell>
          <cell r="AH2810">
            <v>1092</v>
          </cell>
          <cell r="AI2810">
            <v>0</v>
          </cell>
          <cell r="AJ2810">
            <v>0</v>
          </cell>
        </row>
        <row r="2811">
          <cell r="E2811" t="str">
            <v>WV Industrial Still Gas</v>
          </cell>
          <cell r="F2811">
            <v>1231</v>
          </cell>
          <cell r="G2811">
            <v>1525</v>
          </cell>
          <cell r="H2811">
            <v>1518</v>
          </cell>
          <cell r="I2811">
            <v>1118</v>
          </cell>
          <cell r="J2811">
            <v>1098</v>
          </cell>
          <cell r="K2811">
            <v>1081</v>
          </cell>
          <cell r="L2811">
            <v>1090</v>
          </cell>
          <cell r="M2811">
            <v>1118</v>
          </cell>
          <cell r="N2811">
            <v>1056</v>
          </cell>
          <cell r="O2811">
            <v>1172</v>
          </cell>
          <cell r="P2811">
            <v>1402</v>
          </cell>
          <cell r="Q2811">
            <v>1679</v>
          </cell>
          <cell r="R2811">
            <v>1720</v>
          </cell>
          <cell r="S2811">
            <v>1778</v>
          </cell>
          <cell r="T2811">
            <v>1764</v>
          </cell>
          <cell r="U2811">
            <v>1823</v>
          </cell>
          <cell r="V2811">
            <v>1828</v>
          </cell>
          <cell r="W2811">
            <v>1773</v>
          </cell>
          <cell r="X2811">
            <v>1698</v>
          </cell>
          <cell r="Y2811">
            <v>1727</v>
          </cell>
          <cell r="Z2811">
            <v>1738</v>
          </cell>
          <cell r="AA2811">
            <v>1741</v>
          </cell>
          <cell r="AB2811">
            <v>1779</v>
          </cell>
          <cell r="AC2811">
            <v>1934</v>
          </cell>
          <cell r="AD2811">
            <v>1895</v>
          </cell>
          <cell r="AE2811">
            <v>1837</v>
          </cell>
          <cell r="AF2811">
            <v>1939</v>
          </cell>
          <cell r="AG2811">
            <v>1901</v>
          </cell>
          <cell r="AH2811">
            <v>1922</v>
          </cell>
          <cell r="AI2811">
            <v>1824</v>
          </cell>
          <cell r="AJ2811">
            <v>1742</v>
          </cell>
        </row>
        <row r="2812">
          <cell r="E2812" t="str">
            <v>WY Industrial Still Gas</v>
          </cell>
          <cell r="F2812">
            <v>16715</v>
          </cell>
          <cell r="G2812">
            <v>12366</v>
          </cell>
          <cell r="H2812">
            <v>12703</v>
          </cell>
          <cell r="I2812">
            <v>12617</v>
          </cell>
          <cell r="J2812">
            <v>12381</v>
          </cell>
          <cell r="K2812">
            <v>12191</v>
          </cell>
          <cell r="L2812">
            <v>12291</v>
          </cell>
          <cell r="M2812">
            <v>12082</v>
          </cell>
          <cell r="N2812">
            <v>11872</v>
          </cell>
          <cell r="O2812">
            <v>11642</v>
          </cell>
          <cell r="P2812">
            <v>12457</v>
          </cell>
          <cell r="Q2812">
            <v>12699</v>
          </cell>
          <cell r="R2812">
            <v>13118</v>
          </cell>
          <cell r="S2812">
            <v>13934</v>
          </cell>
          <cell r="T2812">
            <v>13819</v>
          </cell>
          <cell r="U2812">
            <v>13949</v>
          </cell>
          <cell r="V2812">
            <v>14119</v>
          </cell>
          <cell r="W2812">
            <v>13695</v>
          </cell>
          <cell r="X2812">
            <v>13800</v>
          </cell>
          <cell r="Y2812">
            <v>14032</v>
          </cell>
          <cell r="Z2812">
            <v>14121</v>
          </cell>
          <cell r="AA2812">
            <v>14409</v>
          </cell>
          <cell r="AB2812">
            <v>14788</v>
          </cell>
          <cell r="AC2812">
            <v>14419</v>
          </cell>
          <cell r="AD2812">
            <v>15066</v>
          </cell>
          <cell r="AE2812">
            <v>14624</v>
          </cell>
          <cell r="AF2812">
            <v>15431</v>
          </cell>
          <cell r="AG2812">
            <v>14365</v>
          </cell>
          <cell r="AH2812">
            <v>14522</v>
          </cell>
          <cell r="AI2812">
            <v>13781</v>
          </cell>
          <cell r="AJ2812">
            <v>12019</v>
          </cell>
        </row>
        <row r="2813">
          <cell r="E2813" t="str">
            <v>AK Industrial Special Naphthas</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row>
        <row r="2814">
          <cell r="E2814" t="str">
            <v>AL Industrial Special Naphthas</v>
          </cell>
          <cell r="F2814">
            <v>852</v>
          </cell>
          <cell r="G2814">
            <v>918</v>
          </cell>
          <cell r="H2814">
            <v>1091</v>
          </cell>
          <cell r="I2814">
            <v>1091</v>
          </cell>
          <cell r="J2814">
            <v>846</v>
          </cell>
          <cell r="K2814">
            <v>739</v>
          </cell>
          <cell r="L2814">
            <v>848</v>
          </cell>
          <cell r="M2814">
            <v>822</v>
          </cell>
          <cell r="N2814">
            <v>1220</v>
          </cell>
          <cell r="O2814">
            <v>1654</v>
          </cell>
          <cell r="P2814">
            <v>1107</v>
          </cell>
          <cell r="Q2814">
            <v>1551</v>
          </cell>
          <cell r="R2814">
            <v>2023</v>
          </cell>
          <cell r="S2814">
            <v>1590</v>
          </cell>
          <cell r="T2814">
            <v>1008</v>
          </cell>
          <cell r="U2814">
            <v>1235</v>
          </cell>
          <cell r="V2814">
            <v>1620</v>
          </cell>
          <cell r="W2814">
            <v>1805</v>
          </cell>
          <cell r="X2814">
            <v>1964</v>
          </cell>
          <cell r="Y2814">
            <v>1068</v>
          </cell>
          <cell r="Z2814">
            <v>604</v>
          </cell>
          <cell r="AA2814">
            <v>523</v>
          </cell>
          <cell r="AB2814">
            <v>340</v>
          </cell>
          <cell r="AC2814">
            <v>1882</v>
          </cell>
          <cell r="AD2814">
            <v>1997</v>
          </cell>
          <cell r="AE2814">
            <v>1868</v>
          </cell>
          <cell r="AF2814">
            <v>1761</v>
          </cell>
          <cell r="AG2814">
            <v>2117</v>
          </cell>
          <cell r="AH2814">
            <v>1942</v>
          </cell>
          <cell r="AI2814">
            <v>2018</v>
          </cell>
          <cell r="AJ2814">
            <v>1826</v>
          </cell>
        </row>
        <row r="2815">
          <cell r="E2815" t="str">
            <v>AR Industrial Special Naphthas</v>
          </cell>
          <cell r="F2815">
            <v>1501</v>
          </cell>
          <cell r="G2815">
            <v>250</v>
          </cell>
          <cell r="H2815">
            <v>297</v>
          </cell>
          <cell r="I2815">
            <v>297</v>
          </cell>
          <cell r="J2815">
            <v>230</v>
          </cell>
          <cell r="K2815">
            <v>201</v>
          </cell>
          <cell r="L2815">
            <v>1098</v>
          </cell>
          <cell r="M2815">
            <v>1064</v>
          </cell>
          <cell r="N2815">
            <v>1580</v>
          </cell>
          <cell r="O2815">
            <v>2141</v>
          </cell>
          <cell r="P2815">
            <v>1434</v>
          </cell>
          <cell r="Q2815">
            <v>617</v>
          </cell>
          <cell r="R2815">
            <v>805</v>
          </cell>
          <cell r="S2815">
            <v>633</v>
          </cell>
          <cell r="T2815">
            <v>401</v>
          </cell>
          <cell r="U2815">
            <v>491</v>
          </cell>
          <cell r="V2815">
            <v>270</v>
          </cell>
          <cell r="W2815">
            <v>300</v>
          </cell>
          <cell r="X2815">
            <v>327</v>
          </cell>
          <cell r="Y2815">
            <v>178</v>
          </cell>
          <cell r="Z2815">
            <v>101</v>
          </cell>
          <cell r="AA2815">
            <v>87</v>
          </cell>
          <cell r="AB2815">
            <v>57</v>
          </cell>
          <cell r="AC2815">
            <v>448</v>
          </cell>
          <cell r="AD2815">
            <v>475</v>
          </cell>
          <cell r="AE2815">
            <v>444</v>
          </cell>
          <cell r="AF2815">
            <v>419</v>
          </cell>
          <cell r="AG2815">
            <v>307</v>
          </cell>
          <cell r="AH2815">
            <v>282</v>
          </cell>
          <cell r="AI2815">
            <v>293</v>
          </cell>
          <cell r="AJ2815">
            <v>265</v>
          </cell>
        </row>
        <row r="2816">
          <cell r="E2816" t="str">
            <v>AZ Industrial Special Naphthas</v>
          </cell>
          <cell r="F2816">
            <v>0</v>
          </cell>
          <cell r="G2816">
            <v>337</v>
          </cell>
          <cell r="H2816">
            <v>400</v>
          </cell>
          <cell r="I2816">
            <v>400</v>
          </cell>
          <cell r="J2816">
            <v>310</v>
          </cell>
          <cell r="K2816">
            <v>271</v>
          </cell>
          <cell r="L2816">
            <v>229</v>
          </cell>
          <cell r="M2816">
            <v>222</v>
          </cell>
          <cell r="N2816">
            <v>329</v>
          </cell>
          <cell r="O2816">
            <v>446</v>
          </cell>
          <cell r="P2816">
            <v>299</v>
          </cell>
          <cell r="Q2816">
            <v>156</v>
          </cell>
          <cell r="R2816">
            <v>204</v>
          </cell>
          <cell r="S2816">
            <v>160</v>
          </cell>
          <cell r="T2816">
            <v>102</v>
          </cell>
          <cell r="U2816">
            <v>124</v>
          </cell>
          <cell r="V2816">
            <v>473</v>
          </cell>
          <cell r="W2816">
            <v>527</v>
          </cell>
          <cell r="X2816">
            <v>573</v>
          </cell>
          <cell r="Y2816">
            <v>312</v>
          </cell>
          <cell r="Z2816">
            <v>176</v>
          </cell>
          <cell r="AA2816">
            <v>153</v>
          </cell>
          <cell r="AB2816">
            <v>99</v>
          </cell>
          <cell r="AC2816">
            <v>719</v>
          </cell>
          <cell r="AD2816">
            <v>763</v>
          </cell>
          <cell r="AE2816">
            <v>714</v>
          </cell>
          <cell r="AF2816">
            <v>673</v>
          </cell>
          <cell r="AG2816">
            <v>1549</v>
          </cell>
          <cell r="AH2816">
            <v>1421</v>
          </cell>
          <cell r="AI2816">
            <v>1476</v>
          </cell>
          <cell r="AJ2816">
            <v>1336</v>
          </cell>
        </row>
        <row r="2817">
          <cell r="E2817" t="str">
            <v>CA Industrial Special Naphthas</v>
          </cell>
          <cell r="F2817">
            <v>12879</v>
          </cell>
          <cell r="G2817">
            <v>10369</v>
          </cell>
          <cell r="H2817">
            <v>12322</v>
          </cell>
          <cell r="I2817">
            <v>12324</v>
          </cell>
          <cell r="J2817">
            <v>9551</v>
          </cell>
          <cell r="K2817">
            <v>8346</v>
          </cell>
          <cell r="L2817">
            <v>6674</v>
          </cell>
          <cell r="M2817">
            <v>6470</v>
          </cell>
          <cell r="N2817">
            <v>9604</v>
          </cell>
          <cell r="O2817">
            <v>13017</v>
          </cell>
          <cell r="P2817">
            <v>8718</v>
          </cell>
          <cell r="Q2817">
            <v>8694</v>
          </cell>
          <cell r="R2817">
            <v>11342</v>
          </cell>
          <cell r="S2817">
            <v>8915</v>
          </cell>
          <cell r="T2817">
            <v>5653</v>
          </cell>
          <cell r="U2817">
            <v>6924</v>
          </cell>
          <cell r="V2817">
            <v>4986</v>
          </cell>
          <cell r="W2817">
            <v>5554</v>
          </cell>
          <cell r="X2817">
            <v>6041</v>
          </cell>
          <cell r="Y2817">
            <v>3286</v>
          </cell>
          <cell r="Z2817">
            <v>1858</v>
          </cell>
          <cell r="AA2817">
            <v>1609</v>
          </cell>
          <cell r="AB2817">
            <v>1047</v>
          </cell>
          <cell r="AC2817">
            <v>5413</v>
          </cell>
          <cell r="AD2817">
            <v>5743</v>
          </cell>
          <cell r="AE2817">
            <v>5372</v>
          </cell>
          <cell r="AF2817">
            <v>5064</v>
          </cell>
          <cell r="AG2817">
            <v>5623</v>
          </cell>
          <cell r="AH2817">
            <v>5159</v>
          </cell>
          <cell r="AI2817">
            <v>5359</v>
          </cell>
          <cell r="AJ2817">
            <v>4851</v>
          </cell>
        </row>
        <row r="2818">
          <cell r="E2818" t="str">
            <v>CO Industrial Special Naphthas</v>
          </cell>
          <cell r="F2818">
            <v>398</v>
          </cell>
          <cell r="G2818">
            <v>265</v>
          </cell>
          <cell r="H2818">
            <v>316</v>
          </cell>
          <cell r="I2818">
            <v>316</v>
          </cell>
          <cell r="J2818">
            <v>245</v>
          </cell>
          <cell r="K2818">
            <v>214</v>
          </cell>
          <cell r="L2818">
            <v>491</v>
          </cell>
          <cell r="M2818">
            <v>476</v>
          </cell>
          <cell r="N2818">
            <v>706</v>
          </cell>
          <cell r="O2818">
            <v>957</v>
          </cell>
          <cell r="P2818">
            <v>641</v>
          </cell>
          <cell r="Q2818">
            <v>134</v>
          </cell>
          <cell r="R2818">
            <v>175</v>
          </cell>
          <cell r="S2818">
            <v>138</v>
          </cell>
          <cell r="T2818">
            <v>87</v>
          </cell>
          <cell r="U2818">
            <v>107</v>
          </cell>
          <cell r="V2818">
            <v>0</v>
          </cell>
          <cell r="W2818">
            <v>0</v>
          </cell>
          <cell r="X2818">
            <v>0</v>
          </cell>
          <cell r="Y2818">
            <v>0</v>
          </cell>
          <cell r="Z2818">
            <v>0</v>
          </cell>
          <cell r="AA2818">
            <v>0</v>
          </cell>
          <cell r="AB2818">
            <v>0</v>
          </cell>
          <cell r="AC2818">
            <v>178</v>
          </cell>
          <cell r="AD2818">
            <v>189</v>
          </cell>
          <cell r="AE2818">
            <v>177</v>
          </cell>
          <cell r="AF2818">
            <v>167</v>
          </cell>
          <cell r="AG2818">
            <v>103</v>
          </cell>
          <cell r="AH2818">
            <v>95</v>
          </cell>
          <cell r="AI2818">
            <v>98</v>
          </cell>
          <cell r="AJ2818">
            <v>89</v>
          </cell>
        </row>
        <row r="2819">
          <cell r="E2819" t="str">
            <v>CT Industrial Special Naphthas</v>
          </cell>
          <cell r="F2819">
            <v>742</v>
          </cell>
          <cell r="G2819">
            <v>498</v>
          </cell>
          <cell r="H2819">
            <v>592</v>
          </cell>
          <cell r="I2819">
            <v>592</v>
          </cell>
          <cell r="J2819">
            <v>459</v>
          </cell>
          <cell r="K2819">
            <v>401</v>
          </cell>
          <cell r="L2819">
            <v>587</v>
          </cell>
          <cell r="M2819">
            <v>569</v>
          </cell>
          <cell r="N2819">
            <v>845</v>
          </cell>
          <cell r="O2819">
            <v>1145</v>
          </cell>
          <cell r="P2819">
            <v>767</v>
          </cell>
          <cell r="Q2819">
            <v>194</v>
          </cell>
          <cell r="R2819">
            <v>253</v>
          </cell>
          <cell r="S2819">
            <v>199</v>
          </cell>
          <cell r="T2819">
            <v>126</v>
          </cell>
          <cell r="U2819">
            <v>155</v>
          </cell>
          <cell r="V2819">
            <v>385</v>
          </cell>
          <cell r="W2819">
            <v>429</v>
          </cell>
          <cell r="X2819">
            <v>467</v>
          </cell>
          <cell r="Y2819">
            <v>254</v>
          </cell>
          <cell r="Z2819">
            <v>144</v>
          </cell>
          <cell r="AA2819">
            <v>124</v>
          </cell>
          <cell r="AB2819">
            <v>81</v>
          </cell>
          <cell r="AC2819">
            <v>306</v>
          </cell>
          <cell r="AD2819">
            <v>325</v>
          </cell>
          <cell r="AE2819">
            <v>304</v>
          </cell>
          <cell r="AF2819">
            <v>286</v>
          </cell>
          <cell r="AG2819">
            <v>136</v>
          </cell>
          <cell r="AH2819">
            <v>125</v>
          </cell>
          <cell r="AI2819">
            <v>129</v>
          </cell>
          <cell r="AJ2819">
            <v>117</v>
          </cell>
        </row>
        <row r="2820">
          <cell r="E2820" t="str">
            <v>DC Industrial Special Naphthas</v>
          </cell>
          <cell r="F2820">
            <v>0</v>
          </cell>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row>
        <row r="2821">
          <cell r="E2821" t="str">
            <v>DE Industrial Special Naphthas</v>
          </cell>
          <cell r="F2821">
            <v>0</v>
          </cell>
          <cell r="G2821">
            <v>395</v>
          </cell>
          <cell r="H2821">
            <v>469</v>
          </cell>
          <cell r="I2821">
            <v>469</v>
          </cell>
          <cell r="J2821">
            <v>364</v>
          </cell>
          <cell r="K2821">
            <v>318</v>
          </cell>
          <cell r="L2821">
            <v>801</v>
          </cell>
          <cell r="M2821">
            <v>777</v>
          </cell>
          <cell r="N2821">
            <v>1153</v>
          </cell>
          <cell r="O2821">
            <v>1563</v>
          </cell>
          <cell r="P2821">
            <v>1047</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row>
        <row r="2822">
          <cell r="E2822" t="str">
            <v>FL Industrial Special Naphthas</v>
          </cell>
          <cell r="F2822">
            <v>2338</v>
          </cell>
          <cell r="G2822">
            <v>1823</v>
          </cell>
          <cell r="H2822">
            <v>2166</v>
          </cell>
          <cell r="I2822">
            <v>2167</v>
          </cell>
          <cell r="J2822">
            <v>1679</v>
          </cell>
          <cell r="K2822">
            <v>1467</v>
          </cell>
          <cell r="L2822">
            <v>1790</v>
          </cell>
          <cell r="M2822">
            <v>1735</v>
          </cell>
          <cell r="N2822">
            <v>2575</v>
          </cell>
          <cell r="O2822">
            <v>3491</v>
          </cell>
          <cell r="P2822">
            <v>2338</v>
          </cell>
          <cell r="Q2822">
            <v>1760</v>
          </cell>
          <cell r="R2822">
            <v>2297</v>
          </cell>
          <cell r="S2822">
            <v>1805</v>
          </cell>
          <cell r="T2822">
            <v>1145</v>
          </cell>
          <cell r="U2822">
            <v>1402</v>
          </cell>
          <cell r="V2822">
            <v>1717</v>
          </cell>
          <cell r="W2822">
            <v>1913</v>
          </cell>
          <cell r="X2822">
            <v>2081</v>
          </cell>
          <cell r="Y2822">
            <v>1132</v>
          </cell>
          <cell r="Z2822">
            <v>640</v>
          </cell>
          <cell r="AA2822">
            <v>554</v>
          </cell>
          <cell r="AB2822">
            <v>361</v>
          </cell>
          <cell r="AC2822">
            <v>1781</v>
          </cell>
          <cell r="AD2822">
            <v>1890</v>
          </cell>
          <cell r="AE2822">
            <v>1768</v>
          </cell>
          <cell r="AF2822">
            <v>1667</v>
          </cell>
          <cell r="AG2822">
            <v>1568</v>
          </cell>
          <cell r="AH2822">
            <v>1439</v>
          </cell>
          <cell r="AI2822">
            <v>1494</v>
          </cell>
          <cell r="AJ2822">
            <v>1353</v>
          </cell>
        </row>
        <row r="2823">
          <cell r="E2823" t="str">
            <v>GA Industrial Special Naphthas</v>
          </cell>
          <cell r="F2823">
            <v>3374</v>
          </cell>
          <cell r="G2823">
            <v>3300</v>
          </cell>
          <cell r="H2823">
            <v>3922</v>
          </cell>
          <cell r="I2823">
            <v>3923</v>
          </cell>
          <cell r="J2823">
            <v>3040</v>
          </cell>
          <cell r="K2823">
            <v>2656</v>
          </cell>
          <cell r="L2823">
            <v>2789</v>
          </cell>
          <cell r="M2823">
            <v>2704</v>
          </cell>
          <cell r="N2823">
            <v>4014</v>
          </cell>
          <cell r="O2823">
            <v>5440</v>
          </cell>
          <cell r="P2823">
            <v>3643</v>
          </cell>
          <cell r="Q2823">
            <v>4013</v>
          </cell>
          <cell r="R2823">
            <v>5235</v>
          </cell>
          <cell r="S2823">
            <v>4115</v>
          </cell>
          <cell r="T2823">
            <v>2609</v>
          </cell>
          <cell r="U2823">
            <v>3196</v>
          </cell>
          <cell r="V2823">
            <v>3196</v>
          </cell>
          <cell r="W2823">
            <v>3560</v>
          </cell>
          <cell r="X2823">
            <v>3873</v>
          </cell>
          <cell r="Y2823">
            <v>2106</v>
          </cell>
          <cell r="Z2823">
            <v>1191</v>
          </cell>
          <cell r="AA2823">
            <v>1032</v>
          </cell>
          <cell r="AB2823">
            <v>671</v>
          </cell>
          <cell r="AC2823">
            <v>5173</v>
          </cell>
          <cell r="AD2823">
            <v>5489</v>
          </cell>
          <cell r="AE2823">
            <v>5134</v>
          </cell>
          <cell r="AF2823">
            <v>4840</v>
          </cell>
          <cell r="AG2823">
            <v>4693</v>
          </cell>
          <cell r="AH2823">
            <v>4305</v>
          </cell>
          <cell r="AI2823">
            <v>4472</v>
          </cell>
          <cell r="AJ2823">
            <v>4048</v>
          </cell>
        </row>
        <row r="2824">
          <cell r="E2824" t="str">
            <v>HI Industrial Special Naphthas</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row>
        <row r="2825">
          <cell r="E2825" t="str">
            <v>IA Industrial Special Naphthas</v>
          </cell>
          <cell r="F2825">
            <v>997</v>
          </cell>
          <cell r="G2825">
            <v>1587</v>
          </cell>
          <cell r="H2825">
            <v>1886</v>
          </cell>
          <cell r="I2825">
            <v>1886</v>
          </cell>
          <cell r="J2825">
            <v>1462</v>
          </cell>
          <cell r="K2825">
            <v>1277</v>
          </cell>
          <cell r="L2825">
            <v>1299</v>
          </cell>
          <cell r="M2825">
            <v>1259</v>
          </cell>
          <cell r="N2825">
            <v>1869</v>
          </cell>
          <cell r="O2825">
            <v>2533</v>
          </cell>
          <cell r="P2825">
            <v>1697</v>
          </cell>
          <cell r="Q2825">
            <v>617</v>
          </cell>
          <cell r="R2825">
            <v>805</v>
          </cell>
          <cell r="S2825">
            <v>633</v>
          </cell>
          <cell r="T2825">
            <v>401</v>
          </cell>
          <cell r="U2825">
            <v>491</v>
          </cell>
          <cell r="V2825">
            <v>581</v>
          </cell>
          <cell r="W2825">
            <v>647</v>
          </cell>
          <cell r="X2825">
            <v>704</v>
          </cell>
          <cell r="Y2825">
            <v>383</v>
          </cell>
          <cell r="Z2825">
            <v>217</v>
          </cell>
          <cell r="AA2825">
            <v>188</v>
          </cell>
          <cell r="AB2825">
            <v>122</v>
          </cell>
          <cell r="AC2825">
            <v>1115</v>
          </cell>
          <cell r="AD2825">
            <v>1183</v>
          </cell>
          <cell r="AE2825">
            <v>1106</v>
          </cell>
          <cell r="AF2825">
            <v>1043</v>
          </cell>
          <cell r="AG2825">
            <v>1205</v>
          </cell>
          <cell r="AH2825">
            <v>1105</v>
          </cell>
          <cell r="AI2825">
            <v>1148</v>
          </cell>
          <cell r="AJ2825">
            <v>1039</v>
          </cell>
        </row>
        <row r="2826">
          <cell r="E2826" t="str">
            <v>ID Industrial Special Naphthas</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10</v>
          </cell>
          <cell r="AH2826">
            <v>9</v>
          </cell>
          <cell r="AI2826">
            <v>9</v>
          </cell>
          <cell r="AJ2826">
            <v>8</v>
          </cell>
        </row>
        <row r="2827">
          <cell r="E2827" t="str">
            <v>IL Industrial Special Naphthas</v>
          </cell>
          <cell r="F2827">
            <v>10687</v>
          </cell>
          <cell r="G2827">
            <v>9849</v>
          </cell>
          <cell r="H2827">
            <v>11705</v>
          </cell>
          <cell r="I2827">
            <v>11706</v>
          </cell>
          <cell r="J2827">
            <v>9072</v>
          </cell>
          <cell r="K2827">
            <v>7927</v>
          </cell>
          <cell r="L2827">
            <v>8753</v>
          </cell>
          <cell r="M2827">
            <v>8486</v>
          </cell>
          <cell r="N2827">
            <v>12597</v>
          </cell>
          <cell r="O2827">
            <v>17073</v>
          </cell>
          <cell r="P2827">
            <v>11435</v>
          </cell>
          <cell r="Q2827">
            <v>7624</v>
          </cell>
          <cell r="R2827">
            <v>9946</v>
          </cell>
          <cell r="S2827">
            <v>7818</v>
          </cell>
          <cell r="T2827">
            <v>4957</v>
          </cell>
          <cell r="U2827">
            <v>6072</v>
          </cell>
          <cell r="V2827">
            <v>6857</v>
          </cell>
          <cell r="W2827">
            <v>7639</v>
          </cell>
          <cell r="X2827">
            <v>8309</v>
          </cell>
          <cell r="Y2827">
            <v>4520</v>
          </cell>
          <cell r="Z2827">
            <v>2555</v>
          </cell>
          <cell r="AA2827">
            <v>2214</v>
          </cell>
          <cell r="AB2827">
            <v>1440</v>
          </cell>
          <cell r="AC2827">
            <v>11085</v>
          </cell>
          <cell r="AD2827">
            <v>11761</v>
          </cell>
          <cell r="AE2827">
            <v>11002</v>
          </cell>
          <cell r="AF2827">
            <v>10371</v>
          </cell>
          <cell r="AG2827">
            <v>10830</v>
          </cell>
          <cell r="AH2827">
            <v>9935</v>
          </cell>
          <cell r="AI2827">
            <v>10320</v>
          </cell>
          <cell r="AJ2827">
            <v>9342</v>
          </cell>
        </row>
        <row r="2828">
          <cell r="E2828" t="str">
            <v>IN Industrial Special Naphthas</v>
          </cell>
          <cell r="F2828">
            <v>1604</v>
          </cell>
          <cell r="G2828">
            <v>2505</v>
          </cell>
          <cell r="H2828">
            <v>2977</v>
          </cell>
          <cell r="I2828">
            <v>2977</v>
          </cell>
          <cell r="J2828">
            <v>2307</v>
          </cell>
          <cell r="K2828">
            <v>2016</v>
          </cell>
          <cell r="L2828">
            <v>1437</v>
          </cell>
          <cell r="M2828">
            <v>1393</v>
          </cell>
          <cell r="N2828">
            <v>2067</v>
          </cell>
          <cell r="O2828">
            <v>2802</v>
          </cell>
          <cell r="P2828">
            <v>1877</v>
          </cell>
          <cell r="Q2828">
            <v>1328</v>
          </cell>
          <cell r="R2828">
            <v>1732</v>
          </cell>
          <cell r="S2828">
            <v>1362</v>
          </cell>
          <cell r="T2828">
            <v>863</v>
          </cell>
          <cell r="U2828">
            <v>1058</v>
          </cell>
          <cell r="V2828">
            <v>1075</v>
          </cell>
          <cell r="W2828">
            <v>1198</v>
          </cell>
          <cell r="X2828">
            <v>1303</v>
          </cell>
          <cell r="Y2828">
            <v>709</v>
          </cell>
          <cell r="Z2828">
            <v>401</v>
          </cell>
          <cell r="AA2828">
            <v>347</v>
          </cell>
          <cell r="AB2828">
            <v>226</v>
          </cell>
          <cell r="AC2828">
            <v>1133</v>
          </cell>
          <cell r="AD2828">
            <v>1203</v>
          </cell>
          <cell r="AE2828">
            <v>1125</v>
          </cell>
          <cell r="AF2828">
            <v>1060</v>
          </cell>
          <cell r="AG2828">
            <v>2082</v>
          </cell>
          <cell r="AH2828">
            <v>1910</v>
          </cell>
          <cell r="AI2828">
            <v>1984</v>
          </cell>
          <cell r="AJ2828">
            <v>1796</v>
          </cell>
        </row>
        <row r="2829">
          <cell r="E2829" t="str">
            <v>KS Industrial Special Naphthas</v>
          </cell>
          <cell r="F2829">
            <v>2586</v>
          </cell>
          <cell r="G2829">
            <v>235</v>
          </cell>
          <cell r="H2829">
            <v>279</v>
          </cell>
          <cell r="I2829">
            <v>279</v>
          </cell>
          <cell r="J2829">
            <v>216</v>
          </cell>
          <cell r="K2829">
            <v>189</v>
          </cell>
          <cell r="L2829">
            <v>193</v>
          </cell>
          <cell r="M2829">
            <v>187</v>
          </cell>
          <cell r="N2829">
            <v>277</v>
          </cell>
          <cell r="O2829">
            <v>376</v>
          </cell>
          <cell r="P2829">
            <v>252</v>
          </cell>
          <cell r="Q2829">
            <v>408</v>
          </cell>
          <cell r="R2829">
            <v>533</v>
          </cell>
          <cell r="S2829">
            <v>419</v>
          </cell>
          <cell r="T2829">
            <v>266</v>
          </cell>
          <cell r="U2829">
            <v>325</v>
          </cell>
          <cell r="V2829">
            <v>439</v>
          </cell>
          <cell r="W2829">
            <v>489</v>
          </cell>
          <cell r="X2829">
            <v>532</v>
          </cell>
          <cell r="Y2829">
            <v>290</v>
          </cell>
          <cell r="Z2829">
            <v>164</v>
          </cell>
          <cell r="AA2829">
            <v>142</v>
          </cell>
          <cell r="AB2829">
            <v>92</v>
          </cell>
          <cell r="AC2829">
            <v>600</v>
          </cell>
          <cell r="AD2829">
            <v>637</v>
          </cell>
          <cell r="AE2829">
            <v>596</v>
          </cell>
          <cell r="AF2829">
            <v>562</v>
          </cell>
          <cell r="AG2829">
            <v>568</v>
          </cell>
          <cell r="AH2829">
            <v>521</v>
          </cell>
          <cell r="AI2829">
            <v>541</v>
          </cell>
          <cell r="AJ2829">
            <v>490</v>
          </cell>
        </row>
        <row r="2830">
          <cell r="E2830" t="str">
            <v>KY Industrial Special Naphthas</v>
          </cell>
          <cell r="F2830">
            <v>5180</v>
          </cell>
          <cell r="G2830">
            <v>4592</v>
          </cell>
          <cell r="H2830">
            <v>5457</v>
          </cell>
          <cell r="I2830">
            <v>5458</v>
          </cell>
          <cell r="J2830">
            <v>4230</v>
          </cell>
          <cell r="K2830">
            <v>3696</v>
          </cell>
          <cell r="L2830">
            <v>3079</v>
          </cell>
          <cell r="M2830">
            <v>2985</v>
          </cell>
          <cell r="N2830">
            <v>4431</v>
          </cell>
          <cell r="O2830">
            <v>6006</v>
          </cell>
          <cell r="P2830">
            <v>4022</v>
          </cell>
          <cell r="Q2830">
            <v>3115</v>
          </cell>
          <cell r="R2830">
            <v>4064</v>
          </cell>
          <cell r="S2830">
            <v>3194</v>
          </cell>
          <cell r="T2830">
            <v>2026</v>
          </cell>
          <cell r="U2830">
            <v>2481</v>
          </cell>
          <cell r="V2830">
            <v>2545</v>
          </cell>
          <cell r="W2830">
            <v>2835</v>
          </cell>
          <cell r="X2830">
            <v>3084</v>
          </cell>
          <cell r="Y2830">
            <v>1678</v>
          </cell>
          <cell r="Z2830">
            <v>948</v>
          </cell>
          <cell r="AA2830">
            <v>822</v>
          </cell>
          <cell r="AB2830">
            <v>535</v>
          </cell>
          <cell r="AC2830">
            <v>2348</v>
          </cell>
          <cell r="AD2830">
            <v>2492</v>
          </cell>
          <cell r="AE2830">
            <v>2331</v>
          </cell>
          <cell r="AF2830">
            <v>2197</v>
          </cell>
          <cell r="AG2830">
            <v>2000</v>
          </cell>
          <cell r="AH2830">
            <v>1835</v>
          </cell>
          <cell r="AI2830">
            <v>1906</v>
          </cell>
          <cell r="AJ2830">
            <v>1725</v>
          </cell>
        </row>
        <row r="2831">
          <cell r="E2831" t="str">
            <v>LA Industrial Special Naphthas</v>
          </cell>
          <cell r="F2831">
            <v>0</v>
          </cell>
          <cell r="G2831">
            <v>368</v>
          </cell>
          <cell r="H2831">
            <v>437</v>
          </cell>
          <cell r="I2831">
            <v>437</v>
          </cell>
          <cell r="J2831">
            <v>339</v>
          </cell>
          <cell r="K2831">
            <v>296</v>
          </cell>
          <cell r="L2831">
            <v>450</v>
          </cell>
          <cell r="M2831">
            <v>436</v>
          </cell>
          <cell r="N2831">
            <v>647</v>
          </cell>
          <cell r="O2831">
            <v>877</v>
          </cell>
          <cell r="P2831">
            <v>587</v>
          </cell>
          <cell r="Q2831">
            <v>640</v>
          </cell>
          <cell r="R2831">
            <v>835</v>
          </cell>
          <cell r="S2831">
            <v>657</v>
          </cell>
          <cell r="T2831">
            <v>416</v>
          </cell>
          <cell r="U2831">
            <v>510</v>
          </cell>
          <cell r="V2831">
            <v>410</v>
          </cell>
          <cell r="W2831">
            <v>457</v>
          </cell>
          <cell r="X2831">
            <v>497</v>
          </cell>
          <cell r="Y2831">
            <v>270</v>
          </cell>
          <cell r="Z2831">
            <v>153</v>
          </cell>
          <cell r="AA2831">
            <v>132</v>
          </cell>
          <cell r="AB2831">
            <v>86</v>
          </cell>
          <cell r="AC2831">
            <v>1421</v>
          </cell>
          <cell r="AD2831">
            <v>1508</v>
          </cell>
          <cell r="AE2831">
            <v>1410</v>
          </cell>
          <cell r="AF2831">
            <v>1329</v>
          </cell>
          <cell r="AG2831">
            <v>893</v>
          </cell>
          <cell r="AH2831">
            <v>819</v>
          </cell>
          <cell r="AI2831">
            <v>851</v>
          </cell>
          <cell r="AJ2831">
            <v>770</v>
          </cell>
        </row>
        <row r="2832">
          <cell r="E2832" t="str">
            <v>MA Industrial Special Naphthas</v>
          </cell>
          <cell r="F2832">
            <v>2310</v>
          </cell>
          <cell r="G2832">
            <v>2296</v>
          </cell>
          <cell r="H2832">
            <v>2729</v>
          </cell>
          <cell r="I2832">
            <v>2729</v>
          </cell>
          <cell r="J2832">
            <v>2115</v>
          </cell>
          <cell r="K2832">
            <v>1848</v>
          </cell>
          <cell r="L2832">
            <v>1295</v>
          </cell>
          <cell r="M2832">
            <v>1256</v>
          </cell>
          <cell r="N2832">
            <v>1864</v>
          </cell>
          <cell r="O2832">
            <v>2526</v>
          </cell>
          <cell r="P2832">
            <v>1692</v>
          </cell>
          <cell r="Q2832">
            <v>1284</v>
          </cell>
          <cell r="R2832">
            <v>1675</v>
          </cell>
          <cell r="S2832">
            <v>1317</v>
          </cell>
          <cell r="T2832">
            <v>835</v>
          </cell>
          <cell r="U2832">
            <v>1023</v>
          </cell>
          <cell r="V2832">
            <v>1174</v>
          </cell>
          <cell r="W2832">
            <v>1308</v>
          </cell>
          <cell r="X2832">
            <v>1423</v>
          </cell>
          <cell r="Y2832">
            <v>774</v>
          </cell>
          <cell r="Z2832">
            <v>438</v>
          </cell>
          <cell r="AA2832">
            <v>379</v>
          </cell>
          <cell r="AB2832">
            <v>247</v>
          </cell>
          <cell r="AC2832">
            <v>1469</v>
          </cell>
          <cell r="AD2832">
            <v>1559</v>
          </cell>
          <cell r="AE2832">
            <v>1458</v>
          </cell>
          <cell r="AF2832">
            <v>1375</v>
          </cell>
          <cell r="AG2832">
            <v>1299</v>
          </cell>
          <cell r="AH2832">
            <v>1192</v>
          </cell>
          <cell r="AI2832">
            <v>1238</v>
          </cell>
          <cell r="AJ2832">
            <v>1121</v>
          </cell>
        </row>
        <row r="2833">
          <cell r="E2833" t="str">
            <v>MD Industrial Special Naphthas</v>
          </cell>
          <cell r="F2833">
            <v>3849</v>
          </cell>
          <cell r="G2833">
            <v>2443</v>
          </cell>
          <cell r="H2833">
            <v>2904</v>
          </cell>
          <cell r="I2833">
            <v>2904</v>
          </cell>
          <cell r="J2833">
            <v>2251</v>
          </cell>
          <cell r="K2833">
            <v>1967</v>
          </cell>
          <cell r="L2833">
            <v>2720</v>
          </cell>
          <cell r="M2833">
            <v>2637</v>
          </cell>
          <cell r="N2833">
            <v>3914</v>
          </cell>
          <cell r="O2833">
            <v>5305</v>
          </cell>
          <cell r="P2833">
            <v>3553</v>
          </cell>
          <cell r="Q2833">
            <v>2838</v>
          </cell>
          <cell r="R2833">
            <v>3703</v>
          </cell>
          <cell r="S2833">
            <v>2911</v>
          </cell>
          <cell r="T2833">
            <v>1846</v>
          </cell>
          <cell r="U2833">
            <v>2261</v>
          </cell>
          <cell r="V2833">
            <v>1657</v>
          </cell>
          <cell r="W2833">
            <v>1845</v>
          </cell>
          <cell r="X2833">
            <v>2007</v>
          </cell>
          <cell r="Y2833">
            <v>1092</v>
          </cell>
          <cell r="Z2833">
            <v>617</v>
          </cell>
          <cell r="AA2833">
            <v>535</v>
          </cell>
          <cell r="AB2833">
            <v>348</v>
          </cell>
          <cell r="AC2833">
            <v>2786</v>
          </cell>
          <cell r="AD2833">
            <v>2956</v>
          </cell>
          <cell r="AE2833">
            <v>2765</v>
          </cell>
          <cell r="AF2833">
            <v>2607</v>
          </cell>
          <cell r="AG2833">
            <v>3212</v>
          </cell>
          <cell r="AH2833">
            <v>2946</v>
          </cell>
          <cell r="AI2833">
            <v>3061</v>
          </cell>
          <cell r="AJ2833">
            <v>2770</v>
          </cell>
        </row>
        <row r="2834">
          <cell r="E2834" t="str">
            <v>ME Industrial Special Naphthas</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row>
        <row r="2835">
          <cell r="E2835" t="str">
            <v>MI Industrial Special Naphthas</v>
          </cell>
          <cell r="F2835">
            <v>7668</v>
          </cell>
          <cell r="G2835">
            <v>4693</v>
          </cell>
          <cell r="H2835">
            <v>5577</v>
          </cell>
          <cell r="I2835">
            <v>5578</v>
          </cell>
          <cell r="J2835">
            <v>4323</v>
          </cell>
          <cell r="K2835">
            <v>3777</v>
          </cell>
          <cell r="L2835">
            <v>4377</v>
          </cell>
          <cell r="M2835">
            <v>4243</v>
          </cell>
          <cell r="N2835">
            <v>6299</v>
          </cell>
          <cell r="O2835">
            <v>8538</v>
          </cell>
          <cell r="P2835">
            <v>5718</v>
          </cell>
          <cell r="Q2835">
            <v>3874</v>
          </cell>
          <cell r="R2835">
            <v>5054</v>
          </cell>
          <cell r="S2835">
            <v>3972</v>
          </cell>
          <cell r="T2835">
            <v>2519</v>
          </cell>
          <cell r="U2835">
            <v>3086</v>
          </cell>
          <cell r="V2835">
            <v>3588</v>
          </cell>
          <cell r="W2835">
            <v>3997</v>
          </cell>
          <cell r="X2835">
            <v>4348</v>
          </cell>
          <cell r="Y2835">
            <v>2365</v>
          </cell>
          <cell r="Z2835">
            <v>1337</v>
          </cell>
          <cell r="AA2835">
            <v>1158</v>
          </cell>
          <cell r="AB2835">
            <v>754</v>
          </cell>
          <cell r="AC2835">
            <v>5137</v>
          </cell>
          <cell r="AD2835">
            <v>5450</v>
          </cell>
          <cell r="AE2835">
            <v>5098</v>
          </cell>
          <cell r="AF2835">
            <v>4806</v>
          </cell>
          <cell r="AG2835">
            <v>4505</v>
          </cell>
          <cell r="AH2835">
            <v>4133</v>
          </cell>
          <cell r="AI2835">
            <v>4293</v>
          </cell>
          <cell r="AJ2835">
            <v>3886</v>
          </cell>
        </row>
        <row r="2836">
          <cell r="E2836" t="str">
            <v>MN Industrial Special Naphthas</v>
          </cell>
          <cell r="F2836">
            <v>1031</v>
          </cell>
          <cell r="G2836">
            <v>440</v>
          </cell>
          <cell r="H2836">
            <v>523</v>
          </cell>
          <cell r="I2836">
            <v>523</v>
          </cell>
          <cell r="J2836">
            <v>405</v>
          </cell>
          <cell r="K2836">
            <v>354</v>
          </cell>
          <cell r="L2836">
            <v>334</v>
          </cell>
          <cell r="M2836">
            <v>323</v>
          </cell>
          <cell r="N2836">
            <v>480</v>
          </cell>
          <cell r="O2836">
            <v>651</v>
          </cell>
          <cell r="P2836">
            <v>436</v>
          </cell>
          <cell r="Q2836">
            <v>337</v>
          </cell>
          <cell r="R2836">
            <v>440</v>
          </cell>
          <cell r="S2836">
            <v>346</v>
          </cell>
          <cell r="T2836">
            <v>219</v>
          </cell>
          <cell r="U2836">
            <v>269</v>
          </cell>
          <cell r="V2836">
            <v>1541</v>
          </cell>
          <cell r="W2836">
            <v>1716</v>
          </cell>
          <cell r="X2836">
            <v>1867</v>
          </cell>
          <cell r="Y2836">
            <v>1015</v>
          </cell>
          <cell r="Z2836">
            <v>574</v>
          </cell>
          <cell r="AA2836">
            <v>497</v>
          </cell>
          <cell r="AB2836">
            <v>324</v>
          </cell>
          <cell r="AC2836">
            <v>1115</v>
          </cell>
          <cell r="AD2836">
            <v>1183</v>
          </cell>
          <cell r="AE2836">
            <v>1106</v>
          </cell>
          <cell r="AF2836">
            <v>1043</v>
          </cell>
          <cell r="AG2836">
            <v>755</v>
          </cell>
          <cell r="AH2836">
            <v>693</v>
          </cell>
          <cell r="AI2836">
            <v>720</v>
          </cell>
          <cell r="AJ2836">
            <v>652</v>
          </cell>
        </row>
        <row r="2837">
          <cell r="E2837" t="str">
            <v>MO Industrial Special Naphthas</v>
          </cell>
          <cell r="F2837">
            <v>3687</v>
          </cell>
          <cell r="G2837">
            <v>2056</v>
          </cell>
          <cell r="H2837">
            <v>2444</v>
          </cell>
          <cell r="I2837">
            <v>2444</v>
          </cell>
          <cell r="J2837">
            <v>1894</v>
          </cell>
          <cell r="K2837">
            <v>1655</v>
          </cell>
          <cell r="L2837">
            <v>2443</v>
          </cell>
          <cell r="M2837">
            <v>2368</v>
          </cell>
          <cell r="N2837">
            <v>3516</v>
          </cell>
          <cell r="O2837">
            <v>4765</v>
          </cell>
          <cell r="P2837">
            <v>3191</v>
          </cell>
          <cell r="Q2837">
            <v>2372</v>
          </cell>
          <cell r="R2837">
            <v>3094</v>
          </cell>
          <cell r="S2837">
            <v>2432</v>
          </cell>
          <cell r="T2837">
            <v>1542</v>
          </cell>
          <cell r="U2837">
            <v>1889</v>
          </cell>
          <cell r="V2837">
            <v>1422</v>
          </cell>
          <cell r="W2837">
            <v>1585</v>
          </cell>
          <cell r="X2837">
            <v>1724</v>
          </cell>
          <cell r="Y2837">
            <v>938</v>
          </cell>
          <cell r="Z2837">
            <v>530</v>
          </cell>
          <cell r="AA2837">
            <v>459</v>
          </cell>
          <cell r="AB2837">
            <v>299</v>
          </cell>
          <cell r="AC2837">
            <v>3062</v>
          </cell>
          <cell r="AD2837">
            <v>3249</v>
          </cell>
          <cell r="AE2837">
            <v>3039</v>
          </cell>
          <cell r="AF2837">
            <v>2865</v>
          </cell>
          <cell r="AG2837">
            <v>1880</v>
          </cell>
          <cell r="AH2837">
            <v>1725</v>
          </cell>
          <cell r="AI2837">
            <v>1791</v>
          </cell>
          <cell r="AJ2837">
            <v>1622</v>
          </cell>
        </row>
        <row r="2838">
          <cell r="E2838" t="str">
            <v>MS Industrial Special Naphthas</v>
          </cell>
          <cell r="F2838">
            <v>210</v>
          </cell>
          <cell r="G2838">
            <v>197</v>
          </cell>
          <cell r="H2838">
            <v>234</v>
          </cell>
          <cell r="I2838">
            <v>234</v>
          </cell>
          <cell r="J2838">
            <v>181</v>
          </cell>
          <cell r="K2838">
            <v>158</v>
          </cell>
          <cell r="L2838">
            <v>939</v>
          </cell>
          <cell r="M2838">
            <v>911</v>
          </cell>
          <cell r="N2838">
            <v>1352</v>
          </cell>
          <cell r="O2838">
            <v>1832</v>
          </cell>
          <cell r="P2838">
            <v>1227</v>
          </cell>
          <cell r="Q2838">
            <v>558</v>
          </cell>
          <cell r="R2838">
            <v>727</v>
          </cell>
          <cell r="S2838">
            <v>572</v>
          </cell>
          <cell r="T2838">
            <v>363</v>
          </cell>
          <cell r="U2838">
            <v>444</v>
          </cell>
          <cell r="V2838">
            <v>578</v>
          </cell>
          <cell r="W2838">
            <v>644</v>
          </cell>
          <cell r="X2838">
            <v>700</v>
          </cell>
          <cell r="Y2838">
            <v>381</v>
          </cell>
          <cell r="Z2838">
            <v>215</v>
          </cell>
          <cell r="AA2838">
            <v>187</v>
          </cell>
          <cell r="AB2838">
            <v>121</v>
          </cell>
          <cell r="AC2838">
            <v>520</v>
          </cell>
          <cell r="AD2838">
            <v>552</v>
          </cell>
          <cell r="AE2838">
            <v>516</v>
          </cell>
          <cell r="AF2838">
            <v>487</v>
          </cell>
          <cell r="AG2838">
            <v>193</v>
          </cell>
          <cell r="AH2838">
            <v>177</v>
          </cell>
          <cell r="AI2838">
            <v>184</v>
          </cell>
          <cell r="AJ2838">
            <v>166</v>
          </cell>
        </row>
        <row r="2839">
          <cell r="E2839" t="str">
            <v>MT Industrial Special Naphthas</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row>
        <row r="2840">
          <cell r="E2840" t="str">
            <v>NC Industrial Special Naphthas</v>
          </cell>
          <cell r="F2840">
            <v>2349</v>
          </cell>
          <cell r="G2840">
            <v>2144</v>
          </cell>
          <cell r="H2840">
            <v>2547</v>
          </cell>
          <cell r="I2840">
            <v>2548</v>
          </cell>
          <cell r="J2840">
            <v>1975</v>
          </cell>
          <cell r="K2840">
            <v>1725</v>
          </cell>
          <cell r="L2840">
            <v>2190</v>
          </cell>
          <cell r="M2840">
            <v>2123</v>
          </cell>
          <cell r="N2840">
            <v>3151</v>
          </cell>
          <cell r="O2840">
            <v>4271</v>
          </cell>
          <cell r="P2840">
            <v>2861</v>
          </cell>
          <cell r="Q2840">
            <v>2764</v>
          </cell>
          <cell r="R2840">
            <v>3606</v>
          </cell>
          <cell r="S2840">
            <v>2834</v>
          </cell>
          <cell r="T2840">
            <v>1797</v>
          </cell>
          <cell r="U2840">
            <v>2201</v>
          </cell>
          <cell r="V2840">
            <v>2467</v>
          </cell>
          <cell r="W2840">
            <v>2748</v>
          </cell>
          <cell r="X2840">
            <v>2989</v>
          </cell>
          <cell r="Y2840">
            <v>1626</v>
          </cell>
          <cell r="Z2840">
            <v>919</v>
          </cell>
          <cell r="AA2840">
            <v>796</v>
          </cell>
          <cell r="AB2840">
            <v>518</v>
          </cell>
          <cell r="AC2840">
            <v>3561</v>
          </cell>
          <cell r="AD2840">
            <v>3779</v>
          </cell>
          <cell r="AE2840">
            <v>3535</v>
          </cell>
          <cell r="AF2840">
            <v>3332</v>
          </cell>
          <cell r="AG2840">
            <v>4131</v>
          </cell>
          <cell r="AH2840">
            <v>3790</v>
          </cell>
          <cell r="AI2840">
            <v>3937</v>
          </cell>
          <cell r="AJ2840">
            <v>3564</v>
          </cell>
        </row>
        <row r="2841">
          <cell r="E2841" t="str">
            <v>ND Industrial Special Naphthas</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270</v>
          </cell>
          <cell r="W2841">
            <v>300</v>
          </cell>
          <cell r="X2841">
            <v>327</v>
          </cell>
          <cell r="Y2841">
            <v>178</v>
          </cell>
          <cell r="Z2841">
            <v>101</v>
          </cell>
          <cell r="AA2841">
            <v>87</v>
          </cell>
          <cell r="AB2841">
            <v>57</v>
          </cell>
          <cell r="AC2841">
            <v>0</v>
          </cell>
          <cell r="AD2841">
            <v>0</v>
          </cell>
          <cell r="AE2841">
            <v>0</v>
          </cell>
          <cell r="AF2841">
            <v>0</v>
          </cell>
          <cell r="AG2841">
            <v>0</v>
          </cell>
          <cell r="AH2841">
            <v>0</v>
          </cell>
          <cell r="AI2841">
            <v>0</v>
          </cell>
          <cell r="AJ2841">
            <v>0</v>
          </cell>
        </row>
        <row r="2842">
          <cell r="E2842" t="str">
            <v>NE Industrial Special Naphthas</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30</v>
          </cell>
          <cell r="AD2842">
            <v>32</v>
          </cell>
          <cell r="AE2842">
            <v>30</v>
          </cell>
          <cell r="AF2842">
            <v>28</v>
          </cell>
          <cell r="AG2842">
            <v>36</v>
          </cell>
          <cell r="AH2842">
            <v>33</v>
          </cell>
          <cell r="AI2842">
            <v>34</v>
          </cell>
          <cell r="AJ2842">
            <v>31</v>
          </cell>
        </row>
        <row r="2843">
          <cell r="E2843" t="str">
            <v>NH Industrial Special Naphthas</v>
          </cell>
          <cell r="F2843">
            <v>0</v>
          </cell>
          <cell r="G2843">
            <v>0</v>
          </cell>
          <cell r="H2843">
            <v>0</v>
          </cell>
          <cell r="I2843">
            <v>0</v>
          </cell>
          <cell r="J2843">
            <v>0</v>
          </cell>
          <cell r="K2843">
            <v>0</v>
          </cell>
          <cell r="L2843">
            <v>0</v>
          </cell>
          <cell r="M2843">
            <v>0</v>
          </cell>
          <cell r="N2843">
            <v>0</v>
          </cell>
          <cell r="O2843">
            <v>0</v>
          </cell>
          <cell r="P2843">
            <v>0</v>
          </cell>
          <cell r="Q2843">
            <v>154</v>
          </cell>
          <cell r="R2843">
            <v>201</v>
          </cell>
          <cell r="S2843">
            <v>158</v>
          </cell>
          <cell r="T2843">
            <v>100</v>
          </cell>
          <cell r="U2843">
            <v>123</v>
          </cell>
          <cell r="V2843">
            <v>193</v>
          </cell>
          <cell r="W2843">
            <v>215</v>
          </cell>
          <cell r="X2843">
            <v>233</v>
          </cell>
          <cell r="Y2843">
            <v>127</v>
          </cell>
          <cell r="Z2843">
            <v>72</v>
          </cell>
          <cell r="AA2843">
            <v>62</v>
          </cell>
          <cell r="AB2843">
            <v>40</v>
          </cell>
          <cell r="AC2843">
            <v>386</v>
          </cell>
          <cell r="AD2843">
            <v>410</v>
          </cell>
          <cell r="AE2843">
            <v>384</v>
          </cell>
          <cell r="AF2843">
            <v>362</v>
          </cell>
          <cell r="AG2843">
            <v>22</v>
          </cell>
          <cell r="AH2843">
            <v>20</v>
          </cell>
          <cell r="AI2843">
            <v>21</v>
          </cell>
          <cell r="AJ2843">
            <v>19</v>
          </cell>
        </row>
        <row r="2844">
          <cell r="E2844" t="str">
            <v>NJ Industrial Special Naphthas</v>
          </cell>
          <cell r="F2844">
            <v>6254</v>
          </cell>
          <cell r="G2844">
            <v>4924</v>
          </cell>
          <cell r="H2844">
            <v>5852</v>
          </cell>
          <cell r="I2844">
            <v>5852</v>
          </cell>
          <cell r="J2844">
            <v>4536</v>
          </cell>
          <cell r="K2844">
            <v>3963</v>
          </cell>
          <cell r="L2844">
            <v>3885</v>
          </cell>
          <cell r="M2844">
            <v>3766</v>
          </cell>
          <cell r="N2844">
            <v>5590</v>
          </cell>
          <cell r="O2844">
            <v>7577</v>
          </cell>
          <cell r="P2844">
            <v>5075</v>
          </cell>
          <cell r="Q2844">
            <v>2996</v>
          </cell>
          <cell r="R2844">
            <v>3909</v>
          </cell>
          <cell r="S2844">
            <v>3073</v>
          </cell>
          <cell r="T2844">
            <v>1948</v>
          </cell>
          <cell r="U2844">
            <v>2387</v>
          </cell>
          <cell r="V2844">
            <v>2391</v>
          </cell>
          <cell r="W2844">
            <v>2664</v>
          </cell>
          <cell r="X2844">
            <v>2897</v>
          </cell>
          <cell r="Y2844">
            <v>1576</v>
          </cell>
          <cell r="Z2844">
            <v>891</v>
          </cell>
          <cell r="AA2844">
            <v>772</v>
          </cell>
          <cell r="AB2844">
            <v>502</v>
          </cell>
          <cell r="AC2844">
            <v>2417</v>
          </cell>
          <cell r="AD2844">
            <v>2564</v>
          </cell>
          <cell r="AE2844">
            <v>2399</v>
          </cell>
          <cell r="AF2844">
            <v>2261</v>
          </cell>
          <cell r="AG2844">
            <v>1306</v>
          </cell>
          <cell r="AH2844">
            <v>1198</v>
          </cell>
          <cell r="AI2844">
            <v>1245</v>
          </cell>
          <cell r="AJ2844">
            <v>1127</v>
          </cell>
        </row>
        <row r="2845">
          <cell r="E2845" t="str">
            <v>NM Industrial Special Naphthas</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178</v>
          </cell>
          <cell r="AD2845">
            <v>189</v>
          </cell>
          <cell r="AE2845">
            <v>177</v>
          </cell>
          <cell r="AF2845">
            <v>167</v>
          </cell>
          <cell r="AG2845">
            <v>0</v>
          </cell>
          <cell r="AH2845">
            <v>0</v>
          </cell>
          <cell r="AI2845">
            <v>0</v>
          </cell>
          <cell r="AJ2845">
            <v>0</v>
          </cell>
        </row>
        <row r="2846">
          <cell r="E2846" t="str">
            <v>NV Industrial Special Naphthas</v>
          </cell>
          <cell r="F2846">
            <v>0</v>
          </cell>
          <cell r="G2846">
            <v>0</v>
          </cell>
          <cell r="H2846">
            <v>0</v>
          </cell>
          <cell r="I2846">
            <v>0</v>
          </cell>
          <cell r="J2846">
            <v>0</v>
          </cell>
          <cell r="K2846">
            <v>0</v>
          </cell>
          <cell r="L2846">
            <v>106</v>
          </cell>
          <cell r="M2846">
            <v>103</v>
          </cell>
          <cell r="N2846">
            <v>153</v>
          </cell>
          <cell r="O2846">
            <v>207</v>
          </cell>
          <cell r="P2846">
            <v>139</v>
          </cell>
          <cell r="Q2846">
            <v>224</v>
          </cell>
          <cell r="R2846">
            <v>292</v>
          </cell>
          <cell r="S2846">
            <v>229</v>
          </cell>
          <cell r="T2846">
            <v>145</v>
          </cell>
          <cell r="U2846">
            <v>178</v>
          </cell>
          <cell r="V2846">
            <v>314</v>
          </cell>
          <cell r="W2846">
            <v>350</v>
          </cell>
          <cell r="X2846">
            <v>381</v>
          </cell>
          <cell r="Y2846">
            <v>207</v>
          </cell>
          <cell r="Z2846">
            <v>117</v>
          </cell>
          <cell r="AA2846">
            <v>102</v>
          </cell>
          <cell r="AB2846">
            <v>66</v>
          </cell>
          <cell r="AC2846">
            <v>520</v>
          </cell>
          <cell r="AD2846">
            <v>552</v>
          </cell>
          <cell r="AE2846">
            <v>516</v>
          </cell>
          <cell r="AF2846">
            <v>487</v>
          </cell>
          <cell r="AG2846">
            <v>1205</v>
          </cell>
          <cell r="AH2846">
            <v>1105</v>
          </cell>
          <cell r="AI2846">
            <v>1148</v>
          </cell>
          <cell r="AJ2846">
            <v>1039</v>
          </cell>
        </row>
        <row r="2847">
          <cell r="E2847" t="str">
            <v>NY Industrial Special Naphthas</v>
          </cell>
          <cell r="F2847">
            <v>3246</v>
          </cell>
          <cell r="G2847">
            <v>1785</v>
          </cell>
          <cell r="H2847">
            <v>2121</v>
          </cell>
          <cell r="I2847">
            <v>2121</v>
          </cell>
          <cell r="J2847">
            <v>1644</v>
          </cell>
          <cell r="K2847">
            <v>1436</v>
          </cell>
          <cell r="L2847">
            <v>887</v>
          </cell>
          <cell r="M2847">
            <v>860</v>
          </cell>
          <cell r="N2847">
            <v>1276</v>
          </cell>
          <cell r="O2847">
            <v>1730</v>
          </cell>
          <cell r="P2847">
            <v>1158</v>
          </cell>
          <cell r="Q2847">
            <v>1692</v>
          </cell>
          <cell r="R2847">
            <v>2207</v>
          </cell>
          <cell r="S2847">
            <v>1735</v>
          </cell>
          <cell r="T2847">
            <v>1100</v>
          </cell>
          <cell r="U2847">
            <v>1348</v>
          </cell>
          <cell r="V2847">
            <v>1400</v>
          </cell>
          <cell r="W2847">
            <v>1560</v>
          </cell>
          <cell r="X2847">
            <v>1697</v>
          </cell>
          <cell r="Y2847">
            <v>923</v>
          </cell>
          <cell r="Z2847">
            <v>522</v>
          </cell>
          <cell r="AA2847">
            <v>452</v>
          </cell>
          <cell r="AB2847">
            <v>294</v>
          </cell>
          <cell r="AC2847">
            <v>2607</v>
          </cell>
          <cell r="AD2847">
            <v>2766</v>
          </cell>
          <cell r="AE2847">
            <v>2588</v>
          </cell>
          <cell r="AF2847">
            <v>2439</v>
          </cell>
          <cell r="AG2847">
            <v>2375</v>
          </cell>
          <cell r="AH2847">
            <v>2179</v>
          </cell>
          <cell r="AI2847">
            <v>2263</v>
          </cell>
          <cell r="AJ2847">
            <v>2048</v>
          </cell>
        </row>
        <row r="2848">
          <cell r="E2848" t="str">
            <v>OH Industrial Special Naphthas</v>
          </cell>
          <cell r="F2848">
            <v>13034</v>
          </cell>
          <cell r="G2848">
            <v>11407</v>
          </cell>
          <cell r="H2848">
            <v>13557</v>
          </cell>
          <cell r="I2848">
            <v>13559</v>
          </cell>
          <cell r="J2848">
            <v>10508</v>
          </cell>
          <cell r="K2848">
            <v>9182</v>
          </cell>
          <cell r="L2848">
            <v>8974</v>
          </cell>
          <cell r="M2848">
            <v>8700</v>
          </cell>
          <cell r="N2848">
            <v>12915</v>
          </cell>
          <cell r="O2848">
            <v>17504</v>
          </cell>
          <cell r="P2848">
            <v>11723</v>
          </cell>
          <cell r="Q2848">
            <v>8518</v>
          </cell>
          <cell r="R2848">
            <v>11112</v>
          </cell>
          <cell r="S2848">
            <v>8734</v>
          </cell>
          <cell r="T2848">
            <v>5539</v>
          </cell>
          <cell r="U2848">
            <v>6784</v>
          </cell>
          <cell r="V2848">
            <v>8920</v>
          </cell>
          <cell r="W2848">
            <v>9937</v>
          </cell>
          <cell r="X2848">
            <v>10810</v>
          </cell>
          <cell r="Y2848">
            <v>5880</v>
          </cell>
          <cell r="Z2848">
            <v>3324</v>
          </cell>
          <cell r="AA2848">
            <v>2880</v>
          </cell>
          <cell r="AB2848">
            <v>1874</v>
          </cell>
          <cell r="AC2848">
            <v>13042</v>
          </cell>
          <cell r="AD2848">
            <v>13838</v>
          </cell>
          <cell r="AE2848">
            <v>12944</v>
          </cell>
          <cell r="AF2848">
            <v>12202</v>
          </cell>
          <cell r="AG2848">
            <v>12930</v>
          </cell>
          <cell r="AH2848">
            <v>11862</v>
          </cell>
          <cell r="AI2848">
            <v>12322</v>
          </cell>
          <cell r="AJ2848">
            <v>11153</v>
          </cell>
        </row>
        <row r="2849">
          <cell r="E2849" t="str">
            <v>OK Industrial Special Naphthas</v>
          </cell>
          <cell r="F2849">
            <v>201</v>
          </cell>
          <cell r="G2849">
            <v>323</v>
          </cell>
          <cell r="H2849">
            <v>384</v>
          </cell>
          <cell r="I2849">
            <v>384</v>
          </cell>
          <cell r="J2849">
            <v>298</v>
          </cell>
          <cell r="K2849">
            <v>260</v>
          </cell>
          <cell r="L2849">
            <v>335</v>
          </cell>
          <cell r="M2849">
            <v>325</v>
          </cell>
          <cell r="N2849">
            <v>482</v>
          </cell>
          <cell r="O2849">
            <v>654</v>
          </cell>
          <cell r="P2849">
            <v>438</v>
          </cell>
          <cell r="Q2849">
            <v>343</v>
          </cell>
          <cell r="R2849">
            <v>447</v>
          </cell>
          <cell r="S2849">
            <v>351</v>
          </cell>
          <cell r="T2849">
            <v>223</v>
          </cell>
          <cell r="U2849">
            <v>273</v>
          </cell>
          <cell r="V2849">
            <v>393</v>
          </cell>
          <cell r="W2849">
            <v>438</v>
          </cell>
          <cell r="X2849">
            <v>476</v>
          </cell>
          <cell r="Y2849">
            <v>259</v>
          </cell>
          <cell r="Z2849">
            <v>146</v>
          </cell>
          <cell r="AA2849">
            <v>127</v>
          </cell>
          <cell r="AB2849">
            <v>83</v>
          </cell>
          <cell r="AC2849">
            <v>1088</v>
          </cell>
          <cell r="AD2849">
            <v>1154</v>
          </cell>
          <cell r="AE2849">
            <v>1080</v>
          </cell>
          <cell r="AF2849">
            <v>1018</v>
          </cell>
          <cell r="AG2849">
            <v>394</v>
          </cell>
          <cell r="AH2849">
            <v>361</v>
          </cell>
          <cell r="AI2849">
            <v>375</v>
          </cell>
          <cell r="AJ2849">
            <v>340</v>
          </cell>
        </row>
        <row r="2850">
          <cell r="E2850" t="str">
            <v>OR Industrial Special Naphthas</v>
          </cell>
          <cell r="F2850">
            <v>811</v>
          </cell>
          <cell r="G2850">
            <v>542</v>
          </cell>
          <cell r="H2850">
            <v>644</v>
          </cell>
          <cell r="I2850">
            <v>644</v>
          </cell>
          <cell r="J2850">
            <v>499</v>
          </cell>
          <cell r="K2850">
            <v>436</v>
          </cell>
          <cell r="L2850">
            <v>457</v>
          </cell>
          <cell r="M2850">
            <v>443</v>
          </cell>
          <cell r="N2850">
            <v>658</v>
          </cell>
          <cell r="O2850">
            <v>892</v>
          </cell>
          <cell r="P2850">
            <v>597</v>
          </cell>
          <cell r="Q2850">
            <v>547</v>
          </cell>
          <cell r="R2850">
            <v>713</v>
          </cell>
          <cell r="S2850">
            <v>561</v>
          </cell>
          <cell r="T2850">
            <v>356</v>
          </cell>
          <cell r="U2850">
            <v>435</v>
          </cell>
          <cell r="V2850">
            <v>708</v>
          </cell>
          <cell r="W2850">
            <v>789</v>
          </cell>
          <cell r="X2850">
            <v>858</v>
          </cell>
          <cell r="Y2850">
            <v>467</v>
          </cell>
          <cell r="Z2850">
            <v>264</v>
          </cell>
          <cell r="AA2850">
            <v>229</v>
          </cell>
          <cell r="AB2850">
            <v>149</v>
          </cell>
          <cell r="AC2850">
            <v>1287</v>
          </cell>
          <cell r="AD2850">
            <v>1366</v>
          </cell>
          <cell r="AE2850">
            <v>1278</v>
          </cell>
          <cell r="AF2850">
            <v>1204</v>
          </cell>
          <cell r="AG2850">
            <v>1218</v>
          </cell>
          <cell r="AH2850">
            <v>1118</v>
          </cell>
          <cell r="AI2850">
            <v>1161</v>
          </cell>
          <cell r="AJ2850">
            <v>1051</v>
          </cell>
        </row>
        <row r="2851">
          <cell r="E2851" t="str">
            <v>PA Industrial Special Naphthas</v>
          </cell>
          <cell r="F2851">
            <v>5008</v>
          </cell>
          <cell r="G2851">
            <v>5446</v>
          </cell>
          <cell r="H2851">
            <v>6472</v>
          </cell>
          <cell r="I2851">
            <v>6473</v>
          </cell>
          <cell r="J2851">
            <v>5017</v>
          </cell>
          <cell r="K2851">
            <v>4384</v>
          </cell>
          <cell r="L2851">
            <v>3975</v>
          </cell>
          <cell r="M2851">
            <v>3853</v>
          </cell>
          <cell r="N2851">
            <v>5720</v>
          </cell>
          <cell r="O2851">
            <v>7753</v>
          </cell>
          <cell r="P2851">
            <v>5192</v>
          </cell>
          <cell r="Q2851">
            <v>4099</v>
          </cell>
          <cell r="R2851">
            <v>5347</v>
          </cell>
          <cell r="S2851">
            <v>4203</v>
          </cell>
          <cell r="T2851">
            <v>2665</v>
          </cell>
          <cell r="U2851">
            <v>3265</v>
          </cell>
          <cell r="V2851">
            <v>4436</v>
          </cell>
          <cell r="W2851">
            <v>4942</v>
          </cell>
          <cell r="X2851">
            <v>5376</v>
          </cell>
          <cell r="Y2851">
            <v>2924</v>
          </cell>
          <cell r="Z2851">
            <v>1653</v>
          </cell>
          <cell r="AA2851">
            <v>1432</v>
          </cell>
          <cell r="AB2851">
            <v>932</v>
          </cell>
          <cell r="AC2851">
            <v>6943</v>
          </cell>
          <cell r="AD2851">
            <v>7367</v>
          </cell>
          <cell r="AE2851">
            <v>6891</v>
          </cell>
          <cell r="AF2851">
            <v>6496</v>
          </cell>
          <cell r="AG2851">
            <v>6883</v>
          </cell>
          <cell r="AH2851">
            <v>6314</v>
          </cell>
          <cell r="AI2851">
            <v>6559</v>
          </cell>
          <cell r="AJ2851">
            <v>5937</v>
          </cell>
        </row>
        <row r="2852">
          <cell r="E2852" t="str">
            <v>RI Industrial Special Naphthas</v>
          </cell>
          <cell r="F2852">
            <v>306</v>
          </cell>
          <cell r="G2852">
            <v>0</v>
          </cell>
          <cell r="H2852">
            <v>0</v>
          </cell>
          <cell r="I2852">
            <v>0</v>
          </cell>
          <cell r="J2852">
            <v>0</v>
          </cell>
          <cell r="K2852">
            <v>0</v>
          </cell>
          <cell r="L2852">
            <v>104</v>
          </cell>
          <cell r="M2852">
            <v>101</v>
          </cell>
          <cell r="N2852">
            <v>150</v>
          </cell>
          <cell r="O2852">
            <v>203</v>
          </cell>
          <cell r="P2852">
            <v>136</v>
          </cell>
          <cell r="Q2852">
            <v>135</v>
          </cell>
          <cell r="R2852">
            <v>177</v>
          </cell>
          <cell r="S2852">
            <v>139</v>
          </cell>
          <cell r="T2852">
            <v>88</v>
          </cell>
          <cell r="U2852">
            <v>108</v>
          </cell>
          <cell r="V2852">
            <v>144</v>
          </cell>
          <cell r="W2852">
            <v>160</v>
          </cell>
          <cell r="X2852">
            <v>174</v>
          </cell>
          <cell r="Y2852">
            <v>95</v>
          </cell>
          <cell r="Z2852">
            <v>53</v>
          </cell>
          <cell r="AA2852">
            <v>46</v>
          </cell>
          <cell r="AB2852">
            <v>30</v>
          </cell>
          <cell r="AC2852">
            <v>178</v>
          </cell>
          <cell r="AD2852">
            <v>189</v>
          </cell>
          <cell r="AE2852">
            <v>177</v>
          </cell>
          <cell r="AF2852">
            <v>167</v>
          </cell>
          <cell r="AG2852">
            <v>495</v>
          </cell>
          <cell r="AH2852">
            <v>454</v>
          </cell>
          <cell r="AI2852">
            <v>472</v>
          </cell>
          <cell r="AJ2852">
            <v>427</v>
          </cell>
        </row>
        <row r="2853">
          <cell r="E2853" t="str">
            <v>SC Industrial Special Naphthas</v>
          </cell>
          <cell r="F2853">
            <v>65</v>
          </cell>
          <cell r="G2853">
            <v>1536</v>
          </cell>
          <cell r="H2853">
            <v>1825</v>
          </cell>
          <cell r="I2853">
            <v>1826</v>
          </cell>
          <cell r="J2853">
            <v>1415</v>
          </cell>
          <cell r="K2853">
            <v>1236</v>
          </cell>
          <cell r="L2853">
            <v>147</v>
          </cell>
          <cell r="M2853">
            <v>143</v>
          </cell>
          <cell r="N2853">
            <v>212</v>
          </cell>
          <cell r="O2853">
            <v>288</v>
          </cell>
          <cell r="P2853">
            <v>193</v>
          </cell>
          <cell r="Q2853">
            <v>752</v>
          </cell>
          <cell r="R2853">
            <v>982</v>
          </cell>
          <cell r="S2853">
            <v>772</v>
          </cell>
          <cell r="T2853">
            <v>489</v>
          </cell>
          <cell r="U2853">
            <v>599</v>
          </cell>
          <cell r="V2853">
            <v>330</v>
          </cell>
          <cell r="W2853">
            <v>368</v>
          </cell>
          <cell r="X2853">
            <v>400</v>
          </cell>
          <cell r="Y2853">
            <v>218</v>
          </cell>
          <cell r="Z2853">
            <v>123</v>
          </cell>
          <cell r="AA2853">
            <v>107</v>
          </cell>
          <cell r="AB2853">
            <v>69</v>
          </cell>
          <cell r="AC2853">
            <v>1265</v>
          </cell>
          <cell r="AD2853">
            <v>1342</v>
          </cell>
          <cell r="AE2853">
            <v>1255</v>
          </cell>
          <cell r="AF2853">
            <v>1183</v>
          </cell>
          <cell r="AG2853">
            <v>743</v>
          </cell>
          <cell r="AH2853">
            <v>681</v>
          </cell>
          <cell r="AI2853">
            <v>708</v>
          </cell>
          <cell r="AJ2853">
            <v>641</v>
          </cell>
        </row>
        <row r="2854">
          <cell r="E2854" t="str">
            <v>SD Industrial Special Naphthas</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row>
        <row r="2855">
          <cell r="E2855" t="str">
            <v>TN Industrial Special Naphthas</v>
          </cell>
          <cell r="F2855">
            <v>1055</v>
          </cell>
          <cell r="G2855">
            <v>780</v>
          </cell>
          <cell r="H2855">
            <v>928</v>
          </cell>
          <cell r="I2855">
            <v>928</v>
          </cell>
          <cell r="J2855">
            <v>719</v>
          </cell>
          <cell r="K2855">
            <v>628</v>
          </cell>
          <cell r="L2855">
            <v>704</v>
          </cell>
          <cell r="M2855">
            <v>683</v>
          </cell>
          <cell r="N2855">
            <v>1013</v>
          </cell>
          <cell r="O2855">
            <v>1374</v>
          </cell>
          <cell r="P2855">
            <v>920</v>
          </cell>
          <cell r="Q2855">
            <v>1139</v>
          </cell>
          <cell r="R2855">
            <v>1486</v>
          </cell>
          <cell r="S2855">
            <v>1168</v>
          </cell>
          <cell r="T2855">
            <v>741</v>
          </cell>
          <cell r="U2855">
            <v>907</v>
          </cell>
          <cell r="V2855">
            <v>1062</v>
          </cell>
          <cell r="W2855">
            <v>1183</v>
          </cell>
          <cell r="X2855">
            <v>1287</v>
          </cell>
          <cell r="Y2855">
            <v>700</v>
          </cell>
          <cell r="Z2855">
            <v>396</v>
          </cell>
          <cell r="AA2855">
            <v>343</v>
          </cell>
          <cell r="AB2855">
            <v>223</v>
          </cell>
          <cell r="AC2855">
            <v>1974</v>
          </cell>
          <cell r="AD2855">
            <v>2094</v>
          </cell>
          <cell r="AE2855">
            <v>1959</v>
          </cell>
          <cell r="AF2855">
            <v>1847</v>
          </cell>
          <cell r="AG2855">
            <v>2845</v>
          </cell>
          <cell r="AH2855">
            <v>2610</v>
          </cell>
          <cell r="AI2855">
            <v>2711</v>
          </cell>
          <cell r="AJ2855">
            <v>2454</v>
          </cell>
        </row>
        <row r="2856">
          <cell r="E2856" t="str">
            <v>TX Industrial Special Naphthas</v>
          </cell>
          <cell r="F2856">
            <v>6544</v>
          </cell>
          <cell r="G2856">
            <v>5037</v>
          </cell>
          <cell r="H2856">
            <v>5986</v>
          </cell>
          <cell r="I2856">
            <v>5987</v>
          </cell>
          <cell r="J2856">
            <v>4640</v>
          </cell>
          <cell r="K2856">
            <v>4054</v>
          </cell>
          <cell r="L2856">
            <v>4506</v>
          </cell>
          <cell r="M2856">
            <v>4368</v>
          </cell>
          <cell r="N2856">
            <v>6485</v>
          </cell>
          <cell r="O2856">
            <v>8789</v>
          </cell>
          <cell r="P2856">
            <v>5886</v>
          </cell>
          <cell r="Q2856">
            <v>6914</v>
          </cell>
          <cell r="R2856">
            <v>9020</v>
          </cell>
          <cell r="S2856">
            <v>7090</v>
          </cell>
          <cell r="T2856">
            <v>4496</v>
          </cell>
          <cell r="U2856">
            <v>5507</v>
          </cell>
          <cell r="V2856">
            <v>7085</v>
          </cell>
          <cell r="W2856">
            <v>7893</v>
          </cell>
          <cell r="X2856">
            <v>8586</v>
          </cell>
          <cell r="Y2856">
            <v>4670</v>
          </cell>
          <cell r="Z2856">
            <v>2640</v>
          </cell>
          <cell r="AA2856">
            <v>2287</v>
          </cell>
          <cell r="AB2856">
            <v>1488</v>
          </cell>
          <cell r="AC2856">
            <v>10423</v>
          </cell>
          <cell r="AD2856">
            <v>11059</v>
          </cell>
          <cell r="AE2856">
            <v>10345</v>
          </cell>
          <cell r="AF2856">
            <v>9752</v>
          </cell>
          <cell r="AG2856">
            <v>10197</v>
          </cell>
          <cell r="AH2856">
            <v>9355</v>
          </cell>
          <cell r="AI2856">
            <v>9717</v>
          </cell>
          <cell r="AJ2856">
            <v>8796</v>
          </cell>
        </row>
        <row r="2857">
          <cell r="E2857" t="str">
            <v>US Industrial Special Naphthas</v>
          </cell>
          <cell r="F2857">
            <v>107091</v>
          </cell>
          <cell r="G2857">
            <v>87988</v>
          </cell>
          <cell r="H2857">
            <v>104566</v>
          </cell>
          <cell r="I2857">
            <v>104582</v>
          </cell>
          <cell r="J2857">
            <v>81050</v>
          </cell>
          <cell r="K2857">
            <v>70822</v>
          </cell>
          <cell r="L2857">
            <v>74543</v>
          </cell>
          <cell r="M2857">
            <v>72265</v>
          </cell>
          <cell r="N2857">
            <v>107274</v>
          </cell>
          <cell r="O2857">
            <v>145396</v>
          </cell>
          <cell r="P2857">
            <v>97377</v>
          </cell>
          <cell r="Q2857">
            <v>78489</v>
          </cell>
          <cell r="R2857">
            <v>102394</v>
          </cell>
          <cell r="S2857">
            <v>80483</v>
          </cell>
          <cell r="T2857">
            <v>51037</v>
          </cell>
          <cell r="U2857">
            <v>62514</v>
          </cell>
          <cell r="V2857">
            <v>70050</v>
          </cell>
          <cell r="W2857">
            <v>78038</v>
          </cell>
          <cell r="X2857">
            <v>84886</v>
          </cell>
          <cell r="Y2857">
            <v>46172</v>
          </cell>
          <cell r="Z2857">
            <v>26104</v>
          </cell>
          <cell r="AA2857">
            <v>22614</v>
          </cell>
          <cell r="AB2857">
            <v>14715</v>
          </cell>
          <cell r="AC2857">
            <v>100016</v>
          </cell>
          <cell r="AD2857">
            <v>106120</v>
          </cell>
          <cell r="AE2857">
            <v>99266</v>
          </cell>
          <cell r="AF2857">
            <v>93577</v>
          </cell>
          <cell r="AG2857">
            <v>100337</v>
          </cell>
          <cell r="AH2857">
            <v>92050</v>
          </cell>
          <cell r="AI2857">
            <v>95619</v>
          </cell>
          <cell r="AJ2857">
            <v>86550</v>
          </cell>
        </row>
        <row r="2858">
          <cell r="E2858" t="str">
            <v>UT Industrial Special Naphthas</v>
          </cell>
          <cell r="F2858">
            <v>0</v>
          </cell>
          <cell r="G2858">
            <v>0</v>
          </cell>
          <cell r="H2858">
            <v>0</v>
          </cell>
          <cell r="I2858">
            <v>0</v>
          </cell>
          <cell r="J2858">
            <v>0</v>
          </cell>
          <cell r="K2858">
            <v>0</v>
          </cell>
          <cell r="L2858">
            <v>0</v>
          </cell>
          <cell r="M2858">
            <v>0</v>
          </cell>
          <cell r="N2858">
            <v>0</v>
          </cell>
          <cell r="O2858">
            <v>0</v>
          </cell>
          <cell r="P2858">
            <v>0</v>
          </cell>
          <cell r="Q2858">
            <v>89</v>
          </cell>
          <cell r="R2858">
            <v>117</v>
          </cell>
          <cell r="S2858">
            <v>92</v>
          </cell>
          <cell r="T2858">
            <v>58</v>
          </cell>
          <cell r="U2858">
            <v>71</v>
          </cell>
          <cell r="V2858">
            <v>270</v>
          </cell>
          <cell r="W2858">
            <v>300</v>
          </cell>
          <cell r="X2858">
            <v>327</v>
          </cell>
          <cell r="Y2858">
            <v>178</v>
          </cell>
          <cell r="Z2858">
            <v>101</v>
          </cell>
          <cell r="AA2858">
            <v>87</v>
          </cell>
          <cell r="AB2858">
            <v>57</v>
          </cell>
          <cell r="AC2858">
            <v>520</v>
          </cell>
          <cell r="AD2858">
            <v>552</v>
          </cell>
          <cell r="AE2858">
            <v>516</v>
          </cell>
          <cell r="AF2858">
            <v>487</v>
          </cell>
          <cell r="AG2858">
            <v>562</v>
          </cell>
          <cell r="AH2858">
            <v>516</v>
          </cell>
          <cell r="AI2858">
            <v>536</v>
          </cell>
          <cell r="AJ2858">
            <v>485</v>
          </cell>
        </row>
        <row r="2859">
          <cell r="E2859" t="str">
            <v>VA Industrial Special Naphthas</v>
          </cell>
          <cell r="F2859">
            <v>2989</v>
          </cell>
          <cell r="G2859">
            <v>1335</v>
          </cell>
          <cell r="H2859">
            <v>1586</v>
          </cell>
          <cell r="I2859">
            <v>1587</v>
          </cell>
          <cell r="J2859">
            <v>1230</v>
          </cell>
          <cell r="K2859">
            <v>1074</v>
          </cell>
          <cell r="L2859">
            <v>1881</v>
          </cell>
          <cell r="M2859">
            <v>1823</v>
          </cell>
          <cell r="N2859">
            <v>2707</v>
          </cell>
          <cell r="O2859">
            <v>3668</v>
          </cell>
          <cell r="P2859">
            <v>2457</v>
          </cell>
          <cell r="Q2859">
            <v>2576</v>
          </cell>
          <cell r="R2859">
            <v>3361</v>
          </cell>
          <cell r="S2859">
            <v>2642</v>
          </cell>
          <cell r="T2859">
            <v>1675</v>
          </cell>
          <cell r="U2859">
            <v>2052</v>
          </cell>
          <cell r="V2859">
            <v>2457</v>
          </cell>
          <cell r="W2859">
            <v>2737</v>
          </cell>
          <cell r="X2859">
            <v>2978</v>
          </cell>
          <cell r="Y2859">
            <v>1620</v>
          </cell>
          <cell r="Z2859">
            <v>916</v>
          </cell>
          <cell r="AA2859">
            <v>793</v>
          </cell>
          <cell r="AB2859">
            <v>516</v>
          </cell>
          <cell r="AC2859">
            <v>1662</v>
          </cell>
          <cell r="AD2859">
            <v>1763</v>
          </cell>
          <cell r="AE2859">
            <v>1649</v>
          </cell>
          <cell r="AF2859">
            <v>1555</v>
          </cell>
          <cell r="AG2859">
            <v>3649</v>
          </cell>
          <cell r="AH2859">
            <v>3348</v>
          </cell>
          <cell r="AI2859">
            <v>3477</v>
          </cell>
          <cell r="AJ2859">
            <v>3148</v>
          </cell>
        </row>
        <row r="2860">
          <cell r="E2860" t="str">
            <v>VT Industrial Special Naphthas</v>
          </cell>
          <cell r="F2860">
            <v>34</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178</v>
          </cell>
          <cell r="AD2860">
            <v>189</v>
          </cell>
          <cell r="AE2860">
            <v>177</v>
          </cell>
          <cell r="AF2860">
            <v>167</v>
          </cell>
          <cell r="AG2860">
            <v>193</v>
          </cell>
          <cell r="AH2860">
            <v>177</v>
          </cell>
          <cell r="AI2860">
            <v>184</v>
          </cell>
          <cell r="AJ2860">
            <v>166</v>
          </cell>
        </row>
        <row r="2861">
          <cell r="E2861" t="str">
            <v>WA Industrial Special Naphthas</v>
          </cell>
          <cell r="F2861">
            <v>801</v>
          </cell>
          <cell r="G2861">
            <v>640</v>
          </cell>
          <cell r="H2861">
            <v>761</v>
          </cell>
          <cell r="I2861">
            <v>761</v>
          </cell>
          <cell r="J2861">
            <v>590</v>
          </cell>
          <cell r="K2861">
            <v>515</v>
          </cell>
          <cell r="L2861">
            <v>610</v>
          </cell>
          <cell r="M2861">
            <v>591</v>
          </cell>
          <cell r="N2861">
            <v>877</v>
          </cell>
          <cell r="O2861">
            <v>1189</v>
          </cell>
          <cell r="P2861">
            <v>796</v>
          </cell>
          <cell r="Q2861">
            <v>734</v>
          </cell>
          <cell r="R2861">
            <v>958</v>
          </cell>
          <cell r="S2861">
            <v>753</v>
          </cell>
          <cell r="T2861">
            <v>477</v>
          </cell>
          <cell r="U2861">
            <v>585</v>
          </cell>
          <cell r="V2861">
            <v>606</v>
          </cell>
          <cell r="W2861">
            <v>675</v>
          </cell>
          <cell r="X2861">
            <v>734</v>
          </cell>
          <cell r="Y2861">
            <v>399</v>
          </cell>
          <cell r="Z2861">
            <v>226</v>
          </cell>
          <cell r="AA2861">
            <v>195</v>
          </cell>
          <cell r="AB2861">
            <v>127</v>
          </cell>
          <cell r="AC2861">
            <v>862</v>
          </cell>
          <cell r="AD2861">
            <v>915</v>
          </cell>
          <cell r="AE2861">
            <v>856</v>
          </cell>
          <cell r="AF2861">
            <v>807</v>
          </cell>
          <cell r="AG2861">
            <v>151</v>
          </cell>
          <cell r="AH2861">
            <v>138</v>
          </cell>
          <cell r="AI2861">
            <v>144</v>
          </cell>
          <cell r="AJ2861">
            <v>130</v>
          </cell>
        </row>
        <row r="2862">
          <cell r="E2862" t="str">
            <v>WI Industrial Special Naphthas</v>
          </cell>
          <cell r="F2862">
            <v>2501</v>
          </cell>
          <cell r="G2862">
            <v>2675</v>
          </cell>
          <cell r="H2862">
            <v>3178</v>
          </cell>
          <cell r="I2862">
            <v>3179</v>
          </cell>
          <cell r="J2862">
            <v>2464</v>
          </cell>
          <cell r="K2862">
            <v>2153</v>
          </cell>
          <cell r="L2862">
            <v>3026</v>
          </cell>
          <cell r="M2862">
            <v>2934</v>
          </cell>
          <cell r="N2862">
            <v>4355</v>
          </cell>
          <cell r="O2862">
            <v>5903</v>
          </cell>
          <cell r="P2862">
            <v>3953</v>
          </cell>
          <cell r="Q2862">
            <v>2506</v>
          </cell>
          <cell r="R2862">
            <v>3269</v>
          </cell>
          <cell r="S2862">
            <v>2570</v>
          </cell>
          <cell r="T2862">
            <v>1629</v>
          </cell>
          <cell r="U2862">
            <v>1996</v>
          </cell>
          <cell r="V2862">
            <v>2090</v>
          </cell>
          <cell r="W2862">
            <v>2328</v>
          </cell>
          <cell r="X2862">
            <v>2532</v>
          </cell>
          <cell r="Y2862">
            <v>1377</v>
          </cell>
          <cell r="Z2862">
            <v>779</v>
          </cell>
          <cell r="AA2862">
            <v>675</v>
          </cell>
          <cell r="AB2862">
            <v>439</v>
          </cell>
          <cell r="AC2862">
            <v>3202</v>
          </cell>
          <cell r="AD2862">
            <v>3397</v>
          </cell>
          <cell r="AE2862">
            <v>3178</v>
          </cell>
          <cell r="AF2862">
            <v>2995</v>
          </cell>
          <cell r="AG2862">
            <v>5436</v>
          </cell>
          <cell r="AH2862">
            <v>4987</v>
          </cell>
          <cell r="AI2862">
            <v>5181</v>
          </cell>
          <cell r="AJ2862">
            <v>4689</v>
          </cell>
        </row>
        <row r="2863">
          <cell r="E2863" t="str">
            <v>WV Industrial Special Naphthas</v>
          </cell>
          <cell r="F2863">
            <v>0</v>
          </cell>
          <cell r="G2863">
            <v>0</v>
          </cell>
          <cell r="H2863">
            <v>0</v>
          </cell>
          <cell r="I2863">
            <v>0</v>
          </cell>
          <cell r="J2863">
            <v>0</v>
          </cell>
          <cell r="K2863">
            <v>0</v>
          </cell>
          <cell r="L2863">
            <v>132</v>
          </cell>
          <cell r="M2863">
            <v>128</v>
          </cell>
          <cell r="N2863">
            <v>189</v>
          </cell>
          <cell r="O2863">
            <v>257</v>
          </cell>
          <cell r="P2863">
            <v>172</v>
          </cell>
          <cell r="Q2863">
            <v>190</v>
          </cell>
          <cell r="R2863">
            <v>248</v>
          </cell>
          <cell r="S2863">
            <v>195</v>
          </cell>
          <cell r="T2863">
            <v>124</v>
          </cell>
          <cell r="U2863">
            <v>152</v>
          </cell>
          <cell r="V2863">
            <v>0</v>
          </cell>
          <cell r="W2863">
            <v>0</v>
          </cell>
          <cell r="X2863">
            <v>0</v>
          </cell>
          <cell r="Y2863">
            <v>0</v>
          </cell>
          <cell r="Z2863">
            <v>0</v>
          </cell>
          <cell r="AA2863">
            <v>0</v>
          </cell>
          <cell r="AB2863">
            <v>0</v>
          </cell>
          <cell r="AC2863">
            <v>0</v>
          </cell>
          <cell r="AD2863">
            <v>0</v>
          </cell>
          <cell r="AE2863">
            <v>0</v>
          </cell>
          <cell r="AF2863">
            <v>0</v>
          </cell>
          <cell r="AG2863">
            <v>41</v>
          </cell>
          <cell r="AH2863">
            <v>37</v>
          </cell>
          <cell r="AI2863">
            <v>39</v>
          </cell>
          <cell r="AJ2863">
            <v>35</v>
          </cell>
        </row>
        <row r="2864">
          <cell r="E2864" t="str">
            <v>WY Industrial Special Naphthas</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row>
        <row r="2865">
          <cell r="E2865" t="str">
            <v>AK Industrial Unfinished Oils</v>
          </cell>
          <cell r="F2865">
            <v>-5908</v>
          </cell>
          <cell r="G2865">
            <v>-6694</v>
          </cell>
          <cell r="H2865">
            <v>-6154</v>
          </cell>
          <cell r="I2865">
            <v>-7037</v>
          </cell>
          <cell r="J2865">
            <v>-4879</v>
          </cell>
          <cell r="K2865">
            <v>-5627</v>
          </cell>
          <cell r="L2865">
            <v>-2108</v>
          </cell>
          <cell r="M2865">
            <v>-1874</v>
          </cell>
          <cell r="N2865">
            <v>-6830</v>
          </cell>
          <cell r="O2865">
            <v>-6345</v>
          </cell>
          <cell r="P2865">
            <v>-8809</v>
          </cell>
          <cell r="Q2865">
            <v>-1659</v>
          </cell>
          <cell r="R2865">
            <v>-2955</v>
          </cell>
          <cell r="S2865">
            <v>-1114</v>
          </cell>
          <cell r="T2865">
            <v>-1659</v>
          </cell>
          <cell r="U2865">
            <v>63</v>
          </cell>
          <cell r="V2865">
            <v>1552</v>
          </cell>
          <cell r="W2865">
            <v>1420</v>
          </cell>
          <cell r="X2865">
            <v>-1022</v>
          </cell>
          <cell r="Y2865">
            <v>-1381</v>
          </cell>
          <cell r="Z2865">
            <v>487</v>
          </cell>
          <cell r="AA2865">
            <v>960</v>
          </cell>
          <cell r="AB2865">
            <v>883</v>
          </cell>
          <cell r="AC2865">
            <v>230</v>
          </cell>
          <cell r="AD2865">
            <v>-984</v>
          </cell>
          <cell r="AE2865">
            <v>-156</v>
          </cell>
          <cell r="AF2865">
            <v>74</v>
          </cell>
          <cell r="AG2865">
            <v>652</v>
          </cell>
          <cell r="AH2865">
            <v>271</v>
          </cell>
          <cell r="AI2865">
            <v>1190</v>
          </cell>
          <cell r="AJ2865">
            <v>1740</v>
          </cell>
        </row>
        <row r="2866">
          <cell r="E2866" t="str">
            <v>AL Industrial Unfinished Oils</v>
          </cell>
          <cell r="F2866">
            <v>-2800</v>
          </cell>
          <cell r="G2866">
            <v>-4215</v>
          </cell>
          <cell r="H2866">
            <v>-2509</v>
          </cell>
          <cell r="I2866">
            <v>-3259</v>
          </cell>
          <cell r="J2866">
            <v>-2240</v>
          </cell>
          <cell r="K2866">
            <v>-2574</v>
          </cell>
          <cell r="L2866">
            <v>-930</v>
          </cell>
          <cell r="M2866">
            <v>-861</v>
          </cell>
          <cell r="N2866">
            <v>-2541</v>
          </cell>
          <cell r="O2866">
            <v>-2294</v>
          </cell>
          <cell r="P2866">
            <v>-3195</v>
          </cell>
          <cell r="Q2866">
            <v>-527</v>
          </cell>
          <cell r="R2866">
            <v>-1070</v>
          </cell>
          <cell r="S2866">
            <v>-392</v>
          </cell>
          <cell r="T2866">
            <v>-504</v>
          </cell>
          <cell r="U2866">
            <v>23</v>
          </cell>
          <cell r="V2866">
            <v>491</v>
          </cell>
          <cell r="W2866">
            <v>472</v>
          </cell>
          <cell r="X2866">
            <v>-391</v>
          </cell>
          <cell r="Y2866">
            <v>-554</v>
          </cell>
          <cell r="Z2866">
            <v>198</v>
          </cell>
          <cell r="AA2866">
            <v>395</v>
          </cell>
          <cell r="AB2866">
            <v>433</v>
          </cell>
          <cell r="AC2866">
            <v>113</v>
          </cell>
          <cell r="AD2866">
            <v>-542</v>
          </cell>
          <cell r="AE2866">
            <v>-129</v>
          </cell>
          <cell r="AF2866">
            <v>61</v>
          </cell>
          <cell r="AG2866">
            <v>583</v>
          </cell>
          <cell r="AH2866">
            <v>234</v>
          </cell>
          <cell r="AI2866">
            <v>1012</v>
          </cell>
          <cell r="AJ2866">
            <v>1479</v>
          </cell>
        </row>
        <row r="2867">
          <cell r="E2867" t="str">
            <v>AR Industrial Unfinished Oils</v>
          </cell>
          <cell r="F2867">
            <v>-1329</v>
          </cell>
          <cell r="G2867">
            <v>-1826</v>
          </cell>
          <cell r="H2867">
            <v>-1482</v>
          </cell>
          <cell r="I2867">
            <v>-1694</v>
          </cell>
          <cell r="J2867">
            <v>-1183</v>
          </cell>
          <cell r="K2867">
            <v>-1360</v>
          </cell>
          <cell r="L2867">
            <v>-483</v>
          </cell>
          <cell r="M2867">
            <v>-430</v>
          </cell>
          <cell r="N2867">
            <v>-1269</v>
          </cell>
          <cell r="O2867">
            <v>-1063</v>
          </cell>
          <cell r="P2867">
            <v>-1511</v>
          </cell>
          <cell r="Q2867">
            <v>-301</v>
          </cell>
          <cell r="R2867">
            <v>-575</v>
          </cell>
          <cell r="S2867">
            <v>-210</v>
          </cell>
          <cell r="T2867">
            <v>-341</v>
          </cell>
          <cell r="U2867">
            <v>13</v>
          </cell>
          <cell r="V2867">
            <v>319</v>
          </cell>
          <cell r="W2867">
            <v>293</v>
          </cell>
          <cell r="X2867">
            <v>-240</v>
          </cell>
          <cell r="Y2867">
            <v>-381</v>
          </cell>
          <cell r="Z2867">
            <v>136</v>
          </cell>
          <cell r="AA2867">
            <v>297</v>
          </cell>
          <cell r="AB2867">
            <v>327</v>
          </cell>
          <cell r="AC2867">
            <v>85</v>
          </cell>
          <cell r="AD2867">
            <v>-409</v>
          </cell>
          <cell r="AE2867">
            <v>-89</v>
          </cell>
          <cell r="AF2867">
            <v>42</v>
          </cell>
          <cell r="AG2867">
            <v>372</v>
          </cell>
          <cell r="AH2867">
            <v>149</v>
          </cell>
          <cell r="AI2867">
            <v>656</v>
          </cell>
          <cell r="AJ2867">
            <v>959</v>
          </cell>
        </row>
        <row r="2868">
          <cell r="E2868" t="str">
            <v>AZ Industrial Unfinished Oils</v>
          </cell>
          <cell r="F2868">
            <v>-247</v>
          </cell>
          <cell r="G2868">
            <v>-301</v>
          </cell>
          <cell r="H2868">
            <v>-240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row>
        <row r="2869">
          <cell r="E2869" t="str">
            <v>CA Industrial Unfinished Oils</v>
          </cell>
          <cell r="F2869">
            <v>-51653</v>
          </cell>
          <cell r="G2869">
            <v>-57043</v>
          </cell>
          <cell r="H2869">
            <v>-44889</v>
          </cell>
          <cell r="I2869">
            <v>-50693</v>
          </cell>
          <cell r="J2869">
            <v>-35218</v>
          </cell>
          <cell r="K2869">
            <v>-38970</v>
          </cell>
          <cell r="L2869">
            <v>-13772</v>
          </cell>
          <cell r="M2869">
            <v>-12407</v>
          </cell>
          <cell r="N2869">
            <v>-37252</v>
          </cell>
          <cell r="O2869">
            <v>-33618</v>
          </cell>
          <cell r="P2869">
            <v>-47173</v>
          </cell>
          <cell r="Q2869">
            <v>-9183</v>
          </cell>
          <cell r="R2869">
            <v>-16378</v>
          </cell>
          <cell r="S2869">
            <v>-5967</v>
          </cell>
          <cell r="T2869">
            <v>-8906</v>
          </cell>
          <cell r="U2869">
            <v>340</v>
          </cell>
          <cell r="V2869">
            <v>8368</v>
          </cell>
          <cell r="W2869">
            <v>7596</v>
          </cell>
          <cell r="X2869">
            <v>-6187</v>
          </cell>
          <cell r="Y2869">
            <v>-8586</v>
          </cell>
          <cell r="Z2869">
            <v>3095</v>
          </cell>
          <cell r="AA2869">
            <v>6138</v>
          </cell>
          <cell r="AB2869">
            <v>5864</v>
          </cell>
          <cell r="AC2869">
            <v>1768</v>
          </cell>
          <cell r="AD2869">
            <v>-8588</v>
          </cell>
          <cell r="AE2869">
            <v>-1860</v>
          </cell>
          <cell r="AF2869">
            <v>886</v>
          </cell>
          <cell r="AG2869">
            <v>7784</v>
          </cell>
          <cell r="AH2869">
            <v>3151</v>
          </cell>
          <cell r="AI2869">
            <v>13840</v>
          </cell>
          <cell r="AJ2869">
            <v>19050</v>
          </cell>
        </row>
        <row r="2870">
          <cell r="E2870" t="str">
            <v>CO Industrial Unfinished Oils</v>
          </cell>
          <cell r="F2870">
            <v>-1875</v>
          </cell>
          <cell r="G2870">
            <v>-2286</v>
          </cell>
          <cell r="H2870">
            <v>-2053</v>
          </cell>
          <cell r="I2870">
            <v>-2303</v>
          </cell>
          <cell r="J2870">
            <v>-1583</v>
          </cell>
          <cell r="K2870">
            <v>-1819</v>
          </cell>
          <cell r="L2870">
            <v>-636</v>
          </cell>
          <cell r="M2870">
            <v>-566</v>
          </cell>
          <cell r="N2870">
            <v>-1671</v>
          </cell>
          <cell r="O2870">
            <v>-1491</v>
          </cell>
          <cell r="P2870">
            <v>-2077</v>
          </cell>
          <cell r="Q2870">
            <v>-413</v>
          </cell>
          <cell r="R2870">
            <v>-716</v>
          </cell>
          <cell r="S2870">
            <v>-262</v>
          </cell>
          <cell r="T2870">
            <v>-386</v>
          </cell>
          <cell r="U2870">
            <v>16</v>
          </cell>
          <cell r="V2870">
            <v>389</v>
          </cell>
          <cell r="W2870">
            <v>356</v>
          </cell>
          <cell r="X2870">
            <v>-316</v>
          </cell>
          <cell r="Y2870">
            <v>-471</v>
          </cell>
          <cell r="Z2870">
            <v>170</v>
          </cell>
          <cell r="AA2870">
            <v>338</v>
          </cell>
          <cell r="AB2870">
            <v>372</v>
          </cell>
          <cell r="AC2870">
            <v>97</v>
          </cell>
          <cell r="AD2870">
            <v>-465</v>
          </cell>
          <cell r="AE2870">
            <v>-101</v>
          </cell>
          <cell r="AF2870">
            <v>48</v>
          </cell>
          <cell r="AG2870">
            <v>424</v>
          </cell>
          <cell r="AH2870">
            <v>170</v>
          </cell>
          <cell r="AI2870">
            <v>747</v>
          </cell>
          <cell r="AJ2870">
            <v>1091</v>
          </cell>
        </row>
        <row r="2871">
          <cell r="E2871" t="str">
            <v>CT Industrial Unfinished Oils</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row>
        <row r="2872">
          <cell r="E2872" t="str">
            <v>DC Industrial Unfinished Oils</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row>
        <row r="2873">
          <cell r="E2873" t="str">
            <v>DE Industrial Unfinished Oils</v>
          </cell>
          <cell r="F2873">
            <v>-3453</v>
          </cell>
          <cell r="G2873">
            <v>-4212</v>
          </cell>
          <cell r="H2873">
            <v>-3362</v>
          </cell>
          <cell r="I2873">
            <v>-3770</v>
          </cell>
          <cell r="J2873">
            <v>-2592</v>
          </cell>
          <cell r="K2873">
            <v>-2979</v>
          </cell>
          <cell r="L2873">
            <v>-1041</v>
          </cell>
          <cell r="M2873">
            <v>-927</v>
          </cell>
          <cell r="N2873">
            <v>-3069</v>
          </cell>
          <cell r="O2873">
            <v>-2771</v>
          </cell>
          <cell r="P2873">
            <v>-3982</v>
          </cell>
          <cell r="Q2873">
            <v>-812</v>
          </cell>
          <cell r="R2873">
            <v>-1440</v>
          </cell>
          <cell r="S2873">
            <v>-526</v>
          </cell>
          <cell r="T2873">
            <v>-777</v>
          </cell>
          <cell r="U2873">
            <v>31</v>
          </cell>
          <cell r="V2873">
            <v>754</v>
          </cell>
          <cell r="W2873">
            <v>689</v>
          </cell>
          <cell r="X2873">
            <v>-565</v>
          </cell>
          <cell r="Y2873">
            <v>0</v>
          </cell>
          <cell r="Z2873">
            <v>0</v>
          </cell>
          <cell r="AA2873">
            <v>599</v>
          </cell>
          <cell r="AB2873">
            <v>657</v>
          </cell>
          <cell r="AC2873">
            <v>172</v>
          </cell>
          <cell r="AD2873">
            <v>-822</v>
          </cell>
          <cell r="AE2873">
            <v>-179</v>
          </cell>
          <cell r="AF2873">
            <v>85</v>
          </cell>
          <cell r="AG2873">
            <v>749</v>
          </cell>
          <cell r="AH2873">
            <v>301</v>
          </cell>
          <cell r="AI2873">
            <v>1321</v>
          </cell>
          <cell r="AJ2873">
            <v>1812</v>
          </cell>
        </row>
        <row r="2874">
          <cell r="E2874" t="str">
            <v>FL Industrial Unfinished Oils</v>
          </cell>
          <cell r="F2874">
            <v>0</v>
          </cell>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row>
        <row r="2875">
          <cell r="E2875" t="str">
            <v>GA Industrial Unfinished Oils</v>
          </cell>
          <cell r="F2875">
            <v>-137</v>
          </cell>
          <cell r="G2875">
            <v>-167</v>
          </cell>
          <cell r="H2875">
            <v>-133</v>
          </cell>
          <cell r="I2875">
            <v>-149</v>
          </cell>
          <cell r="J2875">
            <v>-103</v>
          </cell>
          <cell r="K2875">
            <v>-118</v>
          </cell>
          <cell r="L2875">
            <v>-41</v>
          </cell>
          <cell r="M2875">
            <v>-37</v>
          </cell>
          <cell r="N2875">
            <v>-106</v>
          </cell>
          <cell r="O2875">
            <v>-342</v>
          </cell>
          <cell r="P2875">
            <v>-133</v>
          </cell>
          <cell r="Q2875">
            <v>-25</v>
          </cell>
          <cell r="R2875">
            <v>-44</v>
          </cell>
          <cell r="S2875">
            <v>-16</v>
          </cell>
          <cell r="T2875">
            <v>0</v>
          </cell>
          <cell r="U2875">
            <v>0</v>
          </cell>
          <cell r="V2875">
            <v>0</v>
          </cell>
          <cell r="W2875">
            <v>0</v>
          </cell>
          <cell r="X2875">
            <v>0</v>
          </cell>
          <cell r="Y2875">
            <v>0</v>
          </cell>
          <cell r="Z2875">
            <v>23</v>
          </cell>
          <cell r="AA2875">
            <v>0</v>
          </cell>
          <cell r="AB2875">
            <v>0</v>
          </cell>
          <cell r="AC2875">
            <v>0</v>
          </cell>
          <cell r="AD2875">
            <v>0</v>
          </cell>
          <cell r="AE2875">
            <v>0</v>
          </cell>
          <cell r="AF2875">
            <v>0</v>
          </cell>
          <cell r="AG2875">
            <v>0</v>
          </cell>
          <cell r="AH2875">
            <v>0</v>
          </cell>
          <cell r="AI2875">
            <v>0</v>
          </cell>
          <cell r="AJ2875">
            <v>0</v>
          </cell>
        </row>
        <row r="2876">
          <cell r="E2876" t="str">
            <v>HI Industrial Unfinished Oils</v>
          </cell>
          <cell r="F2876">
            <v>-3609</v>
          </cell>
          <cell r="G2876">
            <v>-4401</v>
          </cell>
          <cell r="H2876">
            <v>-3513</v>
          </cell>
          <cell r="I2876">
            <v>-3940</v>
          </cell>
          <cell r="J2876">
            <v>-2731</v>
          </cell>
          <cell r="K2876">
            <v>-3138</v>
          </cell>
          <cell r="L2876">
            <v>-1097</v>
          </cell>
          <cell r="M2876">
            <v>-977</v>
          </cell>
          <cell r="N2876">
            <v>-2883</v>
          </cell>
          <cell r="O2876">
            <v>-2603</v>
          </cell>
          <cell r="P2876">
            <v>-3626</v>
          </cell>
          <cell r="Q2876">
            <v>-685</v>
          </cell>
          <cell r="R2876">
            <v>-1214</v>
          </cell>
          <cell r="S2876">
            <v>-444</v>
          </cell>
          <cell r="T2876">
            <v>-655</v>
          </cell>
          <cell r="U2876">
            <v>25</v>
          </cell>
          <cell r="V2876">
            <v>610</v>
          </cell>
          <cell r="W2876">
            <v>558</v>
          </cell>
          <cell r="X2876">
            <v>-458</v>
          </cell>
          <cell r="Y2876">
            <v>-681</v>
          </cell>
          <cell r="Z2876">
            <v>243</v>
          </cell>
          <cell r="AA2876">
            <v>485</v>
          </cell>
          <cell r="AB2876">
            <v>532</v>
          </cell>
          <cell r="AC2876">
            <v>139</v>
          </cell>
          <cell r="AD2876">
            <v>-666</v>
          </cell>
          <cell r="AE2876">
            <v>-145</v>
          </cell>
          <cell r="AF2876">
            <v>69</v>
          </cell>
          <cell r="AG2876">
            <v>607</v>
          </cell>
          <cell r="AH2876">
            <v>243</v>
          </cell>
          <cell r="AI2876">
            <v>1069</v>
          </cell>
          <cell r="AJ2876">
            <v>1132</v>
          </cell>
        </row>
        <row r="2877">
          <cell r="E2877" t="str">
            <v>IA Industrial Unfinished Oils</v>
          </cell>
          <cell r="F2877">
            <v>0</v>
          </cell>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row>
        <row r="2878">
          <cell r="E2878" t="str">
            <v>ID Industrial Unfinished Oils</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row>
        <row r="2879">
          <cell r="E2879" t="str">
            <v>IL Industrial Unfinished Oils</v>
          </cell>
          <cell r="F2879">
            <v>-23126</v>
          </cell>
          <cell r="G2879">
            <v>-28658</v>
          </cell>
          <cell r="H2879">
            <v>-23186</v>
          </cell>
          <cell r="I2879">
            <v>-25743</v>
          </cell>
          <cell r="J2879">
            <v>-18547</v>
          </cell>
          <cell r="K2879">
            <v>-20244</v>
          </cell>
          <cell r="L2879">
            <v>-7050</v>
          </cell>
          <cell r="M2879">
            <v>-6473</v>
          </cell>
          <cell r="N2879">
            <v>-20071</v>
          </cell>
          <cell r="O2879">
            <v>-18168</v>
          </cell>
          <cell r="P2879">
            <v>-25020</v>
          </cell>
          <cell r="Q2879">
            <v>-3620</v>
          </cell>
          <cell r="R2879">
            <v>-7229</v>
          </cell>
          <cell r="S2879">
            <v>-2641</v>
          </cell>
          <cell r="T2879">
            <v>-3980</v>
          </cell>
          <cell r="U2879">
            <v>153</v>
          </cell>
          <cell r="V2879">
            <v>3739</v>
          </cell>
          <cell r="W2879">
            <v>3465</v>
          </cell>
          <cell r="X2879">
            <v>-2841</v>
          </cell>
          <cell r="Y2879">
            <v>-4236</v>
          </cell>
          <cell r="Z2879">
            <v>1515</v>
          </cell>
          <cell r="AA2879">
            <v>3015</v>
          </cell>
          <cell r="AB2879">
            <v>3356</v>
          </cell>
          <cell r="AC2879">
            <v>883</v>
          </cell>
          <cell r="AD2879">
            <v>-4246</v>
          </cell>
          <cell r="AE2879">
            <v>-922</v>
          </cell>
          <cell r="AF2879">
            <v>446</v>
          </cell>
          <cell r="AG2879">
            <v>4018</v>
          </cell>
          <cell r="AH2879">
            <v>1645</v>
          </cell>
          <cell r="AI2879">
            <v>7444</v>
          </cell>
          <cell r="AJ2879">
            <v>11020</v>
          </cell>
        </row>
        <row r="2880">
          <cell r="E2880" t="str">
            <v>IN Industrial Unfinished Oils</v>
          </cell>
          <cell r="F2880">
            <v>-10604</v>
          </cell>
          <cell r="G2880">
            <v>-13535</v>
          </cell>
          <cell r="H2880">
            <v>-11404</v>
          </cell>
          <cell r="I2880">
            <v>-11343</v>
          </cell>
          <cell r="J2880">
            <v>-8043</v>
          </cell>
          <cell r="K2880">
            <v>-8872</v>
          </cell>
          <cell r="L2880">
            <v>-3214</v>
          </cell>
          <cell r="M2880">
            <v>-2860</v>
          </cell>
          <cell r="N2880">
            <v>-8464</v>
          </cell>
          <cell r="O2880">
            <v>-7641</v>
          </cell>
          <cell r="P2880">
            <v>-10643</v>
          </cell>
          <cell r="Q2880">
            <v>-2010</v>
          </cell>
          <cell r="R2880">
            <v>-3564</v>
          </cell>
          <cell r="S2880">
            <v>-1302</v>
          </cell>
          <cell r="T2880">
            <v>-1924</v>
          </cell>
          <cell r="U2880">
            <v>73</v>
          </cell>
          <cell r="V2880">
            <v>1792</v>
          </cell>
          <cell r="W2880">
            <v>1639</v>
          </cell>
          <cell r="X2880">
            <v>-1339</v>
          </cell>
          <cell r="Y2880">
            <v>-1992</v>
          </cell>
          <cell r="Z2880">
            <v>712</v>
          </cell>
          <cell r="AA2880">
            <v>1194</v>
          </cell>
          <cell r="AB2880">
            <v>693</v>
          </cell>
          <cell r="AC2880">
            <v>415</v>
          </cell>
          <cell r="AD2880">
            <v>-1989</v>
          </cell>
          <cell r="AE2880">
            <v>-432</v>
          </cell>
          <cell r="AF2880">
            <v>205</v>
          </cell>
          <cell r="AG2880">
            <v>1819</v>
          </cell>
          <cell r="AH2880">
            <v>757</v>
          </cell>
          <cell r="AI2880">
            <v>3362</v>
          </cell>
          <cell r="AJ2880">
            <v>4914</v>
          </cell>
        </row>
        <row r="2881">
          <cell r="E2881" t="str">
            <v>KS Industrial Unfinished Oils</v>
          </cell>
          <cell r="F2881">
            <v>-8675</v>
          </cell>
          <cell r="G2881">
            <v>-9847</v>
          </cell>
          <cell r="H2881">
            <v>-7129</v>
          </cell>
          <cell r="I2881">
            <v>-7360</v>
          </cell>
          <cell r="J2881">
            <v>-5458</v>
          </cell>
          <cell r="K2881">
            <v>-6272</v>
          </cell>
          <cell r="L2881">
            <v>-2115</v>
          </cell>
          <cell r="M2881">
            <v>-1883</v>
          </cell>
          <cell r="N2881">
            <v>-5595</v>
          </cell>
          <cell r="O2881">
            <v>-5195</v>
          </cell>
          <cell r="P2881">
            <v>-7236</v>
          </cell>
          <cell r="Q2881">
            <v>-1394</v>
          </cell>
          <cell r="R2881">
            <v>-2438</v>
          </cell>
          <cell r="S2881">
            <v>-891</v>
          </cell>
          <cell r="T2881">
            <v>-1316</v>
          </cell>
          <cell r="U2881">
            <v>51</v>
          </cell>
          <cell r="V2881">
            <v>1244</v>
          </cell>
          <cell r="W2881">
            <v>1158</v>
          </cell>
          <cell r="X2881">
            <v>-1028</v>
          </cell>
          <cell r="Y2881">
            <v>-1529</v>
          </cell>
          <cell r="Z2881">
            <v>560</v>
          </cell>
          <cell r="AA2881">
            <v>1115</v>
          </cell>
          <cell r="AB2881">
            <v>1226</v>
          </cell>
          <cell r="AC2881">
            <v>320</v>
          </cell>
          <cell r="AD2881">
            <v>-1530</v>
          </cell>
          <cell r="AE2881">
            <v>-332</v>
          </cell>
          <cell r="AF2881">
            <v>168</v>
          </cell>
          <cell r="AG2881">
            <v>1604</v>
          </cell>
          <cell r="AH2881">
            <v>650</v>
          </cell>
          <cell r="AI2881">
            <v>2927</v>
          </cell>
          <cell r="AJ2881">
            <v>4279</v>
          </cell>
        </row>
        <row r="2882">
          <cell r="E2882" t="str">
            <v>KY Industrial Unfinished Oils</v>
          </cell>
          <cell r="F2882">
            <v>-5399</v>
          </cell>
          <cell r="G2882">
            <v>-6585</v>
          </cell>
          <cell r="H2882">
            <v>-5256</v>
          </cell>
          <cell r="I2882">
            <v>-5895</v>
          </cell>
          <cell r="J2882">
            <v>-4053</v>
          </cell>
          <cell r="K2882">
            <v>-4657</v>
          </cell>
          <cell r="L2882">
            <v>-1672</v>
          </cell>
          <cell r="M2882">
            <v>-1488</v>
          </cell>
          <cell r="N2882">
            <v>-4447</v>
          </cell>
          <cell r="O2882">
            <v>-4015</v>
          </cell>
          <cell r="P2882">
            <v>-5592</v>
          </cell>
          <cell r="Q2882">
            <v>-1056</v>
          </cell>
          <cell r="R2882">
            <v>-1873</v>
          </cell>
          <cell r="S2882">
            <v>-684</v>
          </cell>
          <cell r="T2882">
            <v>-1011</v>
          </cell>
          <cell r="U2882">
            <v>39</v>
          </cell>
          <cell r="V2882">
            <v>919</v>
          </cell>
          <cell r="W2882">
            <v>855</v>
          </cell>
          <cell r="X2882">
            <v>-701</v>
          </cell>
          <cell r="Y2882">
            <v>-1004</v>
          </cell>
          <cell r="Z2882">
            <v>350</v>
          </cell>
          <cell r="AA2882">
            <v>766</v>
          </cell>
          <cell r="AB2882">
            <v>886</v>
          </cell>
          <cell r="AC2882">
            <v>233</v>
          </cell>
          <cell r="AD2882">
            <v>-1117</v>
          </cell>
          <cell r="AE2882">
            <v>-273</v>
          </cell>
          <cell r="AF2882">
            <v>129</v>
          </cell>
          <cell r="AG2882">
            <v>1162</v>
          </cell>
          <cell r="AH2882">
            <v>458</v>
          </cell>
          <cell r="AI2882">
            <v>2109</v>
          </cell>
          <cell r="AJ2882">
            <v>3083</v>
          </cell>
        </row>
        <row r="2883">
          <cell r="E2883" t="str">
            <v>LA Industrial Unfinished Oils</v>
          </cell>
          <cell r="F2883">
            <v>-56402</v>
          </cell>
          <cell r="G2883">
            <v>-69603</v>
          </cell>
          <cell r="H2883">
            <v>-56643</v>
          </cell>
          <cell r="I2883">
            <v>-63549</v>
          </cell>
          <cell r="J2883">
            <v>-43630</v>
          </cell>
          <cell r="K2883">
            <v>-51113</v>
          </cell>
          <cell r="L2883">
            <v>-18079</v>
          </cell>
          <cell r="M2883">
            <v>-16123</v>
          </cell>
          <cell r="N2883">
            <v>-50826</v>
          </cell>
          <cell r="O2883">
            <v>-47269</v>
          </cell>
          <cell r="P2883">
            <v>-65683</v>
          </cell>
          <cell r="Q2883">
            <v>-12330</v>
          </cell>
          <cell r="R2883">
            <v>-22379</v>
          </cell>
          <cell r="S2883">
            <v>-8280</v>
          </cell>
          <cell r="T2883">
            <v>-12318</v>
          </cell>
          <cell r="U2883">
            <v>430</v>
          </cell>
          <cell r="V2883">
            <v>12295</v>
          </cell>
          <cell r="W2883">
            <v>11169</v>
          </cell>
          <cell r="X2883">
            <v>-9206</v>
          </cell>
          <cell r="Y2883">
            <v>-13933</v>
          </cell>
          <cell r="Z2883">
            <v>5224</v>
          </cell>
          <cell r="AA2883">
            <v>10486</v>
          </cell>
          <cell r="AB2883">
            <v>11810</v>
          </cell>
          <cell r="AC2883">
            <v>3086</v>
          </cell>
          <cell r="AD2883">
            <v>-15001</v>
          </cell>
          <cell r="AE2883">
            <v>-3283</v>
          </cell>
          <cell r="AF2883">
            <v>1554</v>
          </cell>
          <cell r="AG2883">
            <v>13583</v>
          </cell>
          <cell r="AH2883">
            <v>5487</v>
          </cell>
          <cell r="AI2883">
            <v>24405</v>
          </cell>
          <cell r="AJ2883">
            <v>32558</v>
          </cell>
        </row>
        <row r="2884">
          <cell r="E2884" t="str">
            <v>MA Industrial Unfinished Oils</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row>
        <row r="2885">
          <cell r="E2885" t="str">
            <v>MD Industrial Unfinished Oils</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row>
        <row r="2886">
          <cell r="E2886" t="str">
            <v>ME Industrial Unfinished Oils</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row>
        <row r="2887">
          <cell r="E2887" t="str">
            <v>MI Industrial Unfinished Oils</v>
          </cell>
          <cell r="F2887">
            <v>-2925</v>
          </cell>
          <cell r="G2887">
            <v>-3568</v>
          </cell>
          <cell r="H2887">
            <v>-2776</v>
          </cell>
          <cell r="I2887">
            <v>-3113</v>
          </cell>
          <cell r="J2887">
            <v>-2140</v>
          </cell>
          <cell r="K2887">
            <v>-2574</v>
          </cell>
          <cell r="L2887">
            <v>-900</v>
          </cell>
          <cell r="M2887">
            <v>-801</v>
          </cell>
          <cell r="N2887">
            <v>-2463</v>
          </cell>
          <cell r="O2887">
            <v>-1306</v>
          </cell>
          <cell r="P2887">
            <v>-1819</v>
          </cell>
          <cell r="Q2887">
            <v>-344</v>
          </cell>
          <cell r="R2887">
            <v>-609</v>
          </cell>
          <cell r="S2887">
            <v>-223</v>
          </cell>
          <cell r="T2887">
            <v>-329</v>
          </cell>
          <cell r="U2887">
            <v>17</v>
          </cell>
          <cell r="V2887">
            <v>414</v>
          </cell>
          <cell r="W2887">
            <v>386</v>
          </cell>
          <cell r="X2887">
            <v>-316</v>
          </cell>
          <cell r="Y2887">
            <v>-489</v>
          </cell>
          <cell r="Z2887">
            <v>175</v>
          </cell>
          <cell r="AA2887">
            <v>348</v>
          </cell>
          <cell r="AB2887">
            <v>433</v>
          </cell>
          <cell r="AC2887">
            <v>116</v>
          </cell>
          <cell r="AD2887">
            <v>-587</v>
          </cell>
          <cell r="AE2887">
            <v>-129</v>
          </cell>
          <cell r="AF2887">
            <v>61</v>
          </cell>
          <cell r="AG2887">
            <v>572</v>
          </cell>
          <cell r="AH2887">
            <v>231</v>
          </cell>
          <cell r="AI2887">
            <v>1015</v>
          </cell>
          <cell r="AJ2887">
            <v>1483</v>
          </cell>
        </row>
        <row r="2888">
          <cell r="E2888" t="str">
            <v>MN Industrial Unfinished Oils</v>
          </cell>
          <cell r="F2888">
            <v>-6588</v>
          </cell>
          <cell r="G2888">
            <v>-8036</v>
          </cell>
          <cell r="H2888">
            <v>-6414</v>
          </cell>
          <cell r="I2888">
            <v>-7732</v>
          </cell>
          <cell r="J2888">
            <v>-5501</v>
          </cell>
          <cell r="K2888">
            <v>-6321</v>
          </cell>
          <cell r="L2888">
            <v>-2373</v>
          </cell>
          <cell r="M2888">
            <v>-2112</v>
          </cell>
          <cell r="N2888">
            <v>-6450</v>
          </cell>
          <cell r="O2888">
            <v>-5824</v>
          </cell>
          <cell r="P2888">
            <v>-8234</v>
          </cell>
          <cell r="Q2888">
            <v>-1555</v>
          </cell>
          <cell r="R2888">
            <v>-2757</v>
          </cell>
          <cell r="S2888">
            <v>-1007</v>
          </cell>
          <cell r="T2888">
            <v>-1488</v>
          </cell>
          <cell r="U2888">
            <v>59</v>
          </cell>
          <cell r="V2888">
            <v>1445</v>
          </cell>
          <cell r="W2888">
            <v>1370</v>
          </cell>
          <cell r="X2888">
            <v>-1100</v>
          </cell>
          <cell r="Y2888">
            <v>-1637</v>
          </cell>
          <cell r="Z2888">
            <v>555</v>
          </cell>
          <cell r="AA2888">
            <v>1154</v>
          </cell>
          <cell r="AB2888">
            <v>1257</v>
          </cell>
          <cell r="AC2888">
            <v>339</v>
          </cell>
          <cell r="AD2888">
            <v>-1627</v>
          </cell>
          <cell r="AE2888">
            <v>-371</v>
          </cell>
          <cell r="AF2888">
            <v>181</v>
          </cell>
          <cell r="AG2888">
            <v>1680</v>
          </cell>
          <cell r="AH2888">
            <v>690</v>
          </cell>
          <cell r="AI2888">
            <v>3175</v>
          </cell>
          <cell r="AJ2888">
            <v>4641</v>
          </cell>
        </row>
        <row r="2889">
          <cell r="E2889" t="str">
            <v>MO Industrial Unfinished Oils</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row>
        <row r="2890">
          <cell r="E2890" t="str">
            <v>MS Industrial Unfinished Oils</v>
          </cell>
          <cell r="F2890">
            <v>-8939</v>
          </cell>
          <cell r="G2890">
            <v>-11113</v>
          </cell>
          <cell r="H2890">
            <v>-8928</v>
          </cell>
          <cell r="I2890">
            <v>-10013</v>
          </cell>
          <cell r="J2890">
            <v>-6199</v>
          </cell>
          <cell r="K2890">
            <v>-7123</v>
          </cell>
          <cell r="L2890">
            <v>-2491</v>
          </cell>
          <cell r="M2890">
            <v>-2217</v>
          </cell>
          <cell r="N2890">
            <v>-6564</v>
          </cell>
          <cell r="O2890">
            <v>-5926</v>
          </cell>
          <cell r="P2890">
            <v>-8229</v>
          </cell>
          <cell r="Q2890">
            <v>-1554</v>
          </cell>
          <cell r="R2890">
            <v>-3003</v>
          </cell>
          <cell r="S2890">
            <v>-1097</v>
          </cell>
          <cell r="T2890">
            <v>-1621</v>
          </cell>
          <cell r="U2890">
            <v>62</v>
          </cell>
          <cell r="V2890">
            <v>1506</v>
          </cell>
          <cell r="W2890">
            <v>1377</v>
          </cell>
          <cell r="X2890">
            <v>-1129</v>
          </cell>
          <cell r="Y2890">
            <v>-1680</v>
          </cell>
          <cell r="Z2890">
            <v>601</v>
          </cell>
          <cell r="AA2890">
            <v>1196</v>
          </cell>
          <cell r="AB2890">
            <v>1313</v>
          </cell>
          <cell r="AC2890">
            <v>343</v>
          </cell>
          <cell r="AD2890">
            <v>-1643</v>
          </cell>
          <cell r="AE2890">
            <v>-357</v>
          </cell>
          <cell r="AF2890">
            <v>175</v>
          </cell>
          <cell r="AG2890">
            <v>1602</v>
          </cell>
          <cell r="AH2890">
            <v>650</v>
          </cell>
          <cell r="AI2890">
            <v>2856</v>
          </cell>
          <cell r="AJ2890">
            <v>4174</v>
          </cell>
        </row>
        <row r="2891">
          <cell r="E2891" t="str">
            <v>MT Industrial Unfinished Oils</v>
          </cell>
          <cell r="F2891">
            <v>-3444</v>
          </cell>
          <cell r="G2891">
            <v>-4201</v>
          </cell>
          <cell r="H2891">
            <v>-3353</v>
          </cell>
          <cell r="I2891">
            <v>-3766</v>
          </cell>
          <cell r="J2891">
            <v>-2628</v>
          </cell>
          <cell r="K2891">
            <v>-3020</v>
          </cell>
          <cell r="L2891">
            <v>-1089</v>
          </cell>
          <cell r="M2891">
            <v>-976</v>
          </cell>
          <cell r="N2891">
            <v>-2970</v>
          </cell>
          <cell r="O2891">
            <v>-2860</v>
          </cell>
          <cell r="P2891">
            <v>-4095</v>
          </cell>
          <cell r="Q2891">
            <v>-836</v>
          </cell>
          <cell r="R2891">
            <v>-1482</v>
          </cell>
          <cell r="S2891">
            <v>-545</v>
          </cell>
          <cell r="T2891">
            <v>-805</v>
          </cell>
          <cell r="U2891">
            <v>31</v>
          </cell>
          <cell r="V2891">
            <v>755</v>
          </cell>
          <cell r="W2891">
            <v>708</v>
          </cell>
          <cell r="X2891">
            <v>-581</v>
          </cell>
          <cell r="Y2891">
            <v>-866</v>
          </cell>
          <cell r="Z2891">
            <v>310</v>
          </cell>
          <cell r="AA2891">
            <v>616</v>
          </cell>
          <cell r="AB2891">
            <v>681</v>
          </cell>
          <cell r="AC2891">
            <v>178</v>
          </cell>
          <cell r="AD2891">
            <v>-851</v>
          </cell>
          <cell r="AE2891">
            <v>-200</v>
          </cell>
          <cell r="AF2891">
            <v>95</v>
          </cell>
          <cell r="AG2891">
            <v>844</v>
          </cell>
          <cell r="AH2891">
            <v>338</v>
          </cell>
          <cell r="AI2891">
            <v>1547</v>
          </cell>
          <cell r="AJ2891">
            <v>2273</v>
          </cell>
        </row>
        <row r="2892">
          <cell r="E2892" t="str">
            <v>NC Industrial Unfinished Oils</v>
          </cell>
          <cell r="F2892">
            <v>-74</v>
          </cell>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row>
        <row r="2893">
          <cell r="E2893" t="str">
            <v>ND Industrial Unfinished Oils</v>
          </cell>
          <cell r="F2893">
            <v>-1431</v>
          </cell>
          <cell r="G2893">
            <v>-1745</v>
          </cell>
          <cell r="H2893">
            <v>-1393</v>
          </cell>
          <cell r="I2893">
            <v>-1562</v>
          </cell>
          <cell r="J2893">
            <v>-1074</v>
          </cell>
          <cell r="K2893">
            <v>-1234</v>
          </cell>
          <cell r="L2893">
            <v>-431</v>
          </cell>
          <cell r="M2893">
            <v>-384</v>
          </cell>
          <cell r="N2893">
            <v>-1134</v>
          </cell>
          <cell r="O2893">
            <v>-1024</v>
          </cell>
          <cell r="P2893">
            <v>-1426</v>
          </cell>
          <cell r="Q2893">
            <v>-269</v>
          </cell>
          <cell r="R2893">
            <v>-477</v>
          </cell>
          <cell r="S2893">
            <v>-174</v>
          </cell>
          <cell r="T2893">
            <v>-258</v>
          </cell>
          <cell r="U2893">
            <v>10</v>
          </cell>
          <cell r="V2893">
            <v>240</v>
          </cell>
          <cell r="W2893">
            <v>219</v>
          </cell>
          <cell r="X2893">
            <v>-180</v>
          </cell>
          <cell r="Y2893">
            <v>-268</v>
          </cell>
          <cell r="Z2893">
            <v>96</v>
          </cell>
          <cell r="AA2893">
            <v>197</v>
          </cell>
          <cell r="AB2893">
            <v>245</v>
          </cell>
          <cell r="AC2893">
            <v>66</v>
          </cell>
          <cell r="AD2893">
            <v>-333</v>
          </cell>
          <cell r="AE2893">
            <v>-92</v>
          </cell>
          <cell r="AF2893">
            <v>43</v>
          </cell>
          <cell r="AG2893">
            <v>384</v>
          </cell>
          <cell r="AH2893">
            <v>148</v>
          </cell>
          <cell r="AI2893">
            <v>652</v>
          </cell>
          <cell r="AJ2893">
            <v>819</v>
          </cell>
        </row>
        <row r="2894">
          <cell r="E2894" t="str">
            <v>NE Industrial Unfinished Oils</v>
          </cell>
          <cell r="F2894">
            <v>0</v>
          </cell>
          <cell r="G2894">
            <v>0</v>
          </cell>
          <cell r="H2894">
            <v>0</v>
          </cell>
          <cell r="I2894">
            <v>0</v>
          </cell>
          <cell r="J2894">
            <v>0</v>
          </cell>
          <cell r="K2894">
            <v>0</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row>
        <row r="2895">
          <cell r="E2895" t="str">
            <v>NH Industrial Unfinished Oils</v>
          </cell>
          <cell r="F2895">
            <v>0</v>
          </cell>
          <cell r="G2895">
            <v>0</v>
          </cell>
          <cell r="H2895">
            <v>0</v>
          </cell>
          <cell r="I2895">
            <v>0</v>
          </cell>
          <cell r="J2895">
            <v>0</v>
          </cell>
          <cell r="K2895">
            <v>0</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row>
        <row r="2896">
          <cell r="E2896" t="str">
            <v>NJ Industrial Unfinished Oils</v>
          </cell>
          <cell r="F2896">
            <v>-8251</v>
          </cell>
          <cell r="G2896">
            <v>-13673</v>
          </cell>
          <cell r="H2896">
            <v>-9785</v>
          </cell>
          <cell r="I2896">
            <v>-11580</v>
          </cell>
          <cell r="J2896">
            <v>-9368</v>
          </cell>
          <cell r="K2896">
            <v>-10319</v>
          </cell>
          <cell r="L2896">
            <v>-4203</v>
          </cell>
          <cell r="M2896">
            <v>-3754</v>
          </cell>
          <cell r="N2896">
            <v>-10594</v>
          </cell>
          <cell r="O2896">
            <v>-10377</v>
          </cell>
          <cell r="P2896">
            <v>-13445</v>
          </cell>
          <cell r="Q2896">
            <v>-2595</v>
          </cell>
          <cell r="R2896">
            <v>-4546</v>
          </cell>
          <cell r="S2896">
            <v>-1940</v>
          </cell>
          <cell r="T2896">
            <v>-2732</v>
          </cell>
          <cell r="U2896">
            <v>111</v>
          </cell>
          <cell r="V2896">
            <v>2578</v>
          </cell>
          <cell r="W2896">
            <v>2358</v>
          </cell>
          <cell r="X2896">
            <v>-1685</v>
          </cell>
          <cell r="Y2896">
            <v>-1837</v>
          </cell>
          <cell r="Z2896">
            <v>657</v>
          </cell>
          <cell r="AA2896">
            <v>1308</v>
          </cell>
          <cell r="AB2896">
            <v>1689</v>
          </cell>
          <cell r="AC2896">
            <v>441</v>
          </cell>
          <cell r="AD2896">
            <v>-2113</v>
          </cell>
          <cell r="AE2896">
            <v>-463</v>
          </cell>
          <cell r="AF2896">
            <v>221</v>
          </cell>
          <cell r="AG2896">
            <v>1719</v>
          </cell>
          <cell r="AH2896">
            <v>690</v>
          </cell>
          <cell r="AI2896">
            <v>3034</v>
          </cell>
          <cell r="AJ2896">
            <v>3799</v>
          </cell>
        </row>
        <row r="2897">
          <cell r="E2897" t="str">
            <v>NM Industrial Unfinished Oils</v>
          </cell>
          <cell r="F2897">
            <v>-1845</v>
          </cell>
          <cell r="G2897">
            <v>-2942</v>
          </cell>
          <cell r="H2897">
            <v>-2272</v>
          </cell>
          <cell r="I2897">
            <v>-2548</v>
          </cell>
          <cell r="J2897">
            <v>-1751</v>
          </cell>
          <cell r="K2897">
            <v>-2013</v>
          </cell>
          <cell r="L2897">
            <v>-704</v>
          </cell>
          <cell r="M2897">
            <v>-626</v>
          </cell>
          <cell r="N2897">
            <v>-1849</v>
          </cell>
          <cell r="O2897">
            <v>-1687</v>
          </cell>
          <cell r="P2897">
            <v>-2350</v>
          </cell>
          <cell r="Q2897">
            <v>-444</v>
          </cell>
          <cell r="R2897">
            <v>-787</v>
          </cell>
          <cell r="S2897">
            <v>-287</v>
          </cell>
          <cell r="T2897">
            <v>-500</v>
          </cell>
          <cell r="U2897">
            <v>19</v>
          </cell>
          <cell r="V2897">
            <v>503</v>
          </cell>
          <cell r="W2897">
            <v>460</v>
          </cell>
          <cell r="X2897">
            <v>-411</v>
          </cell>
          <cell r="Y2897">
            <v>-581</v>
          </cell>
          <cell r="Z2897">
            <v>208</v>
          </cell>
          <cell r="AA2897">
            <v>414</v>
          </cell>
          <cell r="AB2897">
            <v>457</v>
          </cell>
          <cell r="AC2897">
            <v>123</v>
          </cell>
          <cell r="AD2897">
            <v>-576</v>
          </cell>
          <cell r="AE2897">
            <v>-125</v>
          </cell>
          <cell r="AF2897">
            <v>57</v>
          </cell>
          <cell r="AG2897">
            <v>562</v>
          </cell>
          <cell r="AH2897">
            <v>224</v>
          </cell>
          <cell r="AI2897">
            <v>993</v>
          </cell>
          <cell r="AJ2897">
            <v>1237</v>
          </cell>
        </row>
        <row r="2898">
          <cell r="E2898" t="str">
            <v>NV Industrial Unfinished Oils</v>
          </cell>
          <cell r="F2898">
            <v>0</v>
          </cell>
          <cell r="G2898">
            <v>-211</v>
          </cell>
          <cell r="H2898">
            <v>-168</v>
          </cell>
          <cell r="I2898">
            <v>-189</v>
          </cell>
          <cell r="J2898">
            <v>-130</v>
          </cell>
          <cell r="K2898">
            <v>-149</v>
          </cell>
          <cell r="L2898">
            <v>-52</v>
          </cell>
          <cell r="M2898">
            <v>-46</v>
          </cell>
          <cell r="N2898">
            <v>-137</v>
          </cell>
          <cell r="O2898">
            <v>-88</v>
          </cell>
          <cell r="P2898">
            <v>-123</v>
          </cell>
          <cell r="Q2898">
            <v>-23</v>
          </cell>
          <cell r="R2898">
            <v>-41</v>
          </cell>
          <cell r="S2898">
            <v>-6</v>
          </cell>
          <cell r="T2898">
            <v>-8</v>
          </cell>
          <cell r="U2898">
            <v>0</v>
          </cell>
          <cell r="V2898">
            <v>8</v>
          </cell>
          <cell r="W2898">
            <v>8</v>
          </cell>
          <cell r="X2898">
            <v>-6</v>
          </cell>
          <cell r="Y2898">
            <v>-9</v>
          </cell>
          <cell r="Z2898">
            <v>3</v>
          </cell>
          <cell r="AA2898">
            <v>7</v>
          </cell>
          <cell r="AB2898">
            <v>7</v>
          </cell>
          <cell r="AC2898">
            <v>2</v>
          </cell>
          <cell r="AD2898">
            <v>-9</v>
          </cell>
          <cell r="AE2898">
            <v>-2</v>
          </cell>
          <cell r="AF2898">
            <v>1</v>
          </cell>
          <cell r="AG2898">
            <v>8</v>
          </cell>
          <cell r="AH2898">
            <v>3</v>
          </cell>
          <cell r="AI2898">
            <v>14</v>
          </cell>
          <cell r="AJ2898">
            <v>21</v>
          </cell>
        </row>
        <row r="2899">
          <cell r="E2899" t="str">
            <v>NY Industrial Unfinished Oils</v>
          </cell>
          <cell r="F2899">
            <v>-1032</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row>
        <row r="2900">
          <cell r="E2900" t="str">
            <v>OH Industrial Unfinished Oils</v>
          </cell>
          <cell r="F2900">
            <v>-11274</v>
          </cell>
          <cell r="G2900">
            <v>-13902</v>
          </cell>
          <cell r="H2900">
            <v>-11096</v>
          </cell>
          <cell r="I2900">
            <v>-12445</v>
          </cell>
          <cell r="J2900">
            <v>-9035</v>
          </cell>
          <cell r="K2900">
            <v>-10383</v>
          </cell>
          <cell r="L2900">
            <v>-3783</v>
          </cell>
          <cell r="M2900">
            <v>-3367</v>
          </cell>
          <cell r="N2900">
            <v>-10174</v>
          </cell>
          <cell r="O2900">
            <v>-9274</v>
          </cell>
          <cell r="P2900">
            <v>-12917</v>
          </cell>
          <cell r="Q2900">
            <v>-2440</v>
          </cell>
          <cell r="R2900">
            <v>-4375</v>
          </cell>
          <cell r="S2900">
            <v>-1607</v>
          </cell>
          <cell r="T2900">
            <v>-2450</v>
          </cell>
          <cell r="U2900">
            <v>87</v>
          </cell>
          <cell r="V2900">
            <v>2111</v>
          </cell>
          <cell r="W2900">
            <v>1950</v>
          </cell>
          <cell r="X2900">
            <v>-1582</v>
          </cell>
          <cell r="Y2900">
            <v>-2372</v>
          </cell>
          <cell r="Z2900">
            <v>866</v>
          </cell>
          <cell r="AA2900">
            <v>1735</v>
          </cell>
          <cell r="AB2900">
            <v>1912</v>
          </cell>
          <cell r="AC2900">
            <v>500</v>
          </cell>
          <cell r="AD2900">
            <v>-2514</v>
          </cell>
          <cell r="AE2900">
            <v>-547</v>
          </cell>
          <cell r="AF2900">
            <v>271</v>
          </cell>
          <cell r="AG2900">
            <v>2459</v>
          </cell>
          <cell r="AH2900">
            <v>986</v>
          </cell>
          <cell r="AI2900">
            <v>4362</v>
          </cell>
          <cell r="AJ2900">
            <v>6366</v>
          </cell>
        </row>
        <row r="2901">
          <cell r="E2901" t="str">
            <v>OK Industrial Unfinished Oils</v>
          </cell>
          <cell r="F2901">
            <v>-9755</v>
          </cell>
          <cell r="G2901">
            <v>-11989</v>
          </cell>
          <cell r="H2901">
            <v>-9521</v>
          </cell>
          <cell r="I2901">
            <v>-10877</v>
          </cell>
          <cell r="J2901">
            <v>-7415</v>
          </cell>
          <cell r="K2901">
            <v>-8734</v>
          </cell>
          <cell r="L2901">
            <v>-3035</v>
          </cell>
          <cell r="M2901">
            <v>-2761</v>
          </cell>
          <cell r="N2901">
            <v>-8561</v>
          </cell>
          <cell r="O2901">
            <v>-8020</v>
          </cell>
          <cell r="P2901">
            <v>-11530</v>
          </cell>
          <cell r="Q2901">
            <v>-2238</v>
          </cell>
          <cell r="R2901">
            <v>-3884</v>
          </cell>
          <cell r="S2901">
            <v>-1433</v>
          </cell>
          <cell r="T2901">
            <v>-2154</v>
          </cell>
          <cell r="U2901">
            <v>83</v>
          </cell>
          <cell r="V2901">
            <v>2031</v>
          </cell>
          <cell r="W2901">
            <v>1969</v>
          </cell>
          <cell r="X2901">
            <v>-1586</v>
          </cell>
          <cell r="Y2901">
            <v>-2360</v>
          </cell>
          <cell r="Z2901">
            <v>840</v>
          </cell>
          <cell r="AA2901">
            <v>1672</v>
          </cell>
          <cell r="AB2901">
            <v>1835</v>
          </cell>
          <cell r="AC2901">
            <v>482</v>
          </cell>
          <cell r="AD2901">
            <v>-2308</v>
          </cell>
          <cell r="AE2901">
            <v>-501</v>
          </cell>
          <cell r="AF2901">
            <v>238</v>
          </cell>
          <cell r="AG2901">
            <v>2146</v>
          </cell>
          <cell r="AH2901">
            <v>863</v>
          </cell>
          <cell r="AI2901">
            <v>3790</v>
          </cell>
          <cell r="AJ2901">
            <v>5529</v>
          </cell>
        </row>
        <row r="2902">
          <cell r="E2902" t="str">
            <v>OR Industrial Unfinished Oils</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row>
        <row r="2903">
          <cell r="E2903" t="str">
            <v>PA Industrial Unfinished Oils</v>
          </cell>
          <cell r="F2903">
            <v>-18359</v>
          </cell>
          <cell r="G2903">
            <v>-22070</v>
          </cell>
          <cell r="H2903">
            <v>-17563</v>
          </cell>
          <cell r="I2903">
            <v>-17631</v>
          </cell>
          <cell r="J2903">
            <v>-12418</v>
          </cell>
          <cell r="K2903">
            <v>-15908</v>
          </cell>
          <cell r="L2903">
            <v>-4283</v>
          </cell>
          <cell r="M2903">
            <v>-5003</v>
          </cell>
          <cell r="N2903">
            <v>-15008</v>
          </cell>
          <cell r="O2903">
            <v>-13638</v>
          </cell>
          <cell r="P2903">
            <v>-18681</v>
          </cell>
          <cell r="Q2903">
            <v>-3528</v>
          </cell>
          <cell r="R2903">
            <v>-6255</v>
          </cell>
          <cell r="S2903">
            <v>-2285</v>
          </cell>
          <cell r="T2903">
            <v>-3421</v>
          </cell>
          <cell r="U2903">
            <v>131</v>
          </cell>
          <cell r="V2903">
            <v>3199</v>
          </cell>
          <cell r="W2903">
            <v>2925</v>
          </cell>
          <cell r="X2903">
            <v>-2398</v>
          </cell>
          <cell r="Y2903">
            <v>-3569</v>
          </cell>
          <cell r="Z2903">
            <v>1276</v>
          </cell>
          <cell r="AA2903">
            <v>2439</v>
          </cell>
          <cell r="AB2903">
            <v>1702</v>
          </cell>
          <cell r="AC2903">
            <v>562</v>
          </cell>
          <cell r="AD2903">
            <v>-2690</v>
          </cell>
          <cell r="AE2903">
            <v>-589</v>
          </cell>
          <cell r="AF2903">
            <v>268</v>
          </cell>
          <cell r="AG2903">
            <v>2472</v>
          </cell>
          <cell r="AH2903">
            <v>992</v>
          </cell>
          <cell r="AI2903">
            <v>3142</v>
          </cell>
          <cell r="AJ2903">
            <v>2818</v>
          </cell>
        </row>
        <row r="2904">
          <cell r="E2904" t="str">
            <v>RI Industrial Unfinished Oils</v>
          </cell>
          <cell r="F2904">
            <v>0</v>
          </cell>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row>
        <row r="2905">
          <cell r="E2905" t="str">
            <v>SC Industrial Unfinished Oils</v>
          </cell>
          <cell r="F2905">
            <v>0</v>
          </cell>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row>
        <row r="2906">
          <cell r="E2906" t="str">
            <v>SD Industrial Unfinished Oils</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row>
        <row r="2907">
          <cell r="E2907" t="str">
            <v>TN Industrial Unfinished Oils</v>
          </cell>
          <cell r="F2907">
            <v>-1480</v>
          </cell>
          <cell r="G2907">
            <v>-2286</v>
          </cell>
          <cell r="H2907">
            <v>-1825</v>
          </cell>
          <cell r="I2907">
            <v>-2047</v>
          </cell>
          <cell r="J2907">
            <v>-1648</v>
          </cell>
          <cell r="K2907">
            <v>-1894</v>
          </cell>
          <cell r="L2907">
            <v>-781</v>
          </cell>
          <cell r="M2907">
            <v>-695</v>
          </cell>
          <cell r="N2907">
            <v>-2736</v>
          </cell>
          <cell r="O2907">
            <v>-2824</v>
          </cell>
          <cell r="P2907">
            <v>-4179</v>
          </cell>
          <cell r="Q2907">
            <v>-836</v>
          </cell>
          <cell r="R2907">
            <v>-1482</v>
          </cell>
          <cell r="S2907">
            <v>-541</v>
          </cell>
          <cell r="T2907">
            <v>-800</v>
          </cell>
          <cell r="U2907">
            <v>31</v>
          </cell>
          <cell r="V2907">
            <v>745</v>
          </cell>
          <cell r="W2907">
            <v>681</v>
          </cell>
          <cell r="X2907">
            <v>-558</v>
          </cell>
          <cell r="Y2907">
            <v>-831</v>
          </cell>
          <cell r="Z2907">
            <v>297</v>
          </cell>
          <cell r="AA2907">
            <v>591</v>
          </cell>
          <cell r="AB2907">
            <v>649</v>
          </cell>
          <cell r="AC2907">
            <v>170</v>
          </cell>
          <cell r="AD2907">
            <v>-813</v>
          </cell>
          <cell r="AE2907">
            <v>-186</v>
          </cell>
          <cell r="AF2907">
            <v>88</v>
          </cell>
          <cell r="AG2907">
            <v>740</v>
          </cell>
          <cell r="AH2907">
            <v>297</v>
          </cell>
          <cell r="AI2907">
            <v>1305</v>
          </cell>
          <cell r="AJ2907">
            <v>1907</v>
          </cell>
        </row>
        <row r="2908">
          <cell r="E2908" t="str">
            <v>TX Industrial Unfinished Oils</v>
          </cell>
          <cell r="F2908">
            <v>-95590</v>
          </cell>
          <cell r="G2908">
            <v>-117532</v>
          </cell>
          <cell r="H2908">
            <v>-89589</v>
          </cell>
          <cell r="I2908">
            <v>-101365</v>
          </cell>
          <cell r="J2908">
            <v>-72429</v>
          </cell>
          <cell r="K2908">
            <v>-83303</v>
          </cell>
          <cell r="L2908">
            <v>-29306</v>
          </cell>
          <cell r="M2908">
            <v>-26848</v>
          </cell>
          <cell r="N2908">
            <v>-81242</v>
          </cell>
          <cell r="O2908">
            <v>-74931</v>
          </cell>
          <cell r="P2908">
            <v>-104844</v>
          </cell>
          <cell r="Q2908">
            <v>-20048</v>
          </cell>
          <cell r="R2908">
            <v>-35630</v>
          </cell>
          <cell r="S2908">
            <v>-13435</v>
          </cell>
          <cell r="T2908">
            <v>-20558</v>
          </cell>
          <cell r="U2908">
            <v>719</v>
          </cell>
          <cell r="V2908">
            <v>17947</v>
          </cell>
          <cell r="W2908">
            <v>17064</v>
          </cell>
          <cell r="X2908">
            <v>-14549</v>
          </cell>
          <cell r="Y2908">
            <v>-21613</v>
          </cell>
          <cell r="Z2908">
            <v>7691</v>
          </cell>
          <cell r="AA2908">
            <v>15301</v>
          </cell>
          <cell r="AB2908">
            <v>17156</v>
          </cell>
          <cell r="AC2908">
            <v>4877</v>
          </cell>
          <cell r="AD2908">
            <v>-23437</v>
          </cell>
          <cell r="AE2908">
            <v>-5295</v>
          </cell>
          <cell r="AF2908">
            <v>2617</v>
          </cell>
          <cell r="AG2908">
            <v>23450</v>
          </cell>
          <cell r="AH2908">
            <v>9491</v>
          </cell>
          <cell r="AI2908">
            <v>42362</v>
          </cell>
          <cell r="AJ2908">
            <v>61413</v>
          </cell>
        </row>
        <row r="2909">
          <cell r="E2909" t="str">
            <v>US Industrial Unfinished Oils</v>
          </cell>
          <cell r="F2909">
            <v>-368961</v>
          </cell>
          <cell r="G2909">
            <v>-450226</v>
          </cell>
          <cell r="H2909">
            <v>-354830</v>
          </cell>
          <cell r="I2909">
            <v>-396007</v>
          </cell>
          <cell r="J2909">
            <v>-279227</v>
          </cell>
          <cell r="K2909">
            <v>-320899</v>
          </cell>
          <cell r="L2909">
            <v>-112836</v>
          </cell>
          <cell r="M2909">
            <v>-102875</v>
          </cell>
          <cell r="N2909">
            <v>-313944</v>
          </cell>
          <cell r="O2909">
            <v>-287912</v>
          </cell>
          <cell r="P2909">
            <v>-401150</v>
          </cell>
          <cell r="Q2909">
            <v>-75422</v>
          </cell>
          <cell r="R2909">
            <v>-135676</v>
          </cell>
          <cell r="S2909">
            <v>-50398</v>
          </cell>
          <cell r="T2909">
            <v>-75550</v>
          </cell>
          <cell r="U2909">
            <v>2784</v>
          </cell>
          <cell r="V2909">
            <v>70337</v>
          </cell>
          <cell r="W2909">
            <v>65188</v>
          </cell>
          <cell r="X2909">
            <v>-53718</v>
          </cell>
          <cell r="Y2909">
            <v>-77793</v>
          </cell>
          <cell r="Z2909">
            <v>27960</v>
          </cell>
          <cell r="AA2909">
            <v>56124</v>
          </cell>
          <cell r="AB2909">
            <v>60085</v>
          </cell>
          <cell r="AC2909">
            <v>16712</v>
          </cell>
          <cell r="AD2909">
            <v>-80589</v>
          </cell>
          <cell r="AE2909">
            <v>-17790</v>
          </cell>
          <cell r="AF2909">
            <v>8580</v>
          </cell>
          <cell r="AG2909">
            <v>76366</v>
          </cell>
          <cell r="AH2909">
            <v>30861</v>
          </cell>
          <cell r="AI2909">
            <v>135915</v>
          </cell>
          <cell r="AJ2909">
            <v>190530</v>
          </cell>
        </row>
        <row r="2910">
          <cell r="E2910" t="str">
            <v>UT Industrial Unfinished Oils</v>
          </cell>
          <cell r="F2910">
            <v>-3811</v>
          </cell>
          <cell r="G2910">
            <v>-4648</v>
          </cell>
          <cell r="H2910">
            <v>-3710</v>
          </cell>
          <cell r="I2910">
            <v>-4161</v>
          </cell>
          <cell r="J2910">
            <v>-2786</v>
          </cell>
          <cell r="K2910">
            <v>-3202</v>
          </cell>
          <cell r="L2910">
            <v>-1179</v>
          </cell>
          <cell r="M2910">
            <v>-1049</v>
          </cell>
          <cell r="N2910">
            <v>-3088</v>
          </cell>
          <cell r="O2910">
            <v>-2682</v>
          </cell>
          <cell r="P2910">
            <v>-3736</v>
          </cell>
          <cell r="Q2910">
            <v>-732</v>
          </cell>
          <cell r="R2910">
            <v>-1339</v>
          </cell>
          <cell r="S2910">
            <v>-487</v>
          </cell>
          <cell r="T2910">
            <v>-743</v>
          </cell>
          <cell r="U2910">
            <v>28</v>
          </cell>
          <cell r="V2910">
            <v>692</v>
          </cell>
          <cell r="W2910">
            <v>635</v>
          </cell>
          <cell r="X2910">
            <v>-520</v>
          </cell>
          <cell r="Y2910">
            <v>-727</v>
          </cell>
          <cell r="Z2910">
            <v>276</v>
          </cell>
          <cell r="AA2910">
            <v>549</v>
          </cell>
          <cell r="AB2910">
            <v>620</v>
          </cell>
          <cell r="AC2910">
            <v>163</v>
          </cell>
          <cell r="AD2910">
            <v>-804</v>
          </cell>
          <cell r="AE2910">
            <v>-177</v>
          </cell>
          <cell r="AF2910">
            <v>91</v>
          </cell>
          <cell r="AG2910">
            <v>808</v>
          </cell>
          <cell r="AH2910">
            <v>331</v>
          </cell>
          <cell r="AI2910">
            <v>1477</v>
          </cell>
          <cell r="AJ2910">
            <v>2159</v>
          </cell>
        </row>
        <row r="2911">
          <cell r="E2911" t="str">
            <v>VA Industrial Unfinished Oils</v>
          </cell>
          <cell r="F2911">
            <v>-1399</v>
          </cell>
          <cell r="G2911">
            <v>-1778</v>
          </cell>
          <cell r="H2911">
            <v>-1273</v>
          </cell>
          <cell r="I2911">
            <v>-1427</v>
          </cell>
          <cell r="J2911">
            <v>-981</v>
          </cell>
          <cell r="K2911">
            <v>-1219</v>
          </cell>
          <cell r="L2911">
            <v>-422</v>
          </cell>
          <cell r="M2911">
            <v>-375</v>
          </cell>
          <cell r="N2911">
            <v>-1145</v>
          </cell>
          <cell r="O2911">
            <v>-1050</v>
          </cell>
          <cell r="P2911">
            <v>-1467</v>
          </cell>
          <cell r="Q2911">
            <v>-272</v>
          </cell>
          <cell r="R2911">
            <v>-482</v>
          </cell>
          <cell r="S2911">
            <v>-176</v>
          </cell>
          <cell r="T2911">
            <v>-260</v>
          </cell>
          <cell r="U2911">
            <v>0</v>
          </cell>
          <cell r="V2911">
            <v>246</v>
          </cell>
          <cell r="W2911">
            <v>241</v>
          </cell>
          <cell r="X2911">
            <v>-200</v>
          </cell>
          <cell r="Y2911">
            <v>-306</v>
          </cell>
          <cell r="Z2911">
            <v>0</v>
          </cell>
          <cell r="AA2911">
            <v>0</v>
          </cell>
          <cell r="AB2911">
            <v>0</v>
          </cell>
          <cell r="AC2911">
            <v>0</v>
          </cell>
          <cell r="AD2911">
            <v>0</v>
          </cell>
          <cell r="AE2911">
            <v>0</v>
          </cell>
          <cell r="AF2911">
            <v>0</v>
          </cell>
          <cell r="AG2911">
            <v>0</v>
          </cell>
          <cell r="AH2911">
            <v>0</v>
          </cell>
          <cell r="AI2911">
            <v>0</v>
          </cell>
          <cell r="AJ2911">
            <v>0</v>
          </cell>
        </row>
        <row r="2912">
          <cell r="E2912" t="str">
            <v>VT Industrial Unfinished Oils</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row>
        <row r="2913">
          <cell r="E2913" t="str">
            <v>WA Industrial Unfinished Oils</v>
          </cell>
          <cell r="F2913">
            <v>-12236</v>
          </cell>
          <cell r="G2913">
            <v>-15776</v>
          </cell>
          <cell r="H2913">
            <v>-12926</v>
          </cell>
          <cell r="I2913">
            <v>-14120</v>
          </cell>
          <cell r="J2913">
            <v>-10237</v>
          </cell>
          <cell r="K2913">
            <v>-12049</v>
          </cell>
          <cell r="L2913">
            <v>-4246</v>
          </cell>
          <cell r="M2913">
            <v>-3779</v>
          </cell>
          <cell r="N2913">
            <v>-11337</v>
          </cell>
          <cell r="O2913">
            <v>-10439</v>
          </cell>
          <cell r="P2913">
            <v>-14745</v>
          </cell>
          <cell r="Q2913">
            <v>-2801</v>
          </cell>
          <cell r="R2913">
            <v>-5004</v>
          </cell>
          <cell r="S2913">
            <v>-1813</v>
          </cell>
          <cell r="T2913">
            <v>-2737</v>
          </cell>
          <cell r="U2913">
            <v>106</v>
          </cell>
          <cell r="V2913">
            <v>2581</v>
          </cell>
          <cell r="W2913">
            <v>2376</v>
          </cell>
          <cell r="X2913">
            <v>-1948</v>
          </cell>
          <cell r="Y2913">
            <v>-2899</v>
          </cell>
          <cell r="Z2913">
            <v>1038</v>
          </cell>
          <cell r="AA2913">
            <v>2073</v>
          </cell>
          <cell r="AB2913">
            <v>2279</v>
          </cell>
          <cell r="AC2913">
            <v>595</v>
          </cell>
          <cell r="AD2913">
            <v>-2852</v>
          </cell>
          <cell r="AE2913">
            <v>-621</v>
          </cell>
          <cell r="AF2913">
            <v>295</v>
          </cell>
          <cell r="AG2913">
            <v>2623</v>
          </cell>
          <cell r="AH2913">
            <v>1075</v>
          </cell>
          <cell r="AI2913">
            <v>4724</v>
          </cell>
          <cell r="AJ2913">
            <v>6905</v>
          </cell>
        </row>
        <row r="2914">
          <cell r="E2914" t="str">
            <v>WI Industrial Unfinished Oils</v>
          </cell>
          <cell r="F2914">
            <v>-819</v>
          </cell>
          <cell r="G2914">
            <v>-999</v>
          </cell>
          <cell r="H2914">
            <v>-797</v>
          </cell>
          <cell r="I2914">
            <v>-894</v>
          </cell>
          <cell r="J2914">
            <v>-615</v>
          </cell>
          <cell r="K2914">
            <v>-706</v>
          </cell>
          <cell r="L2914">
            <v>-268</v>
          </cell>
          <cell r="M2914">
            <v>-238</v>
          </cell>
          <cell r="N2914">
            <v>-645</v>
          </cell>
          <cell r="O2914">
            <v>-582</v>
          </cell>
          <cell r="P2914">
            <v>-811</v>
          </cell>
          <cell r="Q2914">
            <v>-153</v>
          </cell>
          <cell r="R2914">
            <v>-272</v>
          </cell>
          <cell r="S2914">
            <v>-99</v>
          </cell>
          <cell r="T2914">
            <v>-147</v>
          </cell>
          <cell r="U2914">
            <v>6</v>
          </cell>
          <cell r="V2914">
            <v>142</v>
          </cell>
          <cell r="W2914">
            <v>130</v>
          </cell>
          <cell r="X2914">
            <v>-106</v>
          </cell>
          <cell r="Y2914">
            <v>-158</v>
          </cell>
          <cell r="Z2914">
            <v>57</v>
          </cell>
          <cell r="AA2914">
            <v>125</v>
          </cell>
          <cell r="AB2914">
            <v>137</v>
          </cell>
          <cell r="AC2914">
            <v>36</v>
          </cell>
          <cell r="AD2914">
            <v>-172</v>
          </cell>
          <cell r="AE2914">
            <v>-37</v>
          </cell>
          <cell r="AF2914">
            <v>18</v>
          </cell>
          <cell r="AG2914">
            <v>156</v>
          </cell>
          <cell r="AH2914">
            <v>21</v>
          </cell>
          <cell r="AI2914">
            <v>0</v>
          </cell>
          <cell r="AJ2914">
            <v>0</v>
          </cell>
        </row>
        <row r="2915">
          <cell r="E2915" t="str">
            <v>WV Industrial Unfinished Oils</v>
          </cell>
          <cell r="F2915">
            <v>-308</v>
          </cell>
          <cell r="G2915">
            <v>-481</v>
          </cell>
          <cell r="H2915">
            <v>-372</v>
          </cell>
          <cell r="I2915">
            <v>-310</v>
          </cell>
          <cell r="J2915">
            <v>-213</v>
          </cell>
          <cell r="K2915">
            <v>-245</v>
          </cell>
          <cell r="L2915">
            <v>-86</v>
          </cell>
          <cell r="M2915">
            <v>-79</v>
          </cell>
          <cell r="N2915">
            <v>-231</v>
          </cell>
          <cell r="O2915">
            <v>-235</v>
          </cell>
          <cell r="P2915">
            <v>-388</v>
          </cell>
          <cell r="Q2915">
            <v>-86</v>
          </cell>
          <cell r="R2915">
            <v>-160</v>
          </cell>
          <cell r="S2915">
            <v>-58</v>
          </cell>
          <cell r="T2915">
            <v>-86</v>
          </cell>
          <cell r="U2915">
            <v>3</v>
          </cell>
          <cell r="V2915">
            <v>83</v>
          </cell>
          <cell r="W2915">
            <v>76</v>
          </cell>
          <cell r="X2915">
            <v>-62</v>
          </cell>
          <cell r="Y2915">
            <v>-92</v>
          </cell>
          <cell r="Z2915">
            <v>33</v>
          </cell>
          <cell r="AA2915">
            <v>66</v>
          </cell>
          <cell r="AB2915">
            <v>72</v>
          </cell>
          <cell r="AC2915">
            <v>21</v>
          </cell>
          <cell r="AD2915">
            <v>-101</v>
          </cell>
          <cell r="AE2915">
            <v>-22</v>
          </cell>
          <cell r="AF2915">
            <v>10</v>
          </cell>
          <cell r="AG2915">
            <v>92</v>
          </cell>
          <cell r="AH2915">
            <v>37</v>
          </cell>
          <cell r="AI2915">
            <v>162</v>
          </cell>
          <cell r="AJ2915">
            <v>236</v>
          </cell>
        </row>
        <row r="2916">
          <cell r="E2916" t="str">
            <v>WY Industrial Unfinished Oils</v>
          </cell>
          <cell r="F2916">
            <v>-4186</v>
          </cell>
          <cell r="G2916">
            <v>-3903</v>
          </cell>
          <cell r="H2916">
            <v>-3115</v>
          </cell>
          <cell r="I2916">
            <v>-3494</v>
          </cell>
          <cell r="J2916">
            <v>-2402</v>
          </cell>
          <cell r="K2916">
            <v>-2760</v>
          </cell>
          <cell r="L2916">
            <v>-965</v>
          </cell>
          <cell r="M2916">
            <v>-859</v>
          </cell>
          <cell r="N2916">
            <v>-2593</v>
          </cell>
          <cell r="O2916">
            <v>-2332</v>
          </cell>
          <cell r="P2916">
            <v>-3451</v>
          </cell>
          <cell r="Q2916">
            <v>-653</v>
          </cell>
          <cell r="R2916">
            <v>-1218</v>
          </cell>
          <cell r="S2916">
            <v>-457</v>
          </cell>
          <cell r="T2916">
            <v>-675</v>
          </cell>
          <cell r="U2916">
            <v>26</v>
          </cell>
          <cell r="V2916">
            <v>639</v>
          </cell>
          <cell r="W2916">
            <v>585</v>
          </cell>
          <cell r="X2916">
            <v>-504</v>
          </cell>
          <cell r="Y2916">
            <v>-750</v>
          </cell>
          <cell r="Z2916">
            <v>268</v>
          </cell>
          <cell r="AA2916">
            <v>544</v>
          </cell>
          <cell r="AB2916">
            <v>600</v>
          </cell>
          <cell r="AC2916">
            <v>157</v>
          </cell>
          <cell r="AD2916">
            <v>-800</v>
          </cell>
          <cell r="AE2916">
            <v>-174</v>
          </cell>
          <cell r="AF2916">
            <v>83</v>
          </cell>
          <cell r="AG2916">
            <v>693</v>
          </cell>
          <cell r="AH2916">
            <v>278</v>
          </cell>
          <cell r="AI2916">
            <v>1221</v>
          </cell>
          <cell r="AJ2916">
            <v>1630</v>
          </cell>
        </row>
        <row r="2917">
          <cell r="E2917" t="str">
            <v>AK Commercial Wood</v>
          </cell>
          <cell r="F2917">
            <v>166</v>
          </cell>
          <cell r="G2917">
            <v>174</v>
          </cell>
          <cell r="H2917">
            <v>183</v>
          </cell>
          <cell r="I2917">
            <v>262</v>
          </cell>
          <cell r="J2917">
            <v>251</v>
          </cell>
          <cell r="K2917">
            <v>253</v>
          </cell>
          <cell r="L2917">
            <v>263</v>
          </cell>
          <cell r="M2917">
            <v>303</v>
          </cell>
          <cell r="N2917">
            <v>229</v>
          </cell>
          <cell r="O2917">
            <v>241</v>
          </cell>
          <cell r="P2917">
            <v>258</v>
          </cell>
          <cell r="Q2917">
            <v>442</v>
          </cell>
          <cell r="R2917">
            <v>453</v>
          </cell>
          <cell r="S2917">
            <v>498</v>
          </cell>
          <cell r="T2917">
            <v>475</v>
          </cell>
          <cell r="U2917">
            <v>160</v>
          </cell>
          <cell r="V2917">
            <v>154</v>
          </cell>
          <cell r="W2917">
            <v>146</v>
          </cell>
          <cell r="X2917">
            <v>154</v>
          </cell>
          <cell r="Y2917">
            <v>303</v>
          </cell>
          <cell r="Z2917">
            <v>299</v>
          </cell>
          <cell r="AA2917">
            <v>288</v>
          </cell>
          <cell r="AB2917">
            <v>252</v>
          </cell>
          <cell r="AC2917">
            <v>292</v>
          </cell>
          <cell r="AD2917">
            <v>305</v>
          </cell>
          <cell r="AE2917">
            <v>862</v>
          </cell>
          <cell r="AF2917">
            <v>1132</v>
          </cell>
          <cell r="AG2917">
            <v>996</v>
          </cell>
          <cell r="AH2917">
            <v>892</v>
          </cell>
          <cell r="AI2917">
            <v>801</v>
          </cell>
          <cell r="AJ2917">
            <v>1115</v>
          </cell>
        </row>
        <row r="2918">
          <cell r="E2918" t="str">
            <v>AL Commercial Wood</v>
          </cell>
          <cell r="F2918">
            <v>1654</v>
          </cell>
          <cell r="G2918">
            <v>1726</v>
          </cell>
          <cell r="H2918">
            <v>1821</v>
          </cell>
          <cell r="I2918">
            <v>1707</v>
          </cell>
          <cell r="J2918">
            <v>1634</v>
          </cell>
          <cell r="K2918">
            <v>1650</v>
          </cell>
          <cell r="L2918">
            <v>1714</v>
          </cell>
          <cell r="M2918">
            <v>1098</v>
          </cell>
          <cell r="N2918">
            <v>959</v>
          </cell>
          <cell r="O2918">
            <v>1008</v>
          </cell>
          <cell r="P2918">
            <v>1079</v>
          </cell>
          <cell r="Q2918">
            <v>936</v>
          </cell>
          <cell r="R2918">
            <v>958</v>
          </cell>
          <cell r="S2918">
            <v>998</v>
          </cell>
          <cell r="T2918">
            <v>975</v>
          </cell>
          <cell r="U2918">
            <v>736</v>
          </cell>
          <cell r="V2918">
            <v>683</v>
          </cell>
          <cell r="W2918">
            <v>726</v>
          </cell>
          <cell r="X2918">
            <v>766</v>
          </cell>
          <cell r="Y2918">
            <v>941</v>
          </cell>
          <cell r="Z2918">
            <v>929</v>
          </cell>
          <cell r="AA2918">
            <v>895</v>
          </cell>
          <cell r="AB2918">
            <v>784</v>
          </cell>
          <cell r="AC2918">
            <v>908</v>
          </cell>
          <cell r="AD2918">
            <v>946</v>
          </cell>
          <cell r="AE2918">
            <v>311</v>
          </cell>
          <cell r="AF2918">
            <v>310</v>
          </cell>
          <cell r="AG2918">
            <v>272</v>
          </cell>
          <cell r="AH2918">
            <v>306</v>
          </cell>
          <cell r="AI2918">
            <v>286</v>
          </cell>
          <cell r="AJ2918">
            <v>290</v>
          </cell>
        </row>
        <row r="2919">
          <cell r="E2919" t="str">
            <v>AR Commercial Wood</v>
          </cell>
          <cell r="F2919">
            <v>345</v>
          </cell>
          <cell r="G2919">
            <v>361</v>
          </cell>
          <cell r="H2919">
            <v>380</v>
          </cell>
          <cell r="I2919">
            <v>650</v>
          </cell>
          <cell r="J2919">
            <v>623</v>
          </cell>
          <cell r="K2919">
            <v>628</v>
          </cell>
          <cell r="L2919">
            <v>653</v>
          </cell>
          <cell r="M2919">
            <v>392</v>
          </cell>
          <cell r="N2919">
            <v>343</v>
          </cell>
          <cell r="O2919">
            <v>360</v>
          </cell>
          <cell r="P2919">
            <v>385</v>
          </cell>
          <cell r="Q2919">
            <v>392</v>
          </cell>
          <cell r="R2919">
            <v>401</v>
          </cell>
          <cell r="S2919">
            <v>418</v>
          </cell>
          <cell r="T2919">
            <v>409</v>
          </cell>
          <cell r="U2919">
            <v>899</v>
          </cell>
          <cell r="V2919">
            <v>834</v>
          </cell>
          <cell r="W2919">
            <v>886</v>
          </cell>
          <cell r="X2919">
            <v>935</v>
          </cell>
          <cell r="Y2919">
            <v>1353</v>
          </cell>
          <cell r="Z2919">
            <v>1336</v>
          </cell>
          <cell r="AA2919">
            <v>1286</v>
          </cell>
          <cell r="AB2919">
            <v>1126</v>
          </cell>
          <cell r="AC2919">
            <v>1306</v>
          </cell>
          <cell r="AD2919">
            <v>1360</v>
          </cell>
          <cell r="AE2919">
            <v>937</v>
          </cell>
          <cell r="AF2919">
            <v>918</v>
          </cell>
          <cell r="AG2919">
            <v>800</v>
          </cell>
          <cell r="AH2919">
            <v>1029</v>
          </cell>
          <cell r="AI2919">
            <v>998</v>
          </cell>
          <cell r="AJ2919">
            <v>951</v>
          </cell>
        </row>
        <row r="2920">
          <cell r="E2920" t="str">
            <v>AZ Commercial Wood</v>
          </cell>
          <cell r="F2920">
            <v>898</v>
          </cell>
          <cell r="G2920">
            <v>938</v>
          </cell>
          <cell r="H2920">
            <v>989</v>
          </cell>
          <cell r="I2920">
            <v>1165</v>
          </cell>
          <cell r="J2920">
            <v>1115</v>
          </cell>
          <cell r="K2920">
            <v>1126</v>
          </cell>
          <cell r="L2920">
            <v>1169</v>
          </cell>
          <cell r="M2920">
            <v>1619</v>
          </cell>
          <cell r="N2920">
            <v>1414</v>
          </cell>
          <cell r="O2920">
            <v>1487</v>
          </cell>
          <cell r="P2920">
            <v>1592</v>
          </cell>
          <cell r="Q2920">
            <v>1000</v>
          </cell>
          <cell r="R2920">
            <v>1024</v>
          </cell>
          <cell r="S2920">
            <v>1066</v>
          </cell>
          <cell r="T2920">
            <v>1042</v>
          </cell>
          <cell r="U2920">
            <v>1339</v>
          </cell>
          <cell r="V2920">
            <v>1242</v>
          </cell>
          <cell r="W2920">
            <v>1319</v>
          </cell>
          <cell r="X2920">
            <v>1392</v>
          </cell>
          <cell r="Y2920">
            <v>405</v>
          </cell>
          <cell r="Z2920">
            <v>400</v>
          </cell>
          <cell r="AA2920">
            <v>385</v>
          </cell>
          <cell r="AB2920">
            <v>337</v>
          </cell>
          <cell r="AC2920">
            <v>391</v>
          </cell>
          <cell r="AD2920">
            <v>407</v>
          </cell>
          <cell r="AE2920">
            <v>573</v>
          </cell>
          <cell r="AF2920">
            <v>574</v>
          </cell>
          <cell r="AG2920">
            <v>564</v>
          </cell>
          <cell r="AH2920">
            <v>650</v>
          </cell>
          <cell r="AI2920">
            <v>790</v>
          </cell>
          <cell r="AJ2920">
            <v>710</v>
          </cell>
        </row>
        <row r="2921">
          <cell r="E2921" t="str">
            <v>CA Commercial Wood</v>
          </cell>
          <cell r="F2921">
            <v>7997</v>
          </cell>
          <cell r="G2921">
            <v>8348</v>
          </cell>
          <cell r="H2921">
            <v>8805</v>
          </cell>
          <cell r="I2921">
            <v>8032</v>
          </cell>
          <cell r="J2921">
            <v>7691</v>
          </cell>
          <cell r="K2921">
            <v>7763</v>
          </cell>
          <cell r="L2921">
            <v>8064</v>
          </cell>
          <cell r="M2921">
            <v>6293</v>
          </cell>
          <cell r="N2921">
            <v>5497</v>
          </cell>
          <cell r="O2921">
            <v>5780</v>
          </cell>
          <cell r="P2921">
            <v>6186</v>
          </cell>
          <cell r="Q2921">
            <v>6255</v>
          </cell>
          <cell r="R2921">
            <v>6406</v>
          </cell>
          <cell r="S2921">
            <v>6670</v>
          </cell>
          <cell r="T2921">
            <v>6521</v>
          </cell>
          <cell r="U2921">
            <v>4153</v>
          </cell>
          <cell r="V2921">
            <v>3853</v>
          </cell>
          <cell r="W2921">
            <v>4092</v>
          </cell>
          <cell r="X2921">
            <v>4318</v>
          </cell>
          <cell r="Y2921">
            <v>5266</v>
          </cell>
          <cell r="Z2921">
            <v>5199</v>
          </cell>
          <cell r="AA2921">
            <v>5005</v>
          </cell>
          <cell r="AB2921">
            <v>4384</v>
          </cell>
          <cell r="AC2921">
            <v>5081</v>
          </cell>
          <cell r="AD2921">
            <v>5294</v>
          </cell>
          <cell r="AE2921">
            <v>3225</v>
          </cell>
          <cell r="AF2921">
            <v>3647</v>
          </cell>
          <cell r="AG2921">
            <v>3675</v>
          </cell>
          <cell r="AH2921">
            <v>3330</v>
          </cell>
          <cell r="AI2921">
            <v>3912</v>
          </cell>
          <cell r="AJ2921">
            <v>3769</v>
          </cell>
        </row>
        <row r="2922">
          <cell r="E2922" t="str">
            <v>CO Commercial Wood</v>
          </cell>
          <cell r="F2922">
            <v>800</v>
          </cell>
          <cell r="G2922">
            <v>835</v>
          </cell>
          <cell r="H2922">
            <v>881</v>
          </cell>
          <cell r="I2922">
            <v>1020</v>
          </cell>
          <cell r="J2922">
            <v>977</v>
          </cell>
          <cell r="K2922">
            <v>986</v>
          </cell>
          <cell r="L2922">
            <v>1024</v>
          </cell>
          <cell r="M2922">
            <v>1397</v>
          </cell>
          <cell r="N2922">
            <v>1221</v>
          </cell>
          <cell r="O2922">
            <v>1284</v>
          </cell>
          <cell r="P2922">
            <v>1374</v>
          </cell>
          <cell r="Q2922">
            <v>830</v>
          </cell>
          <cell r="R2922">
            <v>850</v>
          </cell>
          <cell r="S2922">
            <v>885</v>
          </cell>
          <cell r="T2922">
            <v>865</v>
          </cell>
          <cell r="U2922">
            <v>1096</v>
          </cell>
          <cell r="V2922">
            <v>1017</v>
          </cell>
          <cell r="W2922">
            <v>1080</v>
          </cell>
          <cell r="X2922">
            <v>1140</v>
          </cell>
          <cell r="Y2922">
            <v>1315</v>
          </cell>
          <cell r="Z2922">
            <v>1298</v>
          </cell>
          <cell r="AA2922">
            <v>1250</v>
          </cell>
          <cell r="AB2922">
            <v>1095</v>
          </cell>
          <cell r="AC2922">
            <v>1269</v>
          </cell>
          <cell r="AD2922">
            <v>1322</v>
          </cell>
          <cell r="AE2922">
            <v>1714</v>
          </cell>
          <cell r="AF2922">
            <v>1900</v>
          </cell>
          <cell r="AG2922">
            <v>1958</v>
          </cell>
          <cell r="AH2922">
            <v>1699</v>
          </cell>
          <cell r="AI2922">
            <v>1922</v>
          </cell>
          <cell r="AJ2922">
            <v>1896</v>
          </cell>
        </row>
        <row r="2923">
          <cell r="E2923" t="str">
            <v>CT Commercial Wood</v>
          </cell>
          <cell r="F2923">
            <v>1055</v>
          </cell>
          <cell r="G2923">
            <v>1102</v>
          </cell>
          <cell r="H2923">
            <v>1162</v>
          </cell>
          <cell r="I2923">
            <v>1483</v>
          </cell>
          <cell r="J2923">
            <v>1420</v>
          </cell>
          <cell r="K2923">
            <v>1434</v>
          </cell>
          <cell r="L2923">
            <v>1489</v>
          </cell>
          <cell r="M2923">
            <v>1303</v>
          </cell>
          <cell r="N2923">
            <v>1138</v>
          </cell>
          <cell r="O2923">
            <v>1196</v>
          </cell>
          <cell r="P2923">
            <v>1280</v>
          </cell>
          <cell r="Q2923">
            <v>1069</v>
          </cell>
          <cell r="R2923">
            <v>1095</v>
          </cell>
          <cell r="S2923">
            <v>1140</v>
          </cell>
          <cell r="T2923">
            <v>1115</v>
          </cell>
          <cell r="U2923">
            <v>397</v>
          </cell>
          <cell r="V2923">
            <v>369</v>
          </cell>
          <cell r="W2923">
            <v>392</v>
          </cell>
          <cell r="X2923">
            <v>413</v>
          </cell>
          <cell r="Y2923">
            <v>833</v>
          </cell>
          <cell r="Z2923">
            <v>822</v>
          </cell>
          <cell r="AA2923">
            <v>792</v>
          </cell>
          <cell r="AB2923">
            <v>693</v>
          </cell>
          <cell r="AC2923">
            <v>856</v>
          </cell>
          <cell r="AD2923">
            <v>900</v>
          </cell>
          <cell r="AE2923">
            <v>1109</v>
          </cell>
          <cell r="AF2923">
            <v>940</v>
          </cell>
          <cell r="AG2923">
            <v>1018</v>
          </cell>
          <cell r="AH2923">
            <v>946</v>
          </cell>
          <cell r="AI2923">
            <v>969</v>
          </cell>
          <cell r="AJ2923">
            <v>933</v>
          </cell>
        </row>
        <row r="2924">
          <cell r="E2924" t="str">
            <v>DC Commercial Wood</v>
          </cell>
          <cell r="F2924">
            <v>126</v>
          </cell>
          <cell r="G2924">
            <v>132</v>
          </cell>
          <cell r="H2924">
            <v>139</v>
          </cell>
          <cell r="I2924">
            <v>231</v>
          </cell>
          <cell r="J2924">
            <v>221</v>
          </cell>
          <cell r="K2924">
            <v>223</v>
          </cell>
          <cell r="L2924">
            <v>232</v>
          </cell>
          <cell r="M2924">
            <v>197</v>
          </cell>
          <cell r="N2924">
            <v>172</v>
          </cell>
          <cell r="O2924">
            <v>181</v>
          </cell>
          <cell r="P2924">
            <v>194</v>
          </cell>
          <cell r="Q2924">
            <v>129</v>
          </cell>
          <cell r="R2924">
            <v>132</v>
          </cell>
          <cell r="S2924">
            <v>138</v>
          </cell>
          <cell r="T2924">
            <v>135</v>
          </cell>
          <cell r="U2924">
            <v>6</v>
          </cell>
          <cell r="V2924">
            <v>5</v>
          </cell>
          <cell r="W2924">
            <v>6</v>
          </cell>
          <cell r="X2924">
            <v>6</v>
          </cell>
          <cell r="Y2924">
            <v>3</v>
          </cell>
          <cell r="Z2924">
            <v>3</v>
          </cell>
          <cell r="AA2924">
            <v>3</v>
          </cell>
          <cell r="AB2924">
            <v>3</v>
          </cell>
          <cell r="AC2924">
            <v>3</v>
          </cell>
          <cell r="AD2924">
            <v>3</v>
          </cell>
          <cell r="AE2924">
            <v>0</v>
          </cell>
          <cell r="AF2924">
            <v>1</v>
          </cell>
          <cell r="AG2924">
            <v>1</v>
          </cell>
          <cell r="AH2924">
            <v>0</v>
          </cell>
          <cell r="AI2924">
            <v>0</v>
          </cell>
          <cell r="AJ2924">
            <v>0</v>
          </cell>
        </row>
        <row r="2925">
          <cell r="E2925" t="str">
            <v>DE Commercial Wood</v>
          </cell>
          <cell r="F2925">
            <v>132</v>
          </cell>
          <cell r="G2925">
            <v>137</v>
          </cell>
          <cell r="H2925">
            <v>145</v>
          </cell>
          <cell r="I2925">
            <v>257</v>
          </cell>
          <cell r="J2925">
            <v>246</v>
          </cell>
          <cell r="K2925">
            <v>248</v>
          </cell>
          <cell r="L2925">
            <v>258</v>
          </cell>
          <cell r="M2925">
            <v>238</v>
          </cell>
          <cell r="N2925">
            <v>208</v>
          </cell>
          <cell r="O2925">
            <v>219</v>
          </cell>
          <cell r="P2925">
            <v>234</v>
          </cell>
          <cell r="Q2925">
            <v>164</v>
          </cell>
          <cell r="R2925">
            <v>168</v>
          </cell>
          <cell r="S2925">
            <v>175</v>
          </cell>
          <cell r="T2925">
            <v>171</v>
          </cell>
          <cell r="U2925">
            <v>95</v>
          </cell>
          <cell r="V2925">
            <v>88</v>
          </cell>
          <cell r="W2925">
            <v>93</v>
          </cell>
          <cell r="X2925">
            <v>98</v>
          </cell>
          <cell r="Y2925">
            <v>183</v>
          </cell>
          <cell r="Z2925">
            <v>181</v>
          </cell>
          <cell r="AA2925">
            <v>174</v>
          </cell>
          <cell r="AB2925">
            <v>153</v>
          </cell>
          <cell r="AC2925">
            <v>177</v>
          </cell>
          <cell r="AD2925">
            <v>184</v>
          </cell>
          <cell r="AE2925">
            <v>130</v>
          </cell>
          <cell r="AF2925">
            <v>120</v>
          </cell>
          <cell r="AG2925">
            <v>112</v>
          </cell>
          <cell r="AH2925">
            <v>93</v>
          </cell>
          <cell r="AI2925">
            <v>97</v>
          </cell>
          <cell r="AJ2925">
            <v>94</v>
          </cell>
        </row>
        <row r="2926">
          <cell r="E2926" t="str">
            <v>FL Commercial Wood</v>
          </cell>
          <cell r="F2926">
            <v>2768</v>
          </cell>
          <cell r="G2926">
            <v>2889</v>
          </cell>
          <cell r="H2926">
            <v>3048</v>
          </cell>
          <cell r="I2926">
            <v>1381</v>
          </cell>
          <cell r="J2926">
            <v>1322</v>
          </cell>
          <cell r="K2926">
            <v>1334</v>
          </cell>
          <cell r="L2926">
            <v>1386</v>
          </cell>
          <cell r="M2926">
            <v>1066</v>
          </cell>
          <cell r="N2926">
            <v>931</v>
          </cell>
          <cell r="O2926">
            <v>979</v>
          </cell>
          <cell r="P2926">
            <v>1048</v>
          </cell>
          <cell r="Q2926">
            <v>838</v>
          </cell>
          <cell r="R2926">
            <v>858</v>
          </cell>
          <cell r="S2926">
            <v>893</v>
          </cell>
          <cell r="T2926">
            <v>873</v>
          </cell>
          <cell r="U2926">
            <v>354</v>
          </cell>
          <cell r="V2926">
            <v>329</v>
          </cell>
          <cell r="W2926">
            <v>349</v>
          </cell>
          <cell r="X2926">
            <v>368</v>
          </cell>
          <cell r="Y2926">
            <v>2060</v>
          </cell>
          <cell r="Z2926">
            <v>2034</v>
          </cell>
          <cell r="AA2926">
            <v>1958</v>
          </cell>
          <cell r="AB2926">
            <v>1715</v>
          </cell>
          <cell r="AC2926">
            <v>1988</v>
          </cell>
          <cell r="AD2926">
            <v>2071</v>
          </cell>
          <cell r="AE2926">
            <v>39</v>
          </cell>
          <cell r="AF2926">
            <v>48</v>
          </cell>
          <cell r="AG2926">
            <v>37</v>
          </cell>
          <cell r="AH2926">
            <v>43</v>
          </cell>
          <cell r="AI2926">
            <v>44</v>
          </cell>
          <cell r="AJ2926">
            <v>41</v>
          </cell>
        </row>
        <row r="2927">
          <cell r="E2927" t="str">
            <v>GA Commercial Wood</v>
          </cell>
          <cell r="F2927">
            <v>1197</v>
          </cell>
          <cell r="G2927">
            <v>1249</v>
          </cell>
          <cell r="H2927">
            <v>1318</v>
          </cell>
          <cell r="I2927">
            <v>2352</v>
          </cell>
          <cell r="J2927">
            <v>2252</v>
          </cell>
          <cell r="K2927">
            <v>2273</v>
          </cell>
          <cell r="L2927">
            <v>2361</v>
          </cell>
          <cell r="M2927">
            <v>2291</v>
          </cell>
          <cell r="N2927">
            <v>2001</v>
          </cell>
          <cell r="O2927">
            <v>2104</v>
          </cell>
          <cell r="P2927">
            <v>2252</v>
          </cell>
          <cell r="Q2927">
            <v>1595</v>
          </cell>
          <cell r="R2927">
            <v>1634</v>
          </cell>
          <cell r="S2927">
            <v>1701</v>
          </cell>
          <cell r="T2927">
            <v>1663</v>
          </cell>
          <cell r="U2927">
            <v>1043</v>
          </cell>
          <cell r="V2927">
            <v>968</v>
          </cell>
          <cell r="W2927">
            <v>1028</v>
          </cell>
          <cell r="X2927">
            <v>1084</v>
          </cell>
          <cell r="Y2927">
            <v>1718</v>
          </cell>
          <cell r="Z2927">
            <v>1696</v>
          </cell>
          <cell r="AA2927">
            <v>1633</v>
          </cell>
          <cell r="AB2927">
            <v>1430</v>
          </cell>
          <cell r="AC2927">
            <v>1658</v>
          </cell>
          <cell r="AD2927">
            <v>1727</v>
          </cell>
          <cell r="AE2927">
            <v>511</v>
          </cell>
          <cell r="AF2927">
            <v>589</v>
          </cell>
          <cell r="AG2927">
            <v>450</v>
          </cell>
          <cell r="AH2927">
            <v>500</v>
          </cell>
          <cell r="AI2927">
            <v>411</v>
          </cell>
          <cell r="AJ2927">
            <v>490</v>
          </cell>
        </row>
        <row r="2928">
          <cell r="E2928" t="str">
            <v>HI Commercial Wood</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28</v>
          </cell>
          <cell r="V2928">
            <v>26</v>
          </cell>
          <cell r="W2928">
            <v>28</v>
          </cell>
          <cell r="X2928">
            <v>29</v>
          </cell>
          <cell r="Y2928">
            <v>48</v>
          </cell>
          <cell r="Z2928">
            <v>48</v>
          </cell>
          <cell r="AA2928">
            <v>46</v>
          </cell>
          <cell r="AB2928">
            <v>40</v>
          </cell>
          <cell r="AC2928">
            <v>47</v>
          </cell>
          <cell r="AD2928">
            <v>49</v>
          </cell>
          <cell r="AE2928">
            <v>2</v>
          </cell>
          <cell r="AF2928">
            <v>2</v>
          </cell>
          <cell r="AG2928">
            <v>6</v>
          </cell>
          <cell r="AH2928">
            <v>3</v>
          </cell>
          <cell r="AI2928">
            <v>3</v>
          </cell>
          <cell r="AJ2928">
            <v>4</v>
          </cell>
        </row>
        <row r="2929">
          <cell r="E2929" t="str">
            <v>IA Commercial Wood</v>
          </cell>
          <cell r="F2929">
            <v>760</v>
          </cell>
          <cell r="G2929">
            <v>794</v>
          </cell>
          <cell r="H2929">
            <v>837</v>
          </cell>
          <cell r="I2929">
            <v>859</v>
          </cell>
          <cell r="J2929">
            <v>822</v>
          </cell>
          <cell r="K2929">
            <v>830</v>
          </cell>
          <cell r="L2929">
            <v>862</v>
          </cell>
          <cell r="M2929">
            <v>810</v>
          </cell>
          <cell r="N2929">
            <v>707</v>
          </cell>
          <cell r="O2929">
            <v>744</v>
          </cell>
          <cell r="P2929">
            <v>796</v>
          </cell>
          <cell r="Q2929">
            <v>831</v>
          </cell>
          <cell r="R2929">
            <v>852</v>
          </cell>
          <cell r="S2929">
            <v>887</v>
          </cell>
          <cell r="T2929">
            <v>867</v>
          </cell>
          <cell r="U2929">
            <v>694</v>
          </cell>
          <cell r="V2929">
            <v>644</v>
          </cell>
          <cell r="W2929">
            <v>685</v>
          </cell>
          <cell r="X2929">
            <v>722</v>
          </cell>
          <cell r="Y2929">
            <v>782</v>
          </cell>
          <cell r="Z2929">
            <v>772</v>
          </cell>
          <cell r="AA2929">
            <v>743</v>
          </cell>
          <cell r="AB2929">
            <v>651</v>
          </cell>
          <cell r="AC2929">
            <v>754</v>
          </cell>
          <cell r="AD2929">
            <v>875</v>
          </cell>
          <cell r="AE2929">
            <v>840</v>
          </cell>
          <cell r="AF2929">
            <v>817</v>
          </cell>
          <cell r="AG2929">
            <v>861</v>
          </cell>
          <cell r="AH2929">
            <v>870</v>
          </cell>
          <cell r="AI2929">
            <v>1475</v>
          </cell>
          <cell r="AJ2929">
            <v>1399</v>
          </cell>
        </row>
        <row r="2930">
          <cell r="E2930" t="str">
            <v>ID Commercial Wood</v>
          </cell>
          <cell r="F2930">
            <v>224</v>
          </cell>
          <cell r="G2930">
            <v>234</v>
          </cell>
          <cell r="H2930">
            <v>246</v>
          </cell>
          <cell r="I2930">
            <v>294</v>
          </cell>
          <cell r="J2930">
            <v>281</v>
          </cell>
          <cell r="K2930">
            <v>284</v>
          </cell>
          <cell r="L2930">
            <v>295</v>
          </cell>
          <cell r="M2930">
            <v>409</v>
          </cell>
          <cell r="N2930">
            <v>358</v>
          </cell>
          <cell r="O2930">
            <v>376</v>
          </cell>
          <cell r="P2930">
            <v>402</v>
          </cell>
          <cell r="Q2930">
            <v>240</v>
          </cell>
          <cell r="R2930">
            <v>245</v>
          </cell>
          <cell r="S2930">
            <v>255</v>
          </cell>
          <cell r="T2930">
            <v>250</v>
          </cell>
          <cell r="U2930">
            <v>1303</v>
          </cell>
          <cell r="V2930">
            <v>1209</v>
          </cell>
          <cell r="W2930">
            <v>1284</v>
          </cell>
          <cell r="X2930">
            <v>1355</v>
          </cell>
          <cell r="Y2930">
            <v>545</v>
          </cell>
          <cell r="Z2930">
            <v>538</v>
          </cell>
          <cell r="AA2930">
            <v>518</v>
          </cell>
          <cell r="AB2930">
            <v>454</v>
          </cell>
          <cell r="AC2930">
            <v>526</v>
          </cell>
          <cell r="AD2930">
            <v>548</v>
          </cell>
          <cell r="AE2930">
            <v>1759</v>
          </cell>
          <cell r="AF2930">
            <v>1980</v>
          </cell>
          <cell r="AG2930">
            <v>2319</v>
          </cell>
          <cell r="AH2930">
            <v>2124</v>
          </cell>
          <cell r="AI2930">
            <v>2285</v>
          </cell>
          <cell r="AJ2930">
            <v>2194</v>
          </cell>
        </row>
        <row r="2931">
          <cell r="E2931" t="str">
            <v>IL Commercial Wood</v>
          </cell>
          <cell r="F2931">
            <v>3515</v>
          </cell>
          <cell r="G2931">
            <v>3670</v>
          </cell>
          <cell r="H2931">
            <v>3870</v>
          </cell>
          <cell r="I2931">
            <v>2442</v>
          </cell>
          <cell r="J2931">
            <v>2338</v>
          </cell>
          <cell r="K2931">
            <v>2360</v>
          </cell>
          <cell r="L2931">
            <v>2451</v>
          </cell>
          <cell r="M2931">
            <v>1935</v>
          </cell>
          <cell r="N2931">
            <v>1690</v>
          </cell>
          <cell r="O2931">
            <v>1777</v>
          </cell>
          <cell r="P2931">
            <v>1902</v>
          </cell>
          <cell r="Q2931">
            <v>2726</v>
          </cell>
          <cell r="R2931">
            <v>2792</v>
          </cell>
          <cell r="S2931">
            <v>2906</v>
          </cell>
          <cell r="T2931">
            <v>2842</v>
          </cell>
          <cell r="U2931">
            <v>1015</v>
          </cell>
          <cell r="V2931">
            <v>942</v>
          </cell>
          <cell r="W2931">
            <v>1000</v>
          </cell>
          <cell r="X2931">
            <v>1055</v>
          </cell>
          <cell r="Y2931">
            <v>1978</v>
          </cell>
          <cell r="Z2931">
            <v>1952</v>
          </cell>
          <cell r="AA2931">
            <v>1880</v>
          </cell>
          <cell r="AB2931">
            <v>1646</v>
          </cell>
          <cell r="AC2931">
            <v>1908</v>
          </cell>
          <cell r="AD2931">
            <v>1988</v>
          </cell>
          <cell r="AE2931">
            <v>864</v>
          </cell>
          <cell r="AF2931">
            <v>929</v>
          </cell>
          <cell r="AG2931">
            <v>840</v>
          </cell>
          <cell r="AH2931">
            <v>886</v>
          </cell>
          <cell r="AI2931">
            <v>904</v>
          </cell>
          <cell r="AJ2931">
            <v>896</v>
          </cell>
        </row>
        <row r="2932">
          <cell r="E2932" t="str">
            <v>IN Commercial Wood</v>
          </cell>
          <cell r="F2932">
            <v>1752</v>
          </cell>
          <cell r="G2932">
            <v>1829</v>
          </cell>
          <cell r="H2932">
            <v>1929</v>
          </cell>
          <cell r="I2932">
            <v>1235</v>
          </cell>
          <cell r="J2932">
            <v>1182</v>
          </cell>
          <cell r="K2932">
            <v>1193</v>
          </cell>
          <cell r="L2932">
            <v>1240</v>
          </cell>
          <cell r="M2932">
            <v>1007</v>
          </cell>
          <cell r="N2932">
            <v>879</v>
          </cell>
          <cell r="O2932">
            <v>925</v>
          </cell>
          <cell r="P2932">
            <v>989</v>
          </cell>
          <cell r="Q2932">
            <v>1424</v>
          </cell>
          <cell r="R2932">
            <v>1458</v>
          </cell>
          <cell r="S2932">
            <v>1518</v>
          </cell>
          <cell r="T2932">
            <v>1484</v>
          </cell>
          <cell r="U2932">
            <v>2045</v>
          </cell>
          <cell r="V2932">
            <v>1898</v>
          </cell>
          <cell r="W2932">
            <v>2015</v>
          </cell>
          <cell r="X2932">
            <v>2127</v>
          </cell>
          <cell r="Y2932">
            <v>1712</v>
          </cell>
          <cell r="Z2932">
            <v>1690</v>
          </cell>
          <cell r="AA2932">
            <v>1627</v>
          </cell>
          <cell r="AB2932">
            <v>1425</v>
          </cell>
          <cell r="AC2932">
            <v>1651</v>
          </cell>
          <cell r="AD2932">
            <v>1721</v>
          </cell>
          <cell r="AE2932">
            <v>1828</v>
          </cell>
          <cell r="AF2932">
            <v>2137</v>
          </cell>
          <cell r="AG2932">
            <v>1863</v>
          </cell>
          <cell r="AH2932">
            <v>1981</v>
          </cell>
          <cell r="AI2932">
            <v>1870</v>
          </cell>
          <cell r="AJ2932">
            <v>1993</v>
          </cell>
        </row>
        <row r="2933">
          <cell r="E2933" t="str">
            <v>KS Commercial Wood</v>
          </cell>
          <cell r="F2933">
            <v>694</v>
          </cell>
          <cell r="G2933">
            <v>724</v>
          </cell>
          <cell r="H2933">
            <v>764</v>
          </cell>
          <cell r="I2933">
            <v>789</v>
          </cell>
          <cell r="J2933">
            <v>755</v>
          </cell>
          <cell r="K2933">
            <v>762</v>
          </cell>
          <cell r="L2933">
            <v>792</v>
          </cell>
          <cell r="M2933">
            <v>753</v>
          </cell>
          <cell r="N2933">
            <v>658</v>
          </cell>
          <cell r="O2933">
            <v>692</v>
          </cell>
          <cell r="P2933">
            <v>740</v>
          </cell>
          <cell r="Q2933">
            <v>765</v>
          </cell>
          <cell r="R2933">
            <v>784</v>
          </cell>
          <cell r="S2933">
            <v>816</v>
          </cell>
          <cell r="T2933">
            <v>798</v>
          </cell>
          <cell r="U2933">
            <v>637</v>
          </cell>
          <cell r="V2933">
            <v>591</v>
          </cell>
          <cell r="W2933">
            <v>627</v>
          </cell>
          <cell r="X2933">
            <v>662</v>
          </cell>
          <cell r="Y2933">
            <v>638</v>
          </cell>
          <cell r="Z2933">
            <v>630</v>
          </cell>
          <cell r="AA2933">
            <v>606</v>
          </cell>
          <cell r="AB2933">
            <v>531</v>
          </cell>
          <cell r="AC2933">
            <v>615</v>
          </cell>
          <cell r="AD2933">
            <v>641</v>
          </cell>
          <cell r="AE2933">
            <v>561</v>
          </cell>
          <cell r="AF2933">
            <v>584</v>
          </cell>
          <cell r="AG2933">
            <v>537</v>
          </cell>
          <cell r="AH2933">
            <v>623</v>
          </cell>
          <cell r="AI2933">
            <v>590</v>
          </cell>
          <cell r="AJ2933">
            <v>602</v>
          </cell>
        </row>
        <row r="2934">
          <cell r="E2934" t="str">
            <v>KY Commercial Wood</v>
          </cell>
          <cell r="F2934">
            <v>1492</v>
          </cell>
          <cell r="G2934">
            <v>1557</v>
          </cell>
          <cell r="H2934">
            <v>1643</v>
          </cell>
          <cell r="I2934">
            <v>1539</v>
          </cell>
          <cell r="J2934">
            <v>1473</v>
          </cell>
          <cell r="K2934">
            <v>1487</v>
          </cell>
          <cell r="L2934">
            <v>1545</v>
          </cell>
          <cell r="M2934">
            <v>981</v>
          </cell>
          <cell r="N2934">
            <v>857</v>
          </cell>
          <cell r="O2934">
            <v>901</v>
          </cell>
          <cell r="P2934">
            <v>965</v>
          </cell>
          <cell r="Q2934">
            <v>835</v>
          </cell>
          <cell r="R2934">
            <v>855</v>
          </cell>
          <cell r="S2934">
            <v>890</v>
          </cell>
          <cell r="T2934">
            <v>870</v>
          </cell>
          <cell r="U2934">
            <v>1632</v>
          </cell>
          <cell r="V2934">
            <v>1514</v>
          </cell>
          <cell r="W2934">
            <v>1608</v>
          </cell>
          <cell r="X2934">
            <v>1697</v>
          </cell>
          <cell r="Y2934">
            <v>1980</v>
          </cell>
          <cell r="Z2934">
            <v>1955</v>
          </cell>
          <cell r="AA2934">
            <v>1882</v>
          </cell>
          <cell r="AB2934">
            <v>1648</v>
          </cell>
          <cell r="AC2934">
            <v>1910</v>
          </cell>
          <cell r="AD2934">
            <v>1990</v>
          </cell>
          <cell r="AE2934">
            <v>1260</v>
          </cell>
          <cell r="AF2934">
            <v>1329</v>
          </cell>
          <cell r="AG2934">
            <v>1386</v>
          </cell>
          <cell r="AH2934">
            <v>1394</v>
          </cell>
          <cell r="AI2934">
            <v>1487</v>
          </cell>
          <cell r="AJ2934">
            <v>1390</v>
          </cell>
        </row>
        <row r="2935">
          <cell r="E2935" t="str">
            <v>LA Commercial Wood</v>
          </cell>
          <cell r="F2935">
            <v>592</v>
          </cell>
          <cell r="G2935">
            <v>619</v>
          </cell>
          <cell r="H2935">
            <v>652</v>
          </cell>
          <cell r="I2935">
            <v>1100</v>
          </cell>
          <cell r="J2935">
            <v>1053</v>
          </cell>
          <cell r="K2935">
            <v>1063</v>
          </cell>
          <cell r="L2935">
            <v>1104</v>
          </cell>
          <cell r="M2935">
            <v>650</v>
          </cell>
          <cell r="N2935">
            <v>568</v>
          </cell>
          <cell r="O2935">
            <v>597</v>
          </cell>
          <cell r="P2935">
            <v>639</v>
          </cell>
          <cell r="Q2935">
            <v>614</v>
          </cell>
          <cell r="R2935">
            <v>629</v>
          </cell>
          <cell r="S2935">
            <v>655</v>
          </cell>
          <cell r="T2935">
            <v>640</v>
          </cell>
          <cell r="U2935">
            <v>238</v>
          </cell>
          <cell r="V2935">
            <v>221</v>
          </cell>
          <cell r="W2935">
            <v>235</v>
          </cell>
          <cell r="X2935">
            <v>248</v>
          </cell>
          <cell r="Y2935">
            <v>333</v>
          </cell>
          <cell r="Z2935">
            <v>329</v>
          </cell>
          <cell r="AA2935">
            <v>316</v>
          </cell>
          <cell r="AB2935">
            <v>277</v>
          </cell>
          <cell r="AC2935">
            <v>321</v>
          </cell>
          <cell r="AD2935">
            <v>335</v>
          </cell>
          <cell r="AE2935">
            <v>110</v>
          </cell>
          <cell r="AF2935">
            <v>90</v>
          </cell>
          <cell r="AG2935">
            <v>77</v>
          </cell>
          <cell r="AH2935">
            <v>86</v>
          </cell>
          <cell r="AI2935">
            <v>82</v>
          </cell>
          <cell r="AJ2935">
            <v>86</v>
          </cell>
        </row>
        <row r="2936">
          <cell r="E2936" t="str">
            <v>MA Commercial Wood</v>
          </cell>
          <cell r="F2936">
            <v>1976</v>
          </cell>
          <cell r="G2936">
            <v>2063</v>
          </cell>
          <cell r="H2936">
            <v>2175</v>
          </cell>
          <cell r="I2936">
            <v>2769</v>
          </cell>
          <cell r="J2936">
            <v>2652</v>
          </cell>
          <cell r="K2936">
            <v>2677</v>
          </cell>
          <cell r="L2936">
            <v>2780</v>
          </cell>
          <cell r="M2936">
            <v>2427</v>
          </cell>
          <cell r="N2936">
            <v>2120</v>
          </cell>
          <cell r="O2936">
            <v>2230</v>
          </cell>
          <cell r="P2936">
            <v>2386</v>
          </cell>
          <cell r="Q2936">
            <v>2023</v>
          </cell>
          <cell r="R2936">
            <v>2072</v>
          </cell>
          <cell r="S2936">
            <v>2157</v>
          </cell>
          <cell r="T2936">
            <v>2109</v>
          </cell>
          <cell r="U2936">
            <v>574</v>
          </cell>
          <cell r="V2936">
            <v>533</v>
          </cell>
          <cell r="W2936">
            <v>566</v>
          </cell>
          <cell r="X2936">
            <v>597</v>
          </cell>
          <cell r="Y2936">
            <v>1441</v>
          </cell>
          <cell r="Z2936">
            <v>1423</v>
          </cell>
          <cell r="AA2936">
            <v>1370</v>
          </cell>
          <cell r="AB2936">
            <v>1200</v>
          </cell>
          <cell r="AC2936">
            <v>1391</v>
          </cell>
          <cell r="AD2936">
            <v>1449</v>
          </cell>
          <cell r="AE2936">
            <v>1541</v>
          </cell>
          <cell r="AF2936">
            <v>1488</v>
          </cell>
          <cell r="AG2936">
            <v>1524</v>
          </cell>
          <cell r="AH2936">
            <v>1245</v>
          </cell>
          <cell r="AI2936">
            <v>1467</v>
          </cell>
          <cell r="AJ2936">
            <v>1378</v>
          </cell>
        </row>
        <row r="2937">
          <cell r="E2937" t="str">
            <v>MD Commercial Wood</v>
          </cell>
          <cell r="F2937">
            <v>1384</v>
          </cell>
          <cell r="G2937">
            <v>896</v>
          </cell>
          <cell r="H2937">
            <v>1471</v>
          </cell>
          <cell r="I2937">
            <v>2165</v>
          </cell>
          <cell r="J2937">
            <v>2102</v>
          </cell>
          <cell r="K2937">
            <v>2120</v>
          </cell>
          <cell r="L2937">
            <v>2204</v>
          </cell>
          <cell r="M2937">
            <v>2028</v>
          </cell>
          <cell r="N2937">
            <v>1792</v>
          </cell>
          <cell r="O2937">
            <v>1808</v>
          </cell>
          <cell r="P2937">
            <v>2042</v>
          </cell>
          <cell r="Q2937">
            <v>1549</v>
          </cell>
          <cell r="R2937">
            <v>1394</v>
          </cell>
          <cell r="S2937">
            <v>1455</v>
          </cell>
          <cell r="T2937">
            <v>1662</v>
          </cell>
          <cell r="U2937">
            <v>1568</v>
          </cell>
          <cell r="V2937">
            <v>1660</v>
          </cell>
          <cell r="W2937">
            <v>1719</v>
          </cell>
          <cell r="X2937">
            <v>1873</v>
          </cell>
          <cell r="Y2937">
            <v>2448</v>
          </cell>
          <cell r="Z2937">
            <v>2340</v>
          </cell>
          <cell r="AA2937">
            <v>2330</v>
          </cell>
          <cell r="AB2937">
            <v>2180</v>
          </cell>
          <cell r="AC2937">
            <v>2376</v>
          </cell>
          <cell r="AD2937">
            <v>2390</v>
          </cell>
          <cell r="AE2937">
            <v>1813</v>
          </cell>
          <cell r="AF2937">
            <v>1804</v>
          </cell>
          <cell r="AG2937">
            <v>1300</v>
          </cell>
          <cell r="AH2937">
            <v>1523</v>
          </cell>
          <cell r="AI2937">
            <v>1378</v>
          </cell>
          <cell r="AJ2937">
            <v>1393</v>
          </cell>
        </row>
        <row r="2938">
          <cell r="E2938" t="str">
            <v>ME Commercial Wood</v>
          </cell>
          <cell r="F2938">
            <v>933</v>
          </cell>
          <cell r="G2938">
            <v>1422</v>
          </cell>
          <cell r="H2938">
            <v>1175</v>
          </cell>
          <cell r="I2938">
            <v>1121</v>
          </cell>
          <cell r="J2938">
            <v>1218</v>
          </cell>
          <cell r="K2938">
            <v>1225</v>
          </cell>
          <cell r="L2938">
            <v>1235</v>
          </cell>
          <cell r="M2938">
            <v>960</v>
          </cell>
          <cell r="N2938">
            <v>836</v>
          </cell>
          <cell r="O2938">
            <v>629</v>
          </cell>
          <cell r="P2938">
            <v>751</v>
          </cell>
          <cell r="Q2938">
            <v>589</v>
          </cell>
          <cell r="R2938">
            <v>557</v>
          </cell>
          <cell r="S2938">
            <v>541</v>
          </cell>
          <cell r="T2938">
            <v>529</v>
          </cell>
          <cell r="U2938">
            <v>969</v>
          </cell>
          <cell r="V2938">
            <v>899</v>
          </cell>
          <cell r="W2938">
            <v>980</v>
          </cell>
          <cell r="X2938">
            <v>1015</v>
          </cell>
          <cell r="Y2938">
            <v>2038</v>
          </cell>
          <cell r="Z2938">
            <v>1993</v>
          </cell>
          <cell r="AA2938">
            <v>1942</v>
          </cell>
          <cell r="AB2938">
            <v>1685</v>
          </cell>
          <cell r="AC2938">
            <v>1958</v>
          </cell>
          <cell r="AD2938">
            <v>2075</v>
          </cell>
          <cell r="AE2938">
            <v>3615</v>
          </cell>
          <cell r="AF2938">
            <v>2999</v>
          </cell>
          <cell r="AG2938">
            <v>3159</v>
          </cell>
          <cell r="AH2938">
            <v>3098</v>
          </cell>
          <cell r="AI2938">
            <v>3200</v>
          </cell>
          <cell r="AJ2938">
            <v>3055</v>
          </cell>
        </row>
        <row r="2939">
          <cell r="E2939" t="str">
            <v>MI Commercial Wood</v>
          </cell>
          <cell r="F2939">
            <v>3002</v>
          </cell>
          <cell r="G2939">
            <v>3133</v>
          </cell>
          <cell r="H2939">
            <v>3305</v>
          </cell>
          <cell r="I2939">
            <v>2097</v>
          </cell>
          <cell r="J2939">
            <v>2008</v>
          </cell>
          <cell r="K2939">
            <v>2027</v>
          </cell>
          <cell r="L2939">
            <v>2106</v>
          </cell>
          <cell r="M2939">
            <v>1681</v>
          </cell>
          <cell r="N2939">
            <v>1468</v>
          </cell>
          <cell r="O2939">
            <v>1544</v>
          </cell>
          <cell r="P2939">
            <v>1652</v>
          </cell>
          <cell r="Q2939">
            <v>2368</v>
          </cell>
          <cell r="R2939">
            <v>2425</v>
          </cell>
          <cell r="S2939">
            <v>2525</v>
          </cell>
          <cell r="T2939">
            <v>2738</v>
          </cell>
          <cell r="U2939">
            <v>4336</v>
          </cell>
          <cell r="V2939">
            <v>4055</v>
          </cell>
          <cell r="W2939">
            <v>4254</v>
          </cell>
          <cell r="X2939">
            <v>4531</v>
          </cell>
          <cell r="Y2939">
            <v>2986</v>
          </cell>
          <cell r="Z2939">
            <v>2961</v>
          </cell>
          <cell r="AA2939">
            <v>2818</v>
          </cell>
          <cell r="AB2939">
            <v>2420</v>
          </cell>
          <cell r="AC2939">
            <v>2543</v>
          </cell>
          <cell r="AD2939">
            <v>2694</v>
          </cell>
          <cell r="AE2939">
            <v>5532</v>
          </cell>
          <cell r="AF2939">
            <v>5327</v>
          </cell>
          <cell r="AG2939">
            <v>5473</v>
          </cell>
          <cell r="AH2939">
            <v>5444</v>
          </cell>
          <cell r="AI2939">
            <v>5374</v>
          </cell>
          <cell r="AJ2939">
            <v>5377</v>
          </cell>
        </row>
        <row r="2940">
          <cell r="E2940" t="str">
            <v>MN Commercial Wood</v>
          </cell>
          <cell r="F2940">
            <v>1229</v>
          </cell>
          <cell r="G2940">
            <v>1283</v>
          </cell>
          <cell r="H2940">
            <v>1353</v>
          </cell>
          <cell r="I2940">
            <v>1413</v>
          </cell>
          <cell r="J2940">
            <v>1353</v>
          </cell>
          <cell r="K2940">
            <v>1366</v>
          </cell>
          <cell r="L2940">
            <v>1419</v>
          </cell>
          <cell r="M2940">
            <v>1349</v>
          </cell>
          <cell r="N2940">
            <v>1178</v>
          </cell>
          <cell r="O2940">
            <v>1239</v>
          </cell>
          <cell r="P2940">
            <v>1326</v>
          </cell>
          <cell r="Q2940">
            <v>1405</v>
          </cell>
          <cell r="R2940">
            <v>1439</v>
          </cell>
          <cell r="S2940">
            <v>1498</v>
          </cell>
          <cell r="T2940">
            <v>1465</v>
          </cell>
          <cell r="U2940">
            <v>1711</v>
          </cell>
          <cell r="V2940">
            <v>1587</v>
          </cell>
          <cell r="W2940">
            <v>1686</v>
          </cell>
          <cell r="X2940">
            <v>1779</v>
          </cell>
          <cell r="Y2940">
            <v>1980</v>
          </cell>
          <cell r="Z2940">
            <v>1954</v>
          </cell>
          <cell r="AA2940">
            <v>1881</v>
          </cell>
          <cell r="AB2940">
            <v>1648</v>
          </cell>
          <cell r="AC2940">
            <v>1910</v>
          </cell>
          <cell r="AD2940">
            <v>4467</v>
          </cell>
          <cell r="AE2940">
            <v>4751</v>
          </cell>
          <cell r="AF2940">
            <v>5288</v>
          </cell>
          <cell r="AG2940">
            <v>5434</v>
          </cell>
          <cell r="AH2940">
            <v>5909</v>
          </cell>
          <cell r="AI2940">
            <v>6142</v>
          </cell>
          <cell r="AJ2940">
            <v>4588</v>
          </cell>
        </row>
        <row r="2941">
          <cell r="E2941" t="str">
            <v>MO Commercial Wood</v>
          </cell>
          <cell r="F2941">
            <v>1462</v>
          </cell>
          <cell r="G2941">
            <v>1526</v>
          </cell>
          <cell r="H2941">
            <v>1609</v>
          </cell>
          <cell r="I2941">
            <v>1662</v>
          </cell>
          <cell r="J2941">
            <v>1592</v>
          </cell>
          <cell r="K2941">
            <v>1607</v>
          </cell>
          <cell r="L2941">
            <v>1669</v>
          </cell>
          <cell r="M2941">
            <v>1596</v>
          </cell>
          <cell r="N2941">
            <v>1394</v>
          </cell>
          <cell r="O2941">
            <v>1466</v>
          </cell>
          <cell r="P2941">
            <v>1568</v>
          </cell>
          <cell r="Q2941">
            <v>1654</v>
          </cell>
          <cell r="R2941">
            <v>1694</v>
          </cell>
          <cell r="S2941">
            <v>1763</v>
          </cell>
          <cell r="T2941">
            <v>1724</v>
          </cell>
          <cell r="U2941">
            <v>2966</v>
          </cell>
          <cell r="V2941">
            <v>2752</v>
          </cell>
          <cell r="W2941">
            <v>2923</v>
          </cell>
          <cell r="X2941">
            <v>3084</v>
          </cell>
          <cell r="Y2941">
            <v>3690</v>
          </cell>
          <cell r="Z2941">
            <v>3643</v>
          </cell>
          <cell r="AA2941">
            <v>3507</v>
          </cell>
          <cell r="AB2941">
            <v>3071</v>
          </cell>
          <cell r="AC2941">
            <v>3760</v>
          </cell>
          <cell r="AD2941">
            <v>4530</v>
          </cell>
          <cell r="AE2941">
            <v>3398</v>
          </cell>
          <cell r="AF2941">
            <v>3886</v>
          </cell>
          <cell r="AG2941">
            <v>4011</v>
          </cell>
          <cell r="AH2941">
            <v>4286</v>
          </cell>
          <cell r="AI2941">
            <v>3831</v>
          </cell>
          <cell r="AJ2941">
            <v>3999</v>
          </cell>
        </row>
        <row r="2942">
          <cell r="E2942" t="str">
            <v>MS Commercial Wood</v>
          </cell>
          <cell r="F2942">
            <v>1000</v>
          </cell>
          <cell r="G2942">
            <v>1044</v>
          </cell>
          <cell r="H2942">
            <v>1101</v>
          </cell>
          <cell r="I2942">
            <v>1022</v>
          </cell>
          <cell r="J2942">
            <v>979</v>
          </cell>
          <cell r="K2942">
            <v>988</v>
          </cell>
          <cell r="L2942">
            <v>1026</v>
          </cell>
          <cell r="M2942">
            <v>653</v>
          </cell>
          <cell r="N2942">
            <v>570</v>
          </cell>
          <cell r="O2942">
            <v>599</v>
          </cell>
          <cell r="P2942">
            <v>641</v>
          </cell>
          <cell r="Q2942">
            <v>555</v>
          </cell>
          <cell r="R2942">
            <v>568</v>
          </cell>
          <cell r="S2942">
            <v>591</v>
          </cell>
          <cell r="T2942">
            <v>578</v>
          </cell>
          <cell r="U2942">
            <v>776</v>
          </cell>
          <cell r="V2942">
            <v>720</v>
          </cell>
          <cell r="W2942">
            <v>765</v>
          </cell>
          <cell r="X2942">
            <v>807</v>
          </cell>
          <cell r="Y2942">
            <v>779</v>
          </cell>
          <cell r="Z2942">
            <v>769</v>
          </cell>
          <cell r="AA2942">
            <v>740</v>
          </cell>
          <cell r="AB2942">
            <v>648</v>
          </cell>
          <cell r="AC2942">
            <v>751</v>
          </cell>
          <cell r="AD2942">
            <v>783</v>
          </cell>
          <cell r="AE2942">
            <v>204</v>
          </cell>
          <cell r="AF2942">
            <v>225</v>
          </cell>
          <cell r="AG2942">
            <v>145</v>
          </cell>
          <cell r="AH2942">
            <v>221</v>
          </cell>
          <cell r="AI2942">
            <v>228</v>
          </cell>
          <cell r="AJ2942">
            <v>199</v>
          </cell>
        </row>
        <row r="2943">
          <cell r="E2943" t="str">
            <v>MT Commercial Wood</v>
          </cell>
          <cell r="F2943">
            <v>196</v>
          </cell>
          <cell r="G2943">
            <v>204</v>
          </cell>
          <cell r="H2943">
            <v>215</v>
          </cell>
          <cell r="I2943">
            <v>245</v>
          </cell>
          <cell r="J2943">
            <v>234</v>
          </cell>
          <cell r="K2943">
            <v>237</v>
          </cell>
          <cell r="L2943">
            <v>246</v>
          </cell>
          <cell r="M2943">
            <v>317</v>
          </cell>
          <cell r="N2943">
            <v>276</v>
          </cell>
          <cell r="O2943">
            <v>291</v>
          </cell>
          <cell r="P2943">
            <v>311</v>
          </cell>
          <cell r="Q2943">
            <v>184</v>
          </cell>
          <cell r="R2943">
            <v>188</v>
          </cell>
          <cell r="S2943">
            <v>196</v>
          </cell>
          <cell r="T2943">
            <v>192</v>
          </cell>
          <cell r="U2943">
            <v>968</v>
          </cell>
          <cell r="V2943">
            <v>898</v>
          </cell>
          <cell r="W2943">
            <v>954</v>
          </cell>
          <cell r="X2943">
            <v>1007</v>
          </cell>
          <cell r="Y2943">
            <v>449</v>
          </cell>
          <cell r="Z2943">
            <v>444</v>
          </cell>
          <cell r="AA2943">
            <v>427</v>
          </cell>
          <cell r="AB2943">
            <v>374</v>
          </cell>
          <cell r="AC2943">
            <v>433</v>
          </cell>
          <cell r="AD2943">
            <v>452</v>
          </cell>
          <cell r="AE2943">
            <v>1587</v>
          </cell>
          <cell r="AF2943">
            <v>1970</v>
          </cell>
          <cell r="AG2943">
            <v>1985</v>
          </cell>
          <cell r="AH2943">
            <v>2168</v>
          </cell>
          <cell r="AI2943">
            <v>2030</v>
          </cell>
          <cell r="AJ2943">
            <v>2076</v>
          </cell>
        </row>
        <row r="2944">
          <cell r="E2944" t="str">
            <v>NC Commercial Wood</v>
          </cell>
          <cell r="F2944">
            <v>1279</v>
          </cell>
          <cell r="G2944">
            <v>1335</v>
          </cell>
          <cell r="H2944">
            <v>1408</v>
          </cell>
          <cell r="I2944">
            <v>2510</v>
          </cell>
          <cell r="J2944">
            <v>2404</v>
          </cell>
          <cell r="K2944">
            <v>2426</v>
          </cell>
          <cell r="L2944">
            <v>2520</v>
          </cell>
          <cell r="M2944">
            <v>2424</v>
          </cell>
          <cell r="N2944">
            <v>2117</v>
          </cell>
          <cell r="O2944">
            <v>2226</v>
          </cell>
          <cell r="P2944">
            <v>2382</v>
          </cell>
          <cell r="Q2944">
            <v>1704</v>
          </cell>
          <cell r="R2944">
            <v>1745</v>
          </cell>
          <cell r="S2944">
            <v>1817</v>
          </cell>
          <cell r="T2944">
            <v>1776</v>
          </cell>
          <cell r="U2944">
            <v>2471</v>
          </cell>
          <cell r="V2944">
            <v>2292</v>
          </cell>
          <cell r="W2944">
            <v>2435</v>
          </cell>
          <cell r="X2944">
            <v>2569</v>
          </cell>
          <cell r="Y2944">
            <v>2376</v>
          </cell>
          <cell r="Z2944">
            <v>2346</v>
          </cell>
          <cell r="AA2944">
            <v>2258</v>
          </cell>
          <cell r="AB2944">
            <v>1978</v>
          </cell>
          <cell r="AC2944">
            <v>2292</v>
          </cell>
          <cell r="AD2944">
            <v>2388</v>
          </cell>
          <cell r="AE2944">
            <v>1488</v>
          </cell>
          <cell r="AF2944">
            <v>1519</v>
          </cell>
          <cell r="AG2944">
            <v>1379</v>
          </cell>
          <cell r="AH2944">
            <v>1526</v>
          </cell>
          <cell r="AI2944">
            <v>1284</v>
          </cell>
          <cell r="AJ2944">
            <v>1358</v>
          </cell>
        </row>
        <row r="2945">
          <cell r="E2945" t="str">
            <v>ND Commercial Wood</v>
          </cell>
          <cell r="F2945">
            <v>184</v>
          </cell>
          <cell r="G2945">
            <v>192</v>
          </cell>
          <cell r="H2945">
            <v>202</v>
          </cell>
          <cell r="I2945">
            <v>207</v>
          </cell>
          <cell r="J2945">
            <v>198</v>
          </cell>
          <cell r="K2945">
            <v>200</v>
          </cell>
          <cell r="L2945">
            <v>208</v>
          </cell>
          <cell r="M2945">
            <v>196</v>
          </cell>
          <cell r="N2945">
            <v>171</v>
          </cell>
          <cell r="O2945">
            <v>180</v>
          </cell>
          <cell r="P2945">
            <v>193</v>
          </cell>
          <cell r="Q2945">
            <v>195</v>
          </cell>
          <cell r="R2945">
            <v>200</v>
          </cell>
          <cell r="S2945">
            <v>208</v>
          </cell>
          <cell r="T2945">
            <v>203</v>
          </cell>
          <cell r="U2945">
            <v>58</v>
          </cell>
          <cell r="V2945">
            <v>54</v>
          </cell>
          <cell r="W2945">
            <v>57</v>
          </cell>
          <cell r="X2945">
            <v>60</v>
          </cell>
          <cell r="Y2945">
            <v>65</v>
          </cell>
          <cell r="Z2945">
            <v>64</v>
          </cell>
          <cell r="AA2945">
            <v>62</v>
          </cell>
          <cell r="AB2945">
            <v>54</v>
          </cell>
          <cell r="AC2945">
            <v>63</v>
          </cell>
          <cell r="AD2945">
            <v>65</v>
          </cell>
          <cell r="AE2945">
            <v>76</v>
          </cell>
          <cell r="AF2945">
            <v>113</v>
          </cell>
          <cell r="AG2945">
            <v>107</v>
          </cell>
          <cell r="AH2945">
            <v>86</v>
          </cell>
          <cell r="AI2945">
            <v>83</v>
          </cell>
          <cell r="AJ2945">
            <v>92</v>
          </cell>
        </row>
        <row r="2946">
          <cell r="E2946" t="str">
            <v>NE Commercial Wood</v>
          </cell>
          <cell r="F2946">
            <v>439</v>
          </cell>
          <cell r="G2946">
            <v>458</v>
          </cell>
          <cell r="H2946">
            <v>483</v>
          </cell>
          <cell r="I2946">
            <v>499</v>
          </cell>
          <cell r="J2946">
            <v>478</v>
          </cell>
          <cell r="K2946">
            <v>483</v>
          </cell>
          <cell r="L2946">
            <v>501</v>
          </cell>
          <cell r="M2946">
            <v>474</v>
          </cell>
          <cell r="N2946">
            <v>414</v>
          </cell>
          <cell r="O2946">
            <v>436</v>
          </cell>
          <cell r="P2946">
            <v>466</v>
          </cell>
          <cell r="Q2946">
            <v>489</v>
          </cell>
          <cell r="R2946">
            <v>501</v>
          </cell>
          <cell r="S2946">
            <v>522</v>
          </cell>
          <cell r="T2946">
            <v>510</v>
          </cell>
          <cell r="U2946">
            <v>365</v>
          </cell>
          <cell r="V2946">
            <v>339</v>
          </cell>
          <cell r="W2946">
            <v>360</v>
          </cell>
          <cell r="X2946">
            <v>380</v>
          </cell>
          <cell r="Y2946">
            <v>366</v>
          </cell>
          <cell r="Z2946">
            <v>361</v>
          </cell>
          <cell r="AA2946">
            <v>348</v>
          </cell>
          <cell r="AB2946">
            <v>305</v>
          </cell>
          <cell r="AC2946">
            <v>353</v>
          </cell>
          <cell r="AD2946">
            <v>368</v>
          </cell>
          <cell r="AE2946">
            <v>351</v>
          </cell>
          <cell r="AF2946">
            <v>397</v>
          </cell>
          <cell r="AG2946">
            <v>335</v>
          </cell>
          <cell r="AH2946">
            <v>421</v>
          </cell>
          <cell r="AI2946">
            <v>446</v>
          </cell>
          <cell r="AJ2946">
            <v>394</v>
          </cell>
        </row>
        <row r="2947">
          <cell r="E2947" t="str">
            <v>NH Commercial Wood</v>
          </cell>
          <cell r="F2947">
            <v>403</v>
          </cell>
          <cell r="G2947">
            <v>420</v>
          </cell>
          <cell r="H2947">
            <v>443</v>
          </cell>
          <cell r="I2947">
            <v>571</v>
          </cell>
          <cell r="J2947">
            <v>547</v>
          </cell>
          <cell r="K2947">
            <v>552</v>
          </cell>
          <cell r="L2947">
            <v>573</v>
          </cell>
          <cell r="M2947">
            <v>507</v>
          </cell>
          <cell r="N2947">
            <v>443</v>
          </cell>
          <cell r="O2947">
            <v>466</v>
          </cell>
          <cell r="P2947">
            <v>498</v>
          </cell>
          <cell r="Q2947">
            <v>425</v>
          </cell>
          <cell r="R2947">
            <v>436</v>
          </cell>
          <cell r="S2947">
            <v>454</v>
          </cell>
          <cell r="T2947">
            <v>444</v>
          </cell>
          <cell r="U2947">
            <v>533</v>
          </cell>
          <cell r="V2947">
            <v>494</v>
          </cell>
          <cell r="W2947">
            <v>525</v>
          </cell>
          <cell r="X2947">
            <v>554</v>
          </cell>
          <cell r="Y2947">
            <v>1166</v>
          </cell>
          <cell r="Z2947">
            <v>1151</v>
          </cell>
          <cell r="AA2947">
            <v>1108</v>
          </cell>
          <cell r="AB2947">
            <v>971</v>
          </cell>
          <cell r="AC2947">
            <v>1125</v>
          </cell>
          <cell r="AD2947">
            <v>1172</v>
          </cell>
          <cell r="AE2947">
            <v>2038</v>
          </cell>
          <cell r="AF2947">
            <v>1802</v>
          </cell>
          <cell r="AG2947">
            <v>2056</v>
          </cell>
          <cell r="AH2947">
            <v>1899</v>
          </cell>
          <cell r="AI2947">
            <v>1951</v>
          </cell>
          <cell r="AJ2947">
            <v>1886</v>
          </cell>
        </row>
        <row r="2948">
          <cell r="E2948" t="str">
            <v>NJ Commercial Wood</v>
          </cell>
          <cell r="F2948">
            <v>1769</v>
          </cell>
          <cell r="G2948">
            <v>1847</v>
          </cell>
          <cell r="H2948">
            <v>1948</v>
          </cell>
          <cell r="I2948">
            <v>2060</v>
          </cell>
          <cell r="J2948">
            <v>1973</v>
          </cell>
          <cell r="K2948">
            <v>1991</v>
          </cell>
          <cell r="L2948">
            <v>2068</v>
          </cell>
          <cell r="M2948">
            <v>1428</v>
          </cell>
          <cell r="N2948">
            <v>1247</v>
          </cell>
          <cell r="O2948">
            <v>1311</v>
          </cell>
          <cell r="P2948">
            <v>1403</v>
          </cell>
          <cell r="Q2948">
            <v>1390</v>
          </cell>
          <cell r="R2948">
            <v>1424</v>
          </cell>
          <cell r="S2948">
            <v>1482</v>
          </cell>
          <cell r="T2948">
            <v>1449</v>
          </cell>
          <cell r="U2948">
            <v>227</v>
          </cell>
          <cell r="V2948">
            <v>211</v>
          </cell>
          <cell r="W2948">
            <v>224</v>
          </cell>
          <cell r="X2948">
            <v>236</v>
          </cell>
          <cell r="Y2948">
            <v>1549</v>
          </cell>
          <cell r="Z2948">
            <v>1529</v>
          </cell>
          <cell r="AA2948">
            <v>1472</v>
          </cell>
          <cell r="AB2948">
            <v>1289</v>
          </cell>
          <cell r="AC2948">
            <v>1494</v>
          </cell>
          <cell r="AD2948">
            <v>1557</v>
          </cell>
          <cell r="AE2948">
            <v>471</v>
          </cell>
          <cell r="AF2948">
            <v>483</v>
          </cell>
          <cell r="AG2948">
            <v>437</v>
          </cell>
          <cell r="AH2948">
            <v>449</v>
          </cell>
          <cell r="AI2948">
            <v>385</v>
          </cell>
          <cell r="AJ2948">
            <v>431</v>
          </cell>
        </row>
        <row r="2949">
          <cell r="E2949" t="str">
            <v>NM Commercial Wood</v>
          </cell>
          <cell r="F2949">
            <v>342</v>
          </cell>
          <cell r="G2949">
            <v>357</v>
          </cell>
          <cell r="H2949">
            <v>377</v>
          </cell>
          <cell r="I2949">
            <v>440</v>
          </cell>
          <cell r="J2949">
            <v>421</v>
          </cell>
          <cell r="K2949">
            <v>425</v>
          </cell>
          <cell r="L2949">
            <v>442</v>
          </cell>
          <cell r="M2949">
            <v>607</v>
          </cell>
          <cell r="N2949">
            <v>530</v>
          </cell>
          <cell r="O2949">
            <v>557</v>
          </cell>
          <cell r="P2949">
            <v>596</v>
          </cell>
          <cell r="Q2949">
            <v>352</v>
          </cell>
          <cell r="R2949">
            <v>360</v>
          </cell>
          <cell r="S2949">
            <v>375</v>
          </cell>
          <cell r="T2949">
            <v>367</v>
          </cell>
          <cell r="U2949">
            <v>1445</v>
          </cell>
          <cell r="V2949">
            <v>1341</v>
          </cell>
          <cell r="W2949">
            <v>1424</v>
          </cell>
          <cell r="X2949">
            <v>1502</v>
          </cell>
          <cell r="Y2949">
            <v>975</v>
          </cell>
          <cell r="Z2949">
            <v>963</v>
          </cell>
          <cell r="AA2949">
            <v>927</v>
          </cell>
          <cell r="AB2949">
            <v>812</v>
          </cell>
          <cell r="AC2949">
            <v>941</v>
          </cell>
          <cell r="AD2949">
            <v>981</v>
          </cell>
          <cell r="AE2949">
            <v>1289</v>
          </cell>
          <cell r="AF2949">
            <v>1600</v>
          </cell>
          <cell r="AG2949">
            <v>1440</v>
          </cell>
          <cell r="AH2949">
            <v>1655</v>
          </cell>
          <cell r="AI2949">
            <v>1889</v>
          </cell>
          <cell r="AJ2949">
            <v>1718</v>
          </cell>
        </row>
        <row r="2950">
          <cell r="E2950" t="str">
            <v>NV Commercial Wood</v>
          </cell>
          <cell r="F2950">
            <v>281</v>
          </cell>
          <cell r="G2950">
            <v>293</v>
          </cell>
          <cell r="H2950">
            <v>309</v>
          </cell>
          <cell r="I2950">
            <v>400</v>
          </cell>
          <cell r="J2950">
            <v>383</v>
          </cell>
          <cell r="K2950">
            <v>386</v>
          </cell>
          <cell r="L2950">
            <v>401</v>
          </cell>
          <cell r="M2950">
            <v>607</v>
          </cell>
          <cell r="N2950">
            <v>530</v>
          </cell>
          <cell r="O2950">
            <v>558</v>
          </cell>
          <cell r="P2950">
            <v>597</v>
          </cell>
          <cell r="Q2950">
            <v>383</v>
          </cell>
          <cell r="R2950">
            <v>393</v>
          </cell>
          <cell r="S2950">
            <v>409</v>
          </cell>
          <cell r="T2950">
            <v>400</v>
          </cell>
          <cell r="U2950">
            <v>313</v>
          </cell>
          <cell r="V2950">
            <v>290</v>
          </cell>
          <cell r="W2950">
            <v>308</v>
          </cell>
          <cell r="X2950">
            <v>325</v>
          </cell>
          <cell r="Y2950">
            <v>255</v>
          </cell>
          <cell r="Z2950">
            <v>251</v>
          </cell>
          <cell r="AA2950">
            <v>242</v>
          </cell>
          <cell r="AB2950">
            <v>212</v>
          </cell>
          <cell r="AC2950">
            <v>246</v>
          </cell>
          <cell r="AD2950">
            <v>256</v>
          </cell>
          <cell r="AE2950">
            <v>280</v>
          </cell>
          <cell r="AF2950">
            <v>321</v>
          </cell>
          <cell r="AG2950">
            <v>342</v>
          </cell>
          <cell r="AH2950">
            <v>412</v>
          </cell>
          <cell r="AI2950">
            <v>389</v>
          </cell>
          <cell r="AJ2950">
            <v>371</v>
          </cell>
        </row>
        <row r="2951">
          <cell r="E2951" t="str">
            <v>NY Commercial Wood</v>
          </cell>
          <cell r="F2951">
            <v>4157</v>
          </cell>
          <cell r="G2951">
            <v>4340</v>
          </cell>
          <cell r="H2951">
            <v>4578</v>
          </cell>
          <cell r="I2951">
            <v>7426</v>
          </cell>
          <cell r="J2951">
            <v>7111</v>
          </cell>
          <cell r="K2951">
            <v>7177</v>
          </cell>
          <cell r="L2951">
            <v>7456</v>
          </cell>
          <cell r="M2951">
            <v>14041</v>
          </cell>
          <cell r="N2951">
            <v>12263</v>
          </cell>
          <cell r="O2951">
            <v>12896</v>
          </cell>
          <cell r="P2951">
            <v>13800</v>
          </cell>
          <cell r="Q2951">
            <v>9694</v>
          </cell>
          <cell r="R2951">
            <v>9929</v>
          </cell>
          <cell r="S2951">
            <v>10337</v>
          </cell>
          <cell r="T2951">
            <v>10106</v>
          </cell>
          <cell r="U2951">
            <v>8082</v>
          </cell>
          <cell r="V2951">
            <v>7499</v>
          </cell>
          <cell r="W2951">
            <v>7964</v>
          </cell>
          <cell r="X2951">
            <v>8404</v>
          </cell>
          <cell r="Y2951">
            <v>2732</v>
          </cell>
          <cell r="Z2951">
            <v>2697</v>
          </cell>
          <cell r="AA2951">
            <v>2597</v>
          </cell>
          <cell r="AB2951">
            <v>2274</v>
          </cell>
          <cell r="AC2951">
            <v>2636</v>
          </cell>
          <cell r="AD2951">
            <v>2747</v>
          </cell>
          <cell r="AE2951">
            <v>5414</v>
          </cell>
          <cell r="AF2951">
            <v>5240</v>
          </cell>
          <cell r="AG2951">
            <v>5243</v>
          </cell>
          <cell r="AH2951">
            <v>5224</v>
          </cell>
          <cell r="AI2951">
            <v>5128</v>
          </cell>
          <cell r="AJ2951">
            <v>5037</v>
          </cell>
        </row>
        <row r="2952">
          <cell r="E2952" t="str">
            <v>OH Commercial Wood</v>
          </cell>
          <cell r="F2952">
            <v>3410</v>
          </cell>
          <cell r="G2952">
            <v>3560</v>
          </cell>
          <cell r="H2952">
            <v>3755</v>
          </cell>
          <cell r="I2952">
            <v>2378</v>
          </cell>
          <cell r="J2952">
            <v>2277</v>
          </cell>
          <cell r="K2952">
            <v>2298</v>
          </cell>
          <cell r="L2952">
            <v>2521</v>
          </cell>
          <cell r="M2952">
            <v>2622</v>
          </cell>
          <cell r="N2952">
            <v>2193</v>
          </cell>
          <cell r="O2952">
            <v>2190</v>
          </cell>
          <cell r="P2952">
            <v>2402</v>
          </cell>
          <cell r="Q2952">
            <v>2948</v>
          </cell>
          <cell r="R2952">
            <v>3517</v>
          </cell>
          <cell r="S2952">
            <v>3542</v>
          </cell>
          <cell r="T2952">
            <v>3477</v>
          </cell>
          <cell r="U2952">
            <v>3455</v>
          </cell>
          <cell r="V2952">
            <v>3119</v>
          </cell>
          <cell r="W2952">
            <v>4049</v>
          </cell>
          <cell r="X2952">
            <v>3495</v>
          </cell>
          <cell r="Y2952">
            <v>2999</v>
          </cell>
          <cell r="Z2952">
            <v>2961</v>
          </cell>
          <cell r="AA2952">
            <v>2850</v>
          </cell>
          <cell r="AB2952">
            <v>2496</v>
          </cell>
          <cell r="AC2952">
            <v>2893</v>
          </cell>
          <cell r="AD2952">
            <v>3015</v>
          </cell>
          <cell r="AE2952">
            <v>3160</v>
          </cell>
          <cell r="AF2952">
            <v>3343</v>
          </cell>
          <cell r="AG2952">
            <v>3303</v>
          </cell>
          <cell r="AH2952">
            <v>3241</v>
          </cell>
          <cell r="AI2952">
            <v>3075</v>
          </cell>
          <cell r="AJ2952">
            <v>3242</v>
          </cell>
        </row>
        <row r="2953">
          <cell r="E2953" t="str">
            <v>OK Commercial Wood</v>
          </cell>
          <cell r="F2953">
            <v>486</v>
          </cell>
          <cell r="G2953">
            <v>507</v>
          </cell>
          <cell r="H2953">
            <v>535</v>
          </cell>
          <cell r="I2953">
            <v>899</v>
          </cell>
          <cell r="J2953">
            <v>861</v>
          </cell>
          <cell r="K2953">
            <v>869</v>
          </cell>
          <cell r="L2953">
            <v>902</v>
          </cell>
          <cell r="M2953">
            <v>526</v>
          </cell>
          <cell r="N2953">
            <v>460</v>
          </cell>
          <cell r="O2953">
            <v>483</v>
          </cell>
          <cell r="P2953">
            <v>517</v>
          </cell>
          <cell r="Q2953">
            <v>504</v>
          </cell>
          <cell r="R2953">
            <v>516</v>
          </cell>
          <cell r="S2953">
            <v>537</v>
          </cell>
          <cell r="T2953">
            <v>525</v>
          </cell>
          <cell r="U2953">
            <v>509</v>
          </cell>
          <cell r="V2953">
            <v>473</v>
          </cell>
          <cell r="W2953">
            <v>502</v>
          </cell>
          <cell r="X2953">
            <v>530</v>
          </cell>
          <cell r="Y2953">
            <v>777</v>
          </cell>
          <cell r="Z2953">
            <v>767</v>
          </cell>
          <cell r="AA2953">
            <v>739</v>
          </cell>
          <cell r="AB2953">
            <v>647</v>
          </cell>
          <cell r="AC2953">
            <v>750</v>
          </cell>
          <cell r="AD2953">
            <v>781</v>
          </cell>
          <cell r="AE2953">
            <v>580</v>
          </cell>
          <cell r="AF2953">
            <v>538</v>
          </cell>
          <cell r="AG2953">
            <v>475</v>
          </cell>
          <cell r="AH2953">
            <v>629</v>
          </cell>
          <cell r="AI2953">
            <v>626</v>
          </cell>
          <cell r="AJ2953">
            <v>560</v>
          </cell>
        </row>
        <row r="2954">
          <cell r="E2954" t="str">
            <v>OR Commercial Wood</v>
          </cell>
          <cell r="F2954">
            <v>1982</v>
          </cell>
          <cell r="G2954">
            <v>2011</v>
          </cell>
          <cell r="H2954">
            <v>1733</v>
          </cell>
          <cell r="I2954">
            <v>2285</v>
          </cell>
          <cell r="J2954">
            <v>1345</v>
          </cell>
          <cell r="K2954">
            <v>1358</v>
          </cell>
          <cell r="L2954">
            <v>1410</v>
          </cell>
          <cell r="M2954">
            <v>1464</v>
          </cell>
          <cell r="N2954">
            <v>1279</v>
          </cell>
          <cell r="O2954">
            <v>1345</v>
          </cell>
          <cell r="P2954">
            <v>1439</v>
          </cell>
          <cell r="Q2954">
            <v>2475</v>
          </cell>
          <cell r="R2954">
            <v>2535</v>
          </cell>
          <cell r="S2954">
            <v>2639</v>
          </cell>
          <cell r="T2954">
            <v>2580</v>
          </cell>
          <cell r="U2954">
            <v>1590</v>
          </cell>
          <cell r="V2954">
            <v>1475</v>
          </cell>
          <cell r="W2954">
            <v>1566</v>
          </cell>
          <cell r="X2954">
            <v>1653</v>
          </cell>
          <cell r="Y2954">
            <v>2248</v>
          </cell>
          <cell r="Z2954">
            <v>2219</v>
          </cell>
          <cell r="AA2954">
            <v>2136</v>
          </cell>
          <cell r="AB2954">
            <v>1871</v>
          </cell>
          <cell r="AC2954">
            <v>2168</v>
          </cell>
          <cell r="AD2954">
            <v>2259</v>
          </cell>
          <cell r="AE2954">
            <v>3020</v>
          </cell>
          <cell r="AF2954">
            <v>3702</v>
          </cell>
          <cell r="AG2954">
            <v>4080</v>
          </cell>
          <cell r="AH2954">
            <v>3629</v>
          </cell>
          <cell r="AI2954">
            <v>3905</v>
          </cell>
          <cell r="AJ2954">
            <v>3852</v>
          </cell>
        </row>
        <row r="2955">
          <cell r="E2955" t="str">
            <v>PA Commercial Wood</v>
          </cell>
          <cell r="F2955">
            <v>2841</v>
          </cell>
          <cell r="G2955">
            <v>2966</v>
          </cell>
          <cell r="H2955">
            <v>3128</v>
          </cell>
          <cell r="I2955">
            <v>3323</v>
          </cell>
          <cell r="J2955">
            <v>3182</v>
          </cell>
          <cell r="K2955">
            <v>3212</v>
          </cell>
          <cell r="L2955">
            <v>3337</v>
          </cell>
          <cell r="M2955">
            <v>2308</v>
          </cell>
          <cell r="N2955">
            <v>2016</v>
          </cell>
          <cell r="O2955">
            <v>2120</v>
          </cell>
          <cell r="P2955">
            <v>2269</v>
          </cell>
          <cell r="Q2955">
            <v>2198</v>
          </cell>
          <cell r="R2955">
            <v>2251</v>
          </cell>
          <cell r="S2955">
            <v>2344</v>
          </cell>
          <cell r="T2955">
            <v>2292</v>
          </cell>
          <cell r="U2955">
            <v>2475</v>
          </cell>
          <cell r="V2955">
            <v>2297</v>
          </cell>
          <cell r="W2955">
            <v>2439</v>
          </cell>
          <cell r="X2955">
            <v>2574</v>
          </cell>
          <cell r="Y2955">
            <v>3405</v>
          </cell>
          <cell r="Z2955">
            <v>3361</v>
          </cell>
          <cell r="AA2955">
            <v>3236</v>
          </cell>
          <cell r="AB2955">
            <v>2834</v>
          </cell>
          <cell r="AC2955">
            <v>3285</v>
          </cell>
          <cell r="AD2955">
            <v>3423</v>
          </cell>
          <cell r="AE2955">
            <v>5120</v>
          </cell>
          <cell r="AF2955">
            <v>5026</v>
          </cell>
          <cell r="AG2955">
            <v>5115</v>
          </cell>
          <cell r="AH2955">
            <v>5305</v>
          </cell>
          <cell r="AI2955">
            <v>4840</v>
          </cell>
          <cell r="AJ2955">
            <v>5081</v>
          </cell>
        </row>
        <row r="2956">
          <cell r="E2956" t="str">
            <v>RI Commercial Wood</v>
          </cell>
          <cell r="F2956">
            <v>331</v>
          </cell>
          <cell r="G2956">
            <v>346</v>
          </cell>
          <cell r="H2956">
            <v>365</v>
          </cell>
          <cell r="I2956">
            <v>466</v>
          </cell>
          <cell r="J2956">
            <v>446</v>
          </cell>
          <cell r="K2956">
            <v>450</v>
          </cell>
          <cell r="L2956">
            <v>468</v>
          </cell>
          <cell r="M2956">
            <v>407</v>
          </cell>
          <cell r="N2956">
            <v>356</v>
          </cell>
          <cell r="O2956">
            <v>374</v>
          </cell>
          <cell r="P2956">
            <v>400</v>
          </cell>
          <cell r="Q2956">
            <v>339</v>
          </cell>
          <cell r="R2956">
            <v>347</v>
          </cell>
          <cell r="S2956">
            <v>361</v>
          </cell>
          <cell r="T2956">
            <v>353</v>
          </cell>
          <cell r="U2956">
            <v>97</v>
          </cell>
          <cell r="V2956">
            <v>90</v>
          </cell>
          <cell r="W2956">
            <v>96</v>
          </cell>
          <cell r="X2956">
            <v>101</v>
          </cell>
          <cell r="Y2956">
            <v>198</v>
          </cell>
          <cell r="Z2956">
            <v>195</v>
          </cell>
          <cell r="AA2956">
            <v>188</v>
          </cell>
          <cell r="AB2956">
            <v>165</v>
          </cell>
          <cell r="AC2956">
            <v>191</v>
          </cell>
          <cell r="AD2956">
            <v>199</v>
          </cell>
          <cell r="AE2956">
            <v>268</v>
          </cell>
          <cell r="AF2956">
            <v>247</v>
          </cell>
          <cell r="AG2956">
            <v>247</v>
          </cell>
          <cell r="AH2956">
            <v>187</v>
          </cell>
          <cell r="AI2956">
            <v>252</v>
          </cell>
          <cell r="AJ2956">
            <v>230</v>
          </cell>
        </row>
        <row r="2957">
          <cell r="E2957" t="str">
            <v>SC Commercial Wood</v>
          </cell>
          <cell r="F2957">
            <v>646</v>
          </cell>
          <cell r="G2957">
            <v>674</v>
          </cell>
          <cell r="H2957">
            <v>711</v>
          </cell>
          <cell r="I2957">
            <v>1266</v>
          </cell>
          <cell r="J2957">
            <v>1212</v>
          </cell>
          <cell r="K2957">
            <v>1223</v>
          </cell>
          <cell r="L2957">
            <v>1271</v>
          </cell>
          <cell r="M2957">
            <v>1214</v>
          </cell>
          <cell r="N2957">
            <v>1060</v>
          </cell>
          <cell r="O2957">
            <v>1115</v>
          </cell>
          <cell r="P2957">
            <v>1193</v>
          </cell>
          <cell r="Q2957">
            <v>844</v>
          </cell>
          <cell r="R2957">
            <v>865</v>
          </cell>
          <cell r="S2957">
            <v>900</v>
          </cell>
          <cell r="T2957">
            <v>880</v>
          </cell>
          <cell r="U2957">
            <v>616</v>
          </cell>
          <cell r="V2957">
            <v>571</v>
          </cell>
          <cell r="W2957">
            <v>607</v>
          </cell>
          <cell r="X2957">
            <v>640</v>
          </cell>
          <cell r="Y2957">
            <v>553</v>
          </cell>
          <cell r="Z2957">
            <v>546</v>
          </cell>
          <cell r="AA2957">
            <v>526</v>
          </cell>
          <cell r="AB2957">
            <v>460</v>
          </cell>
          <cell r="AC2957">
            <v>534</v>
          </cell>
          <cell r="AD2957">
            <v>556</v>
          </cell>
          <cell r="AE2957">
            <v>271</v>
          </cell>
          <cell r="AF2957">
            <v>283</v>
          </cell>
          <cell r="AG2957">
            <v>239</v>
          </cell>
          <cell r="AH2957">
            <v>260</v>
          </cell>
          <cell r="AI2957">
            <v>237</v>
          </cell>
          <cell r="AJ2957">
            <v>251</v>
          </cell>
        </row>
        <row r="2958">
          <cell r="E2958" t="str">
            <v>SD Commercial Wood</v>
          </cell>
          <cell r="F2958">
            <v>194</v>
          </cell>
          <cell r="G2958">
            <v>203</v>
          </cell>
          <cell r="H2958">
            <v>214</v>
          </cell>
          <cell r="I2958">
            <v>222</v>
          </cell>
          <cell r="J2958">
            <v>212</v>
          </cell>
          <cell r="K2958">
            <v>214</v>
          </cell>
          <cell r="L2958">
            <v>223</v>
          </cell>
          <cell r="M2958">
            <v>215</v>
          </cell>
          <cell r="N2958">
            <v>187</v>
          </cell>
          <cell r="O2958">
            <v>197</v>
          </cell>
          <cell r="P2958">
            <v>211</v>
          </cell>
          <cell r="Q2958">
            <v>220</v>
          </cell>
          <cell r="R2958">
            <v>225</v>
          </cell>
          <cell r="S2958">
            <v>234</v>
          </cell>
          <cell r="T2958">
            <v>229</v>
          </cell>
          <cell r="U2958">
            <v>186</v>
          </cell>
          <cell r="V2958">
            <v>173</v>
          </cell>
          <cell r="W2958">
            <v>183</v>
          </cell>
          <cell r="X2958">
            <v>193</v>
          </cell>
          <cell r="Y2958">
            <v>236</v>
          </cell>
          <cell r="Z2958">
            <v>233</v>
          </cell>
          <cell r="AA2958">
            <v>224</v>
          </cell>
          <cell r="AB2958">
            <v>196</v>
          </cell>
          <cell r="AC2958">
            <v>228</v>
          </cell>
          <cell r="AD2958">
            <v>237</v>
          </cell>
          <cell r="AE2958">
            <v>296</v>
          </cell>
          <cell r="AF2958">
            <v>289</v>
          </cell>
          <cell r="AG2958">
            <v>282</v>
          </cell>
          <cell r="AH2958">
            <v>378</v>
          </cell>
          <cell r="AI2958">
            <v>314</v>
          </cell>
          <cell r="AJ2958">
            <v>297</v>
          </cell>
        </row>
        <row r="2959">
          <cell r="E2959" t="str">
            <v>TN Commercial Wood</v>
          </cell>
          <cell r="F2959">
            <v>2006</v>
          </cell>
          <cell r="G2959">
            <v>2094</v>
          </cell>
          <cell r="H2959">
            <v>2209</v>
          </cell>
          <cell r="I2959">
            <v>2091</v>
          </cell>
          <cell r="J2959">
            <v>2002</v>
          </cell>
          <cell r="K2959">
            <v>2021</v>
          </cell>
          <cell r="L2959">
            <v>2099</v>
          </cell>
          <cell r="M2959">
            <v>1360</v>
          </cell>
          <cell r="N2959">
            <v>1188</v>
          </cell>
          <cell r="O2959">
            <v>1249</v>
          </cell>
          <cell r="P2959">
            <v>1337</v>
          </cell>
          <cell r="Q2959">
            <v>1166</v>
          </cell>
          <cell r="R2959">
            <v>1194</v>
          </cell>
          <cell r="S2959">
            <v>1243</v>
          </cell>
          <cell r="T2959">
            <v>1215</v>
          </cell>
          <cell r="U2959">
            <v>1844</v>
          </cell>
          <cell r="V2959">
            <v>1711</v>
          </cell>
          <cell r="W2959">
            <v>1817</v>
          </cell>
          <cell r="X2959">
            <v>1917</v>
          </cell>
          <cell r="Y2959">
            <v>1083</v>
          </cell>
          <cell r="Z2959">
            <v>1069</v>
          </cell>
          <cell r="AA2959">
            <v>1029</v>
          </cell>
          <cell r="AB2959">
            <v>901</v>
          </cell>
          <cell r="AC2959">
            <v>1045</v>
          </cell>
          <cell r="AD2959">
            <v>1088</v>
          </cell>
          <cell r="AE2959">
            <v>1122</v>
          </cell>
          <cell r="AF2959">
            <v>1206</v>
          </cell>
          <cell r="AG2959">
            <v>993</v>
          </cell>
          <cell r="AH2959">
            <v>1075</v>
          </cell>
          <cell r="AI2959">
            <v>1083</v>
          </cell>
          <cell r="AJ2959">
            <v>1055</v>
          </cell>
        </row>
        <row r="2960">
          <cell r="E2960" t="str">
            <v>TX Commercial Wood</v>
          </cell>
          <cell r="F2960">
            <v>2420</v>
          </cell>
          <cell r="G2960">
            <v>2526</v>
          </cell>
          <cell r="H2960">
            <v>2664</v>
          </cell>
          <cell r="I2960">
            <v>1952</v>
          </cell>
          <cell r="J2960">
            <v>1869</v>
          </cell>
          <cell r="K2960">
            <v>1887</v>
          </cell>
          <cell r="L2960">
            <v>1960</v>
          </cell>
          <cell r="M2960">
            <v>1815</v>
          </cell>
          <cell r="N2960">
            <v>1585</v>
          </cell>
          <cell r="O2960">
            <v>1667</v>
          </cell>
          <cell r="P2960">
            <v>1784</v>
          </cell>
          <cell r="Q2960">
            <v>2069</v>
          </cell>
          <cell r="R2960">
            <v>2119</v>
          </cell>
          <cell r="S2960">
            <v>2206</v>
          </cell>
          <cell r="T2960">
            <v>2156</v>
          </cell>
          <cell r="U2960">
            <v>2937</v>
          </cell>
          <cell r="V2960">
            <v>2725</v>
          </cell>
          <cell r="W2960">
            <v>2895</v>
          </cell>
          <cell r="X2960">
            <v>3054</v>
          </cell>
          <cell r="Y2960">
            <v>1725</v>
          </cell>
          <cell r="Z2960">
            <v>1703</v>
          </cell>
          <cell r="AA2960">
            <v>1639</v>
          </cell>
          <cell r="AB2960">
            <v>1436</v>
          </cell>
          <cell r="AC2960">
            <v>1664</v>
          </cell>
          <cell r="AD2960">
            <v>1734</v>
          </cell>
          <cell r="AE2960">
            <v>415</v>
          </cell>
          <cell r="AF2960">
            <v>366</v>
          </cell>
          <cell r="AG2960">
            <v>295</v>
          </cell>
          <cell r="AH2960">
            <v>391</v>
          </cell>
          <cell r="AI2960">
            <v>388</v>
          </cell>
          <cell r="AJ2960">
            <v>348</v>
          </cell>
        </row>
        <row r="2961">
          <cell r="E2961" t="str">
            <v>US Commercial Wood</v>
          </cell>
          <cell r="F2961">
            <v>65738</v>
          </cell>
          <cell r="G2961">
            <v>68440</v>
          </cell>
          <cell r="H2961">
            <v>72027</v>
          </cell>
          <cell r="I2961">
            <v>75597</v>
          </cell>
          <cell r="J2961">
            <v>71715</v>
          </cell>
          <cell r="K2961">
            <v>72379</v>
          </cell>
          <cell r="L2961">
            <v>75668</v>
          </cell>
          <cell r="M2961">
            <v>73386</v>
          </cell>
          <cell r="N2961">
            <v>64014</v>
          </cell>
          <cell r="O2961">
            <v>66621</v>
          </cell>
          <cell r="P2961">
            <v>71469</v>
          </cell>
          <cell r="Q2961">
            <v>66788</v>
          </cell>
          <cell r="R2961">
            <v>68658</v>
          </cell>
          <cell r="S2961">
            <v>71435</v>
          </cell>
          <cell r="T2961">
            <v>70328</v>
          </cell>
          <cell r="U2961">
            <v>69995</v>
          </cell>
          <cell r="V2961">
            <v>65106</v>
          </cell>
          <cell r="W2961">
            <v>69796</v>
          </cell>
          <cell r="X2961">
            <v>72903</v>
          </cell>
          <cell r="Y2961">
            <v>72595</v>
          </cell>
          <cell r="Z2961">
            <v>71617</v>
          </cell>
          <cell r="AA2961">
            <v>69159</v>
          </cell>
          <cell r="AB2961">
            <v>60683</v>
          </cell>
          <cell r="AC2961">
            <v>70164</v>
          </cell>
          <cell r="AD2961">
            <v>76289</v>
          </cell>
          <cell r="AE2961">
            <v>79288</v>
          </cell>
          <cell r="AF2961">
            <v>83740</v>
          </cell>
          <cell r="AG2961">
            <v>83730</v>
          </cell>
          <cell r="AH2961">
            <v>84073</v>
          </cell>
          <cell r="AI2961">
            <v>84299</v>
          </cell>
          <cell r="AJ2961">
            <v>82950</v>
          </cell>
        </row>
        <row r="2962">
          <cell r="E2962" t="str">
            <v>UT Commercial Wood</v>
          </cell>
          <cell r="F2962">
            <v>324</v>
          </cell>
          <cell r="G2962">
            <v>338</v>
          </cell>
          <cell r="H2962">
            <v>357</v>
          </cell>
          <cell r="I2962">
            <v>424</v>
          </cell>
          <cell r="J2962">
            <v>406</v>
          </cell>
          <cell r="K2962">
            <v>410</v>
          </cell>
          <cell r="L2962">
            <v>426</v>
          </cell>
          <cell r="M2962">
            <v>592</v>
          </cell>
          <cell r="N2962">
            <v>517</v>
          </cell>
          <cell r="O2962">
            <v>543</v>
          </cell>
          <cell r="P2962">
            <v>581</v>
          </cell>
          <cell r="Q2962">
            <v>350</v>
          </cell>
          <cell r="R2962">
            <v>358</v>
          </cell>
          <cell r="S2962">
            <v>373</v>
          </cell>
          <cell r="T2962">
            <v>365</v>
          </cell>
          <cell r="U2962">
            <v>309</v>
          </cell>
          <cell r="V2962">
            <v>287</v>
          </cell>
          <cell r="W2962">
            <v>305</v>
          </cell>
          <cell r="X2962">
            <v>322</v>
          </cell>
          <cell r="Y2962">
            <v>147</v>
          </cell>
          <cell r="Z2962">
            <v>145</v>
          </cell>
          <cell r="AA2962">
            <v>140</v>
          </cell>
          <cell r="AB2962">
            <v>123</v>
          </cell>
          <cell r="AC2962">
            <v>142</v>
          </cell>
          <cell r="AD2962">
            <v>148</v>
          </cell>
          <cell r="AE2962">
            <v>457</v>
          </cell>
          <cell r="AF2962">
            <v>571</v>
          </cell>
          <cell r="AG2962">
            <v>582</v>
          </cell>
          <cell r="AH2962">
            <v>627</v>
          </cell>
          <cell r="AI2962">
            <v>615</v>
          </cell>
          <cell r="AJ2962">
            <v>585</v>
          </cell>
        </row>
        <row r="2963">
          <cell r="E2963" t="str">
            <v>VA Commercial Wood</v>
          </cell>
          <cell r="F2963">
            <v>1133</v>
          </cell>
          <cell r="G2963">
            <v>1182</v>
          </cell>
          <cell r="H2963">
            <v>1247</v>
          </cell>
          <cell r="I2963">
            <v>2210</v>
          </cell>
          <cell r="J2963">
            <v>2116</v>
          </cell>
          <cell r="K2963">
            <v>2136</v>
          </cell>
          <cell r="L2963">
            <v>2219</v>
          </cell>
          <cell r="M2963">
            <v>2065</v>
          </cell>
          <cell r="N2963">
            <v>1803</v>
          </cell>
          <cell r="O2963">
            <v>1896</v>
          </cell>
          <cell r="P2963">
            <v>2029</v>
          </cell>
          <cell r="Q2963">
            <v>1390</v>
          </cell>
          <cell r="R2963">
            <v>1424</v>
          </cell>
          <cell r="S2963">
            <v>1482</v>
          </cell>
          <cell r="T2963">
            <v>1449</v>
          </cell>
          <cell r="U2963">
            <v>2440</v>
          </cell>
          <cell r="V2963">
            <v>2264</v>
          </cell>
          <cell r="W2963">
            <v>2405</v>
          </cell>
          <cell r="X2963">
            <v>2537</v>
          </cell>
          <cell r="Y2963">
            <v>2282</v>
          </cell>
          <cell r="Z2963">
            <v>2253</v>
          </cell>
          <cell r="AA2963">
            <v>2169</v>
          </cell>
          <cell r="AB2963">
            <v>1900</v>
          </cell>
          <cell r="AC2963">
            <v>2202</v>
          </cell>
          <cell r="AD2963">
            <v>2294</v>
          </cell>
          <cell r="AE2963">
            <v>2082</v>
          </cell>
          <cell r="AF2963">
            <v>2258</v>
          </cell>
          <cell r="AG2963">
            <v>2002</v>
          </cell>
          <cell r="AH2963">
            <v>2069</v>
          </cell>
          <cell r="AI2963">
            <v>1764</v>
          </cell>
          <cell r="AJ2963">
            <v>1922</v>
          </cell>
        </row>
        <row r="2964">
          <cell r="E2964" t="str">
            <v>VT Commercial Wood</v>
          </cell>
          <cell r="F2964">
            <v>217</v>
          </cell>
          <cell r="G2964">
            <v>226</v>
          </cell>
          <cell r="H2964">
            <v>239</v>
          </cell>
          <cell r="I2964">
            <v>307</v>
          </cell>
          <cell r="J2964">
            <v>294</v>
          </cell>
          <cell r="K2964">
            <v>297</v>
          </cell>
          <cell r="L2964">
            <v>309</v>
          </cell>
          <cell r="M2964">
            <v>273</v>
          </cell>
          <cell r="N2964">
            <v>238</v>
          </cell>
          <cell r="O2964">
            <v>250</v>
          </cell>
          <cell r="P2964">
            <v>268</v>
          </cell>
          <cell r="Q2964">
            <v>228</v>
          </cell>
          <cell r="R2964">
            <v>234</v>
          </cell>
          <cell r="S2964">
            <v>243</v>
          </cell>
          <cell r="T2964">
            <v>238</v>
          </cell>
          <cell r="U2964">
            <v>628</v>
          </cell>
          <cell r="V2964">
            <v>583</v>
          </cell>
          <cell r="W2964">
            <v>619</v>
          </cell>
          <cell r="X2964">
            <v>653</v>
          </cell>
          <cell r="Y2964">
            <v>1207</v>
          </cell>
          <cell r="Z2964">
            <v>1191</v>
          </cell>
          <cell r="AA2964">
            <v>1306</v>
          </cell>
          <cell r="AB2964">
            <v>1195</v>
          </cell>
          <cell r="AC2964">
            <v>1359</v>
          </cell>
          <cell r="AD2964">
            <v>1424</v>
          </cell>
          <cell r="AE2964">
            <v>2347</v>
          </cell>
          <cell r="AF2964">
            <v>2345</v>
          </cell>
          <cell r="AG2964">
            <v>2429</v>
          </cell>
          <cell r="AH2964">
            <v>2513</v>
          </cell>
          <cell r="AI2964">
            <v>2281</v>
          </cell>
          <cell r="AJ2964">
            <v>2283</v>
          </cell>
        </row>
        <row r="2965">
          <cell r="E2965" t="str">
            <v>WA Commercial Wood</v>
          </cell>
          <cell r="F2965">
            <v>1453</v>
          </cell>
          <cell r="G2965">
            <v>1517</v>
          </cell>
          <cell r="H2965">
            <v>1600</v>
          </cell>
          <cell r="I2965">
            <v>2421</v>
          </cell>
          <cell r="J2965">
            <v>2318</v>
          </cell>
          <cell r="K2965">
            <v>2340</v>
          </cell>
          <cell r="L2965">
            <v>2431</v>
          </cell>
          <cell r="M2965">
            <v>2504</v>
          </cell>
          <cell r="N2965">
            <v>2187</v>
          </cell>
          <cell r="O2965">
            <v>2300</v>
          </cell>
          <cell r="P2965">
            <v>2461</v>
          </cell>
          <cell r="Q2965">
            <v>4186</v>
          </cell>
          <cell r="R2965">
            <v>4287</v>
          </cell>
          <cell r="S2965">
            <v>4463</v>
          </cell>
          <cell r="T2965">
            <v>4363</v>
          </cell>
          <cell r="U2965">
            <v>1820</v>
          </cell>
          <cell r="V2965">
            <v>1689</v>
          </cell>
          <cell r="W2965">
            <v>1794</v>
          </cell>
          <cell r="X2965">
            <v>1893</v>
          </cell>
          <cell r="Y2965">
            <v>2478</v>
          </cell>
          <cell r="Z2965">
            <v>2447</v>
          </cell>
          <cell r="AA2965">
            <v>2355</v>
          </cell>
          <cell r="AB2965">
            <v>2063</v>
          </cell>
          <cell r="AC2965">
            <v>2391</v>
          </cell>
          <cell r="AD2965">
            <v>2491</v>
          </cell>
          <cell r="AE2965">
            <v>3373</v>
          </cell>
          <cell r="AF2965">
            <v>4461</v>
          </cell>
          <cell r="AG2965">
            <v>4778</v>
          </cell>
          <cell r="AH2965">
            <v>4189</v>
          </cell>
          <cell r="AI2965">
            <v>4582</v>
          </cell>
          <cell r="AJ2965">
            <v>4520</v>
          </cell>
        </row>
        <row r="2966">
          <cell r="E2966" t="str">
            <v>WI Commercial Wood</v>
          </cell>
          <cell r="F2966">
            <v>1631</v>
          </cell>
          <cell r="G2966">
            <v>1674</v>
          </cell>
          <cell r="H2966">
            <v>1793</v>
          </cell>
          <cell r="I2966">
            <v>1157</v>
          </cell>
          <cell r="J2966">
            <v>1103</v>
          </cell>
          <cell r="K2966">
            <v>1110</v>
          </cell>
          <cell r="L2966">
            <v>1538</v>
          </cell>
          <cell r="M2966">
            <v>1225</v>
          </cell>
          <cell r="N2966">
            <v>1100</v>
          </cell>
          <cell r="O2966">
            <v>908</v>
          </cell>
          <cell r="P2966">
            <v>904</v>
          </cell>
          <cell r="Q2966">
            <v>1328</v>
          </cell>
          <cell r="R2966">
            <v>1357</v>
          </cell>
          <cell r="S2966">
            <v>1496</v>
          </cell>
          <cell r="T2966">
            <v>1439</v>
          </cell>
          <cell r="U2966">
            <v>4048</v>
          </cell>
          <cell r="V2966">
            <v>3766</v>
          </cell>
          <cell r="W2966">
            <v>3996</v>
          </cell>
          <cell r="X2966">
            <v>4170</v>
          </cell>
          <cell r="Y2966">
            <v>2877</v>
          </cell>
          <cell r="Z2966">
            <v>2870</v>
          </cell>
          <cell r="AA2966">
            <v>2752</v>
          </cell>
          <cell r="AB2966">
            <v>2395</v>
          </cell>
          <cell r="AC2966">
            <v>2789</v>
          </cell>
          <cell r="AD2966">
            <v>2894</v>
          </cell>
          <cell r="AE2966">
            <v>4288</v>
          </cell>
          <cell r="AF2966">
            <v>4449</v>
          </cell>
          <cell r="AG2966">
            <v>4493</v>
          </cell>
          <cell r="AH2966">
            <v>4465</v>
          </cell>
          <cell r="AI2966">
            <v>4214</v>
          </cell>
          <cell r="AJ2966">
            <v>4381</v>
          </cell>
        </row>
        <row r="2967">
          <cell r="E2967" t="str">
            <v>WV Commercial Wood</v>
          </cell>
          <cell r="F2967">
            <v>354</v>
          </cell>
          <cell r="G2967">
            <v>370</v>
          </cell>
          <cell r="H2967">
            <v>390</v>
          </cell>
          <cell r="I2967">
            <v>659</v>
          </cell>
          <cell r="J2967">
            <v>631</v>
          </cell>
          <cell r="K2967">
            <v>637</v>
          </cell>
          <cell r="L2967">
            <v>661</v>
          </cell>
          <cell r="M2967">
            <v>585</v>
          </cell>
          <cell r="N2967">
            <v>511</v>
          </cell>
          <cell r="O2967">
            <v>537</v>
          </cell>
          <cell r="P2967">
            <v>575</v>
          </cell>
          <cell r="Q2967">
            <v>399</v>
          </cell>
          <cell r="R2967">
            <v>409</v>
          </cell>
          <cell r="S2967">
            <v>426</v>
          </cell>
          <cell r="T2967">
            <v>416</v>
          </cell>
          <cell r="U2967">
            <v>1493</v>
          </cell>
          <cell r="V2967">
            <v>1385</v>
          </cell>
          <cell r="W2967">
            <v>1471</v>
          </cell>
          <cell r="X2967">
            <v>1552</v>
          </cell>
          <cell r="Y2967">
            <v>2530</v>
          </cell>
          <cell r="Z2967">
            <v>2498</v>
          </cell>
          <cell r="AA2967">
            <v>2404</v>
          </cell>
          <cell r="AB2967">
            <v>2106</v>
          </cell>
          <cell r="AC2967">
            <v>2441</v>
          </cell>
          <cell r="AD2967">
            <v>2543</v>
          </cell>
          <cell r="AE2967">
            <v>1392</v>
          </cell>
          <cell r="AF2967">
            <v>1511</v>
          </cell>
          <cell r="AG2967">
            <v>1505</v>
          </cell>
          <cell r="AH2967">
            <v>1458</v>
          </cell>
          <cell r="AI2967">
            <v>1378</v>
          </cell>
          <cell r="AJ2967">
            <v>1431</v>
          </cell>
        </row>
        <row r="2968">
          <cell r="E2968" t="str">
            <v>WY Commercial Wood</v>
          </cell>
          <cell r="F2968">
            <v>110</v>
          </cell>
          <cell r="G2968">
            <v>115</v>
          </cell>
          <cell r="H2968">
            <v>121</v>
          </cell>
          <cell r="I2968">
            <v>137</v>
          </cell>
          <cell r="J2968">
            <v>131</v>
          </cell>
          <cell r="K2968">
            <v>132</v>
          </cell>
          <cell r="L2968">
            <v>137</v>
          </cell>
          <cell r="M2968">
            <v>176</v>
          </cell>
          <cell r="N2968">
            <v>154</v>
          </cell>
          <cell r="O2968">
            <v>162</v>
          </cell>
          <cell r="P2968">
            <v>173</v>
          </cell>
          <cell r="Q2968">
            <v>100</v>
          </cell>
          <cell r="R2968">
            <v>102</v>
          </cell>
          <cell r="S2968">
            <v>107</v>
          </cell>
          <cell r="T2968">
            <v>104</v>
          </cell>
          <cell r="U2968">
            <v>312</v>
          </cell>
          <cell r="V2968">
            <v>290</v>
          </cell>
          <cell r="W2968">
            <v>308</v>
          </cell>
          <cell r="X2968">
            <v>325</v>
          </cell>
          <cell r="Y2968">
            <v>159</v>
          </cell>
          <cell r="Z2968">
            <v>157</v>
          </cell>
          <cell r="AA2968">
            <v>151</v>
          </cell>
          <cell r="AB2968">
            <v>133</v>
          </cell>
          <cell r="AC2968">
            <v>154</v>
          </cell>
          <cell r="AD2968">
            <v>160</v>
          </cell>
          <cell r="AE2968">
            <v>612</v>
          </cell>
          <cell r="AF2968">
            <v>638</v>
          </cell>
          <cell r="AG2968">
            <v>769</v>
          </cell>
          <cell r="AH2968">
            <v>632</v>
          </cell>
          <cell r="AI2968">
            <v>616</v>
          </cell>
          <cell r="AJ2968">
            <v>708</v>
          </cell>
        </row>
        <row r="2969">
          <cell r="E2969" t="str">
            <v>AK Electric Power Wood</v>
          </cell>
          <cell r="F2969">
            <v>0</v>
          </cell>
          <cell r="G2969">
            <v>0</v>
          </cell>
          <cell r="H2969">
            <v>0</v>
          </cell>
          <cell r="I2969">
            <v>0</v>
          </cell>
          <cell r="J2969">
            <v>0</v>
          </cell>
          <cell r="K2969">
            <v>0</v>
          </cell>
          <cell r="L2969">
            <v>0</v>
          </cell>
          <cell r="M2969">
            <v>0</v>
          </cell>
          <cell r="N2969">
            <v>22</v>
          </cell>
          <cell r="O2969">
            <v>0</v>
          </cell>
          <cell r="P2969">
            <v>0</v>
          </cell>
          <cell r="Q2969">
            <v>0</v>
          </cell>
          <cell r="R2969">
            <v>36</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row>
        <row r="2970">
          <cell r="E2970" t="str">
            <v>AL Electric Power Wood</v>
          </cell>
          <cell r="F2970">
            <v>25494</v>
          </cell>
          <cell r="G2970">
            <v>25552</v>
          </cell>
          <cell r="H2970">
            <v>24344</v>
          </cell>
          <cell r="I2970">
            <v>24515</v>
          </cell>
          <cell r="J2970">
            <v>23137</v>
          </cell>
          <cell r="K2970">
            <v>20535</v>
          </cell>
          <cell r="L2970">
            <v>20059</v>
          </cell>
          <cell r="M2970">
            <v>18525</v>
          </cell>
          <cell r="N2970">
            <v>18177</v>
          </cell>
          <cell r="O2970">
            <v>12184</v>
          </cell>
          <cell r="P2970">
            <v>3264</v>
          </cell>
          <cell r="Q2970">
            <v>3529</v>
          </cell>
          <cell r="R2970">
            <v>3103</v>
          </cell>
          <cell r="S2970">
            <v>3033</v>
          </cell>
          <cell r="T2970">
            <v>3211</v>
          </cell>
          <cell r="U2970">
            <v>3371</v>
          </cell>
          <cell r="V2970">
            <v>3654</v>
          </cell>
          <cell r="W2970">
            <v>3665</v>
          </cell>
          <cell r="X2970">
            <v>3535</v>
          </cell>
          <cell r="Y2970">
            <v>4839</v>
          </cell>
          <cell r="Z2970">
            <v>5195</v>
          </cell>
          <cell r="AA2970">
            <v>4583</v>
          </cell>
          <cell r="AB2970">
            <v>3768</v>
          </cell>
          <cell r="AC2970">
            <v>3980</v>
          </cell>
          <cell r="AD2970">
            <v>4556</v>
          </cell>
          <cell r="AE2970">
            <v>4035</v>
          </cell>
          <cell r="AF2970">
            <v>4263</v>
          </cell>
          <cell r="AG2970">
            <v>4181</v>
          </cell>
          <cell r="AH2970">
            <v>2972</v>
          </cell>
          <cell r="AI2970">
            <v>0</v>
          </cell>
          <cell r="AJ2970">
            <v>0</v>
          </cell>
        </row>
        <row r="2971">
          <cell r="E2971" t="str">
            <v>AR Electric Power Wood</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row>
        <row r="2972">
          <cell r="E2972" t="str">
            <v>AZ Electric Power Wood</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289</v>
          </cell>
          <cell r="V2972">
            <v>198</v>
          </cell>
          <cell r="W2972">
            <v>0</v>
          </cell>
          <cell r="X2972">
            <v>1463</v>
          </cell>
          <cell r="Y2972">
            <v>1524</v>
          </cell>
          <cell r="Z2972">
            <v>1675</v>
          </cell>
          <cell r="AA2972">
            <v>1812</v>
          </cell>
          <cell r="AB2972">
            <v>2136</v>
          </cell>
          <cell r="AC2972">
            <v>1597</v>
          </cell>
          <cell r="AD2972">
            <v>2823</v>
          </cell>
          <cell r="AE2972">
            <v>3275</v>
          </cell>
          <cell r="AF2972">
            <v>3429</v>
          </cell>
          <cell r="AG2972">
            <v>2600</v>
          </cell>
          <cell r="AH2972">
            <v>3037</v>
          </cell>
          <cell r="AI2972">
            <v>3403</v>
          </cell>
          <cell r="AJ2972">
            <v>3325</v>
          </cell>
        </row>
        <row r="2973">
          <cell r="E2973" t="str">
            <v>CA Electric Power Wood</v>
          </cell>
          <cell r="F2973">
            <v>42109</v>
          </cell>
          <cell r="G2973">
            <v>36430</v>
          </cell>
          <cell r="H2973">
            <v>40771</v>
          </cell>
          <cell r="I2973">
            <v>38854</v>
          </cell>
          <cell r="J2973">
            <v>46501</v>
          </cell>
          <cell r="K2973">
            <v>28130</v>
          </cell>
          <cell r="L2973">
            <v>32675</v>
          </cell>
          <cell r="M2973">
            <v>33228</v>
          </cell>
          <cell r="N2973">
            <v>34801</v>
          </cell>
          <cell r="O2973">
            <v>39182</v>
          </cell>
          <cell r="P2973">
            <v>39474</v>
          </cell>
          <cell r="Q2973">
            <v>34111</v>
          </cell>
          <cell r="R2973">
            <v>45474</v>
          </cell>
          <cell r="S2973">
            <v>48470</v>
          </cell>
          <cell r="T2973">
            <v>47567</v>
          </cell>
          <cell r="U2973">
            <v>49125</v>
          </cell>
          <cell r="V2973">
            <v>48899</v>
          </cell>
          <cell r="W2973">
            <v>45229</v>
          </cell>
          <cell r="X2973">
            <v>46652</v>
          </cell>
          <cell r="Y2973">
            <v>49778</v>
          </cell>
          <cell r="Z2973">
            <v>51036</v>
          </cell>
          <cell r="AA2973">
            <v>46859</v>
          </cell>
          <cell r="AB2973">
            <v>53082</v>
          </cell>
          <cell r="AC2973">
            <v>50232</v>
          </cell>
          <cell r="AD2973">
            <v>53281</v>
          </cell>
          <cell r="AE2973">
            <v>50496</v>
          </cell>
          <cell r="AF2973">
            <v>40211</v>
          </cell>
          <cell r="AG2973">
            <v>40347</v>
          </cell>
          <cell r="AH2973">
            <v>41271</v>
          </cell>
          <cell r="AI2973">
            <v>43026</v>
          </cell>
          <cell r="AJ2973">
            <v>38432</v>
          </cell>
        </row>
        <row r="2974">
          <cell r="E2974" t="str">
            <v>CO Electric Power Wood</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1</v>
          </cell>
          <cell r="U2974">
            <v>8</v>
          </cell>
          <cell r="V2974">
            <v>0</v>
          </cell>
          <cell r="W2974">
            <v>0</v>
          </cell>
          <cell r="X2974">
            <v>2</v>
          </cell>
          <cell r="Y2974">
            <v>5</v>
          </cell>
          <cell r="Z2974">
            <v>29</v>
          </cell>
          <cell r="AA2974">
            <v>2</v>
          </cell>
          <cell r="AB2974">
            <v>3</v>
          </cell>
          <cell r="AC2974">
            <v>25</v>
          </cell>
          <cell r="AD2974">
            <v>730</v>
          </cell>
          <cell r="AE2974">
            <v>21</v>
          </cell>
          <cell r="AF2974">
            <v>1244</v>
          </cell>
          <cell r="AG2974">
            <v>1326</v>
          </cell>
          <cell r="AH2974">
            <v>1240</v>
          </cell>
          <cell r="AI2974">
            <v>1267</v>
          </cell>
          <cell r="AJ2974">
            <v>1356</v>
          </cell>
        </row>
        <row r="2975">
          <cell r="E2975" t="str">
            <v>CT Electric Power Wood</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102</v>
          </cell>
          <cell r="U2975">
            <v>138</v>
          </cell>
          <cell r="V2975">
            <v>165</v>
          </cell>
          <cell r="W2975">
            <v>41</v>
          </cell>
          <cell r="X2975">
            <v>42</v>
          </cell>
          <cell r="Y2975">
            <v>17</v>
          </cell>
          <cell r="Z2975">
            <v>13</v>
          </cell>
          <cell r="AA2975">
            <v>26</v>
          </cell>
          <cell r="AB2975">
            <v>23</v>
          </cell>
          <cell r="AC2975">
            <v>41</v>
          </cell>
          <cell r="AD2975">
            <v>1627</v>
          </cell>
          <cell r="AE2975">
            <v>2790</v>
          </cell>
          <cell r="AF2975">
            <v>4492</v>
          </cell>
          <cell r="AG2975">
            <v>2534</v>
          </cell>
          <cell r="AH2975">
            <v>3154</v>
          </cell>
          <cell r="AI2975">
            <v>3157</v>
          </cell>
          <cell r="AJ2975">
            <v>3478</v>
          </cell>
        </row>
        <row r="2976">
          <cell r="E2976" t="str">
            <v>DC Electric Power Wood</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row>
        <row r="2977">
          <cell r="E2977" t="str">
            <v>DE Electric Power Wood</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row>
        <row r="2978">
          <cell r="E2978" t="str">
            <v>FL Electric Power Wood</v>
          </cell>
          <cell r="F2978">
            <v>3010</v>
          </cell>
          <cell r="G2978">
            <v>3145</v>
          </cell>
          <cell r="H2978">
            <v>2571</v>
          </cell>
          <cell r="I2978">
            <v>2792</v>
          </cell>
          <cell r="J2978">
            <v>3265</v>
          </cell>
          <cell r="K2978">
            <v>5687</v>
          </cell>
          <cell r="L2978">
            <v>9896</v>
          </cell>
          <cell r="M2978">
            <v>12132</v>
          </cell>
          <cell r="N2978">
            <v>7502</v>
          </cell>
          <cell r="O2978">
            <v>9718</v>
          </cell>
          <cell r="P2978">
            <v>7818</v>
          </cell>
          <cell r="Q2978">
            <v>2910</v>
          </cell>
          <cell r="R2978">
            <v>7586</v>
          </cell>
          <cell r="S2978">
            <v>11433</v>
          </cell>
          <cell r="T2978">
            <v>10368</v>
          </cell>
          <cell r="U2978">
            <v>10968</v>
          </cell>
          <cell r="V2978">
            <v>9944</v>
          </cell>
          <cell r="W2978">
            <v>9713</v>
          </cell>
          <cell r="X2978">
            <v>9589</v>
          </cell>
          <cell r="Y2978">
            <v>10082</v>
          </cell>
          <cell r="Z2978">
            <v>11081</v>
          </cell>
          <cell r="AA2978">
            <v>11451</v>
          </cell>
          <cell r="AB2978">
            <v>10374</v>
          </cell>
          <cell r="AC2978">
            <v>10265</v>
          </cell>
          <cell r="AD2978">
            <v>18449</v>
          </cell>
          <cell r="AE2978">
            <v>14634</v>
          </cell>
          <cell r="AF2978">
            <v>8204</v>
          </cell>
          <cell r="AG2978">
            <v>11892</v>
          </cell>
          <cell r="AH2978">
            <v>14079</v>
          </cell>
          <cell r="AI2978">
            <v>10625</v>
          </cell>
          <cell r="AJ2978">
            <v>6346</v>
          </cell>
        </row>
        <row r="2979">
          <cell r="E2979" t="str">
            <v>GA Electric Power Wood</v>
          </cell>
          <cell r="F2979">
            <v>0</v>
          </cell>
          <cell r="G2979">
            <v>0</v>
          </cell>
          <cell r="H2979">
            <v>0</v>
          </cell>
          <cell r="I2979">
            <v>0</v>
          </cell>
          <cell r="J2979">
            <v>0</v>
          </cell>
          <cell r="K2979">
            <v>0</v>
          </cell>
          <cell r="L2979">
            <v>0</v>
          </cell>
          <cell r="M2979">
            <v>1175</v>
          </cell>
          <cell r="N2979">
            <v>0</v>
          </cell>
          <cell r="O2979">
            <v>0</v>
          </cell>
          <cell r="P2979">
            <v>0</v>
          </cell>
          <cell r="Q2979">
            <v>0</v>
          </cell>
          <cell r="R2979">
            <v>0</v>
          </cell>
          <cell r="S2979">
            <v>0</v>
          </cell>
          <cell r="T2979">
            <v>0</v>
          </cell>
          <cell r="U2979">
            <v>0</v>
          </cell>
          <cell r="V2979">
            <v>0</v>
          </cell>
          <cell r="W2979">
            <v>0</v>
          </cell>
          <cell r="X2979">
            <v>0</v>
          </cell>
          <cell r="Y2979">
            <v>0</v>
          </cell>
          <cell r="Z2979">
            <v>2588</v>
          </cell>
          <cell r="AA2979">
            <v>2186</v>
          </cell>
          <cell r="AB2979">
            <v>2398</v>
          </cell>
          <cell r="AC2979">
            <v>5958</v>
          </cell>
          <cell r="AD2979">
            <v>6950</v>
          </cell>
          <cell r="AE2979">
            <v>7234</v>
          </cell>
          <cell r="AF2979">
            <v>7285</v>
          </cell>
          <cell r="AG2979">
            <v>10097</v>
          </cell>
          <cell r="AH2979">
            <v>8093</v>
          </cell>
          <cell r="AI2979">
            <v>11629</v>
          </cell>
          <cell r="AJ2979">
            <v>20340</v>
          </cell>
        </row>
        <row r="2980">
          <cell r="E2980" t="str">
            <v>HI Electric Power Wood</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row>
        <row r="2981">
          <cell r="E2981" t="str">
            <v>IA Electric Power Wood</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1</v>
          </cell>
          <cell r="Y2981">
            <v>3</v>
          </cell>
          <cell r="Z2981">
            <v>0</v>
          </cell>
          <cell r="AA2981">
            <v>0</v>
          </cell>
          <cell r="AB2981">
            <v>0</v>
          </cell>
          <cell r="AC2981">
            <v>0</v>
          </cell>
          <cell r="AD2981">
            <v>0</v>
          </cell>
          <cell r="AE2981">
            <v>0</v>
          </cell>
          <cell r="AF2981">
            <v>0</v>
          </cell>
          <cell r="AG2981">
            <v>0</v>
          </cell>
          <cell r="AH2981">
            <v>0</v>
          </cell>
          <cell r="AI2981">
            <v>0</v>
          </cell>
          <cell r="AJ2981">
            <v>0</v>
          </cell>
        </row>
        <row r="2982">
          <cell r="E2982" t="str">
            <v>ID Electric Power Wood</v>
          </cell>
          <cell r="F2982">
            <v>1193</v>
          </cell>
          <cell r="G2982">
            <v>1242</v>
          </cell>
          <cell r="H2982">
            <v>1207</v>
          </cell>
          <cell r="I2982">
            <v>1388</v>
          </cell>
          <cell r="J2982">
            <v>1390</v>
          </cell>
          <cell r="K2982">
            <v>1325</v>
          </cell>
          <cell r="L2982">
            <v>1208</v>
          </cell>
          <cell r="M2982">
            <v>1269</v>
          </cell>
          <cell r="N2982">
            <v>1296</v>
          </cell>
          <cell r="O2982">
            <v>715</v>
          </cell>
          <cell r="P2982">
            <v>694</v>
          </cell>
          <cell r="Q2982">
            <v>721</v>
          </cell>
          <cell r="R2982">
            <v>1274</v>
          </cell>
          <cell r="S2982">
            <v>1447</v>
          </cell>
          <cell r="T2982">
            <v>1430</v>
          </cell>
          <cell r="U2982">
            <v>1515</v>
          </cell>
          <cell r="V2982">
            <v>1496</v>
          </cell>
          <cell r="W2982">
            <v>1399</v>
          </cell>
          <cell r="X2982">
            <v>1279</v>
          </cell>
          <cell r="Y2982">
            <v>1533</v>
          </cell>
          <cell r="Z2982">
            <v>1450</v>
          </cell>
          <cell r="AA2982">
            <v>1416</v>
          </cell>
          <cell r="AB2982">
            <v>1526</v>
          </cell>
          <cell r="AC2982">
            <v>1540</v>
          </cell>
          <cell r="AD2982">
            <v>1408</v>
          </cell>
          <cell r="AE2982">
            <v>1247</v>
          </cell>
          <cell r="AF2982">
            <v>1345</v>
          </cell>
          <cell r="AG2982">
            <v>1316</v>
          </cell>
          <cell r="AH2982">
            <v>1360</v>
          </cell>
          <cell r="AI2982">
            <v>1334</v>
          </cell>
          <cell r="AJ2982">
            <v>1321</v>
          </cell>
        </row>
        <row r="2983">
          <cell r="E2983" t="str">
            <v>IL Electric Power Wood</v>
          </cell>
          <cell r="F2983">
            <v>0</v>
          </cell>
          <cell r="G2983">
            <v>0</v>
          </cell>
          <cell r="H2983">
            <v>0</v>
          </cell>
          <cell r="I2983">
            <v>0</v>
          </cell>
          <cell r="J2983">
            <v>0</v>
          </cell>
          <cell r="K2983">
            <v>9</v>
          </cell>
          <cell r="L2983">
            <v>2</v>
          </cell>
          <cell r="M2983">
            <v>8</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row>
        <row r="2984">
          <cell r="E2984" t="str">
            <v>IN Electric Power Wood</v>
          </cell>
          <cell r="F2984">
            <v>0</v>
          </cell>
          <cell r="G2984">
            <v>0</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row>
        <row r="2985">
          <cell r="E2985" t="str">
            <v>KS Electric Power Wood</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row>
        <row r="2986">
          <cell r="E2986" t="str">
            <v>KY Electric Power Wood</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row>
        <row r="2987">
          <cell r="E2987" t="str">
            <v>LA Electric Power Wood</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row>
        <row r="2988">
          <cell r="E2988" t="str">
            <v>MA Electric Power Wood</v>
          </cell>
          <cell r="F2988">
            <v>0</v>
          </cell>
          <cell r="G2988">
            <v>0</v>
          </cell>
          <cell r="H2988">
            <v>1243</v>
          </cell>
          <cell r="I2988">
            <v>1366</v>
          </cell>
          <cell r="J2988">
            <v>1585</v>
          </cell>
          <cell r="K2988">
            <v>1754</v>
          </cell>
          <cell r="L2988">
            <v>1805</v>
          </cell>
          <cell r="M2988">
            <v>1847</v>
          </cell>
          <cell r="N2988">
            <v>2504</v>
          </cell>
          <cell r="O2988">
            <v>1390</v>
          </cell>
          <cell r="P2988">
            <v>1708</v>
          </cell>
          <cell r="Q2988">
            <v>1693</v>
          </cell>
          <cell r="R2988">
            <v>1544</v>
          </cell>
          <cell r="S2988">
            <v>1888</v>
          </cell>
          <cell r="T2988">
            <v>1774</v>
          </cell>
          <cell r="U2988">
            <v>1876</v>
          </cell>
          <cell r="V2988">
            <v>1894</v>
          </cell>
          <cell r="W2988">
            <v>1784</v>
          </cell>
          <cell r="X2988">
            <v>1834</v>
          </cell>
          <cell r="Y2988">
            <v>1647</v>
          </cell>
          <cell r="Z2988">
            <v>1505</v>
          </cell>
          <cell r="AA2988">
            <v>1546</v>
          </cell>
          <cell r="AB2988">
            <v>1531</v>
          </cell>
          <cell r="AC2988">
            <v>1367</v>
          </cell>
          <cell r="AD2988">
            <v>2295</v>
          </cell>
          <cell r="AE2988">
            <v>2030</v>
          </cell>
          <cell r="AF2988">
            <v>2261</v>
          </cell>
          <cell r="AG2988">
            <v>2279</v>
          </cell>
          <cell r="AH2988">
            <v>1988</v>
          </cell>
          <cell r="AI2988">
            <v>1833</v>
          </cell>
          <cell r="AJ2988">
            <v>2086</v>
          </cell>
        </row>
        <row r="2989">
          <cell r="E2989" t="str">
            <v>MD Electric Power Wood</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21</v>
          </cell>
          <cell r="AB2989">
            <v>0</v>
          </cell>
          <cell r="AC2989">
            <v>0</v>
          </cell>
          <cell r="AD2989">
            <v>0</v>
          </cell>
          <cell r="AE2989">
            <v>0</v>
          </cell>
          <cell r="AF2989">
            <v>0</v>
          </cell>
          <cell r="AG2989">
            <v>0</v>
          </cell>
          <cell r="AH2989">
            <v>0</v>
          </cell>
          <cell r="AI2989">
            <v>0</v>
          </cell>
          <cell r="AJ2989">
            <v>0</v>
          </cell>
        </row>
        <row r="2990">
          <cell r="E2990" t="str">
            <v>ME Electric Power Wood</v>
          </cell>
          <cell r="F2990">
            <v>19040</v>
          </cell>
          <cell r="G2990">
            <v>19237</v>
          </cell>
          <cell r="H2990">
            <v>23152</v>
          </cell>
          <cell r="I2990">
            <v>27474</v>
          </cell>
          <cell r="J2990">
            <v>20050</v>
          </cell>
          <cell r="K2990">
            <v>14001</v>
          </cell>
          <cell r="L2990">
            <v>14815</v>
          </cell>
          <cell r="M2990">
            <v>14213</v>
          </cell>
          <cell r="N2990">
            <v>17092</v>
          </cell>
          <cell r="O2990">
            <v>19891</v>
          </cell>
          <cell r="P2990">
            <v>21136</v>
          </cell>
          <cell r="Q2990">
            <v>28754</v>
          </cell>
          <cell r="R2990">
            <v>28063</v>
          </cell>
          <cell r="S2990">
            <v>28531</v>
          </cell>
          <cell r="T2990">
            <v>29083</v>
          </cell>
          <cell r="U2990">
            <v>39682</v>
          </cell>
          <cell r="V2990">
            <v>38333</v>
          </cell>
          <cell r="W2990">
            <v>38345</v>
          </cell>
          <cell r="X2990">
            <v>31666</v>
          </cell>
          <cell r="Y2990">
            <v>27548</v>
          </cell>
          <cell r="Z2990">
            <v>29623</v>
          </cell>
          <cell r="AA2990">
            <v>25574</v>
          </cell>
          <cell r="AB2990">
            <v>24108</v>
          </cell>
          <cell r="AC2990">
            <v>25906</v>
          </cell>
          <cell r="AD2990">
            <v>26591</v>
          </cell>
          <cell r="AE2990">
            <v>29626</v>
          </cell>
          <cell r="AF2990">
            <v>26600</v>
          </cell>
          <cell r="AG2990">
            <v>27170</v>
          </cell>
          <cell r="AH2990">
            <v>25665</v>
          </cell>
          <cell r="AI2990">
            <v>19124</v>
          </cell>
          <cell r="AJ2990">
            <v>20899</v>
          </cell>
        </row>
        <row r="2991">
          <cell r="E2991" t="str">
            <v>MI Electric Power Wood</v>
          </cell>
          <cell r="F2991">
            <v>6372</v>
          </cell>
          <cell r="G2991">
            <v>6372</v>
          </cell>
          <cell r="H2991">
            <v>7100</v>
          </cell>
          <cell r="I2991">
            <v>11678</v>
          </cell>
          <cell r="J2991">
            <v>12855</v>
          </cell>
          <cell r="K2991">
            <v>13812</v>
          </cell>
          <cell r="L2991">
            <v>15831</v>
          </cell>
          <cell r="M2991">
            <v>14170</v>
          </cell>
          <cell r="N2991">
            <v>14145</v>
          </cell>
          <cell r="O2991">
            <v>14087</v>
          </cell>
          <cell r="P2991">
            <v>14781</v>
          </cell>
          <cell r="Q2991">
            <v>16423</v>
          </cell>
          <cell r="R2991">
            <v>16133</v>
          </cell>
          <cell r="S2991">
            <v>16647</v>
          </cell>
          <cell r="T2991">
            <v>17992</v>
          </cell>
          <cell r="U2991">
            <v>15648</v>
          </cell>
          <cell r="V2991">
            <v>15720</v>
          </cell>
          <cell r="W2991">
            <v>14576</v>
          </cell>
          <cell r="X2991">
            <v>13531</v>
          </cell>
          <cell r="Y2991">
            <v>12819</v>
          </cell>
          <cell r="Z2991">
            <v>14301</v>
          </cell>
          <cell r="AA2991">
            <v>14426</v>
          </cell>
          <cell r="AB2991">
            <v>12842</v>
          </cell>
          <cell r="AC2991">
            <v>12648</v>
          </cell>
          <cell r="AD2991">
            <v>13994</v>
          </cell>
          <cell r="AE2991">
            <v>11161</v>
          </cell>
          <cell r="AF2991">
            <v>11712</v>
          </cell>
          <cell r="AG2991">
            <v>12250</v>
          </cell>
          <cell r="AH2991">
            <v>12291</v>
          </cell>
          <cell r="AI2991">
            <v>11300</v>
          </cell>
          <cell r="AJ2991">
            <v>7906</v>
          </cell>
        </row>
        <row r="2992">
          <cell r="E2992" t="str">
            <v>MN Electric Power Wood</v>
          </cell>
          <cell r="F2992">
            <v>1536</v>
          </cell>
          <cell r="G2992">
            <v>1476</v>
          </cell>
          <cell r="H2992">
            <v>1509</v>
          </cell>
          <cell r="I2992">
            <v>1425</v>
          </cell>
          <cell r="J2992">
            <v>395</v>
          </cell>
          <cell r="K2992">
            <v>223</v>
          </cell>
          <cell r="L2992">
            <v>273</v>
          </cell>
          <cell r="M2992">
            <v>40</v>
          </cell>
          <cell r="N2992">
            <v>0</v>
          </cell>
          <cell r="O2992">
            <v>0</v>
          </cell>
          <cell r="P2992">
            <v>0</v>
          </cell>
          <cell r="Q2992">
            <v>0</v>
          </cell>
          <cell r="R2992">
            <v>0</v>
          </cell>
          <cell r="S2992">
            <v>2769</v>
          </cell>
          <cell r="T2992">
            <v>2420</v>
          </cell>
          <cell r="U2992">
            <v>2234</v>
          </cell>
          <cell r="V2992">
            <v>2076</v>
          </cell>
          <cell r="W2992">
            <v>7921</v>
          </cell>
          <cell r="X2992">
            <v>5507</v>
          </cell>
          <cell r="Y2992">
            <v>6487</v>
          </cell>
          <cell r="Z2992">
            <v>9110</v>
          </cell>
          <cell r="AA2992">
            <v>5581</v>
          </cell>
          <cell r="AB2992">
            <v>6786</v>
          </cell>
          <cell r="AC2992">
            <v>9709</v>
          </cell>
          <cell r="AD2992">
            <v>11312</v>
          </cell>
          <cell r="AE2992">
            <v>11534</v>
          </cell>
          <cell r="AF2992">
            <v>11142</v>
          </cell>
          <cell r="AG2992">
            <v>11731</v>
          </cell>
          <cell r="AH2992">
            <v>8395</v>
          </cell>
          <cell r="AI2992">
            <v>3280</v>
          </cell>
          <cell r="AJ2992">
            <v>2779</v>
          </cell>
        </row>
        <row r="2993">
          <cell r="E2993" t="str">
            <v>MO Electric Power Wood</v>
          </cell>
          <cell r="F2993">
            <v>0</v>
          </cell>
          <cell r="G2993">
            <v>0</v>
          </cell>
          <cell r="H2993">
            <v>0</v>
          </cell>
          <cell r="I2993">
            <v>0</v>
          </cell>
          <cell r="J2993">
            <v>0</v>
          </cell>
          <cell r="K2993">
            <v>0</v>
          </cell>
          <cell r="L2993">
            <v>0</v>
          </cell>
          <cell r="M2993">
            <v>0</v>
          </cell>
          <cell r="N2993">
            <v>0</v>
          </cell>
          <cell r="O2993">
            <v>0</v>
          </cell>
          <cell r="P2993">
            <v>0</v>
          </cell>
          <cell r="Q2993">
            <v>0</v>
          </cell>
          <cell r="R2993">
            <v>5</v>
          </cell>
          <cell r="S2993">
            <v>5</v>
          </cell>
          <cell r="T2993">
            <v>4</v>
          </cell>
          <cell r="U2993">
            <v>0</v>
          </cell>
          <cell r="V2993">
            <v>2</v>
          </cell>
          <cell r="W2993">
            <v>2</v>
          </cell>
          <cell r="X2993">
            <v>0</v>
          </cell>
          <cell r="Y2993">
            <v>0</v>
          </cell>
          <cell r="Z2993">
            <v>0</v>
          </cell>
          <cell r="AA2993">
            <v>0</v>
          </cell>
          <cell r="AB2993">
            <v>0</v>
          </cell>
          <cell r="AC2993">
            <v>0</v>
          </cell>
          <cell r="AD2993">
            <v>46</v>
          </cell>
          <cell r="AE2993">
            <v>0</v>
          </cell>
          <cell r="AF2993">
            <v>0</v>
          </cell>
          <cell r="AG2993">
            <v>0</v>
          </cell>
          <cell r="AH2993">
            <v>0</v>
          </cell>
          <cell r="AI2993">
            <v>0</v>
          </cell>
          <cell r="AJ2993">
            <v>0</v>
          </cell>
        </row>
        <row r="2994">
          <cell r="E2994" t="str">
            <v>MS Electric Power Wood</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17</v>
          </cell>
          <cell r="AA2994">
            <v>3</v>
          </cell>
          <cell r="AB2994">
            <v>3</v>
          </cell>
          <cell r="AC2994">
            <v>3</v>
          </cell>
          <cell r="AD2994">
            <v>3</v>
          </cell>
          <cell r="AE2994">
            <v>1</v>
          </cell>
          <cell r="AF2994">
            <v>0</v>
          </cell>
          <cell r="AG2994">
            <v>0</v>
          </cell>
          <cell r="AH2994">
            <v>0</v>
          </cell>
          <cell r="AI2994">
            <v>0</v>
          </cell>
          <cell r="AJ2994">
            <v>0</v>
          </cell>
        </row>
        <row r="2995">
          <cell r="E2995" t="str">
            <v>MT Electric Power Wood</v>
          </cell>
          <cell r="F2995">
            <v>785</v>
          </cell>
          <cell r="G2995">
            <v>651</v>
          </cell>
          <cell r="H2995">
            <v>818</v>
          </cell>
          <cell r="I2995">
            <v>806</v>
          </cell>
          <cell r="J2995">
            <v>433</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row>
        <row r="2996">
          <cell r="E2996" t="str">
            <v>NC Electric Power Wood</v>
          </cell>
          <cell r="F2996">
            <v>839</v>
          </cell>
          <cell r="G2996">
            <v>5127</v>
          </cell>
          <cell r="H2996">
            <v>5214</v>
          </cell>
          <cell r="I2996">
            <v>5107</v>
          </cell>
          <cell r="J2996">
            <v>6899</v>
          </cell>
          <cell r="K2996">
            <v>5038</v>
          </cell>
          <cell r="L2996">
            <v>4701</v>
          </cell>
          <cell r="M2996">
            <v>4724</v>
          </cell>
          <cell r="N2996">
            <v>5322</v>
          </cell>
          <cell r="O2996">
            <v>5099</v>
          </cell>
          <cell r="P2996">
            <v>4934</v>
          </cell>
          <cell r="Q2996">
            <v>4737</v>
          </cell>
          <cell r="R2996">
            <v>4758</v>
          </cell>
          <cell r="S2996">
            <v>4731</v>
          </cell>
          <cell r="T2996">
            <v>5029</v>
          </cell>
          <cell r="U2996">
            <v>5478</v>
          </cell>
          <cell r="V2996">
            <v>6819</v>
          </cell>
          <cell r="W2996">
            <v>6976</v>
          </cell>
          <cell r="X2996">
            <v>6196</v>
          </cell>
          <cell r="Y2996">
            <v>8553</v>
          </cell>
          <cell r="Z2996">
            <v>9440</v>
          </cell>
          <cell r="AA2996">
            <v>9679</v>
          </cell>
          <cell r="AB2996">
            <v>14320</v>
          </cell>
          <cell r="AC2996">
            <v>13842</v>
          </cell>
          <cell r="AD2996">
            <v>14218</v>
          </cell>
          <cell r="AE2996">
            <v>11036</v>
          </cell>
          <cell r="AF2996">
            <v>11358</v>
          </cell>
          <cell r="AG2996">
            <v>13543</v>
          </cell>
          <cell r="AH2996">
            <v>11775</v>
          </cell>
          <cell r="AI2996">
            <v>11805</v>
          </cell>
          <cell r="AJ2996">
            <v>9791</v>
          </cell>
        </row>
        <row r="2997">
          <cell r="E2997" t="str">
            <v>ND Electric Power Wood</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row>
        <row r="2998">
          <cell r="E2998" t="str">
            <v>NE Electric Power Wood</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row>
        <row r="2999">
          <cell r="E2999" t="str">
            <v>NH Electric Power Wood</v>
          </cell>
          <cell r="F2999">
            <v>12773</v>
          </cell>
          <cell r="G2999">
            <v>12906</v>
          </cell>
          <cell r="H2999">
            <v>12953</v>
          </cell>
          <cell r="I2999">
            <v>13182</v>
          </cell>
          <cell r="J2999">
            <v>11976</v>
          </cell>
          <cell r="K2999">
            <v>10865</v>
          </cell>
          <cell r="L2999">
            <v>11043</v>
          </cell>
          <cell r="M2999">
            <v>11042</v>
          </cell>
          <cell r="N2999">
            <v>11115</v>
          </cell>
          <cell r="O2999">
            <v>10983</v>
          </cell>
          <cell r="P2999">
            <v>10862</v>
          </cell>
          <cell r="Q2999">
            <v>10742</v>
          </cell>
          <cell r="R2999">
            <v>9919</v>
          </cell>
          <cell r="S2999">
            <v>9125</v>
          </cell>
          <cell r="T2999">
            <v>9249</v>
          </cell>
          <cell r="U2999">
            <v>9868</v>
          </cell>
          <cell r="V2999">
            <v>9862</v>
          </cell>
          <cell r="W2999">
            <v>14045</v>
          </cell>
          <cell r="X2999">
            <v>14812</v>
          </cell>
          <cell r="Y2999">
            <v>14428</v>
          </cell>
          <cell r="Z2999">
            <v>14991</v>
          </cell>
          <cell r="AA2999">
            <v>13806</v>
          </cell>
          <cell r="AB2999">
            <v>15986</v>
          </cell>
          <cell r="AC2999">
            <v>18079</v>
          </cell>
          <cell r="AD2999">
            <v>21202</v>
          </cell>
          <cell r="AE2999">
            <v>22957</v>
          </cell>
          <cell r="AF2999">
            <v>22675</v>
          </cell>
          <cell r="AG2999">
            <v>21905</v>
          </cell>
          <cell r="AH2999">
            <v>18361</v>
          </cell>
          <cell r="AI2999">
            <v>16412</v>
          </cell>
          <cell r="AJ2999">
            <v>10407</v>
          </cell>
        </row>
        <row r="3000">
          <cell r="E3000" t="str">
            <v>NJ Electric Power Wood</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row>
        <row r="3001">
          <cell r="E3001" t="str">
            <v>NM Electric Power Wood</v>
          </cell>
          <cell r="F3001">
            <v>0</v>
          </cell>
          <cell r="G3001">
            <v>0</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row>
        <row r="3002">
          <cell r="E3002" t="str">
            <v>NV Electric Power Wood</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10</v>
          </cell>
          <cell r="Z3002">
            <v>0</v>
          </cell>
          <cell r="AA3002">
            <v>0</v>
          </cell>
          <cell r="AB3002">
            <v>0</v>
          </cell>
          <cell r="AC3002">
            <v>0</v>
          </cell>
          <cell r="AD3002">
            <v>0</v>
          </cell>
          <cell r="AE3002">
            <v>0</v>
          </cell>
          <cell r="AF3002">
            <v>0</v>
          </cell>
          <cell r="AG3002">
            <v>0</v>
          </cell>
          <cell r="AH3002">
            <v>0</v>
          </cell>
          <cell r="AI3002">
            <v>0</v>
          </cell>
          <cell r="AJ3002">
            <v>0</v>
          </cell>
        </row>
        <row r="3003">
          <cell r="E3003" t="str">
            <v>NY Electric Power Wood</v>
          </cell>
          <cell r="F3003">
            <v>643</v>
          </cell>
          <cell r="G3003">
            <v>904</v>
          </cell>
          <cell r="H3003">
            <v>5329</v>
          </cell>
          <cell r="I3003">
            <v>4927</v>
          </cell>
          <cell r="J3003">
            <v>5818</v>
          </cell>
          <cell r="K3003">
            <v>5112</v>
          </cell>
          <cell r="L3003">
            <v>5592</v>
          </cell>
          <cell r="M3003">
            <v>4713</v>
          </cell>
          <cell r="N3003">
            <v>4865</v>
          </cell>
          <cell r="O3003">
            <v>4702</v>
          </cell>
          <cell r="P3003">
            <v>5576</v>
          </cell>
          <cell r="Q3003">
            <v>4979</v>
          </cell>
          <cell r="R3003">
            <v>3578</v>
          </cell>
          <cell r="S3003">
            <v>3721</v>
          </cell>
          <cell r="T3003">
            <v>4409</v>
          </cell>
          <cell r="U3003">
            <v>4647</v>
          </cell>
          <cell r="V3003">
            <v>4662</v>
          </cell>
          <cell r="W3003">
            <v>4172</v>
          </cell>
          <cell r="X3003">
            <v>5143</v>
          </cell>
          <cell r="Y3003">
            <v>4023</v>
          </cell>
          <cell r="Z3003">
            <v>4187</v>
          </cell>
          <cell r="AA3003">
            <v>3578</v>
          </cell>
          <cell r="AB3003">
            <v>3546</v>
          </cell>
          <cell r="AC3003">
            <v>6099</v>
          </cell>
          <cell r="AD3003">
            <v>8292</v>
          </cell>
          <cell r="AE3003">
            <v>6625</v>
          </cell>
          <cell r="AF3003">
            <v>7572</v>
          </cell>
          <cell r="AG3003">
            <v>7810</v>
          </cell>
          <cell r="AH3003">
            <v>6352</v>
          </cell>
          <cell r="AI3003">
            <v>5672</v>
          </cell>
          <cell r="AJ3003">
            <v>5760</v>
          </cell>
        </row>
        <row r="3004">
          <cell r="E3004" t="str">
            <v>OH Electric Power Wood</v>
          </cell>
          <cell r="F3004">
            <v>0</v>
          </cell>
          <cell r="G3004">
            <v>0</v>
          </cell>
          <cell r="H3004">
            <v>0</v>
          </cell>
          <cell r="I3004">
            <v>0</v>
          </cell>
          <cell r="J3004">
            <v>0</v>
          </cell>
          <cell r="K3004">
            <v>0</v>
          </cell>
          <cell r="L3004">
            <v>706</v>
          </cell>
          <cell r="M3004">
            <v>741</v>
          </cell>
          <cell r="N3004">
            <v>677</v>
          </cell>
          <cell r="O3004">
            <v>755</v>
          </cell>
          <cell r="P3004">
            <v>741</v>
          </cell>
          <cell r="Q3004">
            <v>707</v>
          </cell>
          <cell r="R3004">
            <v>726</v>
          </cell>
          <cell r="S3004">
            <v>938</v>
          </cell>
          <cell r="T3004">
            <v>833</v>
          </cell>
          <cell r="U3004">
            <v>841</v>
          </cell>
          <cell r="V3004">
            <v>795</v>
          </cell>
          <cell r="W3004">
            <v>887</v>
          </cell>
          <cell r="X3004">
            <v>899</v>
          </cell>
          <cell r="Y3004">
            <v>913</v>
          </cell>
          <cell r="Z3004">
            <v>832</v>
          </cell>
          <cell r="AA3004">
            <v>752</v>
          </cell>
          <cell r="AB3004">
            <v>930</v>
          </cell>
          <cell r="AC3004">
            <v>910</v>
          </cell>
          <cell r="AD3004">
            <v>1003</v>
          </cell>
          <cell r="AE3004">
            <v>995</v>
          </cell>
          <cell r="AF3004">
            <v>1047</v>
          </cell>
          <cell r="AG3004">
            <v>1006</v>
          </cell>
          <cell r="AH3004">
            <v>968</v>
          </cell>
          <cell r="AI3004">
            <v>869</v>
          </cell>
          <cell r="AJ3004">
            <v>725</v>
          </cell>
        </row>
        <row r="3005">
          <cell r="E3005" t="str">
            <v>OK Electric Power Wood</v>
          </cell>
          <cell r="F3005">
            <v>0</v>
          </cell>
          <cell r="G3005">
            <v>0</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22</v>
          </cell>
          <cell r="AI3005">
            <v>0</v>
          </cell>
          <cell r="AJ3005">
            <v>0</v>
          </cell>
        </row>
        <row r="3006">
          <cell r="E3006" t="str">
            <v>OR Electric Power Wood</v>
          </cell>
          <cell r="F3006">
            <v>5386</v>
          </cell>
          <cell r="G3006">
            <v>4293</v>
          </cell>
          <cell r="H3006">
            <v>4170</v>
          </cell>
          <cell r="I3006">
            <v>3907</v>
          </cell>
          <cell r="J3006">
            <v>4349</v>
          </cell>
          <cell r="K3006">
            <v>5463</v>
          </cell>
          <cell r="L3006">
            <v>5051</v>
          </cell>
          <cell r="M3006">
            <v>4915</v>
          </cell>
          <cell r="N3006">
            <v>5275</v>
          </cell>
          <cell r="O3006">
            <v>3636</v>
          </cell>
          <cell r="P3006">
            <v>4495</v>
          </cell>
          <cell r="Q3006">
            <v>4516</v>
          </cell>
          <cell r="R3006">
            <v>3386</v>
          </cell>
          <cell r="S3006">
            <v>4544</v>
          </cell>
          <cell r="T3006">
            <v>0</v>
          </cell>
          <cell r="U3006">
            <v>6300</v>
          </cell>
          <cell r="V3006">
            <v>6107</v>
          </cell>
          <cell r="W3006">
            <v>5328</v>
          </cell>
          <cell r="X3006">
            <v>2878</v>
          </cell>
          <cell r="Y3006">
            <v>3534</v>
          </cell>
          <cell r="Z3006">
            <v>2826</v>
          </cell>
          <cell r="AA3006">
            <v>2244</v>
          </cell>
          <cell r="AB3006">
            <v>2450</v>
          </cell>
          <cell r="AC3006">
            <v>3146</v>
          </cell>
          <cell r="AD3006">
            <v>3558</v>
          </cell>
          <cell r="AE3006">
            <v>2851</v>
          </cell>
          <cell r="AF3006">
            <v>3033</v>
          </cell>
          <cell r="AG3006">
            <v>2351</v>
          </cell>
          <cell r="AH3006">
            <v>2982</v>
          </cell>
          <cell r="AI3006">
            <v>2965</v>
          </cell>
          <cell r="AJ3006">
            <v>3064</v>
          </cell>
        </row>
        <row r="3007">
          <cell r="E3007" t="str">
            <v>PA Electric Power Wood</v>
          </cell>
          <cell r="F3007">
            <v>2970</v>
          </cell>
          <cell r="G3007">
            <v>2705</v>
          </cell>
          <cell r="H3007">
            <v>3069</v>
          </cell>
          <cell r="I3007">
            <v>3232</v>
          </cell>
          <cell r="J3007">
            <v>2860</v>
          </cell>
          <cell r="K3007">
            <v>2771</v>
          </cell>
          <cell r="L3007">
            <v>2830</v>
          </cell>
          <cell r="M3007">
            <v>2994</v>
          </cell>
          <cell r="N3007">
            <v>2970</v>
          </cell>
          <cell r="O3007">
            <v>2837</v>
          </cell>
          <cell r="P3007">
            <v>3365</v>
          </cell>
          <cell r="Q3007">
            <v>3481</v>
          </cell>
          <cell r="R3007">
            <v>4898</v>
          </cell>
          <cell r="S3007">
            <v>4044</v>
          </cell>
          <cell r="T3007">
            <v>3764</v>
          </cell>
          <cell r="U3007">
            <v>3834</v>
          </cell>
          <cell r="V3007">
            <v>2906</v>
          </cell>
          <cell r="W3007">
            <v>3321</v>
          </cell>
          <cell r="X3007">
            <v>4681</v>
          </cell>
          <cell r="Y3007">
            <v>3571</v>
          </cell>
          <cell r="Z3007">
            <v>3623</v>
          </cell>
          <cell r="AA3007">
            <v>3127</v>
          </cell>
          <cell r="AB3007">
            <v>1340</v>
          </cell>
          <cell r="AC3007">
            <v>651</v>
          </cell>
          <cell r="AD3007">
            <v>42</v>
          </cell>
          <cell r="AE3007">
            <v>37</v>
          </cell>
          <cell r="AF3007">
            <v>17</v>
          </cell>
          <cell r="AG3007">
            <v>2</v>
          </cell>
          <cell r="AH3007">
            <v>3</v>
          </cell>
          <cell r="AI3007">
            <v>3</v>
          </cell>
          <cell r="AJ3007">
            <v>1</v>
          </cell>
        </row>
        <row r="3008">
          <cell r="E3008" t="str">
            <v>RI Electric Power Wood</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row>
        <row r="3009">
          <cell r="E3009" t="str">
            <v>SC Electric Power Wood</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2805</v>
          </cell>
          <cell r="U3009">
            <v>6438</v>
          </cell>
          <cell r="V3009">
            <v>6183</v>
          </cell>
          <cell r="W3009">
            <v>5630</v>
          </cell>
          <cell r="X3009">
            <v>5808</v>
          </cell>
          <cell r="Y3009">
            <v>7161</v>
          </cell>
          <cell r="Z3009">
            <v>7134</v>
          </cell>
          <cell r="AA3009">
            <v>6979</v>
          </cell>
          <cell r="AB3009">
            <v>9041</v>
          </cell>
          <cell r="AC3009">
            <v>9801</v>
          </cell>
          <cell r="AD3009">
            <v>14297</v>
          </cell>
          <cell r="AE3009">
            <v>15213</v>
          </cell>
          <cell r="AF3009">
            <v>14631</v>
          </cell>
          <cell r="AG3009">
            <v>15416</v>
          </cell>
          <cell r="AH3009">
            <v>14778</v>
          </cell>
          <cell r="AI3009">
            <v>15003</v>
          </cell>
          <cell r="AJ3009">
            <v>14200</v>
          </cell>
        </row>
        <row r="3010">
          <cell r="E3010" t="str">
            <v>SD Electric Power Wood</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row>
        <row r="3011">
          <cell r="E3011" t="str">
            <v>TN Electric Power Wood</v>
          </cell>
          <cell r="F3011">
            <v>0</v>
          </cell>
          <cell r="G3011">
            <v>0</v>
          </cell>
          <cell r="H3011">
            <v>0</v>
          </cell>
          <cell r="I3011">
            <v>0</v>
          </cell>
          <cell r="J3011">
            <v>0</v>
          </cell>
          <cell r="K3011">
            <v>0</v>
          </cell>
          <cell r="L3011">
            <v>0</v>
          </cell>
          <cell r="M3011">
            <v>3</v>
          </cell>
          <cell r="N3011">
            <v>5</v>
          </cell>
          <cell r="O3011">
            <v>7</v>
          </cell>
          <cell r="P3011">
            <v>7</v>
          </cell>
          <cell r="Q3011">
            <v>12</v>
          </cell>
          <cell r="R3011">
            <v>8</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row>
        <row r="3012">
          <cell r="E3012" t="str">
            <v>TX Electric Power Wood</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293</v>
          </cell>
          <cell r="AB3012">
            <v>1881</v>
          </cell>
          <cell r="AC3012">
            <v>1231</v>
          </cell>
          <cell r="AD3012">
            <v>3320</v>
          </cell>
          <cell r="AE3012">
            <v>3268</v>
          </cell>
          <cell r="AF3012">
            <v>1962</v>
          </cell>
          <cell r="AG3012">
            <v>1218</v>
          </cell>
          <cell r="AH3012">
            <v>2277</v>
          </cell>
          <cell r="AI3012">
            <v>1466</v>
          </cell>
          <cell r="AJ3012">
            <v>904</v>
          </cell>
        </row>
        <row r="3013">
          <cell r="E3013" t="str">
            <v>US Electric Power Wood</v>
          </cell>
          <cell r="F3013">
            <v>128515</v>
          </cell>
          <cell r="G3013">
            <v>125796</v>
          </cell>
          <cell r="H3013">
            <v>140219</v>
          </cell>
          <cell r="I3013">
            <v>149832</v>
          </cell>
          <cell r="J3013">
            <v>152334</v>
          </cell>
          <cell r="K3013">
            <v>125411</v>
          </cell>
          <cell r="L3013">
            <v>137860</v>
          </cell>
          <cell r="M3013">
            <v>136991</v>
          </cell>
          <cell r="N3013">
            <v>136709</v>
          </cell>
          <cell r="O3013">
            <v>138026</v>
          </cell>
          <cell r="P3013">
            <v>134320</v>
          </cell>
          <cell r="Q3013">
            <v>126401</v>
          </cell>
          <cell r="R3013">
            <v>150190</v>
          </cell>
          <cell r="S3013">
            <v>167290</v>
          </cell>
          <cell r="T3013">
            <v>165189</v>
          </cell>
          <cell r="U3013">
            <v>184973</v>
          </cell>
          <cell r="V3013">
            <v>181815</v>
          </cell>
          <cell r="W3013">
            <v>185956</v>
          </cell>
          <cell r="X3013">
            <v>177348</v>
          </cell>
          <cell r="Y3013">
            <v>180046</v>
          </cell>
          <cell r="Z3013">
            <v>195597</v>
          </cell>
          <cell r="AA3013">
            <v>182159</v>
          </cell>
          <cell r="AB3013">
            <v>190191</v>
          </cell>
          <cell r="AC3013">
            <v>207426</v>
          </cell>
          <cell r="AD3013">
            <v>251253</v>
          </cell>
          <cell r="AE3013">
            <v>243857</v>
          </cell>
          <cell r="AF3013">
            <v>224407</v>
          </cell>
          <cell r="AG3013">
            <v>229324</v>
          </cell>
          <cell r="AH3013">
            <v>221063</v>
          </cell>
          <cell r="AI3013">
            <v>200524</v>
          </cell>
          <cell r="AJ3013">
            <v>185374</v>
          </cell>
        </row>
        <row r="3014">
          <cell r="E3014" t="str">
            <v>UT Electric Power Wood</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row>
        <row r="3015">
          <cell r="E3015" t="str">
            <v>VA Electric Power Wood</v>
          </cell>
          <cell r="F3015">
            <v>242</v>
          </cell>
          <cell r="G3015">
            <v>242</v>
          </cell>
          <cell r="H3015">
            <v>246</v>
          </cell>
          <cell r="I3015">
            <v>247</v>
          </cell>
          <cell r="J3015">
            <v>1584</v>
          </cell>
          <cell r="K3015">
            <v>2295</v>
          </cell>
          <cell r="L3015">
            <v>1699</v>
          </cell>
          <cell r="M3015">
            <v>1566</v>
          </cell>
          <cell r="N3015">
            <v>1464</v>
          </cell>
          <cell r="O3015">
            <v>2289</v>
          </cell>
          <cell r="P3015">
            <v>4475</v>
          </cell>
          <cell r="Q3015">
            <v>157</v>
          </cell>
          <cell r="R3015">
            <v>4359</v>
          </cell>
          <cell r="S3015">
            <v>5003</v>
          </cell>
          <cell r="T3015">
            <v>6975</v>
          </cell>
          <cell r="U3015">
            <v>6612</v>
          </cell>
          <cell r="V3015">
            <v>5266</v>
          </cell>
          <cell r="W3015">
            <v>5091</v>
          </cell>
          <cell r="X3015">
            <v>7664</v>
          </cell>
          <cell r="Y3015">
            <v>7020</v>
          </cell>
          <cell r="Z3015">
            <v>6586</v>
          </cell>
          <cell r="AA3015">
            <v>6326</v>
          </cell>
          <cell r="AB3015">
            <v>5352</v>
          </cell>
          <cell r="AC3015">
            <v>11053</v>
          </cell>
          <cell r="AD3015">
            <v>20228</v>
          </cell>
          <cell r="AE3015">
            <v>21181</v>
          </cell>
          <cell r="AF3015">
            <v>21053</v>
          </cell>
          <cell r="AG3015">
            <v>19894</v>
          </cell>
          <cell r="AH3015">
            <v>21785</v>
          </cell>
          <cell r="AI3015">
            <v>18295</v>
          </cell>
          <cell r="AJ3015">
            <v>15244</v>
          </cell>
        </row>
        <row r="3016">
          <cell r="E3016" t="str">
            <v>VT Electric Power Wood</v>
          </cell>
          <cell r="F3016">
            <v>980</v>
          </cell>
          <cell r="G3016">
            <v>1141</v>
          </cell>
          <cell r="H3016">
            <v>1392</v>
          </cell>
          <cell r="I3016">
            <v>2837</v>
          </cell>
          <cell r="J3016">
            <v>2958</v>
          </cell>
          <cell r="K3016">
            <v>3446</v>
          </cell>
          <cell r="L3016">
            <v>3616</v>
          </cell>
          <cell r="M3016">
            <v>3893</v>
          </cell>
          <cell r="N3016">
            <v>3672</v>
          </cell>
          <cell r="O3016">
            <v>4164</v>
          </cell>
          <cell r="P3016">
            <v>3920</v>
          </cell>
          <cell r="Q3016">
            <v>3940</v>
          </cell>
          <cell r="R3016">
            <v>8395</v>
          </cell>
          <cell r="S3016">
            <v>9411</v>
          </cell>
          <cell r="T3016">
            <v>6821</v>
          </cell>
          <cell r="U3016">
            <v>5298</v>
          </cell>
          <cell r="V3016">
            <v>5848</v>
          </cell>
          <cell r="W3016">
            <v>6036</v>
          </cell>
          <cell r="X3016">
            <v>5630</v>
          </cell>
          <cell r="Y3016">
            <v>5332</v>
          </cell>
          <cell r="Z3016">
            <v>6200</v>
          </cell>
          <cell r="AA3016">
            <v>5276</v>
          </cell>
          <cell r="AB3016">
            <v>4681</v>
          </cell>
          <cell r="AC3016">
            <v>6527</v>
          </cell>
          <cell r="AD3016">
            <v>6105</v>
          </cell>
          <cell r="AE3016">
            <v>6316</v>
          </cell>
          <cell r="AF3016">
            <v>6439</v>
          </cell>
          <cell r="AG3016">
            <v>6030</v>
          </cell>
          <cell r="AH3016">
            <v>5932</v>
          </cell>
          <cell r="AI3016">
            <v>5251</v>
          </cell>
          <cell r="AJ3016">
            <v>5667</v>
          </cell>
        </row>
        <row r="3017">
          <cell r="E3017" t="str">
            <v>WA Electric Power Wood</v>
          </cell>
          <cell r="F3017">
            <v>3467</v>
          </cell>
          <cell r="G3017">
            <v>2860</v>
          </cell>
          <cell r="H3017">
            <v>3730</v>
          </cell>
          <cell r="I3017">
            <v>4074</v>
          </cell>
          <cell r="J3017">
            <v>4082</v>
          </cell>
          <cell r="K3017">
            <v>2692</v>
          </cell>
          <cell r="L3017">
            <v>3724</v>
          </cell>
          <cell r="M3017">
            <v>3608</v>
          </cell>
          <cell r="N3017">
            <v>3441</v>
          </cell>
          <cell r="O3017">
            <v>4203</v>
          </cell>
          <cell r="P3017">
            <v>5408</v>
          </cell>
          <cell r="Q3017">
            <v>4743</v>
          </cell>
          <cell r="R3017">
            <v>6410</v>
          </cell>
          <cell r="S3017">
            <v>10560</v>
          </cell>
          <cell r="T3017">
            <v>8344</v>
          </cell>
          <cell r="U3017">
            <v>8545</v>
          </cell>
          <cell r="V3017">
            <v>8264</v>
          </cell>
          <cell r="W3017">
            <v>8901</v>
          </cell>
          <cell r="X3017">
            <v>5371</v>
          </cell>
          <cell r="Y3017">
            <v>5540</v>
          </cell>
          <cell r="Z3017">
            <v>7594</v>
          </cell>
          <cell r="AA3017">
            <v>6741</v>
          </cell>
          <cell r="AB3017">
            <v>3078</v>
          </cell>
          <cell r="AC3017">
            <v>4071</v>
          </cell>
          <cell r="AD3017">
            <v>3887</v>
          </cell>
          <cell r="AE3017">
            <v>4683</v>
          </cell>
          <cell r="AF3017">
            <v>4910</v>
          </cell>
          <cell r="AG3017">
            <v>4300</v>
          </cell>
          <cell r="AH3017">
            <v>4909</v>
          </cell>
          <cell r="AI3017">
            <v>4464</v>
          </cell>
          <cell r="AJ3017">
            <v>4095</v>
          </cell>
        </row>
        <row r="3018">
          <cell r="E3018" t="str">
            <v>WI Electric Power Wood</v>
          </cell>
          <cell r="F3018">
            <v>1676</v>
          </cell>
          <cell r="G3018">
            <v>1513</v>
          </cell>
          <cell r="H3018">
            <v>1401</v>
          </cell>
          <cell r="I3018">
            <v>2021</v>
          </cell>
          <cell r="J3018">
            <v>2197</v>
          </cell>
          <cell r="K3018">
            <v>2253</v>
          </cell>
          <cell r="L3018">
            <v>2334</v>
          </cell>
          <cell r="M3018">
            <v>2185</v>
          </cell>
          <cell r="N3018">
            <v>2364</v>
          </cell>
          <cell r="O3018">
            <v>2184</v>
          </cell>
          <cell r="P3018">
            <v>1662</v>
          </cell>
          <cell r="Q3018">
            <v>234</v>
          </cell>
          <cell r="R3018">
            <v>534</v>
          </cell>
          <cell r="S3018">
            <v>988</v>
          </cell>
          <cell r="T3018">
            <v>3002</v>
          </cell>
          <cell r="U3018">
            <v>2256</v>
          </cell>
          <cell r="V3018">
            <v>2723</v>
          </cell>
          <cell r="W3018">
            <v>2895</v>
          </cell>
          <cell r="X3018">
            <v>3165</v>
          </cell>
          <cell r="Y3018">
            <v>3678</v>
          </cell>
          <cell r="Z3018">
            <v>4563</v>
          </cell>
          <cell r="AA3018">
            <v>7867</v>
          </cell>
          <cell r="AB3018">
            <v>9008</v>
          </cell>
          <cell r="AC3018">
            <v>8746</v>
          </cell>
          <cell r="AD3018">
            <v>11039</v>
          </cell>
          <cell r="AE3018">
            <v>10610</v>
          </cell>
          <cell r="AF3018">
            <v>7524</v>
          </cell>
          <cell r="AG3018">
            <v>8124</v>
          </cell>
          <cell r="AH3018">
            <v>7373</v>
          </cell>
          <cell r="AI3018">
            <v>8342</v>
          </cell>
          <cell r="AJ3018">
            <v>7250</v>
          </cell>
        </row>
        <row r="3019">
          <cell r="E3019" t="str">
            <v>WV Electric Power Wood</v>
          </cell>
          <cell r="F3019">
            <v>0</v>
          </cell>
          <cell r="G3019">
            <v>0</v>
          </cell>
          <cell r="H3019">
            <v>0</v>
          </cell>
          <cell r="I3019">
            <v>0</v>
          </cell>
          <cell r="J3019">
            <v>0</v>
          </cell>
          <cell r="K3019">
            <v>0</v>
          </cell>
          <cell r="L3019">
            <v>0</v>
          </cell>
          <cell r="M3019">
            <v>0</v>
          </cell>
          <cell r="N3019">
            <v>0</v>
          </cell>
          <cell r="O3019">
            <v>0</v>
          </cell>
          <cell r="P3019">
            <v>0</v>
          </cell>
          <cell r="Q3019">
            <v>12</v>
          </cell>
          <cell r="R3019">
            <v>1</v>
          </cell>
          <cell r="S3019">
            <v>2</v>
          </cell>
          <cell r="T3019">
            <v>6</v>
          </cell>
          <cell r="U3019">
            <v>5</v>
          </cell>
          <cell r="V3019">
            <v>0</v>
          </cell>
          <cell r="W3019">
            <v>0</v>
          </cell>
          <cell r="X3019">
            <v>0</v>
          </cell>
          <cell r="Y3019">
            <v>0</v>
          </cell>
          <cell r="Z3019">
            <v>0</v>
          </cell>
          <cell r="AA3019">
            <v>3</v>
          </cell>
          <cell r="AB3019">
            <v>0</v>
          </cell>
          <cell r="AC3019">
            <v>0</v>
          </cell>
          <cell r="AD3019">
            <v>0</v>
          </cell>
          <cell r="AE3019">
            <v>0</v>
          </cell>
          <cell r="AF3019">
            <v>0</v>
          </cell>
          <cell r="AG3019">
            <v>0</v>
          </cell>
          <cell r="AH3019">
            <v>0</v>
          </cell>
          <cell r="AI3019">
            <v>0</v>
          </cell>
          <cell r="AJ3019">
            <v>0</v>
          </cell>
        </row>
        <row r="3020">
          <cell r="E3020" t="str">
            <v>WY Electric Power Wood</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row>
        <row r="3021">
          <cell r="E3021" t="str">
            <v>AK Industrial Wood</v>
          </cell>
          <cell r="F3021">
            <v>6466</v>
          </cell>
          <cell r="G3021">
            <v>6171</v>
          </cell>
          <cell r="H3021">
            <v>6126</v>
          </cell>
          <cell r="I3021">
            <v>4088</v>
          </cell>
          <cell r="J3021">
            <v>6745</v>
          </cell>
          <cell r="K3021">
            <v>5521</v>
          </cell>
          <cell r="L3021">
            <v>5263</v>
          </cell>
          <cell r="M3021">
            <v>1647</v>
          </cell>
          <cell r="N3021">
            <v>242</v>
          </cell>
          <cell r="O3021">
            <v>104</v>
          </cell>
          <cell r="P3021">
            <v>101</v>
          </cell>
          <cell r="Q3021">
            <v>19</v>
          </cell>
          <cell r="R3021">
            <v>11</v>
          </cell>
          <cell r="S3021">
            <v>11</v>
          </cell>
          <cell r="T3021">
            <v>12</v>
          </cell>
          <cell r="U3021">
            <v>12</v>
          </cell>
          <cell r="V3021">
            <v>27</v>
          </cell>
          <cell r="W3021">
            <v>28</v>
          </cell>
          <cell r="X3021">
            <v>26</v>
          </cell>
          <cell r="Y3021">
            <v>23</v>
          </cell>
          <cell r="Z3021">
            <v>39</v>
          </cell>
          <cell r="AA3021">
            <v>111</v>
          </cell>
          <cell r="AB3021">
            <v>111</v>
          </cell>
          <cell r="AC3021">
            <v>111</v>
          </cell>
          <cell r="AD3021">
            <v>114</v>
          </cell>
          <cell r="AE3021">
            <v>114</v>
          </cell>
          <cell r="AF3021">
            <v>114</v>
          </cell>
          <cell r="AG3021">
            <v>70</v>
          </cell>
          <cell r="AH3021">
            <v>70</v>
          </cell>
          <cell r="AI3021">
            <v>70</v>
          </cell>
          <cell r="AJ3021">
            <v>70</v>
          </cell>
        </row>
        <row r="3022">
          <cell r="E3022" t="str">
            <v>AL Industrial Wood</v>
          </cell>
          <cell r="F3022">
            <v>97693</v>
          </cell>
          <cell r="G3022">
            <v>96537</v>
          </cell>
          <cell r="H3022">
            <v>102814</v>
          </cell>
          <cell r="I3022">
            <v>133378</v>
          </cell>
          <cell r="J3022">
            <v>172844</v>
          </cell>
          <cell r="K3022">
            <v>182925</v>
          </cell>
          <cell r="L3022">
            <v>169464</v>
          </cell>
          <cell r="M3022">
            <v>151270</v>
          </cell>
          <cell r="N3022">
            <v>180514</v>
          </cell>
          <cell r="O3022">
            <v>187415</v>
          </cell>
          <cell r="P3022">
            <v>188946</v>
          </cell>
          <cell r="Q3022">
            <v>151625</v>
          </cell>
          <cell r="R3022">
            <v>150095</v>
          </cell>
          <cell r="S3022">
            <v>142074</v>
          </cell>
          <cell r="T3022">
            <v>170943</v>
          </cell>
          <cell r="U3022">
            <v>166032</v>
          </cell>
          <cell r="V3022">
            <v>181100</v>
          </cell>
          <cell r="W3022">
            <v>173222</v>
          </cell>
          <cell r="X3022">
            <v>157636</v>
          </cell>
          <cell r="Y3022">
            <v>124240</v>
          </cell>
          <cell r="Z3022">
            <v>138556</v>
          </cell>
          <cell r="AA3022">
            <v>155192</v>
          </cell>
          <cell r="AB3022">
            <v>158929</v>
          </cell>
          <cell r="AC3022">
            <v>173097</v>
          </cell>
          <cell r="AD3022">
            <v>163385</v>
          </cell>
          <cell r="AE3022">
            <v>156844</v>
          </cell>
          <cell r="AF3022">
            <v>155844</v>
          </cell>
          <cell r="AG3022">
            <v>161120</v>
          </cell>
          <cell r="AH3022">
            <v>161435</v>
          </cell>
          <cell r="AI3022">
            <v>162162</v>
          </cell>
          <cell r="AJ3022">
            <v>157274</v>
          </cell>
        </row>
        <row r="3023">
          <cell r="E3023" t="str">
            <v>AR Industrial Wood</v>
          </cell>
          <cell r="F3023">
            <v>66121</v>
          </cell>
          <cell r="G3023">
            <v>66713</v>
          </cell>
          <cell r="H3023">
            <v>71440</v>
          </cell>
          <cell r="I3023">
            <v>78742</v>
          </cell>
          <cell r="J3023">
            <v>74711</v>
          </cell>
          <cell r="K3023">
            <v>75594</v>
          </cell>
          <cell r="L3023">
            <v>80348</v>
          </cell>
          <cell r="M3023">
            <v>82843</v>
          </cell>
          <cell r="N3023">
            <v>78275</v>
          </cell>
          <cell r="O3023">
            <v>78436</v>
          </cell>
          <cell r="P3023">
            <v>79703</v>
          </cell>
          <cell r="Q3023">
            <v>63374</v>
          </cell>
          <cell r="R3023">
            <v>69539</v>
          </cell>
          <cell r="S3023">
            <v>69793</v>
          </cell>
          <cell r="T3023">
            <v>69934</v>
          </cell>
          <cell r="U3023">
            <v>71873</v>
          </cell>
          <cell r="V3023">
            <v>76365</v>
          </cell>
          <cell r="W3023">
            <v>78793</v>
          </cell>
          <cell r="X3023">
            <v>66550</v>
          </cell>
          <cell r="Y3023">
            <v>69646</v>
          </cell>
          <cell r="Z3023">
            <v>74685</v>
          </cell>
          <cell r="AA3023">
            <v>77673</v>
          </cell>
          <cell r="AB3023">
            <v>77744</v>
          </cell>
          <cell r="AC3023">
            <v>75715</v>
          </cell>
          <cell r="AD3023">
            <v>74245</v>
          </cell>
          <cell r="AE3023">
            <v>68082</v>
          </cell>
          <cell r="AF3023">
            <v>64684</v>
          </cell>
          <cell r="AG3023">
            <v>66586</v>
          </cell>
          <cell r="AH3023">
            <v>65701</v>
          </cell>
          <cell r="AI3023">
            <v>64256</v>
          </cell>
          <cell r="AJ3023">
            <v>49471</v>
          </cell>
        </row>
        <row r="3024">
          <cell r="E3024" t="str">
            <v>AZ Industrial Wood</v>
          </cell>
          <cell r="F3024">
            <v>4511</v>
          </cell>
          <cell r="G3024">
            <v>4922</v>
          </cell>
          <cell r="H3024">
            <v>4962</v>
          </cell>
          <cell r="I3024">
            <v>3679</v>
          </cell>
          <cell r="J3024">
            <v>3931</v>
          </cell>
          <cell r="K3024">
            <v>4843</v>
          </cell>
          <cell r="L3024">
            <v>2786</v>
          </cell>
          <cell r="M3024">
            <v>2968</v>
          </cell>
          <cell r="N3024">
            <v>527</v>
          </cell>
          <cell r="O3024">
            <v>545</v>
          </cell>
          <cell r="P3024">
            <v>526</v>
          </cell>
          <cell r="Q3024">
            <v>1114</v>
          </cell>
          <cell r="R3024">
            <v>699</v>
          </cell>
          <cell r="S3024">
            <v>714</v>
          </cell>
          <cell r="T3024">
            <v>757</v>
          </cell>
          <cell r="U3024">
            <v>765</v>
          </cell>
          <cell r="V3024">
            <v>648</v>
          </cell>
          <cell r="W3024">
            <v>671</v>
          </cell>
          <cell r="X3024">
            <v>644</v>
          </cell>
          <cell r="Y3024">
            <v>564</v>
          </cell>
          <cell r="Z3024">
            <v>961</v>
          </cell>
          <cell r="AA3024">
            <v>226</v>
          </cell>
          <cell r="AB3024">
            <v>226</v>
          </cell>
          <cell r="AC3024">
            <v>226</v>
          </cell>
          <cell r="AD3024">
            <v>238</v>
          </cell>
          <cell r="AE3024">
            <v>238</v>
          </cell>
          <cell r="AF3024">
            <v>238</v>
          </cell>
          <cell r="AG3024">
            <v>1299</v>
          </cell>
          <cell r="AH3024">
            <v>1285</v>
          </cell>
          <cell r="AI3024">
            <v>1285</v>
          </cell>
          <cell r="AJ3024">
            <v>1285</v>
          </cell>
        </row>
        <row r="3025">
          <cell r="E3025" t="str">
            <v>CA Industrial Wood</v>
          </cell>
          <cell r="F3025">
            <v>62908</v>
          </cell>
          <cell r="G3025">
            <v>56335</v>
          </cell>
          <cell r="H3025">
            <v>54717</v>
          </cell>
          <cell r="I3025">
            <v>44441</v>
          </cell>
          <cell r="J3025">
            <v>40644</v>
          </cell>
          <cell r="K3025">
            <v>37883</v>
          </cell>
          <cell r="L3025">
            <v>32728</v>
          </cell>
          <cell r="M3025">
            <v>39677</v>
          </cell>
          <cell r="N3025">
            <v>32653</v>
          </cell>
          <cell r="O3025">
            <v>35743</v>
          </cell>
          <cell r="P3025">
            <v>39641</v>
          </cell>
          <cell r="Q3025">
            <v>44694</v>
          </cell>
          <cell r="R3025">
            <v>27437</v>
          </cell>
          <cell r="S3025">
            <v>26680</v>
          </cell>
          <cell r="T3025">
            <v>26939</v>
          </cell>
          <cell r="U3025">
            <v>29671</v>
          </cell>
          <cell r="V3025">
            <v>27311</v>
          </cell>
          <cell r="W3025">
            <v>27817</v>
          </cell>
          <cell r="X3025">
            <v>24662</v>
          </cell>
          <cell r="Y3025">
            <v>22666</v>
          </cell>
          <cell r="Z3025">
            <v>25807</v>
          </cell>
          <cell r="AA3025">
            <v>28507</v>
          </cell>
          <cell r="AB3025">
            <v>27877</v>
          </cell>
          <cell r="AC3025">
            <v>27486</v>
          </cell>
          <cell r="AD3025">
            <v>24505</v>
          </cell>
          <cell r="AE3025">
            <v>23107</v>
          </cell>
          <cell r="AF3025">
            <v>24783</v>
          </cell>
          <cell r="AG3025">
            <v>23763</v>
          </cell>
          <cell r="AH3025">
            <v>23844</v>
          </cell>
          <cell r="AI3025">
            <v>24317</v>
          </cell>
          <cell r="AJ3025">
            <v>45316</v>
          </cell>
        </row>
        <row r="3026">
          <cell r="E3026" t="str">
            <v>CO Industrial Wood</v>
          </cell>
          <cell r="F3026">
            <v>331</v>
          </cell>
          <cell r="G3026">
            <v>349</v>
          </cell>
          <cell r="H3026">
            <v>314</v>
          </cell>
          <cell r="I3026">
            <v>328</v>
          </cell>
          <cell r="J3026">
            <v>287</v>
          </cell>
          <cell r="K3026">
            <v>344</v>
          </cell>
          <cell r="L3026">
            <v>371</v>
          </cell>
          <cell r="M3026">
            <v>404</v>
          </cell>
          <cell r="N3026">
            <v>340</v>
          </cell>
          <cell r="O3026">
            <v>352</v>
          </cell>
          <cell r="P3026">
            <v>339</v>
          </cell>
          <cell r="Q3026">
            <v>314</v>
          </cell>
          <cell r="R3026">
            <v>162</v>
          </cell>
          <cell r="S3026">
            <v>165</v>
          </cell>
          <cell r="T3026">
            <v>175</v>
          </cell>
          <cell r="U3026">
            <v>177</v>
          </cell>
          <cell r="V3026">
            <v>162</v>
          </cell>
          <cell r="W3026">
            <v>168</v>
          </cell>
          <cell r="X3026">
            <v>161</v>
          </cell>
          <cell r="Y3026">
            <v>141</v>
          </cell>
          <cell r="Z3026">
            <v>240</v>
          </cell>
          <cell r="AA3026">
            <v>354</v>
          </cell>
          <cell r="AB3026">
            <v>354</v>
          </cell>
          <cell r="AC3026">
            <v>354</v>
          </cell>
          <cell r="AD3026">
            <v>361</v>
          </cell>
          <cell r="AE3026">
            <v>361</v>
          </cell>
          <cell r="AF3026">
            <v>361</v>
          </cell>
          <cell r="AG3026">
            <v>469</v>
          </cell>
          <cell r="AH3026">
            <v>467</v>
          </cell>
          <cell r="AI3026">
            <v>467</v>
          </cell>
          <cell r="AJ3026">
            <v>467</v>
          </cell>
        </row>
        <row r="3027">
          <cell r="E3027" t="str">
            <v>CT Industrial Wood</v>
          </cell>
          <cell r="F3027">
            <v>2068</v>
          </cell>
          <cell r="G3027">
            <v>2177</v>
          </cell>
          <cell r="H3027">
            <v>1960</v>
          </cell>
          <cell r="I3027">
            <v>2049</v>
          </cell>
          <cell r="J3027">
            <v>2213</v>
          </cell>
          <cell r="K3027">
            <v>2646</v>
          </cell>
          <cell r="L3027">
            <v>5305</v>
          </cell>
          <cell r="M3027">
            <v>5769</v>
          </cell>
          <cell r="N3027">
            <v>4766</v>
          </cell>
          <cell r="O3027">
            <v>4933</v>
          </cell>
          <cell r="P3027">
            <v>4756</v>
          </cell>
          <cell r="Q3027">
            <v>4837</v>
          </cell>
          <cell r="R3027">
            <v>3368</v>
          </cell>
          <cell r="S3027">
            <v>3438</v>
          </cell>
          <cell r="T3027">
            <v>3647</v>
          </cell>
          <cell r="U3027">
            <v>3686</v>
          </cell>
          <cell r="V3027">
            <v>2950</v>
          </cell>
          <cell r="W3027">
            <v>3056</v>
          </cell>
          <cell r="X3027">
            <v>2933</v>
          </cell>
          <cell r="Y3027">
            <v>2568</v>
          </cell>
          <cell r="Z3027">
            <v>4378</v>
          </cell>
          <cell r="AA3027">
            <v>4329</v>
          </cell>
          <cell r="AB3027">
            <v>4329</v>
          </cell>
          <cell r="AC3027">
            <v>4329</v>
          </cell>
          <cell r="AD3027">
            <v>4195</v>
          </cell>
          <cell r="AE3027">
            <v>4195</v>
          </cell>
          <cell r="AF3027">
            <v>4195</v>
          </cell>
          <cell r="AG3027">
            <v>3579</v>
          </cell>
          <cell r="AH3027">
            <v>3491</v>
          </cell>
          <cell r="AI3027">
            <v>3491</v>
          </cell>
          <cell r="AJ3027">
            <v>3491</v>
          </cell>
        </row>
        <row r="3028">
          <cell r="E3028" t="str">
            <v>DC Industrial Wood</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row>
        <row r="3029">
          <cell r="E3029" t="str">
            <v>DE Industrial Wood</v>
          </cell>
          <cell r="F3029">
            <v>229</v>
          </cell>
          <cell r="G3029">
            <v>242</v>
          </cell>
          <cell r="H3029">
            <v>217</v>
          </cell>
          <cell r="I3029">
            <v>227</v>
          </cell>
          <cell r="J3029">
            <v>247</v>
          </cell>
          <cell r="K3029">
            <v>296</v>
          </cell>
          <cell r="L3029">
            <v>396</v>
          </cell>
          <cell r="M3029">
            <v>431</v>
          </cell>
          <cell r="N3029">
            <v>354</v>
          </cell>
          <cell r="O3029">
            <v>366</v>
          </cell>
          <cell r="P3029">
            <v>353</v>
          </cell>
          <cell r="Q3029">
            <v>98</v>
          </cell>
          <cell r="R3029">
            <v>48</v>
          </cell>
          <cell r="S3029">
            <v>49</v>
          </cell>
          <cell r="T3029">
            <v>52</v>
          </cell>
          <cell r="U3029">
            <v>52</v>
          </cell>
          <cell r="V3029">
            <v>24</v>
          </cell>
          <cell r="W3029">
            <v>25</v>
          </cell>
          <cell r="X3029">
            <v>24</v>
          </cell>
          <cell r="Y3029">
            <v>21</v>
          </cell>
          <cell r="Z3029">
            <v>36</v>
          </cell>
          <cell r="AA3029">
            <v>30</v>
          </cell>
          <cell r="AB3029">
            <v>30</v>
          </cell>
          <cell r="AC3029">
            <v>30</v>
          </cell>
          <cell r="AD3029">
            <v>28</v>
          </cell>
          <cell r="AE3029">
            <v>28</v>
          </cell>
          <cell r="AF3029">
            <v>28</v>
          </cell>
          <cell r="AG3029">
            <v>22</v>
          </cell>
          <cell r="AH3029">
            <v>23</v>
          </cell>
          <cell r="AI3029">
            <v>23</v>
          </cell>
          <cell r="AJ3029">
            <v>23</v>
          </cell>
        </row>
        <row r="3030">
          <cell r="E3030" t="str">
            <v>FL Industrial Wood</v>
          </cell>
          <cell r="F3030">
            <v>91418</v>
          </cell>
          <cell r="G3030">
            <v>90368</v>
          </cell>
          <cell r="H3030">
            <v>96677</v>
          </cell>
          <cell r="I3030">
            <v>99368</v>
          </cell>
          <cell r="J3030">
            <v>96973</v>
          </cell>
          <cell r="K3030">
            <v>96719</v>
          </cell>
          <cell r="L3030">
            <v>100140</v>
          </cell>
          <cell r="M3030">
            <v>99296</v>
          </cell>
          <cell r="N3030">
            <v>81806</v>
          </cell>
          <cell r="O3030">
            <v>77161</v>
          </cell>
          <cell r="P3030">
            <v>73897</v>
          </cell>
          <cell r="Q3030">
            <v>73754</v>
          </cell>
          <cell r="R3030">
            <v>76533</v>
          </cell>
          <cell r="S3030">
            <v>85627</v>
          </cell>
          <cell r="T3030">
            <v>81663</v>
          </cell>
          <cell r="U3030">
            <v>79588</v>
          </cell>
          <cell r="V3030">
            <v>82596</v>
          </cell>
          <cell r="W3030">
            <v>80260</v>
          </cell>
          <cell r="X3030">
            <v>87511</v>
          </cell>
          <cell r="Y3030">
            <v>88516</v>
          </cell>
          <cell r="Z3030">
            <v>100060</v>
          </cell>
          <cell r="AA3030">
            <v>102315</v>
          </cell>
          <cell r="AB3030">
            <v>98073</v>
          </cell>
          <cell r="AC3030">
            <v>98412</v>
          </cell>
          <cell r="AD3030">
            <v>89496</v>
          </cell>
          <cell r="AE3030">
            <v>96667</v>
          </cell>
          <cell r="AF3030">
            <v>90402</v>
          </cell>
          <cell r="AG3030">
            <v>87307</v>
          </cell>
          <cell r="AH3030">
            <v>84521</v>
          </cell>
          <cell r="AI3030">
            <v>86104</v>
          </cell>
          <cell r="AJ3030">
            <v>74236</v>
          </cell>
        </row>
        <row r="3031">
          <cell r="E3031" t="str">
            <v>GA Industrial Wood</v>
          </cell>
          <cell r="F3031">
            <v>167600</v>
          </cell>
          <cell r="G3031">
            <v>167819</v>
          </cell>
          <cell r="H3031">
            <v>167711</v>
          </cell>
          <cell r="I3031">
            <v>170587</v>
          </cell>
          <cell r="J3031">
            <v>171002</v>
          </cell>
          <cell r="K3031">
            <v>180532</v>
          </cell>
          <cell r="L3031">
            <v>179053</v>
          </cell>
          <cell r="M3031">
            <v>194396</v>
          </cell>
          <cell r="N3031">
            <v>182877</v>
          </cell>
          <cell r="O3031">
            <v>182316</v>
          </cell>
          <cell r="P3031">
            <v>175241</v>
          </cell>
          <cell r="Q3031">
            <v>150327</v>
          </cell>
          <cell r="R3031">
            <v>236607</v>
          </cell>
          <cell r="S3031">
            <v>160246</v>
          </cell>
          <cell r="T3031">
            <v>172832</v>
          </cell>
          <cell r="U3031">
            <v>162890</v>
          </cell>
          <cell r="V3031">
            <v>168602</v>
          </cell>
          <cell r="W3031">
            <v>163981</v>
          </cell>
          <cell r="X3031">
            <v>132880</v>
          </cell>
          <cell r="Y3031">
            <v>127696</v>
          </cell>
          <cell r="Z3031">
            <v>148976</v>
          </cell>
          <cell r="AA3031">
            <v>153244</v>
          </cell>
          <cell r="AB3031">
            <v>150268</v>
          </cell>
          <cell r="AC3031">
            <v>156859</v>
          </cell>
          <cell r="AD3031">
            <v>168716</v>
          </cell>
          <cell r="AE3031">
            <v>184712</v>
          </cell>
          <cell r="AF3031">
            <v>185754</v>
          </cell>
          <cell r="AG3031">
            <v>177209</v>
          </cell>
          <cell r="AH3031">
            <v>180115</v>
          </cell>
          <cell r="AI3031">
            <v>186027</v>
          </cell>
          <cell r="AJ3031">
            <v>178006</v>
          </cell>
        </row>
        <row r="3032">
          <cell r="E3032" t="str">
            <v>HI Industrial Wood</v>
          </cell>
          <cell r="F3032">
            <v>137</v>
          </cell>
          <cell r="G3032">
            <v>144</v>
          </cell>
          <cell r="H3032">
            <v>141</v>
          </cell>
          <cell r="I3032">
            <v>139</v>
          </cell>
          <cell r="J3032">
            <v>69</v>
          </cell>
          <cell r="K3032">
            <v>113</v>
          </cell>
          <cell r="L3032">
            <v>55</v>
          </cell>
          <cell r="M3032">
            <v>24</v>
          </cell>
          <cell r="N3032">
            <v>0</v>
          </cell>
          <cell r="O3032">
            <v>0</v>
          </cell>
          <cell r="P3032">
            <v>0</v>
          </cell>
          <cell r="Q3032">
            <v>36</v>
          </cell>
          <cell r="R3032">
            <v>22</v>
          </cell>
          <cell r="S3032">
            <v>22</v>
          </cell>
          <cell r="T3032">
            <v>24</v>
          </cell>
          <cell r="U3032">
            <v>24</v>
          </cell>
          <cell r="V3032">
            <v>21</v>
          </cell>
          <cell r="W3032">
            <v>22</v>
          </cell>
          <cell r="X3032">
            <v>21</v>
          </cell>
          <cell r="Y3032">
            <v>18</v>
          </cell>
          <cell r="Z3032">
            <v>32</v>
          </cell>
          <cell r="AA3032">
            <v>22</v>
          </cell>
          <cell r="AB3032">
            <v>22</v>
          </cell>
          <cell r="AC3032">
            <v>22</v>
          </cell>
          <cell r="AD3032">
            <v>23</v>
          </cell>
          <cell r="AE3032">
            <v>23</v>
          </cell>
          <cell r="AF3032">
            <v>23</v>
          </cell>
          <cell r="AG3032">
            <v>68</v>
          </cell>
          <cell r="AH3032">
            <v>67</v>
          </cell>
          <cell r="AI3032">
            <v>67</v>
          </cell>
          <cell r="AJ3032">
            <v>67</v>
          </cell>
        </row>
        <row r="3033">
          <cell r="E3033" t="str">
            <v>IA Industrial Wood</v>
          </cell>
          <cell r="F3033">
            <v>1537</v>
          </cell>
          <cell r="G3033">
            <v>1618</v>
          </cell>
          <cell r="H3033">
            <v>1457</v>
          </cell>
          <cell r="I3033">
            <v>1523</v>
          </cell>
          <cell r="J3033">
            <v>864</v>
          </cell>
          <cell r="K3033">
            <v>1038</v>
          </cell>
          <cell r="L3033">
            <v>2477</v>
          </cell>
          <cell r="M3033">
            <v>2689</v>
          </cell>
          <cell r="N3033">
            <v>1784</v>
          </cell>
          <cell r="O3033">
            <v>1827</v>
          </cell>
          <cell r="P3033">
            <v>1740</v>
          </cell>
          <cell r="Q3033">
            <v>1174</v>
          </cell>
          <cell r="R3033">
            <v>640</v>
          </cell>
          <cell r="S3033">
            <v>650</v>
          </cell>
          <cell r="T3033">
            <v>690</v>
          </cell>
          <cell r="U3033">
            <v>697</v>
          </cell>
          <cell r="V3033">
            <v>676</v>
          </cell>
          <cell r="W3033">
            <v>701</v>
          </cell>
          <cell r="X3033">
            <v>673</v>
          </cell>
          <cell r="Y3033">
            <v>589</v>
          </cell>
          <cell r="Z3033">
            <v>1004</v>
          </cell>
          <cell r="AA3033">
            <v>508</v>
          </cell>
          <cell r="AB3033">
            <v>508</v>
          </cell>
          <cell r="AC3033">
            <v>508</v>
          </cell>
          <cell r="AD3033">
            <v>972</v>
          </cell>
          <cell r="AE3033">
            <v>972</v>
          </cell>
          <cell r="AF3033">
            <v>972</v>
          </cell>
          <cell r="AG3033">
            <v>875</v>
          </cell>
          <cell r="AH3033">
            <v>1226</v>
          </cell>
          <cell r="AI3033">
            <v>1226</v>
          </cell>
          <cell r="AJ3033">
            <v>1226</v>
          </cell>
        </row>
        <row r="3034">
          <cell r="E3034" t="str">
            <v>ID Industrial Wood</v>
          </cell>
          <cell r="F3034">
            <v>19846</v>
          </cell>
          <cell r="G3034">
            <v>19223</v>
          </cell>
          <cell r="H3034">
            <v>20879</v>
          </cell>
          <cell r="I3034">
            <v>20406</v>
          </cell>
          <cell r="J3034">
            <v>18924</v>
          </cell>
          <cell r="K3034">
            <v>20562</v>
          </cell>
          <cell r="L3034">
            <v>21675</v>
          </cell>
          <cell r="M3034">
            <v>23379</v>
          </cell>
          <cell r="N3034">
            <v>22907</v>
          </cell>
          <cell r="O3034">
            <v>24171</v>
          </cell>
          <cell r="P3034">
            <v>23784</v>
          </cell>
          <cell r="Q3034">
            <v>25548</v>
          </cell>
          <cell r="R3034">
            <v>18799</v>
          </cell>
          <cell r="S3034">
            <v>19016</v>
          </cell>
          <cell r="T3034">
            <v>22244</v>
          </cell>
          <cell r="U3034">
            <v>22890</v>
          </cell>
          <cell r="V3034">
            <v>21035</v>
          </cell>
          <cell r="W3034">
            <v>21358</v>
          </cell>
          <cell r="X3034">
            <v>19324</v>
          </cell>
          <cell r="Y3034">
            <v>18780</v>
          </cell>
          <cell r="Z3034">
            <v>22293</v>
          </cell>
          <cell r="AA3034">
            <v>18234</v>
          </cell>
          <cell r="AB3034">
            <v>17755</v>
          </cell>
          <cell r="AC3034">
            <v>17336</v>
          </cell>
          <cell r="AD3034">
            <v>17660</v>
          </cell>
          <cell r="AE3034">
            <v>17109</v>
          </cell>
          <cell r="AF3034">
            <v>16546</v>
          </cell>
          <cell r="AG3034">
            <v>16980</v>
          </cell>
          <cell r="AH3034">
            <v>18394</v>
          </cell>
          <cell r="AI3034">
            <v>16792</v>
          </cell>
          <cell r="AJ3034">
            <v>16484</v>
          </cell>
        </row>
        <row r="3035">
          <cell r="E3035" t="str">
            <v>IL Industrial Wood</v>
          </cell>
          <cell r="F3035">
            <v>2631</v>
          </cell>
          <cell r="G3035">
            <v>2765</v>
          </cell>
          <cell r="H3035">
            <v>2486</v>
          </cell>
          <cell r="I3035">
            <v>2604</v>
          </cell>
          <cell r="J3035">
            <v>2180</v>
          </cell>
          <cell r="K3035">
            <v>2653</v>
          </cell>
          <cell r="L3035">
            <v>2616</v>
          </cell>
          <cell r="M3035">
            <v>3967</v>
          </cell>
          <cell r="N3035">
            <v>2028</v>
          </cell>
          <cell r="O3035">
            <v>2070</v>
          </cell>
          <cell r="P3035">
            <v>1987</v>
          </cell>
          <cell r="Q3035">
            <v>2605</v>
          </cell>
          <cell r="R3035">
            <v>1565</v>
          </cell>
          <cell r="S3035">
            <v>1598</v>
          </cell>
          <cell r="T3035">
            <v>1695</v>
          </cell>
          <cell r="U3035">
            <v>1713</v>
          </cell>
          <cell r="V3035">
            <v>2287</v>
          </cell>
          <cell r="W3035">
            <v>2370</v>
          </cell>
          <cell r="X3035">
            <v>2293</v>
          </cell>
          <cell r="Y3035">
            <v>2006</v>
          </cell>
          <cell r="Z3035">
            <v>3399</v>
          </cell>
          <cell r="AA3035">
            <v>1292</v>
          </cell>
          <cell r="AB3035">
            <v>1275</v>
          </cell>
          <cell r="AC3035">
            <v>1275</v>
          </cell>
          <cell r="AD3035">
            <v>1421</v>
          </cell>
          <cell r="AE3035">
            <v>1422</v>
          </cell>
          <cell r="AF3035">
            <v>1421</v>
          </cell>
          <cell r="AG3035">
            <v>2009</v>
          </cell>
          <cell r="AH3035">
            <v>2101</v>
          </cell>
          <cell r="AI3035">
            <v>2101</v>
          </cell>
          <cell r="AJ3035">
            <v>2101</v>
          </cell>
        </row>
        <row r="3036">
          <cell r="E3036" t="str">
            <v>IN Industrial Wood</v>
          </cell>
          <cell r="F3036">
            <v>3857</v>
          </cell>
          <cell r="G3036">
            <v>4060</v>
          </cell>
          <cell r="H3036">
            <v>3655</v>
          </cell>
          <cell r="I3036">
            <v>3821</v>
          </cell>
          <cell r="J3036">
            <v>3589</v>
          </cell>
          <cell r="K3036">
            <v>4291</v>
          </cell>
          <cell r="L3036">
            <v>3367</v>
          </cell>
          <cell r="M3036">
            <v>3662</v>
          </cell>
          <cell r="N3036">
            <v>2939</v>
          </cell>
          <cell r="O3036">
            <v>3041</v>
          </cell>
          <cell r="P3036">
            <v>2932</v>
          </cell>
          <cell r="Q3036">
            <v>3785</v>
          </cell>
          <cell r="R3036">
            <v>2334</v>
          </cell>
          <cell r="S3036">
            <v>2383</v>
          </cell>
          <cell r="T3036">
            <v>2528</v>
          </cell>
          <cell r="U3036">
            <v>2555</v>
          </cell>
          <cell r="V3036">
            <v>2077</v>
          </cell>
          <cell r="W3036">
            <v>2151</v>
          </cell>
          <cell r="X3036">
            <v>2065</v>
          </cell>
          <cell r="Y3036">
            <v>1808</v>
          </cell>
          <cell r="Z3036">
            <v>3082</v>
          </cell>
          <cell r="AA3036">
            <v>3542</v>
          </cell>
          <cell r="AB3036">
            <v>3542</v>
          </cell>
          <cell r="AC3036">
            <v>3542</v>
          </cell>
          <cell r="AD3036">
            <v>3744</v>
          </cell>
          <cell r="AE3036">
            <v>3744</v>
          </cell>
          <cell r="AF3036">
            <v>3744</v>
          </cell>
          <cell r="AG3036">
            <v>5524</v>
          </cell>
          <cell r="AH3036">
            <v>5612</v>
          </cell>
          <cell r="AI3036">
            <v>5612</v>
          </cell>
          <cell r="AJ3036">
            <v>5612</v>
          </cell>
        </row>
        <row r="3037">
          <cell r="E3037" t="str">
            <v>KS Industrial Wood</v>
          </cell>
          <cell r="F3037">
            <v>426</v>
          </cell>
          <cell r="G3037">
            <v>449</v>
          </cell>
          <cell r="H3037">
            <v>404</v>
          </cell>
          <cell r="I3037">
            <v>422</v>
          </cell>
          <cell r="J3037">
            <v>362</v>
          </cell>
          <cell r="K3037">
            <v>433</v>
          </cell>
          <cell r="L3037">
            <v>426</v>
          </cell>
          <cell r="M3037">
            <v>463</v>
          </cell>
          <cell r="N3037">
            <v>351</v>
          </cell>
          <cell r="O3037">
            <v>363</v>
          </cell>
          <cell r="P3037">
            <v>350</v>
          </cell>
          <cell r="Q3037">
            <v>759</v>
          </cell>
          <cell r="R3037">
            <v>509</v>
          </cell>
          <cell r="S3037">
            <v>519</v>
          </cell>
          <cell r="T3037">
            <v>551</v>
          </cell>
          <cell r="U3037">
            <v>557</v>
          </cell>
          <cell r="V3037">
            <v>418</v>
          </cell>
          <cell r="W3037">
            <v>433</v>
          </cell>
          <cell r="X3037">
            <v>416</v>
          </cell>
          <cell r="Y3037">
            <v>364</v>
          </cell>
          <cell r="Z3037">
            <v>621</v>
          </cell>
          <cell r="AA3037">
            <v>88</v>
          </cell>
          <cell r="AB3037">
            <v>88</v>
          </cell>
          <cell r="AC3037">
            <v>88</v>
          </cell>
          <cell r="AD3037">
            <v>91</v>
          </cell>
          <cell r="AE3037">
            <v>91</v>
          </cell>
          <cell r="AF3037">
            <v>91</v>
          </cell>
          <cell r="AG3037">
            <v>101</v>
          </cell>
          <cell r="AH3037">
            <v>101</v>
          </cell>
          <cell r="AI3037">
            <v>101</v>
          </cell>
          <cell r="AJ3037">
            <v>101</v>
          </cell>
        </row>
        <row r="3038">
          <cell r="E3038" t="str">
            <v>KY Industrial Wood</v>
          </cell>
          <cell r="F3038">
            <v>2114</v>
          </cell>
          <cell r="G3038">
            <v>2225</v>
          </cell>
          <cell r="H3038">
            <v>2003</v>
          </cell>
          <cell r="I3038">
            <v>2094</v>
          </cell>
          <cell r="J3038">
            <v>2208</v>
          </cell>
          <cell r="K3038">
            <v>2798</v>
          </cell>
          <cell r="L3038">
            <v>5134</v>
          </cell>
          <cell r="M3038">
            <v>5645</v>
          </cell>
          <cell r="N3038">
            <v>4762</v>
          </cell>
          <cell r="O3038">
            <v>4887</v>
          </cell>
          <cell r="P3038">
            <v>4757</v>
          </cell>
          <cell r="Q3038">
            <v>6854</v>
          </cell>
          <cell r="R3038">
            <v>15162</v>
          </cell>
          <cell r="S3038">
            <v>18357</v>
          </cell>
          <cell r="T3038">
            <v>19055</v>
          </cell>
          <cell r="U3038">
            <v>19613</v>
          </cell>
          <cell r="V3038">
            <v>18148</v>
          </cell>
          <cell r="W3038">
            <v>18984</v>
          </cell>
          <cell r="X3038">
            <v>17381</v>
          </cell>
          <cell r="Y3038">
            <v>12633</v>
          </cell>
          <cell r="Z3038">
            <v>18306</v>
          </cell>
          <cell r="AA3038">
            <v>19378</v>
          </cell>
          <cell r="AB3038">
            <v>17538</v>
          </cell>
          <cell r="AC3038">
            <v>18829</v>
          </cell>
          <cell r="AD3038">
            <v>20929</v>
          </cell>
          <cell r="AE3038">
            <v>21105</v>
          </cell>
          <cell r="AF3038">
            <v>21744</v>
          </cell>
          <cell r="AG3038">
            <v>24339</v>
          </cell>
          <cell r="AH3038">
            <v>23619</v>
          </cell>
          <cell r="AI3038">
            <v>22720</v>
          </cell>
          <cell r="AJ3038">
            <v>18418</v>
          </cell>
        </row>
        <row r="3039">
          <cell r="E3039" t="str">
            <v>LA Industrial Wood</v>
          </cell>
          <cell r="F3039">
            <v>105996</v>
          </cell>
          <cell r="G3039">
            <v>108203</v>
          </cell>
          <cell r="H3039">
            <v>111590</v>
          </cell>
          <cell r="I3039">
            <v>109548</v>
          </cell>
          <cell r="J3039">
            <v>121010</v>
          </cell>
          <cell r="K3039">
            <v>124983</v>
          </cell>
          <cell r="L3039">
            <v>123570</v>
          </cell>
          <cell r="M3039">
            <v>126431</v>
          </cell>
          <cell r="N3039">
            <v>122389</v>
          </cell>
          <cell r="O3039">
            <v>126421</v>
          </cell>
          <cell r="P3039">
            <v>124488</v>
          </cell>
          <cell r="Q3039">
            <v>117655</v>
          </cell>
          <cell r="R3039">
            <v>121720</v>
          </cell>
          <cell r="S3039">
            <v>125461</v>
          </cell>
          <cell r="T3039">
            <v>163929</v>
          </cell>
          <cell r="U3039">
            <v>134884</v>
          </cell>
          <cell r="V3039">
            <v>132519</v>
          </cell>
          <cell r="W3039">
            <v>131591</v>
          </cell>
          <cell r="X3039">
            <v>85440</v>
          </cell>
          <cell r="Y3039">
            <v>79556</v>
          </cell>
          <cell r="Z3039">
            <v>86706</v>
          </cell>
          <cell r="AA3039">
            <v>85228</v>
          </cell>
          <cell r="AB3039">
            <v>86157</v>
          </cell>
          <cell r="AC3039">
            <v>97143</v>
          </cell>
          <cell r="AD3039">
            <v>120266</v>
          </cell>
          <cell r="AE3039">
            <v>105723</v>
          </cell>
          <cell r="AF3039">
            <v>121882</v>
          </cell>
          <cell r="AG3039">
            <v>110478</v>
          </cell>
          <cell r="AH3039">
            <v>106485</v>
          </cell>
          <cell r="AI3039">
            <v>95552</v>
          </cell>
          <cell r="AJ3039">
            <v>94975</v>
          </cell>
        </row>
        <row r="3040">
          <cell r="E3040" t="str">
            <v>MA Industrial Wood</v>
          </cell>
          <cell r="F3040">
            <v>5370</v>
          </cell>
          <cell r="G3040">
            <v>5653</v>
          </cell>
          <cell r="H3040">
            <v>5090</v>
          </cell>
          <cell r="I3040">
            <v>5320</v>
          </cell>
          <cell r="J3040">
            <v>5791</v>
          </cell>
          <cell r="K3040">
            <v>6925</v>
          </cell>
          <cell r="L3040">
            <v>6856</v>
          </cell>
          <cell r="M3040">
            <v>7456</v>
          </cell>
          <cell r="N3040">
            <v>6301</v>
          </cell>
          <cell r="O3040">
            <v>6521</v>
          </cell>
          <cell r="P3040">
            <v>6288</v>
          </cell>
          <cell r="Q3040">
            <v>4592</v>
          </cell>
          <cell r="R3040">
            <v>3026</v>
          </cell>
          <cell r="S3040">
            <v>3089</v>
          </cell>
          <cell r="T3040">
            <v>3277</v>
          </cell>
          <cell r="U3040">
            <v>3312</v>
          </cell>
          <cell r="V3040">
            <v>3430</v>
          </cell>
          <cell r="W3040">
            <v>3553</v>
          </cell>
          <cell r="X3040">
            <v>3410</v>
          </cell>
          <cell r="Y3040">
            <v>2986</v>
          </cell>
          <cell r="Z3040">
            <v>5090</v>
          </cell>
          <cell r="AA3040">
            <v>6970</v>
          </cell>
          <cell r="AB3040">
            <v>6970</v>
          </cell>
          <cell r="AC3040">
            <v>6970</v>
          </cell>
          <cell r="AD3040">
            <v>6780</v>
          </cell>
          <cell r="AE3040">
            <v>6780</v>
          </cell>
          <cell r="AF3040">
            <v>6780</v>
          </cell>
          <cell r="AG3040">
            <v>2804</v>
          </cell>
          <cell r="AH3040">
            <v>2775</v>
          </cell>
          <cell r="AI3040">
            <v>2775</v>
          </cell>
          <cell r="AJ3040">
            <v>2775</v>
          </cell>
        </row>
        <row r="3041">
          <cell r="E3041" t="str">
            <v>MD Industrial Wood</v>
          </cell>
          <cell r="F3041">
            <v>9632</v>
          </cell>
          <cell r="G3041">
            <v>10113</v>
          </cell>
          <cell r="H3041">
            <v>9765</v>
          </cell>
          <cell r="I3041">
            <v>9904</v>
          </cell>
          <cell r="J3041">
            <v>10125</v>
          </cell>
          <cell r="K3041">
            <v>11013</v>
          </cell>
          <cell r="L3041">
            <v>12017</v>
          </cell>
          <cell r="M3041">
            <v>11605</v>
          </cell>
          <cell r="N3041">
            <v>10883</v>
          </cell>
          <cell r="O3041">
            <v>11524</v>
          </cell>
          <cell r="P3041">
            <v>11146</v>
          </cell>
          <cell r="Q3041">
            <v>5560</v>
          </cell>
          <cell r="R3041">
            <v>5650</v>
          </cell>
          <cell r="S3041">
            <v>11367</v>
          </cell>
          <cell r="T3041">
            <v>11479</v>
          </cell>
          <cell r="U3041">
            <v>11594</v>
          </cell>
          <cell r="V3041">
            <v>9732</v>
          </cell>
          <cell r="W3041">
            <v>9314</v>
          </cell>
          <cell r="X3041">
            <v>9048</v>
          </cell>
          <cell r="Y3041">
            <v>8371</v>
          </cell>
          <cell r="Z3041">
            <v>9734</v>
          </cell>
          <cell r="AA3041">
            <v>7456</v>
          </cell>
          <cell r="AB3041">
            <v>7545</v>
          </cell>
          <cell r="AC3041">
            <v>7370</v>
          </cell>
          <cell r="AD3041">
            <v>7503</v>
          </cell>
          <cell r="AE3041">
            <v>6822</v>
          </cell>
          <cell r="AF3041">
            <v>7655</v>
          </cell>
          <cell r="AG3041">
            <v>6905</v>
          </cell>
          <cell r="AH3041">
            <v>6795</v>
          </cell>
          <cell r="AI3041">
            <v>3302</v>
          </cell>
          <cell r="AJ3041">
            <v>303</v>
          </cell>
        </row>
        <row r="3042">
          <cell r="E3042" t="str">
            <v>ME Industrial Wood</v>
          </cell>
          <cell r="F3042">
            <v>76963</v>
          </cell>
          <cell r="G3042">
            <v>83398</v>
          </cell>
          <cell r="H3042">
            <v>84919</v>
          </cell>
          <cell r="I3042">
            <v>80375</v>
          </cell>
          <cell r="J3042">
            <v>82365</v>
          </cell>
          <cell r="K3042">
            <v>94127</v>
          </cell>
          <cell r="L3042">
            <v>91125</v>
          </cell>
          <cell r="M3042">
            <v>95333</v>
          </cell>
          <cell r="N3042">
            <v>71591</v>
          </cell>
          <cell r="O3042">
            <v>86200</v>
          </cell>
          <cell r="P3042">
            <v>90083</v>
          </cell>
          <cell r="Q3042">
            <v>80315</v>
          </cell>
          <cell r="R3042">
            <v>74562</v>
          </cell>
          <cell r="S3042">
            <v>62535</v>
          </cell>
          <cell r="T3042">
            <v>63707</v>
          </cell>
          <cell r="U3042">
            <v>66375</v>
          </cell>
          <cell r="V3042">
            <v>59496</v>
          </cell>
          <cell r="W3042">
            <v>66270</v>
          </cell>
          <cell r="X3042">
            <v>91862</v>
          </cell>
          <cell r="Y3042">
            <v>53863</v>
          </cell>
          <cell r="Z3042">
            <v>63441</v>
          </cell>
          <cell r="AA3042">
            <v>68156</v>
          </cell>
          <cell r="AB3042">
            <v>69683</v>
          </cell>
          <cell r="AC3042">
            <v>69071</v>
          </cell>
          <cell r="AD3042">
            <v>63199</v>
          </cell>
          <cell r="AE3042">
            <v>56059</v>
          </cell>
          <cell r="AF3042">
            <v>48253</v>
          </cell>
          <cell r="AG3042">
            <v>43739</v>
          </cell>
          <cell r="AH3042">
            <v>44499</v>
          </cell>
          <cell r="AI3042">
            <v>46732</v>
          </cell>
          <cell r="AJ3042">
            <v>39333</v>
          </cell>
        </row>
        <row r="3043">
          <cell r="E3043" t="str">
            <v>MI Industrial Wood</v>
          </cell>
          <cell r="F3043">
            <v>36025</v>
          </cell>
          <cell r="G3043">
            <v>37731</v>
          </cell>
          <cell r="H3043">
            <v>37401</v>
          </cell>
          <cell r="I3043">
            <v>40145</v>
          </cell>
          <cell r="J3043">
            <v>41755</v>
          </cell>
          <cell r="K3043">
            <v>43429</v>
          </cell>
          <cell r="L3043">
            <v>51508</v>
          </cell>
          <cell r="M3043">
            <v>49996</v>
          </cell>
          <cell r="N3043">
            <v>48099</v>
          </cell>
          <cell r="O3043">
            <v>49911</v>
          </cell>
          <cell r="P3043">
            <v>49261</v>
          </cell>
          <cell r="Q3043">
            <v>34121</v>
          </cell>
          <cell r="R3043">
            <v>24263</v>
          </cell>
          <cell r="S3043">
            <v>33948</v>
          </cell>
          <cell r="T3043">
            <v>35807</v>
          </cell>
          <cell r="U3043">
            <v>34683</v>
          </cell>
          <cell r="V3043">
            <v>32198</v>
          </cell>
          <cell r="W3043">
            <v>32614</v>
          </cell>
          <cell r="X3043">
            <v>33073</v>
          </cell>
          <cell r="Y3043">
            <v>30091</v>
          </cell>
          <cell r="Z3043">
            <v>37443</v>
          </cell>
          <cell r="AA3043">
            <v>45811</v>
          </cell>
          <cell r="AB3043">
            <v>46547</v>
          </cell>
          <cell r="AC3043">
            <v>47006</v>
          </cell>
          <cell r="AD3043">
            <v>46077</v>
          </cell>
          <cell r="AE3043">
            <v>43910</v>
          </cell>
          <cell r="AF3043">
            <v>42982</v>
          </cell>
          <cell r="AG3043">
            <v>38022</v>
          </cell>
          <cell r="AH3043">
            <v>38177</v>
          </cell>
          <cell r="AI3043">
            <v>38239</v>
          </cell>
          <cell r="AJ3043">
            <v>36677</v>
          </cell>
        </row>
        <row r="3044">
          <cell r="E3044" t="str">
            <v>MN Industrial Wood</v>
          </cell>
          <cell r="F3044">
            <v>25440</v>
          </cell>
          <cell r="G3044">
            <v>26058</v>
          </cell>
          <cell r="H3044">
            <v>28341</v>
          </cell>
          <cell r="I3044">
            <v>29479</v>
          </cell>
          <cell r="J3044">
            <v>31007</v>
          </cell>
          <cell r="K3044">
            <v>33253</v>
          </cell>
          <cell r="L3044">
            <v>31800</v>
          </cell>
          <cell r="M3044">
            <v>32437</v>
          </cell>
          <cell r="N3044">
            <v>30246</v>
          </cell>
          <cell r="O3044">
            <v>29918</v>
          </cell>
          <cell r="P3044">
            <v>32938</v>
          </cell>
          <cell r="Q3044">
            <v>36251</v>
          </cell>
          <cell r="R3044">
            <v>25175</v>
          </cell>
          <cell r="S3044">
            <v>19766</v>
          </cell>
          <cell r="T3044">
            <v>30909</v>
          </cell>
          <cell r="U3044">
            <v>31578</v>
          </cell>
          <cell r="V3044">
            <v>29157</v>
          </cell>
          <cell r="W3044">
            <v>29006</v>
          </cell>
          <cell r="X3044">
            <v>28385</v>
          </cell>
          <cell r="Y3044">
            <v>27161</v>
          </cell>
          <cell r="Z3044">
            <v>32397</v>
          </cell>
          <cell r="AA3044">
            <v>33332</v>
          </cell>
          <cell r="AB3044">
            <v>32434</v>
          </cell>
          <cell r="AC3044">
            <v>32164</v>
          </cell>
          <cell r="AD3044">
            <v>35078</v>
          </cell>
          <cell r="AE3044">
            <v>31355</v>
          </cell>
          <cell r="AF3044">
            <v>32085</v>
          </cell>
          <cell r="AG3044">
            <v>25191</v>
          </cell>
          <cell r="AH3044">
            <v>25647</v>
          </cell>
          <cell r="AI3044">
            <v>25840</v>
          </cell>
          <cell r="AJ3044">
            <v>25085</v>
          </cell>
        </row>
        <row r="3045">
          <cell r="E3045" t="str">
            <v>MO Industrial Wood</v>
          </cell>
          <cell r="F3045">
            <v>840</v>
          </cell>
          <cell r="G3045">
            <v>885</v>
          </cell>
          <cell r="H3045">
            <v>797</v>
          </cell>
          <cell r="I3045">
            <v>833</v>
          </cell>
          <cell r="J3045">
            <v>707</v>
          </cell>
          <cell r="K3045">
            <v>846</v>
          </cell>
          <cell r="L3045">
            <v>777</v>
          </cell>
          <cell r="M3045">
            <v>845</v>
          </cell>
          <cell r="N3045">
            <v>790</v>
          </cell>
          <cell r="O3045">
            <v>817</v>
          </cell>
          <cell r="P3045">
            <v>788</v>
          </cell>
          <cell r="Q3045">
            <v>5448</v>
          </cell>
          <cell r="R3045">
            <v>3741</v>
          </cell>
          <cell r="S3045">
            <v>3819</v>
          </cell>
          <cell r="T3045">
            <v>4051</v>
          </cell>
          <cell r="U3045">
            <v>4094</v>
          </cell>
          <cell r="V3045">
            <v>3219</v>
          </cell>
          <cell r="W3045">
            <v>3334</v>
          </cell>
          <cell r="X3045">
            <v>3266</v>
          </cell>
          <cell r="Y3045">
            <v>2891</v>
          </cell>
          <cell r="Z3045">
            <v>4782</v>
          </cell>
          <cell r="AA3045">
            <v>616</v>
          </cell>
          <cell r="AB3045">
            <v>614</v>
          </cell>
          <cell r="AC3045">
            <v>615</v>
          </cell>
          <cell r="AD3045">
            <v>631</v>
          </cell>
          <cell r="AE3045">
            <v>631</v>
          </cell>
          <cell r="AF3045">
            <v>631</v>
          </cell>
          <cell r="AG3045">
            <v>767</v>
          </cell>
          <cell r="AH3045">
            <v>764</v>
          </cell>
          <cell r="AI3045">
            <v>764</v>
          </cell>
          <cell r="AJ3045">
            <v>764</v>
          </cell>
        </row>
        <row r="3046">
          <cell r="E3046" t="str">
            <v>MS Industrial Wood</v>
          </cell>
          <cell r="F3046">
            <v>74315</v>
          </cell>
          <cell r="G3046">
            <v>78470</v>
          </cell>
          <cell r="H3046">
            <v>79270</v>
          </cell>
          <cell r="I3046">
            <v>83430</v>
          </cell>
          <cell r="J3046">
            <v>85407</v>
          </cell>
          <cell r="K3046">
            <v>84670</v>
          </cell>
          <cell r="L3046">
            <v>76215</v>
          </cell>
          <cell r="M3046">
            <v>78921</v>
          </cell>
          <cell r="N3046">
            <v>59374</v>
          </cell>
          <cell r="O3046">
            <v>60192</v>
          </cell>
          <cell r="P3046">
            <v>70228</v>
          </cell>
          <cell r="Q3046">
            <v>51763</v>
          </cell>
          <cell r="R3046">
            <v>45210</v>
          </cell>
          <cell r="S3046">
            <v>40553</v>
          </cell>
          <cell r="T3046">
            <v>56246</v>
          </cell>
          <cell r="U3046">
            <v>55921</v>
          </cell>
          <cell r="V3046">
            <v>56338</v>
          </cell>
          <cell r="W3046">
            <v>56272</v>
          </cell>
          <cell r="X3046">
            <v>38786</v>
          </cell>
          <cell r="Y3046">
            <v>37825</v>
          </cell>
          <cell r="Z3046">
            <v>48693</v>
          </cell>
          <cell r="AA3046">
            <v>49255</v>
          </cell>
          <cell r="AB3046">
            <v>62167</v>
          </cell>
          <cell r="AC3046">
            <v>49297</v>
          </cell>
          <cell r="AD3046">
            <v>50512</v>
          </cell>
          <cell r="AE3046">
            <v>49879</v>
          </cell>
          <cell r="AF3046">
            <v>49546</v>
          </cell>
          <cell r="AG3046">
            <v>44907</v>
          </cell>
          <cell r="AH3046">
            <v>45967</v>
          </cell>
          <cell r="AI3046">
            <v>44980</v>
          </cell>
          <cell r="AJ3046">
            <v>44502</v>
          </cell>
        </row>
        <row r="3047">
          <cell r="E3047" t="str">
            <v>MT Industrial Wood</v>
          </cell>
          <cell r="F3047">
            <v>8794</v>
          </cell>
          <cell r="G3047">
            <v>14234</v>
          </cell>
          <cell r="H3047">
            <v>6917</v>
          </cell>
          <cell r="I3047">
            <v>6791</v>
          </cell>
          <cell r="J3047">
            <v>7380</v>
          </cell>
          <cell r="K3047">
            <v>14148</v>
          </cell>
          <cell r="L3047">
            <v>13335</v>
          </cell>
          <cell r="M3047">
            <v>13685</v>
          </cell>
          <cell r="N3047">
            <v>12481</v>
          </cell>
          <cell r="O3047">
            <v>13041</v>
          </cell>
          <cell r="P3047">
            <v>12881</v>
          </cell>
          <cell r="Q3047">
            <v>10447</v>
          </cell>
          <cell r="R3047">
            <v>9526</v>
          </cell>
          <cell r="S3047">
            <v>10449</v>
          </cell>
          <cell r="T3047">
            <v>10997</v>
          </cell>
          <cell r="U3047">
            <v>10627</v>
          </cell>
          <cell r="V3047">
            <v>10511</v>
          </cell>
          <cell r="W3047">
            <v>12694</v>
          </cell>
          <cell r="X3047">
            <v>10404</v>
          </cell>
          <cell r="Y3047">
            <v>8602</v>
          </cell>
          <cell r="Z3047">
            <v>9212</v>
          </cell>
          <cell r="AA3047">
            <v>760</v>
          </cell>
          <cell r="AB3047">
            <v>760</v>
          </cell>
          <cell r="AC3047">
            <v>897</v>
          </cell>
          <cell r="AD3047">
            <v>1230</v>
          </cell>
          <cell r="AE3047">
            <v>1334</v>
          </cell>
          <cell r="AF3047">
            <v>1323</v>
          </cell>
          <cell r="AG3047">
            <v>1728</v>
          </cell>
          <cell r="AH3047">
            <v>1714</v>
          </cell>
          <cell r="AI3047">
            <v>1680</v>
          </cell>
          <cell r="AJ3047">
            <v>1705</v>
          </cell>
        </row>
        <row r="3048">
          <cell r="E3048" t="str">
            <v>NC Industrial Wood</v>
          </cell>
          <cell r="F3048">
            <v>78725</v>
          </cell>
          <cell r="G3048">
            <v>51666</v>
          </cell>
          <cell r="H3048">
            <v>75336</v>
          </cell>
          <cell r="I3048">
            <v>74364</v>
          </cell>
          <cell r="J3048">
            <v>77488</v>
          </cell>
          <cell r="K3048">
            <v>78153</v>
          </cell>
          <cell r="L3048">
            <v>76738</v>
          </cell>
          <cell r="M3048">
            <v>79098</v>
          </cell>
          <cell r="N3048">
            <v>75223</v>
          </cell>
          <cell r="O3048">
            <v>75923</v>
          </cell>
          <cell r="P3048">
            <v>77635</v>
          </cell>
          <cell r="Q3048">
            <v>79457</v>
          </cell>
          <cell r="R3048">
            <v>69957</v>
          </cell>
          <cell r="S3048">
            <v>87904</v>
          </cell>
          <cell r="T3048">
            <v>64283</v>
          </cell>
          <cell r="U3048">
            <v>64385</v>
          </cell>
          <cell r="V3048">
            <v>72108</v>
          </cell>
          <cell r="W3048">
            <v>54896</v>
          </cell>
          <cell r="X3048">
            <v>83011</v>
          </cell>
          <cell r="Y3048">
            <v>64810</v>
          </cell>
          <cell r="Z3048">
            <v>73925</v>
          </cell>
          <cell r="AA3048">
            <v>77848</v>
          </cell>
          <cell r="AB3048">
            <v>77125</v>
          </cell>
          <cell r="AC3048">
            <v>77825</v>
          </cell>
          <cell r="AD3048">
            <v>73893</v>
          </cell>
          <cell r="AE3048">
            <v>78904</v>
          </cell>
          <cell r="AF3048">
            <v>75082</v>
          </cell>
          <cell r="AG3048">
            <v>75575</v>
          </cell>
          <cell r="AH3048">
            <v>71866</v>
          </cell>
          <cell r="AI3048">
            <v>71728</v>
          </cell>
          <cell r="AJ3048">
            <v>75758</v>
          </cell>
        </row>
        <row r="3049">
          <cell r="E3049" t="str">
            <v>ND Industrial Wood</v>
          </cell>
          <cell r="F3049">
            <v>33</v>
          </cell>
          <cell r="G3049">
            <v>34</v>
          </cell>
          <cell r="H3049">
            <v>31</v>
          </cell>
          <cell r="I3049">
            <v>32</v>
          </cell>
          <cell r="J3049">
            <v>17</v>
          </cell>
          <cell r="K3049">
            <v>21</v>
          </cell>
          <cell r="L3049">
            <v>173</v>
          </cell>
          <cell r="M3049">
            <v>188</v>
          </cell>
          <cell r="N3049">
            <v>161</v>
          </cell>
          <cell r="O3049">
            <v>167</v>
          </cell>
          <cell r="P3049">
            <v>161</v>
          </cell>
          <cell r="Q3049">
            <v>261</v>
          </cell>
          <cell r="R3049">
            <v>147</v>
          </cell>
          <cell r="S3049">
            <v>150</v>
          </cell>
          <cell r="T3049">
            <v>160</v>
          </cell>
          <cell r="U3049">
            <v>161</v>
          </cell>
          <cell r="V3049">
            <v>84</v>
          </cell>
          <cell r="W3049">
            <v>87</v>
          </cell>
          <cell r="X3049">
            <v>84</v>
          </cell>
          <cell r="Y3049">
            <v>73</v>
          </cell>
          <cell r="Z3049">
            <v>125</v>
          </cell>
          <cell r="AA3049">
            <v>226</v>
          </cell>
          <cell r="AB3049">
            <v>226</v>
          </cell>
          <cell r="AC3049">
            <v>226</v>
          </cell>
          <cell r="AD3049">
            <v>269</v>
          </cell>
          <cell r="AE3049">
            <v>269</v>
          </cell>
          <cell r="AF3049">
            <v>269</v>
          </cell>
          <cell r="AG3049">
            <v>148</v>
          </cell>
          <cell r="AH3049">
            <v>178</v>
          </cell>
          <cell r="AI3049">
            <v>178</v>
          </cell>
          <cell r="AJ3049">
            <v>178</v>
          </cell>
        </row>
        <row r="3050">
          <cell r="E3050" t="str">
            <v>NE Industrial Wood</v>
          </cell>
          <cell r="F3050">
            <v>0</v>
          </cell>
          <cell r="G3050">
            <v>0</v>
          </cell>
          <cell r="H3050">
            <v>0</v>
          </cell>
          <cell r="I3050">
            <v>0</v>
          </cell>
          <cell r="J3050">
            <v>1</v>
          </cell>
          <cell r="K3050">
            <v>1</v>
          </cell>
          <cell r="L3050">
            <v>97</v>
          </cell>
          <cell r="M3050">
            <v>105</v>
          </cell>
          <cell r="N3050">
            <v>50</v>
          </cell>
          <cell r="O3050">
            <v>52</v>
          </cell>
          <cell r="P3050">
            <v>50</v>
          </cell>
          <cell r="Q3050">
            <v>175</v>
          </cell>
          <cell r="R3050">
            <v>72</v>
          </cell>
          <cell r="S3050">
            <v>73</v>
          </cell>
          <cell r="T3050">
            <v>78</v>
          </cell>
          <cell r="U3050">
            <v>79</v>
          </cell>
          <cell r="V3050">
            <v>162</v>
          </cell>
          <cell r="W3050">
            <v>168</v>
          </cell>
          <cell r="X3050">
            <v>161</v>
          </cell>
          <cell r="Y3050">
            <v>141</v>
          </cell>
          <cell r="Z3050">
            <v>241</v>
          </cell>
          <cell r="AA3050">
            <v>202</v>
          </cell>
          <cell r="AB3050">
            <v>202</v>
          </cell>
          <cell r="AC3050">
            <v>202</v>
          </cell>
          <cell r="AD3050">
            <v>206</v>
          </cell>
          <cell r="AE3050">
            <v>206</v>
          </cell>
          <cell r="AF3050">
            <v>206</v>
          </cell>
          <cell r="AG3050">
            <v>167</v>
          </cell>
          <cell r="AH3050">
            <v>167</v>
          </cell>
          <cell r="AI3050">
            <v>167</v>
          </cell>
          <cell r="AJ3050">
            <v>167</v>
          </cell>
        </row>
        <row r="3051">
          <cell r="E3051" t="str">
            <v>NH Industrial Wood</v>
          </cell>
          <cell r="F3051">
            <v>7633</v>
          </cell>
          <cell r="G3051">
            <v>4507</v>
          </cell>
          <cell r="H3051">
            <v>7491</v>
          </cell>
          <cell r="I3051">
            <v>6944</v>
          </cell>
          <cell r="J3051">
            <v>5410</v>
          </cell>
          <cell r="K3051">
            <v>6677</v>
          </cell>
          <cell r="L3051">
            <v>8627</v>
          </cell>
          <cell r="M3051">
            <v>7655</v>
          </cell>
          <cell r="N3051">
            <v>6331</v>
          </cell>
          <cell r="O3051">
            <v>6303</v>
          </cell>
          <cell r="P3051">
            <v>5711</v>
          </cell>
          <cell r="Q3051">
            <v>3407</v>
          </cell>
          <cell r="R3051">
            <v>1343</v>
          </cell>
          <cell r="S3051">
            <v>1325</v>
          </cell>
          <cell r="T3051">
            <v>6502</v>
          </cell>
          <cell r="U3051">
            <v>6686</v>
          </cell>
          <cell r="V3051">
            <v>1663</v>
          </cell>
          <cell r="W3051">
            <v>1619</v>
          </cell>
          <cell r="X3051">
            <v>1561</v>
          </cell>
          <cell r="Y3051">
            <v>1373</v>
          </cell>
          <cell r="Z3051">
            <v>2208</v>
          </cell>
          <cell r="AA3051">
            <v>1793</v>
          </cell>
          <cell r="AB3051">
            <v>1705</v>
          </cell>
          <cell r="AC3051">
            <v>1705</v>
          </cell>
          <cell r="AD3051">
            <v>1685</v>
          </cell>
          <cell r="AE3051">
            <v>1685</v>
          </cell>
          <cell r="AF3051">
            <v>1685</v>
          </cell>
          <cell r="AG3051">
            <v>2094</v>
          </cell>
          <cell r="AH3051">
            <v>2068</v>
          </cell>
          <cell r="AI3051">
            <v>2068</v>
          </cell>
          <cell r="AJ3051">
            <v>2068</v>
          </cell>
        </row>
        <row r="3052">
          <cell r="E3052" t="str">
            <v>NJ Industrial Wood</v>
          </cell>
          <cell r="F3052">
            <v>2980</v>
          </cell>
          <cell r="G3052">
            <v>3069</v>
          </cell>
          <cell r="H3052">
            <v>2764</v>
          </cell>
          <cell r="I3052">
            <v>2889</v>
          </cell>
          <cell r="J3052">
            <v>3161</v>
          </cell>
          <cell r="K3052">
            <v>3779</v>
          </cell>
          <cell r="L3052">
            <v>5313</v>
          </cell>
          <cell r="M3052">
            <v>5778</v>
          </cell>
          <cell r="N3052">
            <v>4858</v>
          </cell>
          <cell r="O3052">
            <v>5027</v>
          </cell>
          <cell r="P3052">
            <v>4847</v>
          </cell>
          <cell r="Q3052">
            <v>3160</v>
          </cell>
          <cell r="R3052">
            <v>2045</v>
          </cell>
          <cell r="S3052">
            <v>2088</v>
          </cell>
          <cell r="T3052">
            <v>2215</v>
          </cell>
          <cell r="U3052">
            <v>2239</v>
          </cell>
          <cell r="V3052">
            <v>3381</v>
          </cell>
          <cell r="W3052">
            <v>3502</v>
          </cell>
          <cell r="X3052">
            <v>3361</v>
          </cell>
          <cell r="Y3052">
            <v>2943</v>
          </cell>
          <cell r="Z3052">
            <v>5017</v>
          </cell>
          <cell r="AA3052">
            <v>2852</v>
          </cell>
          <cell r="AB3052">
            <v>2852</v>
          </cell>
          <cell r="AC3052">
            <v>2852</v>
          </cell>
          <cell r="AD3052">
            <v>2780</v>
          </cell>
          <cell r="AE3052">
            <v>2780</v>
          </cell>
          <cell r="AF3052">
            <v>2780</v>
          </cell>
          <cell r="AG3052">
            <v>225</v>
          </cell>
          <cell r="AH3052">
            <v>249</v>
          </cell>
          <cell r="AI3052">
            <v>249</v>
          </cell>
          <cell r="AJ3052">
            <v>249</v>
          </cell>
        </row>
        <row r="3053">
          <cell r="E3053" t="str">
            <v>NM Industrial Wood</v>
          </cell>
          <cell r="F3053">
            <v>238</v>
          </cell>
          <cell r="G3053">
            <v>251</v>
          </cell>
          <cell r="H3053">
            <v>226</v>
          </cell>
          <cell r="I3053">
            <v>236</v>
          </cell>
          <cell r="J3053">
            <v>239</v>
          </cell>
          <cell r="K3053">
            <v>286</v>
          </cell>
          <cell r="L3053">
            <v>193</v>
          </cell>
          <cell r="M3053">
            <v>210</v>
          </cell>
          <cell r="N3053">
            <v>178</v>
          </cell>
          <cell r="O3053">
            <v>185</v>
          </cell>
          <cell r="P3053">
            <v>178</v>
          </cell>
          <cell r="Q3053">
            <v>348</v>
          </cell>
          <cell r="R3053">
            <v>238</v>
          </cell>
          <cell r="S3053">
            <v>243</v>
          </cell>
          <cell r="T3053">
            <v>258</v>
          </cell>
          <cell r="U3053">
            <v>260</v>
          </cell>
          <cell r="V3053">
            <v>362</v>
          </cell>
          <cell r="W3053">
            <v>375</v>
          </cell>
          <cell r="X3053">
            <v>360</v>
          </cell>
          <cell r="Y3053">
            <v>315</v>
          </cell>
          <cell r="Z3053">
            <v>538</v>
          </cell>
          <cell r="AA3053">
            <v>35</v>
          </cell>
          <cell r="AB3053">
            <v>35</v>
          </cell>
          <cell r="AC3053">
            <v>35</v>
          </cell>
          <cell r="AD3053">
            <v>36</v>
          </cell>
          <cell r="AE3053">
            <v>36</v>
          </cell>
          <cell r="AF3053">
            <v>36</v>
          </cell>
          <cell r="AG3053">
            <v>18</v>
          </cell>
          <cell r="AH3053">
            <v>18</v>
          </cell>
          <cell r="AI3053">
            <v>18</v>
          </cell>
          <cell r="AJ3053">
            <v>18</v>
          </cell>
        </row>
        <row r="3054">
          <cell r="E3054" t="str">
            <v>NV Industrial Wood</v>
          </cell>
          <cell r="F3054">
            <v>0</v>
          </cell>
          <cell r="G3054">
            <v>0</v>
          </cell>
          <cell r="H3054">
            <v>0</v>
          </cell>
          <cell r="I3054">
            <v>0</v>
          </cell>
          <cell r="J3054">
            <v>0</v>
          </cell>
          <cell r="K3054">
            <v>0</v>
          </cell>
          <cell r="L3054">
            <v>227</v>
          </cell>
          <cell r="M3054">
            <v>247</v>
          </cell>
          <cell r="N3054">
            <v>205</v>
          </cell>
          <cell r="O3054">
            <v>212</v>
          </cell>
          <cell r="P3054">
            <v>205</v>
          </cell>
          <cell r="Q3054">
            <v>755</v>
          </cell>
          <cell r="R3054">
            <v>492</v>
          </cell>
          <cell r="S3054">
            <v>502</v>
          </cell>
          <cell r="T3054">
            <v>533</v>
          </cell>
          <cell r="U3054">
            <v>539</v>
          </cell>
          <cell r="V3054">
            <v>345</v>
          </cell>
          <cell r="W3054">
            <v>358</v>
          </cell>
          <cell r="X3054">
            <v>343</v>
          </cell>
          <cell r="Y3054">
            <v>300</v>
          </cell>
          <cell r="Z3054">
            <v>512</v>
          </cell>
          <cell r="AA3054">
            <v>151</v>
          </cell>
          <cell r="AB3054">
            <v>151</v>
          </cell>
          <cell r="AC3054">
            <v>151</v>
          </cell>
          <cell r="AD3054">
            <v>155</v>
          </cell>
          <cell r="AE3054">
            <v>155</v>
          </cell>
          <cell r="AF3054">
            <v>155</v>
          </cell>
          <cell r="AG3054">
            <v>115</v>
          </cell>
          <cell r="AH3054">
            <v>114</v>
          </cell>
          <cell r="AI3054">
            <v>114</v>
          </cell>
          <cell r="AJ3054">
            <v>114</v>
          </cell>
        </row>
        <row r="3055">
          <cell r="E3055" t="str">
            <v>NY Industrial Wood</v>
          </cell>
          <cell r="F3055">
            <v>25566</v>
          </cell>
          <cell r="G3055">
            <v>19760</v>
          </cell>
          <cell r="H3055">
            <v>19166</v>
          </cell>
          <cell r="I3055">
            <v>18830</v>
          </cell>
          <cell r="J3055">
            <v>20006</v>
          </cell>
          <cell r="K3055">
            <v>19716</v>
          </cell>
          <cell r="L3055">
            <v>30650</v>
          </cell>
          <cell r="M3055">
            <v>33071</v>
          </cell>
          <cell r="N3055">
            <v>27574</v>
          </cell>
          <cell r="O3055">
            <v>29029</v>
          </cell>
          <cell r="P3055">
            <v>30877</v>
          </cell>
          <cell r="Q3055">
            <v>17164</v>
          </cell>
          <cell r="R3055">
            <v>13515</v>
          </cell>
          <cell r="S3055">
            <v>13387</v>
          </cell>
          <cell r="T3055">
            <v>16746</v>
          </cell>
          <cell r="U3055">
            <v>16442</v>
          </cell>
          <cell r="V3055">
            <v>15424</v>
          </cell>
          <cell r="W3055">
            <v>14698</v>
          </cell>
          <cell r="X3055">
            <v>12270</v>
          </cell>
          <cell r="Y3055">
            <v>11570</v>
          </cell>
          <cell r="Z3055">
            <v>16367</v>
          </cell>
          <cell r="AA3055">
            <v>18494</v>
          </cell>
          <cell r="AB3055">
            <v>19069</v>
          </cell>
          <cell r="AC3055">
            <v>18782</v>
          </cell>
          <cell r="AD3055">
            <v>18592</v>
          </cell>
          <cell r="AE3055">
            <v>18513</v>
          </cell>
          <cell r="AF3055">
            <v>18723</v>
          </cell>
          <cell r="AG3055">
            <v>18506</v>
          </cell>
          <cell r="AH3055">
            <v>18336</v>
          </cell>
          <cell r="AI3055">
            <v>18644</v>
          </cell>
          <cell r="AJ3055">
            <v>17965</v>
          </cell>
        </row>
        <row r="3056">
          <cell r="E3056" t="str">
            <v>OH Industrial Wood</v>
          </cell>
          <cell r="F3056">
            <v>22804</v>
          </cell>
          <cell r="G3056">
            <v>25949</v>
          </cell>
          <cell r="H3056">
            <v>19891</v>
          </cell>
          <cell r="I3056">
            <v>18320</v>
          </cell>
          <cell r="J3056">
            <v>44507</v>
          </cell>
          <cell r="K3056">
            <v>40847</v>
          </cell>
          <cell r="L3056">
            <v>48842</v>
          </cell>
          <cell r="M3056">
            <v>50055</v>
          </cell>
          <cell r="N3056">
            <v>45775</v>
          </cell>
          <cell r="O3056">
            <v>52282</v>
          </cell>
          <cell r="P3056">
            <v>55120</v>
          </cell>
          <cell r="Q3056">
            <v>24338</v>
          </cell>
          <cell r="R3056">
            <v>10499</v>
          </cell>
          <cell r="S3056">
            <v>18651</v>
          </cell>
          <cell r="T3056">
            <v>19532</v>
          </cell>
          <cell r="U3056">
            <v>19939</v>
          </cell>
          <cell r="V3056">
            <v>20198</v>
          </cell>
          <cell r="W3056">
            <v>20163</v>
          </cell>
          <cell r="X3056">
            <v>20023</v>
          </cell>
          <cell r="Y3056">
            <v>18594</v>
          </cell>
          <cell r="Z3056">
            <v>23391</v>
          </cell>
          <cell r="AA3056">
            <v>21371</v>
          </cell>
          <cell r="AB3056">
            <v>20362</v>
          </cell>
          <cell r="AC3056">
            <v>20770</v>
          </cell>
          <cell r="AD3056">
            <v>20741</v>
          </cell>
          <cell r="AE3056">
            <v>19724</v>
          </cell>
          <cell r="AF3056">
            <v>18639</v>
          </cell>
          <cell r="AG3056">
            <v>14603</v>
          </cell>
          <cell r="AH3056">
            <v>13131</v>
          </cell>
          <cell r="AI3056">
            <v>13397</v>
          </cell>
          <cell r="AJ3056">
            <v>13573</v>
          </cell>
        </row>
        <row r="3057">
          <cell r="E3057" t="str">
            <v>OK Industrial Wood</v>
          </cell>
          <cell r="F3057">
            <v>16403</v>
          </cell>
          <cell r="G3057">
            <v>15848</v>
          </cell>
          <cell r="H3057">
            <v>14170</v>
          </cell>
          <cell r="I3057">
            <v>15321</v>
          </cell>
          <cell r="J3057">
            <v>16698</v>
          </cell>
          <cell r="K3057">
            <v>17101</v>
          </cell>
          <cell r="L3057">
            <v>21416</v>
          </cell>
          <cell r="M3057">
            <v>21292</v>
          </cell>
          <cell r="N3057">
            <v>21129</v>
          </cell>
          <cell r="O3057">
            <v>19066</v>
          </cell>
          <cell r="P3057">
            <v>20205</v>
          </cell>
          <cell r="Q3057">
            <v>20532</v>
          </cell>
          <cell r="R3057">
            <v>17025</v>
          </cell>
          <cell r="S3057">
            <v>19366</v>
          </cell>
          <cell r="T3057">
            <v>20932</v>
          </cell>
          <cell r="U3057">
            <v>21094</v>
          </cell>
          <cell r="V3057">
            <v>21528</v>
          </cell>
          <cell r="W3057">
            <v>20475</v>
          </cell>
          <cell r="X3057">
            <v>4988</v>
          </cell>
          <cell r="Y3057">
            <v>5769</v>
          </cell>
          <cell r="Z3057">
            <v>17580</v>
          </cell>
          <cell r="AA3057">
            <v>17997</v>
          </cell>
          <cell r="AB3057">
            <v>19248</v>
          </cell>
          <cell r="AC3057">
            <v>18464</v>
          </cell>
          <cell r="AD3057">
            <v>18369</v>
          </cell>
          <cell r="AE3057">
            <v>17686</v>
          </cell>
          <cell r="AF3057">
            <v>18643</v>
          </cell>
          <cell r="AG3057">
            <v>24951</v>
          </cell>
          <cell r="AH3057">
            <v>25184</v>
          </cell>
          <cell r="AI3057">
            <v>23487</v>
          </cell>
          <cell r="AJ3057">
            <v>25366</v>
          </cell>
        </row>
        <row r="3058">
          <cell r="E3058" t="str">
            <v>OR Industrial Wood</v>
          </cell>
          <cell r="F3058">
            <v>40184</v>
          </cell>
          <cell r="G3058">
            <v>38110</v>
          </cell>
          <cell r="H3058">
            <v>28702</v>
          </cell>
          <cell r="I3058">
            <v>24752</v>
          </cell>
          <cell r="J3058">
            <v>26056</v>
          </cell>
          <cell r="K3058">
            <v>25790</v>
          </cell>
          <cell r="L3058">
            <v>31936</v>
          </cell>
          <cell r="M3058">
            <v>34372</v>
          </cell>
          <cell r="N3058">
            <v>29021</v>
          </cell>
          <cell r="O3058">
            <v>25212</v>
          </cell>
          <cell r="P3058">
            <v>28704</v>
          </cell>
          <cell r="Q3058">
            <v>28743</v>
          </cell>
          <cell r="R3058">
            <v>23111</v>
          </cell>
          <cell r="S3058">
            <v>17260</v>
          </cell>
          <cell r="T3058">
            <v>25254</v>
          </cell>
          <cell r="U3058">
            <v>25760</v>
          </cell>
          <cell r="V3058">
            <v>26402</v>
          </cell>
          <cell r="W3058">
            <v>27356</v>
          </cell>
          <cell r="X3058">
            <v>23624</v>
          </cell>
          <cell r="Y3058">
            <v>22636</v>
          </cell>
          <cell r="Z3058">
            <v>27155</v>
          </cell>
          <cell r="AA3058">
            <v>26813</v>
          </cell>
          <cell r="AB3058">
            <v>32644</v>
          </cell>
          <cell r="AC3058">
            <v>37489</v>
          </cell>
          <cell r="AD3058">
            <v>36593</v>
          </cell>
          <cell r="AE3058">
            <v>41433</v>
          </cell>
          <cell r="AF3058">
            <v>37192</v>
          </cell>
          <cell r="AG3058">
            <v>42094</v>
          </cell>
          <cell r="AH3058">
            <v>41316</v>
          </cell>
          <cell r="AI3058">
            <v>39632</v>
          </cell>
          <cell r="AJ3058">
            <v>40384</v>
          </cell>
        </row>
        <row r="3059">
          <cell r="E3059" t="str">
            <v>PA Industrial Wood</v>
          </cell>
          <cell r="F3059">
            <v>23130</v>
          </cell>
          <cell r="G3059">
            <v>23420</v>
          </cell>
          <cell r="H3059">
            <v>23328</v>
          </cell>
          <cell r="I3059">
            <v>23471</v>
          </cell>
          <cell r="J3059">
            <v>26354</v>
          </cell>
          <cell r="K3059">
            <v>31713</v>
          </cell>
          <cell r="L3059">
            <v>35892</v>
          </cell>
          <cell r="M3059">
            <v>39678</v>
          </cell>
          <cell r="N3059">
            <v>34671</v>
          </cell>
          <cell r="O3059">
            <v>36496</v>
          </cell>
          <cell r="P3059">
            <v>35335</v>
          </cell>
          <cell r="Q3059">
            <v>34954</v>
          </cell>
          <cell r="R3059">
            <v>29380</v>
          </cell>
          <cell r="S3059">
            <v>30263</v>
          </cell>
          <cell r="T3059">
            <v>31345</v>
          </cell>
          <cell r="U3059">
            <v>31639</v>
          </cell>
          <cell r="V3059">
            <v>28679</v>
          </cell>
          <cell r="W3059">
            <v>28724</v>
          </cell>
          <cell r="X3059">
            <v>28577</v>
          </cell>
          <cell r="Y3059">
            <v>26979</v>
          </cell>
          <cell r="Z3059">
            <v>36137</v>
          </cell>
          <cell r="AA3059">
            <v>42034</v>
          </cell>
          <cell r="AB3059">
            <v>42990</v>
          </cell>
          <cell r="AC3059">
            <v>47707</v>
          </cell>
          <cell r="AD3059">
            <v>43431</v>
          </cell>
          <cell r="AE3059">
            <v>41762</v>
          </cell>
          <cell r="AF3059">
            <v>43455</v>
          </cell>
          <cell r="AG3059">
            <v>43381</v>
          </cell>
          <cell r="AH3059">
            <v>40861</v>
          </cell>
          <cell r="AI3059">
            <v>39650</v>
          </cell>
          <cell r="AJ3059">
            <v>39502</v>
          </cell>
        </row>
        <row r="3060">
          <cell r="E3060" t="str">
            <v>RI Industrial Wood</v>
          </cell>
          <cell r="F3060">
            <v>0</v>
          </cell>
          <cell r="G3060">
            <v>0</v>
          </cell>
          <cell r="H3060">
            <v>0</v>
          </cell>
          <cell r="I3060">
            <v>0</v>
          </cell>
          <cell r="J3060">
            <v>36</v>
          </cell>
          <cell r="K3060">
            <v>43</v>
          </cell>
          <cell r="L3060">
            <v>73</v>
          </cell>
          <cell r="M3060">
            <v>79</v>
          </cell>
          <cell r="N3060">
            <v>137</v>
          </cell>
          <cell r="O3060">
            <v>141</v>
          </cell>
          <cell r="P3060">
            <v>136</v>
          </cell>
          <cell r="Q3060">
            <v>139</v>
          </cell>
          <cell r="R3060">
            <v>34</v>
          </cell>
          <cell r="S3060">
            <v>35</v>
          </cell>
          <cell r="T3060">
            <v>37</v>
          </cell>
          <cell r="U3060">
            <v>37</v>
          </cell>
          <cell r="V3060">
            <v>52</v>
          </cell>
          <cell r="W3060">
            <v>54</v>
          </cell>
          <cell r="X3060">
            <v>52</v>
          </cell>
          <cell r="Y3060">
            <v>46</v>
          </cell>
          <cell r="Z3060">
            <v>78</v>
          </cell>
          <cell r="AA3060">
            <v>33</v>
          </cell>
          <cell r="AB3060">
            <v>33</v>
          </cell>
          <cell r="AC3060">
            <v>33</v>
          </cell>
          <cell r="AD3060">
            <v>45</v>
          </cell>
          <cell r="AE3060">
            <v>45</v>
          </cell>
          <cell r="AF3060">
            <v>45</v>
          </cell>
          <cell r="AG3060">
            <v>53</v>
          </cell>
          <cell r="AH3060">
            <v>75</v>
          </cell>
          <cell r="AI3060">
            <v>75</v>
          </cell>
          <cell r="AJ3060">
            <v>75</v>
          </cell>
        </row>
        <row r="3061">
          <cell r="E3061" t="str">
            <v>SC Industrial Wood</v>
          </cell>
          <cell r="F3061">
            <v>62047</v>
          </cell>
          <cell r="G3061">
            <v>64946</v>
          </cell>
          <cell r="H3061">
            <v>65803</v>
          </cell>
          <cell r="I3061">
            <v>65822</v>
          </cell>
          <cell r="J3061">
            <v>67593</v>
          </cell>
          <cell r="K3061">
            <v>73193</v>
          </cell>
          <cell r="L3061">
            <v>83133</v>
          </cell>
          <cell r="M3061">
            <v>87595</v>
          </cell>
          <cell r="N3061">
            <v>80792</v>
          </cell>
          <cell r="O3061">
            <v>67253</v>
          </cell>
          <cell r="P3061">
            <v>64095</v>
          </cell>
          <cell r="Q3061">
            <v>49400</v>
          </cell>
          <cell r="R3061">
            <v>59784</v>
          </cell>
          <cell r="S3061">
            <v>58285</v>
          </cell>
          <cell r="T3061">
            <v>61640</v>
          </cell>
          <cell r="U3061">
            <v>61256</v>
          </cell>
          <cell r="V3061">
            <v>66560</v>
          </cell>
          <cell r="W3061">
            <v>65338</v>
          </cell>
          <cell r="X3061">
            <v>65822</v>
          </cell>
          <cell r="Y3061">
            <v>63777</v>
          </cell>
          <cell r="Z3061">
            <v>75854</v>
          </cell>
          <cell r="AA3061">
            <v>84827</v>
          </cell>
          <cell r="AB3061">
            <v>86095</v>
          </cell>
          <cell r="AC3061">
            <v>82825</v>
          </cell>
          <cell r="AD3061">
            <v>87103</v>
          </cell>
          <cell r="AE3061">
            <v>81572</v>
          </cell>
          <cell r="AF3061">
            <v>82423</v>
          </cell>
          <cell r="AG3061">
            <v>85692</v>
          </cell>
          <cell r="AH3061">
            <v>83761</v>
          </cell>
          <cell r="AI3061">
            <v>82863</v>
          </cell>
          <cell r="AJ3061">
            <v>79016</v>
          </cell>
        </row>
        <row r="3062">
          <cell r="E3062" t="str">
            <v>SD Industrial Wood</v>
          </cell>
          <cell r="F3062">
            <v>223</v>
          </cell>
          <cell r="G3062">
            <v>235</v>
          </cell>
          <cell r="H3062">
            <v>212</v>
          </cell>
          <cell r="I3062">
            <v>221</v>
          </cell>
          <cell r="J3062">
            <v>223</v>
          </cell>
          <cell r="K3062">
            <v>266</v>
          </cell>
          <cell r="L3062">
            <v>287</v>
          </cell>
          <cell r="M3062">
            <v>313</v>
          </cell>
          <cell r="N3062">
            <v>271</v>
          </cell>
          <cell r="O3062">
            <v>280</v>
          </cell>
          <cell r="P3062">
            <v>270</v>
          </cell>
          <cell r="Q3062">
            <v>307</v>
          </cell>
          <cell r="R3062">
            <v>167</v>
          </cell>
          <cell r="S3062">
            <v>171</v>
          </cell>
          <cell r="T3062">
            <v>181</v>
          </cell>
          <cell r="U3062">
            <v>183</v>
          </cell>
          <cell r="V3062">
            <v>204</v>
          </cell>
          <cell r="W3062">
            <v>212</v>
          </cell>
          <cell r="X3062">
            <v>203</v>
          </cell>
          <cell r="Y3062">
            <v>178</v>
          </cell>
          <cell r="Z3062">
            <v>303</v>
          </cell>
          <cell r="AA3062">
            <v>222</v>
          </cell>
          <cell r="AB3062">
            <v>222</v>
          </cell>
          <cell r="AC3062">
            <v>222</v>
          </cell>
          <cell r="AD3062">
            <v>228</v>
          </cell>
          <cell r="AE3062">
            <v>228</v>
          </cell>
          <cell r="AF3062">
            <v>228</v>
          </cell>
          <cell r="AG3062">
            <v>295</v>
          </cell>
          <cell r="AH3062">
            <v>319</v>
          </cell>
          <cell r="AI3062">
            <v>319</v>
          </cell>
          <cell r="AJ3062">
            <v>989</v>
          </cell>
        </row>
        <row r="3063">
          <cell r="E3063" t="str">
            <v>TN Industrial Wood</v>
          </cell>
          <cell r="F3063">
            <v>23815</v>
          </cell>
          <cell r="G3063">
            <v>27904</v>
          </cell>
          <cell r="H3063">
            <v>27295</v>
          </cell>
          <cell r="I3063">
            <v>26083</v>
          </cell>
          <cell r="J3063">
            <v>28225</v>
          </cell>
          <cell r="K3063">
            <v>32355</v>
          </cell>
          <cell r="L3063">
            <v>26485</v>
          </cell>
          <cell r="M3063">
            <v>26729</v>
          </cell>
          <cell r="N3063">
            <v>27937</v>
          </cell>
          <cell r="O3063">
            <v>31523</v>
          </cell>
          <cell r="P3063">
            <v>35298</v>
          </cell>
          <cell r="Q3063">
            <v>49704</v>
          </cell>
          <cell r="R3063">
            <v>48805</v>
          </cell>
          <cell r="S3063">
            <v>42948</v>
          </cell>
          <cell r="T3063">
            <v>56302</v>
          </cell>
          <cell r="U3063">
            <v>43780</v>
          </cell>
          <cell r="V3063">
            <v>39075</v>
          </cell>
          <cell r="W3063">
            <v>36565</v>
          </cell>
          <cell r="X3063">
            <v>45782</v>
          </cell>
          <cell r="Y3063">
            <v>39976</v>
          </cell>
          <cell r="Z3063">
            <v>46756</v>
          </cell>
          <cell r="AA3063">
            <v>46059</v>
          </cell>
          <cell r="AB3063">
            <v>51407</v>
          </cell>
          <cell r="AC3063">
            <v>50639</v>
          </cell>
          <cell r="AD3063">
            <v>53182</v>
          </cell>
          <cell r="AE3063">
            <v>52691</v>
          </cell>
          <cell r="AF3063">
            <v>50608</v>
          </cell>
          <cell r="AG3063">
            <v>46408</v>
          </cell>
          <cell r="AH3063">
            <v>47954</v>
          </cell>
          <cell r="AI3063">
            <v>44291</v>
          </cell>
          <cell r="AJ3063">
            <v>39355</v>
          </cell>
        </row>
        <row r="3064">
          <cell r="E3064" t="str">
            <v>TX Industrial Wood</v>
          </cell>
          <cell r="F3064">
            <v>61469</v>
          </cell>
          <cell r="G3064">
            <v>61120</v>
          </cell>
          <cell r="H3064">
            <v>68490</v>
          </cell>
          <cell r="I3064">
            <v>69712</v>
          </cell>
          <cell r="J3064">
            <v>69717</v>
          </cell>
          <cell r="K3064">
            <v>75013</v>
          </cell>
          <cell r="L3064">
            <v>73855</v>
          </cell>
          <cell r="M3064">
            <v>82564</v>
          </cell>
          <cell r="N3064">
            <v>74732</v>
          </cell>
          <cell r="O3064">
            <v>59243</v>
          </cell>
          <cell r="P3064">
            <v>60552</v>
          </cell>
          <cell r="Q3064">
            <v>49712</v>
          </cell>
          <cell r="R3064">
            <v>57193</v>
          </cell>
          <cell r="S3064">
            <v>55092</v>
          </cell>
          <cell r="T3064">
            <v>51539</v>
          </cell>
          <cell r="U3064">
            <v>50802</v>
          </cell>
          <cell r="V3064">
            <v>50075</v>
          </cell>
          <cell r="W3064">
            <v>52995</v>
          </cell>
          <cell r="X3064">
            <v>65647</v>
          </cell>
          <cell r="Y3064">
            <v>39646</v>
          </cell>
          <cell r="Z3064">
            <v>54265</v>
          </cell>
          <cell r="AA3064">
            <v>53290</v>
          </cell>
          <cell r="AB3064">
            <v>51884</v>
          </cell>
          <cell r="AC3064">
            <v>53353</v>
          </cell>
          <cell r="AD3064">
            <v>50272</v>
          </cell>
          <cell r="AE3064">
            <v>47848</v>
          </cell>
          <cell r="AF3064">
            <v>48813</v>
          </cell>
          <cell r="AG3064">
            <v>52044</v>
          </cell>
          <cell r="AH3064">
            <v>54040</v>
          </cell>
          <cell r="AI3064">
            <v>54792</v>
          </cell>
          <cell r="AJ3064">
            <v>51272</v>
          </cell>
        </row>
        <row r="3065">
          <cell r="E3065" t="str">
            <v>US Industrial Wood</v>
          </cell>
          <cell r="F3065">
            <v>1441912</v>
          </cell>
          <cell r="G3065">
            <v>1409847</v>
          </cell>
          <cell r="H3065">
            <v>1461223</v>
          </cell>
          <cell r="I3065">
            <v>1484345</v>
          </cell>
          <cell r="J3065">
            <v>1579770</v>
          </cell>
          <cell r="K3065">
            <v>1652078</v>
          </cell>
          <cell r="L3065">
            <v>1683499</v>
          </cell>
          <cell r="M3065">
            <v>1730613</v>
          </cell>
          <cell r="N3065">
            <v>1603440</v>
          </cell>
          <cell r="O3065">
            <v>1619520</v>
          </cell>
          <cell r="P3065">
            <v>1635925</v>
          </cell>
          <cell r="Q3065">
            <v>1442644</v>
          </cell>
          <cell r="R3065">
            <v>1396434</v>
          </cell>
          <cell r="S3065">
            <v>1363315</v>
          </cell>
          <cell r="T3065">
            <v>1475735</v>
          </cell>
          <cell r="U3065">
            <v>1451729</v>
          </cell>
          <cell r="V3065">
            <v>1472398</v>
          </cell>
          <cell r="W3065">
            <v>1413023</v>
          </cell>
          <cell r="X3065">
            <v>1338734</v>
          </cell>
          <cell r="Y3065">
            <v>1178370</v>
          </cell>
          <cell r="Z3065">
            <v>1409000</v>
          </cell>
          <cell r="AA3065">
            <v>1437638</v>
          </cell>
          <cell r="AB3065">
            <v>1462245</v>
          </cell>
          <cell r="AC3065">
            <v>1489011</v>
          </cell>
          <cell r="AD3065">
            <v>1495000</v>
          </cell>
          <cell r="AE3065">
            <v>1475888</v>
          </cell>
          <cell r="AF3065">
            <v>1473776</v>
          </cell>
          <cell r="AG3065">
            <v>1442324</v>
          </cell>
          <cell r="AH3065">
            <v>1432000</v>
          </cell>
          <cell r="AI3065">
            <v>1406983</v>
          </cell>
          <cell r="AJ3065">
            <v>1355558</v>
          </cell>
        </row>
        <row r="3066">
          <cell r="E3066" t="str">
            <v>UT Industrial Wood</v>
          </cell>
          <cell r="F3066">
            <v>130</v>
          </cell>
          <cell r="G3066">
            <v>137</v>
          </cell>
          <cell r="H3066">
            <v>123</v>
          </cell>
          <cell r="I3066">
            <v>129</v>
          </cell>
          <cell r="J3066">
            <v>124</v>
          </cell>
          <cell r="K3066">
            <v>148</v>
          </cell>
          <cell r="L3066">
            <v>195</v>
          </cell>
          <cell r="M3066">
            <v>212</v>
          </cell>
          <cell r="N3066">
            <v>190</v>
          </cell>
          <cell r="O3066">
            <v>196</v>
          </cell>
          <cell r="P3066">
            <v>189</v>
          </cell>
          <cell r="Q3066">
            <v>238</v>
          </cell>
          <cell r="R3066">
            <v>130</v>
          </cell>
          <cell r="S3066">
            <v>133</v>
          </cell>
          <cell r="T3066">
            <v>141</v>
          </cell>
          <cell r="U3066">
            <v>142</v>
          </cell>
          <cell r="V3066">
            <v>198</v>
          </cell>
          <cell r="W3066">
            <v>205</v>
          </cell>
          <cell r="X3066">
            <v>197</v>
          </cell>
          <cell r="Y3066">
            <v>172</v>
          </cell>
          <cell r="Z3066">
            <v>294</v>
          </cell>
          <cell r="AA3066">
            <v>183</v>
          </cell>
          <cell r="AB3066">
            <v>183</v>
          </cell>
          <cell r="AC3066">
            <v>183</v>
          </cell>
          <cell r="AD3066">
            <v>188</v>
          </cell>
          <cell r="AE3066">
            <v>188</v>
          </cell>
          <cell r="AF3066">
            <v>188</v>
          </cell>
          <cell r="AG3066">
            <v>154</v>
          </cell>
          <cell r="AH3066">
            <v>154</v>
          </cell>
          <cell r="AI3066">
            <v>154</v>
          </cell>
          <cell r="AJ3066">
            <v>154</v>
          </cell>
        </row>
        <row r="3067">
          <cell r="E3067" t="str">
            <v>VA Industrial Wood</v>
          </cell>
          <cell r="F3067">
            <v>65051</v>
          </cell>
          <cell r="G3067">
            <v>67954</v>
          </cell>
          <cell r="H3067">
            <v>69755</v>
          </cell>
          <cell r="I3067">
            <v>71641</v>
          </cell>
          <cell r="J3067">
            <v>75198</v>
          </cell>
          <cell r="K3067">
            <v>79317</v>
          </cell>
          <cell r="L3067">
            <v>79266</v>
          </cell>
          <cell r="M3067">
            <v>74251</v>
          </cell>
          <cell r="N3067">
            <v>73993</v>
          </cell>
          <cell r="O3067">
            <v>75758</v>
          </cell>
          <cell r="P3067">
            <v>76269</v>
          </cell>
          <cell r="Q3067">
            <v>59419</v>
          </cell>
          <cell r="R3067">
            <v>39893</v>
          </cell>
          <cell r="S3067">
            <v>55154</v>
          </cell>
          <cell r="T3067">
            <v>60648</v>
          </cell>
          <cell r="U3067">
            <v>69977</v>
          </cell>
          <cell r="V3067">
            <v>65708</v>
          </cell>
          <cell r="W3067">
            <v>62876</v>
          </cell>
          <cell r="X3067">
            <v>62210</v>
          </cell>
          <cell r="Y3067">
            <v>56583</v>
          </cell>
          <cell r="Z3067">
            <v>49892</v>
          </cell>
          <cell r="AA3067">
            <v>48460</v>
          </cell>
          <cell r="AB3067">
            <v>49303</v>
          </cell>
          <cell r="AC3067">
            <v>52779</v>
          </cell>
          <cell r="AD3067">
            <v>57137</v>
          </cell>
          <cell r="AE3067">
            <v>60396</v>
          </cell>
          <cell r="AF3067">
            <v>56575</v>
          </cell>
          <cell r="AG3067">
            <v>61264</v>
          </cell>
          <cell r="AH3067">
            <v>60292</v>
          </cell>
          <cell r="AI3067">
            <v>56973</v>
          </cell>
          <cell r="AJ3067">
            <v>56924</v>
          </cell>
        </row>
        <row r="3068">
          <cell r="E3068" t="str">
            <v>VT Industrial Wood</v>
          </cell>
          <cell r="F3068">
            <v>1957</v>
          </cell>
          <cell r="G3068">
            <v>2733</v>
          </cell>
          <cell r="H3068">
            <v>2535</v>
          </cell>
          <cell r="I3068">
            <v>2559</v>
          </cell>
          <cell r="J3068">
            <v>2749</v>
          </cell>
          <cell r="K3068">
            <v>3039</v>
          </cell>
          <cell r="L3068">
            <v>2822</v>
          </cell>
          <cell r="M3068">
            <v>3136</v>
          </cell>
          <cell r="N3068">
            <v>2630</v>
          </cell>
          <cell r="O3068">
            <v>2397</v>
          </cell>
          <cell r="P3068">
            <v>2904</v>
          </cell>
          <cell r="Q3068">
            <v>2522</v>
          </cell>
          <cell r="R3068">
            <v>1220</v>
          </cell>
          <cell r="S3068">
            <v>1116</v>
          </cell>
          <cell r="T3068">
            <v>1449</v>
          </cell>
          <cell r="U3068">
            <v>2144</v>
          </cell>
          <cell r="V3068">
            <v>2153</v>
          </cell>
          <cell r="W3068">
            <v>1242</v>
          </cell>
          <cell r="X3068">
            <v>1192</v>
          </cell>
          <cell r="Y3068">
            <v>1044</v>
          </cell>
          <cell r="Z3068">
            <v>1779</v>
          </cell>
          <cell r="AA3068">
            <v>348</v>
          </cell>
          <cell r="AB3068">
            <v>348</v>
          </cell>
          <cell r="AC3068">
            <v>348</v>
          </cell>
          <cell r="AD3068">
            <v>360</v>
          </cell>
          <cell r="AE3068">
            <v>360</v>
          </cell>
          <cell r="AF3068">
            <v>360</v>
          </cell>
          <cell r="AG3068">
            <v>189</v>
          </cell>
          <cell r="AH3068">
            <v>191</v>
          </cell>
          <cell r="AI3068">
            <v>191</v>
          </cell>
          <cell r="AJ3068">
            <v>191</v>
          </cell>
        </row>
        <row r="3069">
          <cell r="E3069" t="str">
            <v>WA Industrial Wood</v>
          </cell>
          <cell r="F3069">
            <v>74366</v>
          </cell>
          <cell r="G3069">
            <v>53234</v>
          </cell>
          <cell r="H3069">
            <v>71989</v>
          </cell>
          <cell r="I3069">
            <v>64893</v>
          </cell>
          <cell r="J3069">
            <v>64672</v>
          </cell>
          <cell r="K3069">
            <v>61161</v>
          </cell>
          <cell r="L3069">
            <v>58854</v>
          </cell>
          <cell r="M3069">
            <v>64594</v>
          </cell>
          <cell r="N3069">
            <v>61426</v>
          </cell>
          <cell r="O3069">
            <v>62571</v>
          </cell>
          <cell r="P3069">
            <v>59451</v>
          </cell>
          <cell r="Q3069">
            <v>53865</v>
          </cell>
          <cell r="R3069">
            <v>47178</v>
          </cell>
          <cell r="S3069">
            <v>49742</v>
          </cell>
          <cell r="T3069">
            <v>47980</v>
          </cell>
          <cell r="U3069">
            <v>53669</v>
          </cell>
          <cell r="V3069">
            <v>77755</v>
          </cell>
          <cell r="W3069">
            <v>51172</v>
          </cell>
          <cell r="X3069">
            <v>51569</v>
          </cell>
          <cell r="Y3069">
            <v>52644</v>
          </cell>
          <cell r="Z3069">
            <v>72004</v>
          </cell>
          <cell r="AA3069">
            <v>70137</v>
          </cell>
          <cell r="AB3069">
            <v>73447</v>
          </cell>
          <cell r="AC3069">
            <v>73051</v>
          </cell>
          <cell r="AD3069">
            <v>73153</v>
          </cell>
          <cell r="AE3069">
            <v>73782</v>
          </cell>
          <cell r="AF3069">
            <v>79782</v>
          </cell>
          <cell r="AG3069">
            <v>74558</v>
          </cell>
          <cell r="AH3069">
            <v>72204</v>
          </cell>
          <cell r="AI3069">
            <v>69711</v>
          </cell>
          <cell r="AJ3069">
            <v>64453</v>
          </cell>
        </row>
        <row r="3070">
          <cell r="E3070" t="str">
            <v>WI Industrial Wood</v>
          </cell>
          <cell r="F3070">
            <v>59597</v>
          </cell>
          <cell r="G3070">
            <v>59732</v>
          </cell>
          <cell r="H3070">
            <v>60287</v>
          </cell>
          <cell r="I3070">
            <v>62814</v>
          </cell>
          <cell r="J3070">
            <v>66072</v>
          </cell>
          <cell r="K3070">
            <v>68944</v>
          </cell>
          <cell r="L3070">
            <v>78021</v>
          </cell>
          <cell r="M3070">
            <v>82417</v>
          </cell>
          <cell r="N3070">
            <v>75433</v>
          </cell>
          <cell r="O3070">
            <v>80429</v>
          </cell>
          <cell r="P3070">
            <v>79136</v>
          </cell>
          <cell r="Q3070">
            <v>84808</v>
          </cell>
          <cell r="R3070">
            <v>56488</v>
          </cell>
          <cell r="S3070">
            <v>65755</v>
          </cell>
          <cell r="T3070">
            <v>52419</v>
          </cell>
          <cell r="U3070">
            <v>63212</v>
          </cell>
          <cell r="V3070">
            <v>58408</v>
          </cell>
          <cell r="W3070">
            <v>50401</v>
          </cell>
          <cell r="X3070">
            <v>48002</v>
          </cell>
          <cell r="Y3070">
            <v>44458</v>
          </cell>
          <cell r="Z3070">
            <v>63382</v>
          </cell>
          <cell r="AA3070">
            <v>60514</v>
          </cell>
          <cell r="AB3070">
            <v>60049</v>
          </cell>
          <cell r="AC3070">
            <v>59500</v>
          </cell>
          <cell r="AD3070">
            <v>54029</v>
          </cell>
          <cell r="AE3070">
            <v>53164</v>
          </cell>
          <cell r="AF3070">
            <v>54655</v>
          </cell>
          <cell r="AG3070">
            <v>52921</v>
          </cell>
          <cell r="AH3070">
            <v>53630</v>
          </cell>
          <cell r="AI3070">
            <v>50598</v>
          </cell>
          <cell r="AJ3070">
            <v>47024</v>
          </cell>
        </row>
        <row r="3071">
          <cell r="E3071" t="str">
            <v>WV Industrial Wood</v>
          </cell>
          <cell r="F3071">
            <v>1331</v>
          </cell>
          <cell r="G3071">
            <v>1402</v>
          </cell>
          <cell r="H3071">
            <v>1262</v>
          </cell>
          <cell r="I3071">
            <v>1319</v>
          </cell>
          <cell r="J3071">
            <v>1340</v>
          </cell>
          <cell r="K3071">
            <v>1603</v>
          </cell>
          <cell r="L3071">
            <v>1437</v>
          </cell>
          <cell r="M3071">
            <v>1562</v>
          </cell>
          <cell r="N3071">
            <v>1304</v>
          </cell>
          <cell r="O3071">
            <v>1349</v>
          </cell>
          <cell r="P3071">
            <v>1301</v>
          </cell>
          <cell r="Q3071">
            <v>1901</v>
          </cell>
          <cell r="R3071">
            <v>1157</v>
          </cell>
          <cell r="S3071">
            <v>1182</v>
          </cell>
          <cell r="T3071">
            <v>1253</v>
          </cell>
          <cell r="U3071">
            <v>1267</v>
          </cell>
          <cell r="V3071">
            <v>740</v>
          </cell>
          <cell r="W3071">
            <v>766</v>
          </cell>
          <cell r="X3071">
            <v>735</v>
          </cell>
          <cell r="Y3071">
            <v>644</v>
          </cell>
          <cell r="Z3071">
            <v>1098</v>
          </cell>
          <cell r="AA3071">
            <v>1008</v>
          </cell>
          <cell r="AB3071">
            <v>1008</v>
          </cell>
          <cell r="AC3071">
            <v>1008</v>
          </cell>
          <cell r="AD3071">
            <v>1040</v>
          </cell>
          <cell r="AE3071">
            <v>1040</v>
          </cell>
          <cell r="AF3071">
            <v>1040</v>
          </cell>
          <cell r="AG3071">
            <v>918</v>
          </cell>
          <cell r="AH3071">
            <v>911</v>
          </cell>
          <cell r="AI3071">
            <v>911</v>
          </cell>
          <cell r="AJ3071">
            <v>911</v>
          </cell>
        </row>
        <row r="3072">
          <cell r="E3072" t="str">
            <v>WY Industrial Wood</v>
          </cell>
          <cell r="F3072">
            <v>961</v>
          </cell>
          <cell r="G3072">
            <v>976</v>
          </cell>
          <cell r="H3072">
            <v>317</v>
          </cell>
          <cell r="I3072">
            <v>273</v>
          </cell>
          <cell r="J3072">
            <v>541</v>
          </cell>
          <cell r="K3072">
            <v>327</v>
          </cell>
          <cell r="L3072">
            <v>158</v>
          </cell>
          <cell r="M3072">
            <v>172</v>
          </cell>
          <cell r="N3072">
            <v>143</v>
          </cell>
          <cell r="O3072">
            <v>148</v>
          </cell>
          <cell r="P3072">
            <v>143</v>
          </cell>
          <cell r="Q3072">
            <v>265</v>
          </cell>
          <cell r="R3072">
            <v>158</v>
          </cell>
          <cell r="S3072">
            <v>162</v>
          </cell>
          <cell r="T3072">
            <v>171</v>
          </cell>
          <cell r="U3072">
            <v>173</v>
          </cell>
          <cell r="V3072">
            <v>85</v>
          </cell>
          <cell r="W3072">
            <v>88</v>
          </cell>
          <cell r="X3072">
            <v>85</v>
          </cell>
          <cell r="Y3072">
            <v>74</v>
          </cell>
          <cell r="Z3072">
            <v>126</v>
          </cell>
          <cell r="AA3072">
            <v>110</v>
          </cell>
          <cell r="AB3072">
            <v>110</v>
          </cell>
          <cell r="AC3072">
            <v>110</v>
          </cell>
          <cell r="AD3072">
            <v>113</v>
          </cell>
          <cell r="AE3072">
            <v>113</v>
          </cell>
          <cell r="AF3072">
            <v>113</v>
          </cell>
          <cell r="AG3072">
            <v>88</v>
          </cell>
          <cell r="AH3072">
            <v>87</v>
          </cell>
          <cell r="AI3072">
            <v>87</v>
          </cell>
          <cell r="AJ3072">
            <v>87</v>
          </cell>
        </row>
        <row r="3073">
          <cell r="E3073" t="str">
            <v>AK Residential Wood</v>
          </cell>
          <cell r="F3073">
            <v>1522</v>
          </cell>
          <cell r="G3073">
            <v>1596</v>
          </cell>
          <cell r="H3073">
            <v>1674</v>
          </cell>
          <cell r="I3073">
            <v>1947</v>
          </cell>
          <cell r="J3073">
            <v>1848</v>
          </cell>
          <cell r="K3073">
            <v>1848</v>
          </cell>
          <cell r="L3073">
            <v>1919</v>
          </cell>
          <cell r="M3073">
            <v>1568</v>
          </cell>
          <cell r="N3073">
            <v>1394</v>
          </cell>
          <cell r="O3073">
            <v>1430</v>
          </cell>
          <cell r="P3073">
            <v>1540</v>
          </cell>
          <cell r="Q3073">
            <v>2513</v>
          </cell>
          <cell r="R3073">
            <v>2550</v>
          </cell>
          <cell r="S3073">
            <v>2685</v>
          </cell>
          <cell r="T3073">
            <v>2752</v>
          </cell>
          <cell r="U3073">
            <v>920</v>
          </cell>
          <cell r="V3073">
            <v>816</v>
          </cell>
          <cell r="W3073">
            <v>902</v>
          </cell>
          <cell r="X3073">
            <v>1009</v>
          </cell>
          <cell r="Y3073">
            <v>2146</v>
          </cell>
          <cell r="Z3073">
            <v>2302</v>
          </cell>
          <cell r="AA3073">
            <v>2232</v>
          </cell>
          <cell r="AB3073">
            <v>1865</v>
          </cell>
          <cell r="AC3073">
            <v>2434</v>
          </cell>
          <cell r="AD3073">
            <v>2463</v>
          </cell>
          <cell r="AE3073">
            <v>5889</v>
          </cell>
          <cell r="AF3073">
            <v>6391</v>
          </cell>
          <cell r="AG3073">
            <v>5435</v>
          </cell>
          <cell r="AH3073">
            <v>5948</v>
          </cell>
          <cell r="AI3073">
            <v>5547</v>
          </cell>
          <cell r="AJ3073">
            <v>6239</v>
          </cell>
        </row>
        <row r="3074">
          <cell r="E3074" t="str">
            <v>AL Residential Wood</v>
          </cell>
          <cell r="F3074">
            <v>15130</v>
          </cell>
          <cell r="G3074">
            <v>15862</v>
          </cell>
          <cell r="H3074">
            <v>16642</v>
          </cell>
          <cell r="I3074">
            <v>12681</v>
          </cell>
          <cell r="J3074">
            <v>12037</v>
          </cell>
          <cell r="K3074">
            <v>12037</v>
          </cell>
          <cell r="L3074">
            <v>12500</v>
          </cell>
          <cell r="M3074">
            <v>6570</v>
          </cell>
          <cell r="N3074">
            <v>5839</v>
          </cell>
          <cell r="O3074">
            <v>5992</v>
          </cell>
          <cell r="P3074">
            <v>6453</v>
          </cell>
          <cell r="Q3074">
            <v>5318</v>
          </cell>
          <cell r="R3074">
            <v>5398</v>
          </cell>
          <cell r="S3074">
            <v>5682</v>
          </cell>
          <cell r="T3074">
            <v>5824</v>
          </cell>
          <cell r="U3074">
            <v>4589</v>
          </cell>
          <cell r="V3074">
            <v>4070</v>
          </cell>
          <cell r="W3074">
            <v>4498</v>
          </cell>
          <cell r="X3074">
            <v>5033</v>
          </cell>
          <cell r="Y3074">
            <v>6666</v>
          </cell>
          <cell r="Z3074">
            <v>7149</v>
          </cell>
          <cell r="AA3074">
            <v>6934</v>
          </cell>
          <cell r="AB3074">
            <v>5794</v>
          </cell>
          <cell r="AC3074">
            <v>7561</v>
          </cell>
          <cell r="AD3074">
            <v>7652</v>
          </cell>
          <cell r="AE3074">
            <v>2123</v>
          </cell>
          <cell r="AF3074">
            <v>1749</v>
          </cell>
          <cell r="AG3074">
            <v>1485</v>
          </cell>
          <cell r="AH3074">
            <v>2040</v>
          </cell>
          <cell r="AI3074">
            <v>1983</v>
          </cell>
          <cell r="AJ3074">
            <v>1623</v>
          </cell>
        </row>
        <row r="3075">
          <cell r="E3075" t="str">
            <v>AR Residential Wood</v>
          </cell>
          <cell r="F3075">
            <v>3161</v>
          </cell>
          <cell r="G3075">
            <v>3313</v>
          </cell>
          <cell r="H3075">
            <v>3476</v>
          </cell>
          <cell r="I3075">
            <v>4830</v>
          </cell>
          <cell r="J3075">
            <v>4585</v>
          </cell>
          <cell r="K3075">
            <v>4585</v>
          </cell>
          <cell r="L3075">
            <v>4761</v>
          </cell>
          <cell r="M3075">
            <v>2347</v>
          </cell>
          <cell r="N3075">
            <v>2086</v>
          </cell>
          <cell r="O3075">
            <v>2141</v>
          </cell>
          <cell r="P3075">
            <v>2306</v>
          </cell>
          <cell r="Q3075">
            <v>2227</v>
          </cell>
          <cell r="R3075">
            <v>2261</v>
          </cell>
          <cell r="S3075">
            <v>2380</v>
          </cell>
          <cell r="T3075">
            <v>2439</v>
          </cell>
          <cell r="U3075">
            <v>5603</v>
          </cell>
          <cell r="V3075">
            <v>4969</v>
          </cell>
          <cell r="W3075">
            <v>5492</v>
          </cell>
          <cell r="X3075">
            <v>6146</v>
          </cell>
          <cell r="Y3075">
            <v>9580</v>
          </cell>
          <cell r="Z3075">
            <v>10275</v>
          </cell>
          <cell r="AA3075">
            <v>9966</v>
          </cell>
          <cell r="AB3075">
            <v>8328</v>
          </cell>
          <cell r="AC3075">
            <v>10867</v>
          </cell>
          <cell r="AD3075">
            <v>10997</v>
          </cell>
          <cell r="AE3075">
            <v>6398</v>
          </cell>
          <cell r="AF3075">
            <v>5184</v>
          </cell>
          <cell r="AG3075">
            <v>4365</v>
          </cell>
          <cell r="AH3075">
            <v>6858</v>
          </cell>
          <cell r="AI3075">
            <v>6913</v>
          </cell>
          <cell r="AJ3075">
            <v>5321</v>
          </cell>
        </row>
        <row r="3076">
          <cell r="E3076" t="str">
            <v>AZ Residential Wood</v>
          </cell>
          <cell r="F3076">
            <v>8220</v>
          </cell>
          <cell r="G3076">
            <v>8617</v>
          </cell>
          <cell r="H3076">
            <v>9041</v>
          </cell>
          <cell r="I3076">
            <v>8651</v>
          </cell>
          <cell r="J3076">
            <v>8212</v>
          </cell>
          <cell r="K3076">
            <v>8212</v>
          </cell>
          <cell r="L3076">
            <v>8528</v>
          </cell>
          <cell r="M3076">
            <v>9692</v>
          </cell>
          <cell r="N3076">
            <v>8613</v>
          </cell>
          <cell r="O3076">
            <v>8840</v>
          </cell>
          <cell r="P3076">
            <v>9520</v>
          </cell>
          <cell r="Q3076">
            <v>5681</v>
          </cell>
          <cell r="R3076">
            <v>5766</v>
          </cell>
          <cell r="S3076">
            <v>6070</v>
          </cell>
          <cell r="T3076">
            <v>6222</v>
          </cell>
          <cell r="U3076">
            <v>8341</v>
          </cell>
          <cell r="V3076">
            <v>7397</v>
          </cell>
          <cell r="W3076">
            <v>8176</v>
          </cell>
          <cell r="X3076">
            <v>9149</v>
          </cell>
          <cell r="Y3076">
            <v>2866</v>
          </cell>
          <cell r="Z3076">
            <v>3074</v>
          </cell>
          <cell r="AA3076">
            <v>2981</v>
          </cell>
          <cell r="AB3076">
            <v>2491</v>
          </cell>
          <cell r="AC3076">
            <v>3251</v>
          </cell>
          <cell r="AD3076">
            <v>3290</v>
          </cell>
          <cell r="AE3076">
            <v>3915</v>
          </cell>
          <cell r="AF3076">
            <v>3240</v>
          </cell>
          <cell r="AG3076">
            <v>3077</v>
          </cell>
          <cell r="AH3076">
            <v>4334</v>
          </cell>
          <cell r="AI3076">
            <v>5470</v>
          </cell>
          <cell r="AJ3076">
            <v>3976</v>
          </cell>
        </row>
        <row r="3077">
          <cell r="E3077" t="str">
            <v>CA Residential Wood</v>
          </cell>
          <cell r="F3077">
            <v>73171</v>
          </cell>
          <cell r="G3077">
            <v>76709</v>
          </cell>
          <cell r="H3077">
            <v>80481</v>
          </cell>
          <cell r="I3077">
            <v>59668</v>
          </cell>
          <cell r="J3077">
            <v>56637</v>
          </cell>
          <cell r="K3077">
            <v>56637</v>
          </cell>
          <cell r="L3077">
            <v>58816</v>
          </cell>
          <cell r="M3077">
            <v>37668</v>
          </cell>
          <cell r="N3077">
            <v>33473</v>
          </cell>
          <cell r="O3077">
            <v>34354</v>
          </cell>
          <cell r="P3077">
            <v>36997</v>
          </cell>
          <cell r="Q3077">
            <v>35550</v>
          </cell>
          <cell r="R3077">
            <v>36085</v>
          </cell>
          <cell r="S3077">
            <v>37985</v>
          </cell>
          <cell r="T3077">
            <v>38934</v>
          </cell>
          <cell r="U3077">
            <v>25879</v>
          </cell>
          <cell r="V3077">
            <v>22952</v>
          </cell>
          <cell r="W3077">
            <v>25368</v>
          </cell>
          <cell r="X3077">
            <v>28388</v>
          </cell>
          <cell r="Y3077">
            <v>37284</v>
          </cell>
          <cell r="Z3077">
            <v>39988</v>
          </cell>
          <cell r="AA3077">
            <v>38785</v>
          </cell>
          <cell r="AB3077">
            <v>32410</v>
          </cell>
          <cell r="AC3077">
            <v>42291</v>
          </cell>
          <cell r="AD3077">
            <v>42800</v>
          </cell>
          <cell r="AE3077">
            <v>22025</v>
          </cell>
          <cell r="AF3077">
            <v>20594</v>
          </cell>
          <cell r="AG3077">
            <v>20049</v>
          </cell>
          <cell r="AH3077">
            <v>22198</v>
          </cell>
          <cell r="AI3077">
            <v>27102</v>
          </cell>
          <cell r="AJ3077">
            <v>21095</v>
          </cell>
        </row>
        <row r="3078">
          <cell r="E3078" t="str">
            <v>CO Residential Wood</v>
          </cell>
          <cell r="F3078">
            <v>7318</v>
          </cell>
          <cell r="G3078">
            <v>7671</v>
          </cell>
          <cell r="H3078">
            <v>8049</v>
          </cell>
          <cell r="I3078">
            <v>7576</v>
          </cell>
          <cell r="J3078">
            <v>7191</v>
          </cell>
          <cell r="K3078">
            <v>7191</v>
          </cell>
          <cell r="L3078">
            <v>7468</v>
          </cell>
          <cell r="M3078">
            <v>8364</v>
          </cell>
          <cell r="N3078">
            <v>7433</v>
          </cell>
          <cell r="O3078">
            <v>7629</v>
          </cell>
          <cell r="P3078">
            <v>8215</v>
          </cell>
          <cell r="Q3078">
            <v>4716</v>
          </cell>
          <cell r="R3078">
            <v>4787</v>
          </cell>
          <cell r="S3078">
            <v>5039</v>
          </cell>
          <cell r="T3078">
            <v>5165</v>
          </cell>
          <cell r="U3078">
            <v>6832</v>
          </cell>
          <cell r="V3078">
            <v>6059</v>
          </cell>
          <cell r="W3078">
            <v>6697</v>
          </cell>
          <cell r="X3078">
            <v>7494</v>
          </cell>
          <cell r="Y3078">
            <v>9310</v>
          </cell>
          <cell r="Z3078">
            <v>9985</v>
          </cell>
          <cell r="AA3078">
            <v>9684</v>
          </cell>
          <cell r="AB3078">
            <v>8093</v>
          </cell>
          <cell r="AC3078">
            <v>10560</v>
          </cell>
          <cell r="AD3078">
            <v>10687</v>
          </cell>
          <cell r="AE3078">
            <v>11707</v>
          </cell>
          <cell r="AF3078">
            <v>10728</v>
          </cell>
          <cell r="AG3078">
            <v>10681</v>
          </cell>
          <cell r="AH3078">
            <v>11322</v>
          </cell>
          <cell r="AI3078">
            <v>13313</v>
          </cell>
          <cell r="AJ3078">
            <v>10614</v>
          </cell>
        </row>
        <row r="3079">
          <cell r="E3079" t="str">
            <v>CT Residential Wood</v>
          </cell>
          <cell r="F3079">
            <v>9656</v>
          </cell>
          <cell r="G3079">
            <v>10123</v>
          </cell>
          <cell r="H3079">
            <v>10621</v>
          </cell>
          <cell r="I3079">
            <v>11019</v>
          </cell>
          <cell r="J3079">
            <v>10459</v>
          </cell>
          <cell r="K3079">
            <v>10459</v>
          </cell>
          <cell r="L3079">
            <v>10862</v>
          </cell>
          <cell r="M3079">
            <v>7796</v>
          </cell>
          <cell r="N3079">
            <v>6928</v>
          </cell>
          <cell r="O3079">
            <v>7110</v>
          </cell>
          <cell r="P3079">
            <v>7657</v>
          </cell>
          <cell r="Q3079">
            <v>6076</v>
          </cell>
          <cell r="R3079">
            <v>6168</v>
          </cell>
          <cell r="S3079">
            <v>6493</v>
          </cell>
          <cell r="T3079">
            <v>6655</v>
          </cell>
          <cell r="U3079">
            <v>2476</v>
          </cell>
          <cell r="V3079">
            <v>2196</v>
          </cell>
          <cell r="W3079">
            <v>2427</v>
          </cell>
          <cell r="X3079">
            <v>2716</v>
          </cell>
          <cell r="Y3079">
            <v>5897</v>
          </cell>
          <cell r="Z3079">
            <v>6324</v>
          </cell>
          <cell r="AA3079">
            <v>6134</v>
          </cell>
          <cell r="AB3079">
            <v>5126</v>
          </cell>
          <cell r="AC3079">
            <v>6688</v>
          </cell>
          <cell r="AD3079">
            <v>6769</v>
          </cell>
          <cell r="AE3079">
            <v>7566</v>
          </cell>
          <cell r="AF3079">
            <v>5305</v>
          </cell>
          <cell r="AG3079">
            <v>5552</v>
          </cell>
          <cell r="AH3079">
            <v>6302</v>
          </cell>
          <cell r="AI3079">
            <v>6711</v>
          </cell>
          <cell r="AJ3079">
            <v>5224</v>
          </cell>
        </row>
        <row r="3080">
          <cell r="E3080" t="str">
            <v>DC Residential Wood</v>
          </cell>
          <cell r="F3080">
            <v>1156</v>
          </cell>
          <cell r="G3080">
            <v>1212</v>
          </cell>
          <cell r="H3080">
            <v>1272</v>
          </cell>
          <cell r="I3080">
            <v>1714</v>
          </cell>
          <cell r="J3080">
            <v>1627</v>
          </cell>
          <cell r="K3080">
            <v>1627</v>
          </cell>
          <cell r="L3080">
            <v>1690</v>
          </cell>
          <cell r="M3080">
            <v>1179</v>
          </cell>
          <cell r="N3080">
            <v>1048</v>
          </cell>
          <cell r="O3080">
            <v>1076</v>
          </cell>
          <cell r="P3080">
            <v>1158</v>
          </cell>
          <cell r="Q3080">
            <v>734</v>
          </cell>
          <cell r="R3080">
            <v>745</v>
          </cell>
          <cell r="S3080">
            <v>785</v>
          </cell>
          <cell r="T3080">
            <v>804</v>
          </cell>
          <cell r="U3080">
            <v>36</v>
          </cell>
          <cell r="V3080">
            <v>32</v>
          </cell>
          <cell r="W3080">
            <v>35</v>
          </cell>
          <cell r="X3080">
            <v>39</v>
          </cell>
          <cell r="Y3080">
            <v>24</v>
          </cell>
          <cell r="Z3080">
            <v>26</v>
          </cell>
          <cell r="AA3080">
            <v>25</v>
          </cell>
          <cell r="AB3080">
            <v>21</v>
          </cell>
          <cell r="AC3080">
            <v>27</v>
          </cell>
          <cell r="AD3080">
            <v>27</v>
          </cell>
          <cell r="AE3080">
            <v>0</v>
          </cell>
          <cell r="AF3080">
            <v>6</v>
          </cell>
          <cell r="AG3080">
            <v>8</v>
          </cell>
          <cell r="AH3080">
            <v>0</v>
          </cell>
          <cell r="AI3080">
            <v>0</v>
          </cell>
          <cell r="AJ3080">
            <v>2</v>
          </cell>
        </row>
        <row r="3081">
          <cell r="E3081" t="str">
            <v>DE Residential Wood</v>
          </cell>
          <cell r="F3081">
            <v>1204</v>
          </cell>
          <cell r="G3081">
            <v>1262</v>
          </cell>
          <cell r="H3081">
            <v>1324</v>
          </cell>
          <cell r="I3081">
            <v>1907</v>
          </cell>
          <cell r="J3081">
            <v>1810</v>
          </cell>
          <cell r="K3081">
            <v>1810</v>
          </cell>
          <cell r="L3081">
            <v>1880</v>
          </cell>
          <cell r="M3081">
            <v>1425</v>
          </cell>
          <cell r="N3081">
            <v>1266</v>
          </cell>
          <cell r="O3081">
            <v>1300</v>
          </cell>
          <cell r="P3081">
            <v>1399</v>
          </cell>
          <cell r="Q3081">
            <v>930</v>
          </cell>
          <cell r="R3081">
            <v>944</v>
          </cell>
          <cell r="S3081">
            <v>994</v>
          </cell>
          <cell r="T3081">
            <v>1019</v>
          </cell>
          <cell r="U3081">
            <v>590</v>
          </cell>
          <cell r="V3081">
            <v>523</v>
          </cell>
          <cell r="W3081">
            <v>578</v>
          </cell>
          <cell r="X3081">
            <v>647</v>
          </cell>
          <cell r="Y3081">
            <v>1298</v>
          </cell>
          <cell r="Z3081">
            <v>1392</v>
          </cell>
          <cell r="AA3081">
            <v>1350</v>
          </cell>
          <cell r="AB3081">
            <v>1128</v>
          </cell>
          <cell r="AC3081">
            <v>1472</v>
          </cell>
          <cell r="AD3081">
            <v>1490</v>
          </cell>
          <cell r="AE3081">
            <v>886</v>
          </cell>
          <cell r="AF3081">
            <v>678</v>
          </cell>
          <cell r="AG3081">
            <v>613</v>
          </cell>
          <cell r="AH3081">
            <v>623</v>
          </cell>
          <cell r="AI3081">
            <v>670</v>
          </cell>
          <cell r="AJ3081">
            <v>527</v>
          </cell>
        </row>
        <row r="3082">
          <cell r="E3082" t="str">
            <v>FL Residential Wood</v>
          </cell>
          <cell r="F3082">
            <v>25325</v>
          </cell>
          <cell r="G3082">
            <v>26549</v>
          </cell>
          <cell r="H3082">
            <v>27855</v>
          </cell>
          <cell r="I3082">
            <v>10256</v>
          </cell>
          <cell r="J3082">
            <v>9735</v>
          </cell>
          <cell r="K3082">
            <v>9735</v>
          </cell>
          <cell r="L3082">
            <v>10110</v>
          </cell>
          <cell r="M3082">
            <v>6381</v>
          </cell>
          <cell r="N3082">
            <v>5670</v>
          </cell>
          <cell r="O3082">
            <v>5820</v>
          </cell>
          <cell r="P3082">
            <v>6267</v>
          </cell>
          <cell r="Q3082">
            <v>4762</v>
          </cell>
          <cell r="R3082">
            <v>4834</v>
          </cell>
          <cell r="S3082">
            <v>5088</v>
          </cell>
          <cell r="T3082">
            <v>5215</v>
          </cell>
          <cell r="U3082">
            <v>2207</v>
          </cell>
          <cell r="V3082">
            <v>1957</v>
          </cell>
          <cell r="W3082">
            <v>2164</v>
          </cell>
          <cell r="X3082">
            <v>2421</v>
          </cell>
          <cell r="Y3082">
            <v>14587</v>
          </cell>
          <cell r="Z3082">
            <v>15644</v>
          </cell>
          <cell r="AA3082">
            <v>15174</v>
          </cell>
          <cell r="AB3082">
            <v>12680</v>
          </cell>
          <cell r="AC3082">
            <v>16545</v>
          </cell>
          <cell r="AD3082">
            <v>16744</v>
          </cell>
          <cell r="AE3082">
            <v>267</v>
          </cell>
          <cell r="AF3082">
            <v>273</v>
          </cell>
          <cell r="AG3082">
            <v>200</v>
          </cell>
          <cell r="AH3082">
            <v>288</v>
          </cell>
          <cell r="AI3082">
            <v>302</v>
          </cell>
          <cell r="AJ3082">
            <v>232</v>
          </cell>
        </row>
        <row r="3083">
          <cell r="E3083" t="str">
            <v>GA Residential Wood</v>
          </cell>
          <cell r="F3083">
            <v>10951</v>
          </cell>
          <cell r="G3083">
            <v>11480</v>
          </cell>
          <cell r="H3083">
            <v>12045</v>
          </cell>
          <cell r="I3083">
            <v>17473</v>
          </cell>
          <cell r="J3083">
            <v>16585</v>
          </cell>
          <cell r="K3083">
            <v>16585</v>
          </cell>
          <cell r="L3083">
            <v>17223</v>
          </cell>
          <cell r="M3083">
            <v>13714</v>
          </cell>
          <cell r="N3083">
            <v>12186</v>
          </cell>
          <cell r="O3083">
            <v>12507</v>
          </cell>
          <cell r="P3083">
            <v>13469</v>
          </cell>
          <cell r="Q3083">
            <v>9067</v>
          </cell>
          <cell r="R3083">
            <v>9203</v>
          </cell>
          <cell r="S3083">
            <v>9688</v>
          </cell>
          <cell r="T3083">
            <v>9930</v>
          </cell>
          <cell r="U3083">
            <v>6498</v>
          </cell>
          <cell r="V3083">
            <v>5764</v>
          </cell>
          <cell r="W3083">
            <v>6370</v>
          </cell>
          <cell r="X3083">
            <v>7129</v>
          </cell>
          <cell r="Y3083">
            <v>12164</v>
          </cell>
          <cell r="Z3083">
            <v>13046</v>
          </cell>
          <cell r="AA3083">
            <v>12653</v>
          </cell>
          <cell r="AB3083">
            <v>10574</v>
          </cell>
          <cell r="AC3083">
            <v>13797</v>
          </cell>
          <cell r="AD3083">
            <v>13963</v>
          </cell>
          <cell r="AE3083">
            <v>3491</v>
          </cell>
          <cell r="AF3083">
            <v>3323</v>
          </cell>
          <cell r="AG3083">
            <v>2455</v>
          </cell>
          <cell r="AH3083">
            <v>3334</v>
          </cell>
          <cell r="AI3083">
            <v>2848</v>
          </cell>
          <cell r="AJ3083">
            <v>2742</v>
          </cell>
        </row>
        <row r="3084">
          <cell r="E3084" t="str">
            <v>HI Residential Wood</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175</v>
          </cell>
          <cell r="V3084">
            <v>156</v>
          </cell>
          <cell r="W3084">
            <v>172</v>
          </cell>
          <cell r="X3084">
            <v>192</v>
          </cell>
          <cell r="Y3084">
            <v>342</v>
          </cell>
          <cell r="Z3084">
            <v>367</v>
          </cell>
          <cell r="AA3084">
            <v>356</v>
          </cell>
          <cell r="AB3084">
            <v>297</v>
          </cell>
          <cell r="AC3084">
            <v>388</v>
          </cell>
          <cell r="AD3084">
            <v>392</v>
          </cell>
          <cell r="AE3084">
            <v>14</v>
          </cell>
          <cell r="AF3084">
            <v>10</v>
          </cell>
          <cell r="AG3084">
            <v>32</v>
          </cell>
          <cell r="AH3084">
            <v>23</v>
          </cell>
          <cell r="AI3084">
            <v>23</v>
          </cell>
          <cell r="AJ3084">
            <v>23</v>
          </cell>
        </row>
        <row r="3085">
          <cell r="E3085" t="str">
            <v>IA Residential Wood</v>
          </cell>
          <cell r="F3085">
            <v>6955</v>
          </cell>
          <cell r="G3085">
            <v>7291</v>
          </cell>
          <cell r="H3085">
            <v>7650</v>
          </cell>
          <cell r="I3085">
            <v>6381</v>
          </cell>
          <cell r="J3085">
            <v>6056</v>
          </cell>
          <cell r="K3085">
            <v>6056</v>
          </cell>
          <cell r="L3085">
            <v>6289</v>
          </cell>
          <cell r="M3085">
            <v>4846</v>
          </cell>
          <cell r="N3085">
            <v>4306</v>
          </cell>
          <cell r="O3085">
            <v>4419</v>
          </cell>
          <cell r="P3085">
            <v>4759</v>
          </cell>
          <cell r="Q3085">
            <v>4725</v>
          </cell>
          <cell r="R3085">
            <v>4796</v>
          </cell>
          <cell r="S3085">
            <v>5049</v>
          </cell>
          <cell r="T3085">
            <v>5175</v>
          </cell>
          <cell r="U3085">
            <v>4326</v>
          </cell>
          <cell r="V3085">
            <v>3837</v>
          </cell>
          <cell r="W3085">
            <v>4241</v>
          </cell>
          <cell r="X3085">
            <v>4746</v>
          </cell>
          <cell r="Y3085">
            <v>5534</v>
          </cell>
          <cell r="Z3085">
            <v>5935</v>
          </cell>
          <cell r="AA3085">
            <v>5756</v>
          </cell>
          <cell r="AB3085">
            <v>4810</v>
          </cell>
          <cell r="AC3085">
            <v>6277</v>
          </cell>
          <cell r="AD3085">
            <v>6352</v>
          </cell>
          <cell r="AE3085">
            <v>5155</v>
          </cell>
          <cell r="AF3085">
            <v>4318</v>
          </cell>
          <cell r="AG3085">
            <v>4200</v>
          </cell>
          <cell r="AH3085">
            <v>5157</v>
          </cell>
          <cell r="AI3085">
            <v>5597</v>
          </cell>
          <cell r="AJ3085">
            <v>4434</v>
          </cell>
        </row>
        <row r="3086">
          <cell r="E3086" t="str">
            <v>ID Residential Wood</v>
          </cell>
          <cell r="F3086">
            <v>2047</v>
          </cell>
          <cell r="G3086">
            <v>2146</v>
          </cell>
          <cell r="H3086">
            <v>2252</v>
          </cell>
          <cell r="I3086">
            <v>2181</v>
          </cell>
          <cell r="J3086">
            <v>2070</v>
          </cell>
          <cell r="K3086">
            <v>2070</v>
          </cell>
          <cell r="L3086">
            <v>2150</v>
          </cell>
          <cell r="M3086">
            <v>2450</v>
          </cell>
          <cell r="N3086">
            <v>2178</v>
          </cell>
          <cell r="O3086">
            <v>2235</v>
          </cell>
          <cell r="P3086">
            <v>2407</v>
          </cell>
          <cell r="Q3086">
            <v>1362</v>
          </cell>
          <cell r="R3086">
            <v>1382</v>
          </cell>
          <cell r="S3086">
            <v>1455</v>
          </cell>
          <cell r="T3086">
            <v>1491</v>
          </cell>
          <cell r="U3086">
            <v>8120</v>
          </cell>
          <cell r="V3086">
            <v>7201</v>
          </cell>
          <cell r="W3086">
            <v>7959</v>
          </cell>
          <cell r="X3086">
            <v>8907</v>
          </cell>
          <cell r="Y3086">
            <v>3861</v>
          </cell>
          <cell r="Z3086">
            <v>4141</v>
          </cell>
          <cell r="AA3086">
            <v>4017</v>
          </cell>
          <cell r="AB3086">
            <v>3356</v>
          </cell>
          <cell r="AC3086">
            <v>4380</v>
          </cell>
          <cell r="AD3086">
            <v>4432</v>
          </cell>
          <cell r="AE3086">
            <v>12015</v>
          </cell>
          <cell r="AF3086">
            <v>11180</v>
          </cell>
          <cell r="AG3086">
            <v>12651</v>
          </cell>
          <cell r="AH3086">
            <v>14158</v>
          </cell>
          <cell r="AI3086">
            <v>15829</v>
          </cell>
          <cell r="AJ3086">
            <v>12281</v>
          </cell>
        </row>
        <row r="3087">
          <cell r="E3087" t="str">
            <v>IL Residential Wood</v>
          </cell>
          <cell r="F3087">
            <v>32162</v>
          </cell>
          <cell r="G3087">
            <v>33717</v>
          </cell>
          <cell r="H3087">
            <v>35375</v>
          </cell>
          <cell r="I3087">
            <v>18139</v>
          </cell>
          <cell r="J3087">
            <v>17217</v>
          </cell>
          <cell r="K3087">
            <v>17217</v>
          </cell>
          <cell r="L3087">
            <v>17880</v>
          </cell>
          <cell r="M3087">
            <v>11580</v>
          </cell>
          <cell r="N3087">
            <v>10290</v>
          </cell>
          <cell r="O3087">
            <v>10561</v>
          </cell>
          <cell r="P3087">
            <v>11374</v>
          </cell>
          <cell r="Q3087">
            <v>15492</v>
          </cell>
          <cell r="R3087">
            <v>15725</v>
          </cell>
          <cell r="S3087">
            <v>16553</v>
          </cell>
          <cell r="T3087">
            <v>16967</v>
          </cell>
          <cell r="U3087">
            <v>6325</v>
          </cell>
          <cell r="V3087">
            <v>5609</v>
          </cell>
          <cell r="W3087">
            <v>6200</v>
          </cell>
          <cell r="X3087">
            <v>6938</v>
          </cell>
          <cell r="Y3087">
            <v>14002</v>
          </cell>
          <cell r="Z3087">
            <v>15017</v>
          </cell>
          <cell r="AA3087">
            <v>14565</v>
          </cell>
          <cell r="AB3087">
            <v>12171</v>
          </cell>
          <cell r="AC3087">
            <v>15882</v>
          </cell>
          <cell r="AD3087">
            <v>16073</v>
          </cell>
          <cell r="AE3087">
            <v>5900</v>
          </cell>
          <cell r="AF3087">
            <v>5247</v>
          </cell>
          <cell r="AG3087">
            <v>4581</v>
          </cell>
          <cell r="AH3087">
            <v>5904</v>
          </cell>
          <cell r="AI3087">
            <v>6263</v>
          </cell>
          <cell r="AJ3087">
            <v>5014</v>
          </cell>
        </row>
        <row r="3088">
          <cell r="E3088" t="str">
            <v>IN Residential Wood</v>
          </cell>
          <cell r="F3088">
            <v>16030</v>
          </cell>
          <cell r="G3088">
            <v>16805</v>
          </cell>
          <cell r="H3088">
            <v>17632</v>
          </cell>
          <cell r="I3088">
            <v>9173</v>
          </cell>
          <cell r="J3088">
            <v>8707</v>
          </cell>
          <cell r="K3088">
            <v>8707</v>
          </cell>
          <cell r="L3088">
            <v>9042</v>
          </cell>
          <cell r="M3088">
            <v>6025</v>
          </cell>
          <cell r="N3088">
            <v>5354</v>
          </cell>
          <cell r="O3088">
            <v>5495</v>
          </cell>
          <cell r="P3088">
            <v>5918</v>
          </cell>
          <cell r="Q3088">
            <v>8093</v>
          </cell>
          <cell r="R3088">
            <v>8215</v>
          </cell>
          <cell r="S3088">
            <v>8647</v>
          </cell>
          <cell r="T3088">
            <v>8863</v>
          </cell>
          <cell r="U3088">
            <v>12744</v>
          </cell>
          <cell r="V3088">
            <v>11303</v>
          </cell>
          <cell r="W3088">
            <v>12493</v>
          </cell>
          <cell r="X3088">
            <v>13980</v>
          </cell>
          <cell r="Y3088">
            <v>12117</v>
          </cell>
          <cell r="Z3088">
            <v>12996</v>
          </cell>
          <cell r="AA3088">
            <v>12605</v>
          </cell>
          <cell r="AB3088">
            <v>10533</v>
          </cell>
          <cell r="AC3088">
            <v>13745</v>
          </cell>
          <cell r="AD3088">
            <v>13910</v>
          </cell>
          <cell r="AE3088">
            <v>12488</v>
          </cell>
          <cell r="AF3088">
            <v>12069</v>
          </cell>
          <cell r="AG3088">
            <v>10161</v>
          </cell>
          <cell r="AH3088">
            <v>13204</v>
          </cell>
          <cell r="AI3088">
            <v>12956</v>
          </cell>
          <cell r="AJ3088">
            <v>11157</v>
          </cell>
        </row>
        <row r="3089">
          <cell r="E3089" t="str">
            <v>KS Residential Wood</v>
          </cell>
          <cell r="F3089">
            <v>6349</v>
          </cell>
          <cell r="G3089">
            <v>6656</v>
          </cell>
          <cell r="H3089">
            <v>6984</v>
          </cell>
          <cell r="I3089">
            <v>5859</v>
          </cell>
          <cell r="J3089">
            <v>5561</v>
          </cell>
          <cell r="K3089">
            <v>5561</v>
          </cell>
          <cell r="L3089">
            <v>5775</v>
          </cell>
          <cell r="M3089">
            <v>4506</v>
          </cell>
          <cell r="N3089">
            <v>4005</v>
          </cell>
          <cell r="O3089">
            <v>4110</v>
          </cell>
          <cell r="P3089">
            <v>4426</v>
          </cell>
          <cell r="Q3089">
            <v>4350</v>
          </cell>
          <cell r="R3089">
            <v>4416</v>
          </cell>
          <cell r="S3089">
            <v>4648</v>
          </cell>
          <cell r="T3089">
            <v>4765</v>
          </cell>
          <cell r="U3089">
            <v>3968</v>
          </cell>
          <cell r="V3089">
            <v>3519</v>
          </cell>
          <cell r="W3089">
            <v>3889</v>
          </cell>
          <cell r="X3089">
            <v>4352</v>
          </cell>
          <cell r="Y3089">
            <v>4516</v>
          </cell>
          <cell r="Z3089">
            <v>4843</v>
          </cell>
          <cell r="AA3089">
            <v>4697</v>
          </cell>
          <cell r="AB3089">
            <v>3925</v>
          </cell>
          <cell r="AC3089">
            <v>5122</v>
          </cell>
          <cell r="AD3089">
            <v>5183</v>
          </cell>
          <cell r="AE3089">
            <v>3834</v>
          </cell>
          <cell r="AF3089">
            <v>3298</v>
          </cell>
          <cell r="AG3089">
            <v>2928</v>
          </cell>
          <cell r="AH3089">
            <v>4151</v>
          </cell>
          <cell r="AI3089">
            <v>4086</v>
          </cell>
          <cell r="AJ3089">
            <v>3369</v>
          </cell>
        </row>
        <row r="3090">
          <cell r="E3090" t="str">
            <v>KY Residential Wood</v>
          </cell>
          <cell r="F3090">
            <v>13651</v>
          </cell>
          <cell r="G3090">
            <v>14311</v>
          </cell>
          <cell r="H3090">
            <v>15014</v>
          </cell>
          <cell r="I3090">
            <v>11430</v>
          </cell>
          <cell r="J3090">
            <v>10849</v>
          </cell>
          <cell r="K3090">
            <v>10849</v>
          </cell>
          <cell r="L3090">
            <v>11266</v>
          </cell>
          <cell r="M3090">
            <v>5874</v>
          </cell>
          <cell r="N3090">
            <v>5220</v>
          </cell>
          <cell r="O3090">
            <v>5358</v>
          </cell>
          <cell r="P3090">
            <v>5770</v>
          </cell>
          <cell r="Q3090">
            <v>4744</v>
          </cell>
          <cell r="R3090">
            <v>4815</v>
          </cell>
          <cell r="S3090">
            <v>5069</v>
          </cell>
          <cell r="T3090">
            <v>5196</v>
          </cell>
          <cell r="U3090">
            <v>10168</v>
          </cell>
          <cell r="V3090">
            <v>9018</v>
          </cell>
          <cell r="W3090">
            <v>9967</v>
          </cell>
          <cell r="X3090">
            <v>11153</v>
          </cell>
          <cell r="Y3090">
            <v>14017</v>
          </cell>
          <cell r="Z3090">
            <v>15034</v>
          </cell>
          <cell r="AA3090">
            <v>14581</v>
          </cell>
          <cell r="AB3090">
            <v>12185</v>
          </cell>
          <cell r="AC3090">
            <v>15900</v>
          </cell>
          <cell r="AD3090">
            <v>16091</v>
          </cell>
          <cell r="AE3090">
            <v>8606</v>
          </cell>
          <cell r="AF3090">
            <v>7505</v>
          </cell>
          <cell r="AG3090">
            <v>7563</v>
          </cell>
          <cell r="AH3090">
            <v>9289</v>
          </cell>
          <cell r="AI3090">
            <v>10299</v>
          </cell>
          <cell r="AJ3090">
            <v>7781</v>
          </cell>
        </row>
        <row r="3091">
          <cell r="E3091" t="str">
            <v>LA Residential Wood</v>
          </cell>
          <cell r="F3091">
            <v>5421</v>
          </cell>
          <cell r="G3091">
            <v>5683</v>
          </cell>
          <cell r="H3091">
            <v>5963</v>
          </cell>
          <cell r="I3091">
            <v>8172</v>
          </cell>
          <cell r="J3091">
            <v>7757</v>
          </cell>
          <cell r="K3091">
            <v>7757</v>
          </cell>
          <cell r="L3091">
            <v>8056</v>
          </cell>
          <cell r="M3091">
            <v>3893</v>
          </cell>
          <cell r="N3091">
            <v>3460</v>
          </cell>
          <cell r="O3091">
            <v>3551</v>
          </cell>
          <cell r="P3091">
            <v>3824</v>
          </cell>
          <cell r="Q3091">
            <v>3491</v>
          </cell>
          <cell r="R3091">
            <v>3543</v>
          </cell>
          <cell r="S3091">
            <v>3730</v>
          </cell>
          <cell r="T3091">
            <v>3823</v>
          </cell>
          <cell r="U3091">
            <v>1485</v>
          </cell>
          <cell r="V3091">
            <v>1317</v>
          </cell>
          <cell r="W3091">
            <v>1456</v>
          </cell>
          <cell r="X3091">
            <v>1629</v>
          </cell>
          <cell r="Y3091">
            <v>2357</v>
          </cell>
          <cell r="Z3091">
            <v>2528</v>
          </cell>
          <cell r="AA3091">
            <v>2452</v>
          </cell>
          <cell r="AB3091">
            <v>2049</v>
          </cell>
          <cell r="AC3091">
            <v>2674</v>
          </cell>
          <cell r="AD3091">
            <v>2706</v>
          </cell>
          <cell r="AE3091">
            <v>753</v>
          </cell>
          <cell r="AF3091">
            <v>511</v>
          </cell>
          <cell r="AG3091">
            <v>419</v>
          </cell>
          <cell r="AH3091">
            <v>575</v>
          </cell>
          <cell r="AI3091">
            <v>569</v>
          </cell>
          <cell r="AJ3091">
            <v>481</v>
          </cell>
        </row>
        <row r="3092">
          <cell r="E3092" t="str">
            <v>MA Residential Wood</v>
          </cell>
          <cell r="F3092">
            <v>18077</v>
          </cell>
          <cell r="G3092">
            <v>18951</v>
          </cell>
          <cell r="H3092">
            <v>19883</v>
          </cell>
          <cell r="I3092">
            <v>20573</v>
          </cell>
          <cell r="J3092">
            <v>19528</v>
          </cell>
          <cell r="K3092">
            <v>19528</v>
          </cell>
          <cell r="L3092">
            <v>20279</v>
          </cell>
          <cell r="M3092">
            <v>14529</v>
          </cell>
          <cell r="N3092">
            <v>12911</v>
          </cell>
          <cell r="O3092">
            <v>13251</v>
          </cell>
          <cell r="P3092">
            <v>14270</v>
          </cell>
          <cell r="Q3092">
            <v>11496</v>
          </cell>
          <cell r="R3092">
            <v>11670</v>
          </cell>
          <cell r="S3092">
            <v>12284</v>
          </cell>
          <cell r="T3092">
            <v>12591</v>
          </cell>
          <cell r="U3092">
            <v>3578</v>
          </cell>
          <cell r="V3092">
            <v>3173</v>
          </cell>
          <cell r="W3092">
            <v>3507</v>
          </cell>
          <cell r="X3092">
            <v>3924</v>
          </cell>
          <cell r="Y3092">
            <v>10204</v>
          </cell>
          <cell r="Z3092">
            <v>10944</v>
          </cell>
          <cell r="AA3092">
            <v>10615</v>
          </cell>
          <cell r="AB3092">
            <v>8870</v>
          </cell>
          <cell r="AC3092">
            <v>11575</v>
          </cell>
          <cell r="AD3092">
            <v>11714</v>
          </cell>
          <cell r="AE3092">
            <v>10525</v>
          </cell>
          <cell r="AF3092">
            <v>8401</v>
          </cell>
          <cell r="AG3092">
            <v>8312</v>
          </cell>
          <cell r="AH3092">
            <v>8302</v>
          </cell>
          <cell r="AI3092">
            <v>10164</v>
          </cell>
          <cell r="AJ3092">
            <v>7713</v>
          </cell>
        </row>
        <row r="3093">
          <cell r="E3093" t="str">
            <v>MD Residential Wood</v>
          </cell>
          <cell r="F3093">
            <v>7853</v>
          </cell>
          <cell r="G3093">
            <v>8233</v>
          </cell>
          <cell r="H3093">
            <v>8638</v>
          </cell>
          <cell r="I3093">
            <v>12388</v>
          </cell>
          <cell r="J3093">
            <v>11759</v>
          </cell>
          <cell r="K3093">
            <v>11759</v>
          </cell>
          <cell r="L3093">
            <v>12211</v>
          </cell>
          <cell r="M3093">
            <v>9152</v>
          </cell>
          <cell r="N3093">
            <v>8133</v>
          </cell>
          <cell r="O3093">
            <v>8347</v>
          </cell>
          <cell r="P3093">
            <v>8989</v>
          </cell>
          <cell r="Q3093">
            <v>5801</v>
          </cell>
          <cell r="R3093">
            <v>5888</v>
          </cell>
          <cell r="S3093">
            <v>6198</v>
          </cell>
          <cell r="T3093">
            <v>6353</v>
          </cell>
          <cell r="U3093">
            <v>4578</v>
          </cell>
          <cell r="V3093">
            <v>4060</v>
          </cell>
          <cell r="W3093">
            <v>4488</v>
          </cell>
          <cell r="X3093">
            <v>5022</v>
          </cell>
          <cell r="Y3093">
            <v>9983</v>
          </cell>
          <cell r="Z3093">
            <v>10706</v>
          </cell>
          <cell r="AA3093">
            <v>10384</v>
          </cell>
          <cell r="AB3093">
            <v>8678</v>
          </cell>
          <cell r="AC3093">
            <v>11323</v>
          </cell>
          <cell r="AD3093">
            <v>11459</v>
          </cell>
          <cell r="AE3093">
            <v>5790</v>
          </cell>
          <cell r="AF3093">
            <v>4729</v>
          </cell>
          <cell r="AG3093">
            <v>4748</v>
          </cell>
          <cell r="AH3093">
            <v>5885</v>
          </cell>
          <cell r="AI3093">
            <v>5519</v>
          </cell>
          <cell r="AJ3093">
            <v>4596</v>
          </cell>
        </row>
        <row r="3094">
          <cell r="E3094" t="str">
            <v>ME Residential Wood</v>
          </cell>
          <cell r="F3094">
            <v>4292</v>
          </cell>
          <cell r="G3094">
            <v>4499</v>
          </cell>
          <cell r="H3094">
            <v>4720</v>
          </cell>
          <cell r="I3094">
            <v>4946</v>
          </cell>
          <cell r="J3094">
            <v>4695</v>
          </cell>
          <cell r="K3094">
            <v>4695</v>
          </cell>
          <cell r="L3094">
            <v>4875</v>
          </cell>
          <cell r="M3094">
            <v>3537</v>
          </cell>
          <cell r="N3094">
            <v>3143</v>
          </cell>
          <cell r="O3094">
            <v>3225</v>
          </cell>
          <cell r="P3094">
            <v>3474</v>
          </cell>
          <cell r="Q3094">
            <v>2872</v>
          </cell>
          <cell r="R3094">
            <v>2915</v>
          </cell>
          <cell r="S3094">
            <v>3068</v>
          </cell>
          <cell r="T3094">
            <v>3145</v>
          </cell>
          <cell r="U3094">
            <v>6037</v>
          </cell>
          <cell r="V3094">
            <v>5354</v>
          </cell>
          <cell r="W3094">
            <v>5918</v>
          </cell>
          <cell r="X3094">
            <v>6622</v>
          </cell>
          <cell r="Y3094">
            <v>14290</v>
          </cell>
          <cell r="Z3094">
            <v>15327</v>
          </cell>
          <cell r="AA3094">
            <v>14866</v>
          </cell>
          <cell r="AB3094">
            <v>12422</v>
          </cell>
          <cell r="AC3094">
            <v>16209</v>
          </cell>
          <cell r="AD3094">
            <v>16404</v>
          </cell>
          <cell r="AE3094">
            <v>24515</v>
          </cell>
          <cell r="AF3094">
            <v>16886</v>
          </cell>
          <cell r="AG3094">
            <v>17035</v>
          </cell>
          <cell r="AH3094">
            <v>20590</v>
          </cell>
          <cell r="AI3094">
            <v>22166</v>
          </cell>
          <cell r="AJ3094">
            <v>17101</v>
          </cell>
        </row>
        <row r="3095">
          <cell r="E3095" t="str">
            <v>MI Residential Wood</v>
          </cell>
          <cell r="F3095">
            <v>27464</v>
          </cell>
          <cell r="G3095">
            <v>28791</v>
          </cell>
          <cell r="H3095">
            <v>30207</v>
          </cell>
          <cell r="I3095">
            <v>15580</v>
          </cell>
          <cell r="J3095">
            <v>14788</v>
          </cell>
          <cell r="K3095">
            <v>14788</v>
          </cell>
          <cell r="L3095">
            <v>15357</v>
          </cell>
          <cell r="M3095">
            <v>10062</v>
          </cell>
          <cell r="N3095">
            <v>8941</v>
          </cell>
          <cell r="O3095">
            <v>9176</v>
          </cell>
          <cell r="P3095">
            <v>9882</v>
          </cell>
          <cell r="Q3095">
            <v>13459</v>
          </cell>
          <cell r="R3095">
            <v>13662</v>
          </cell>
          <cell r="S3095">
            <v>14381</v>
          </cell>
          <cell r="T3095">
            <v>14740</v>
          </cell>
          <cell r="U3095">
            <v>25399</v>
          </cell>
          <cell r="V3095">
            <v>22526</v>
          </cell>
          <cell r="W3095">
            <v>24897</v>
          </cell>
          <cell r="X3095">
            <v>27861</v>
          </cell>
          <cell r="Y3095">
            <v>18659</v>
          </cell>
          <cell r="Z3095">
            <v>20012</v>
          </cell>
          <cell r="AA3095">
            <v>19410</v>
          </cell>
          <cell r="AB3095">
            <v>16219</v>
          </cell>
          <cell r="AC3095">
            <v>21164</v>
          </cell>
          <cell r="AD3095">
            <v>21419</v>
          </cell>
          <cell r="AE3095">
            <v>37613</v>
          </cell>
          <cell r="AF3095">
            <v>30036</v>
          </cell>
          <cell r="AG3095">
            <v>29855</v>
          </cell>
          <cell r="AH3095">
            <v>36286</v>
          </cell>
          <cell r="AI3095">
            <v>37227</v>
          </cell>
          <cell r="AJ3095">
            <v>30099</v>
          </cell>
        </row>
        <row r="3096">
          <cell r="E3096" t="str">
            <v>MN Residential Wood</v>
          </cell>
          <cell r="F3096">
            <v>11242</v>
          </cell>
          <cell r="G3096">
            <v>11785</v>
          </cell>
          <cell r="H3096">
            <v>12365</v>
          </cell>
          <cell r="I3096">
            <v>10496</v>
          </cell>
          <cell r="J3096">
            <v>9963</v>
          </cell>
          <cell r="K3096">
            <v>9963</v>
          </cell>
          <cell r="L3096">
            <v>10346</v>
          </cell>
          <cell r="M3096">
            <v>8074</v>
          </cell>
          <cell r="N3096">
            <v>7175</v>
          </cell>
          <cell r="O3096">
            <v>7364</v>
          </cell>
          <cell r="P3096">
            <v>7931</v>
          </cell>
          <cell r="Q3096">
            <v>7984</v>
          </cell>
          <cell r="R3096">
            <v>8105</v>
          </cell>
          <cell r="S3096">
            <v>8531</v>
          </cell>
          <cell r="T3096">
            <v>8744</v>
          </cell>
          <cell r="U3096">
            <v>10662</v>
          </cell>
          <cell r="V3096">
            <v>9456</v>
          </cell>
          <cell r="W3096">
            <v>10451</v>
          </cell>
          <cell r="X3096">
            <v>11695</v>
          </cell>
          <cell r="Y3096">
            <v>14015</v>
          </cell>
          <cell r="Z3096">
            <v>15031</v>
          </cell>
          <cell r="AA3096">
            <v>14579</v>
          </cell>
          <cell r="AB3096">
            <v>12183</v>
          </cell>
          <cell r="AC3096">
            <v>15897</v>
          </cell>
          <cell r="AD3096">
            <v>16088</v>
          </cell>
          <cell r="AE3096">
            <v>17601</v>
          </cell>
          <cell r="AF3096">
            <v>14729</v>
          </cell>
          <cell r="AG3096">
            <v>13928</v>
          </cell>
          <cell r="AH3096">
            <v>18862</v>
          </cell>
          <cell r="AI3096">
            <v>20989</v>
          </cell>
          <cell r="AJ3096">
            <v>15669</v>
          </cell>
        </row>
        <row r="3097">
          <cell r="E3097" t="str">
            <v>MO Residential Wood</v>
          </cell>
          <cell r="F3097">
            <v>13373</v>
          </cell>
          <cell r="G3097">
            <v>14020</v>
          </cell>
          <cell r="H3097">
            <v>14709</v>
          </cell>
          <cell r="I3097">
            <v>12350</v>
          </cell>
          <cell r="J3097">
            <v>11722</v>
          </cell>
          <cell r="K3097">
            <v>11722</v>
          </cell>
          <cell r="L3097">
            <v>12173</v>
          </cell>
          <cell r="M3097">
            <v>9551</v>
          </cell>
          <cell r="N3097">
            <v>8488</v>
          </cell>
          <cell r="O3097">
            <v>8711</v>
          </cell>
          <cell r="P3097">
            <v>9381</v>
          </cell>
          <cell r="Q3097">
            <v>9398</v>
          </cell>
          <cell r="R3097">
            <v>9539</v>
          </cell>
          <cell r="S3097">
            <v>10041</v>
          </cell>
          <cell r="T3097">
            <v>10292</v>
          </cell>
          <cell r="U3097">
            <v>18484</v>
          </cell>
          <cell r="V3097">
            <v>16393</v>
          </cell>
          <cell r="W3097">
            <v>18119</v>
          </cell>
          <cell r="X3097">
            <v>20276</v>
          </cell>
          <cell r="Y3097">
            <v>26123</v>
          </cell>
          <cell r="Z3097">
            <v>28017</v>
          </cell>
          <cell r="AA3097">
            <v>27174</v>
          </cell>
          <cell r="AB3097">
            <v>22708</v>
          </cell>
          <cell r="AC3097">
            <v>29631</v>
          </cell>
          <cell r="AD3097">
            <v>29987</v>
          </cell>
          <cell r="AE3097">
            <v>18079</v>
          </cell>
          <cell r="AF3097">
            <v>15693</v>
          </cell>
          <cell r="AG3097">
            <v>14405</v>
          </cell>
          <cell r="AH3097">
            <v>19757</v>
          </cell>
          <cell r="AI3097">
            <v>19525</v>
          </cell>
          <cell r="AJ3097">
            <v>16157</v>
          </cell>
        </row>
        <row r="3098">
          <cell r="E3098" t="str">
            <v>MS Residential Wood</v>
          </cell>
          <cell r="F3098">
            <v>9153</v>
          </cell>
          <cell r="G3098">
            <v>9596</v>
          </cell>
          <cell r="H3098">
            <v>10067</v>
          </cell>
          <cell r="I3098">
            <v>7594</v>
          </cell>
          <cell r="J3098">
            <v>7208</v>
          </cell>
          <cell r="K3098">
            <v>7208</v>
          </cell>
          <cell r="L3098">
            <v>7486</v>
          </cell>
          <cell r="M3098">
            <v>3906</v>
          </cell>
          <cell r="N3098">
            <v>3471</v>
          </cell>
          <cell r="O3098">
            <v>3563</v>
          </cell>
          <cell r="P3098">
            <v>3837</v>
          </cell>
          <cell r="Q3098">
            <v>3152</v>
          </cell>
          <cell r="R3098">
            <v>3200</v>
          </cell>
          <cell r="S3098">
            <v>3368</v>
          </cell>
          <cell r="T3098">
            <v>3452</v>
          </cell>
          <cell r="U3098">
            <v>4837</v>
          </cell>
          <cell r="V3098">
            <v>4290</v>
          </cell>
          <cell r="W3098">
            <v>4741</v>
          </cell>
          <cell r="X3098">
            <v>5306</v>
          </cell>
          <cell r="Y3098">
            <v>5512</v>
          </cell>
          <cell r="Z3098">
            <v>5912</v>
          </cell>
          <cell r="AA3098">
            <v>5734</v>
          </cell>
          <cell r="AB3098">
            <v>4791</v>
          </cell>
          <cell r="AC3098">
            <v>6252</v>
          </cell>
          <cell r="AD3098">
            <v>6327</v>
          </cell>
          <cell r="AE3098">
            <v>1395</v>
          </cell>
          <cell r="AF3098">
            <v>1271</v>
          </cell>
          <cell r="AG3098">
            <v>793</v>
          </cell>
          <cell r="AH3098">
            <v>1473</v>
          </cell>
          <cell r="AI3098">
            <v>1576</v>
          </cell>
          <cell r="AJ3098">
            <v>1116</v>
          </cell>
        </row>
        <row r="3099">
          <cell r="E3099" t="str">
            <v>MT Residential Wood</v>
          </cell>
          <cell r="F3099">
            <v>1789</v>
          </cell>
          <cell r="G3099">
            <v>1875</v>
          </cell>
          <cell r="H3099">
            <v>1968</v>
          </cell>
          <cell r="I3099">
            <v>1818</v>
          </cell>
          <cell r="J3099">
            <v>1726</v>
          </cell>
          <cell r="K3099">
            <v>1726</v>
          </cell>
          <cell r="L3099">
            <v>1792</v>
          </cell>
          <cell r="M3099">
            <v>1895</v>
          </cell>
          <cell r="N3099">
            <v>1684</v>
          </cell>
          <cell r="O3099">
            <v>1728</v>
          </cell>
          <cell r="P3099">
            <v>1861</v>
          </cell>
          <cell r="Q3099">
            <v>1045</v>
          </cell>
          <cell r="R3099">
            <v>1061</v>
          </cell>
          <cell r="S3099">
            <v>1117</v>
          </cell>
          <cell r="T3099">
            <v>1145</v>
          </cell>
          <cell r="U3099">
            <v>6033</v>
          </cell>
          <cell r="V3099">
            <v>5350</v>
          </cell>
          <cell r="W3099">
            <v>5914</v>
          </cell>
          <cell r="X3099">
            <v>6618</v>
          </cell>
          <cell r="Y3099">
            <v>3181</v>
          </cell>
          <cell r="Z3099">
            <v>3411</v>
          </cell>
          <cell r="AA3099">
            <v>3309</v>
          </cell>
          <cell r="AB3099">
            <v>2765</v>
          </cell>
          <cell r="AC3099">
            <v>3608</v>
          </cell>
          <cell r="AD3099">
            <v>3651</v>
          </cell>
          <cell r="AE3099">
            <v>10838</v>
          </cell>
          <cell r="AF3099">
            <v>11121</v>
          </cell>
          <cell r="AG3099">
            <v>10830</v>
          </cell>
          <cell r="AH3099">
            <v>14452</v>
          </cell>
          <cell r="AI3099">
            <v>14063</v>
          </cell>
          <cell r="AJ3099">
            <v>11618</v>
          </cell>
        </row>
        <row r="3100">
          <cell r="E3100" t="str">
            <v>NC Residential Wood</v>
          </cell>
          <cell r="F3100">
            <v>11699</v>
          </cell>
          <cell r="G3100">
            <v>12265</v>
          </cell>
          <cell r="H3100">
            <v>12868</v>
          </cell>
          <cell r="I3100">
            <v>18649</v>
          </cell>
          <cell r="J3100">
            <v>17702</v>
          </cell>
          <cell r="K3100">
            <v>17702</v>
          </cell>
          <cell r="L3100">
            <v>18382</v>
          </cell>
          <cell r="M3100">
            <v>14507</v>
          </cell>
          <cell r="N3100">
            <v>12892</v>
          </cell>
          <cell r="O3100">
            <v>13231</v>
          </cell>
          <cell r="P3100">
            <v>14249</v>
          </cell>
          <cell r="Q3100">
            <v>9684</v>
          </cell>
          <cell r="R3100">
            <v>9830</v>
          </cell>
          <cell r="S3100">
            <v>10348</v>
          </cell>
          <cell r="T3100">
            <v>10606</v>
          </cell>
          <cell r="U3100">
            <v>15395</v>
          </cell>
          <cell r="V3100">
            <v>13654</v>
          </cell>
          <cell r="W3100">
            <v>15092</v>
          </cell>
          <cell r="X3100">
            <v>16888</v>
          </cell>
          <cell r="Y3100">
            <v>16820</v>
          </cell>
          <cell r="Z3100">
            <v>18040</v>
          </cell>
          <cell r="AA3100">
            <v>17497</v>
          </cell>
          <cell r="AB3100">
            <v>14621</v>
          </cell>
          <cell r="AC3100">
            <v>19079</v>
          </cell>
          <cell r="AD3100">
            <v>19308</v>
          </cell>
          <cell r="AE3100">
            <v>10164</v>
          </cell>
          <cell r="AF3100">
            <v>8575</v>
          </cell>
          <cell r="AG3100">
            <v>7524</v>
          </cell>
          <cell r="AH3100">
            <v>10172</v>
          </cell>
          <cell r="AI3100">
            <v>8898</v>
          </cell>
          <cell r="AJ3100">
            <v>7600</v>
          </cell>
        </row>
        <row r="3101">
          <cell r="E3101" t="str">
            <v>ND Residential Wood</v>
          </cell>
          <cell r="F3101">
            <v>1680</v>
          </cell>
          <cell r="G3101">
            <v>1762</v>
          </cell>
          <cell r="H3101">
            <v>1848</v>
          </cell>
          <cell r="I3101">
            <v>1539</v>
          </cell>
          <cell r="J3101">
            <v>1461</v>
          </cell>
          <cell r="K3101">
            <v>1461</v>
          </cell>
          <cell r="L3101">
            <v>1517</v>
          </cell>
          <cell r="M3101">
            <v>1173</v>
          </cell>
          <cell r="N3101">
            <v>1043</v>
          </cell>
          <cell r="O3101">
            <v>1070</v>
          </cell>
          <cell r="P3101">
            <v>1152</v>
          </cell>
          <cell r="Q3101">
            <v>1108</v>
          </cell>
          <cell r="R3101">
            <v>1125</v>
          </cell>
          <cell r="S3101">
            <v>1184</v>
          </cell>
          <cell r="T3101">
            <v>1214</v>
          </cell>
          <cell r="U3101">
            <v>362</v>
          </cell>
          <cell r="V3101">
            <v>321</v>
          </cell>
          <cell r="W3101">
            <v>355</v>
          </cell>
          <cell r="X3101">
            <v>398</v>
          </cell>
          <cell r="Y3101">
            <v>461</v>
          </cell>
          <cell r="Z3101">
            <v>494</v>
          </cell>
          <cell r="AA3101">
            <v>479</v>
          </cell>
          <cell r="AB3101">
            <v>400</v>
          </cell>
          <cell r="AC3101">
            <v>522</v>
          </cell>
          <cell r="AD3101">
            <v>529</v>
          </cell>
          <cell r="AE3101">
            <v>520</v>
          </cell>
          <cell r="AF3101">
            <v>639</v>
          </cell>
          <cell r="AG3101">
            <v>583</v>
          </cell>
          <cell r="AH3101">
            <v>573</v>
          </cell>
          <cell r="AI3101">
            <v>578</v>
          </cell>
          <cell r="AJ3101">
            <v>514</v>
          </cell>
        </row>
        <row r="3102">
          <cell r="E3102" t="str">
            <v>NE Residential Wood</v>
          </cell>
          <cell r="F3102">
            <v>4017</v>
          </cell>
          <cell r="G3102">
            <v>4212</v>
          </cell>
          <cell r="H3102">
            <v>4419</v>
          </cell>
          <cell r="I3102">
            <v>3709</v>
          </cell>
          <cell r="J3102">
            <v>3520</v>
          </cell>
          <cell r="K3102">
            <v>3520</v>
          </cell>
          <cell r="L3102">
            <v>3656</v>
          </cell>
          <cell r="M3102">
            <v>2839</v>
          </cell>
          <cell r="N3102">
            <v>2523</v>
          </cell>
          <cell r="O3102">
            <v>2589</v>
          </cell>
          <cell r="P3102">
            <v>2788</v>
          </cell>
          <cell r="Q3102">
            <v>2782</v>
          </cell>
          <cell r="R3102">
            <v>2824</v>
          </cell>
          <cell r="S3102">
            <v>2972</v>
          </cell>
          <cell r="T3102">
            <v>3046</v>
          </cell>
          <cell r="U3102">
            <v>2277</v>
          </cell>
          <cell r="V3102">
            <v>2019</v>
          </cell>
          <cell r="W3102">
            <v>2232</v>
          </cell>
          <cell r="X3102">
            <v>2497</v>
          </cell>
          <cell r="Y3102">
            <v>2590</v>
          </cell>
          <cell r="Z3102">
            <v>2778</v>
          </cell>
          <cell r="AA3102">
            <v>2694</v>
          </cell>
          <cell r="AB3102">
            <v>2252</v>
          </cell>
          <cell r="AC3102">
            <v>2938</v>
          </cell>
          <cell r="AD3102">
            <v>2973</v>
          </cell>
          <cell r="AE3102">
            <v>2401</v>
          </cell>
          <cell r="AF3102">
            <v>2240</v>
          </cell>
          <cell r="AG3102">
            <v>1828</v>
          </cell>
          <cell r="AH3102">
            <v>2806</v>
          </cell>
          <cell r="AI3102">
            <v>3086</v>
          </cell>
          <cell r="AJ3102">
            <v>2203</v>
          </cell>
        </row>
        <row r="3103">
          <cell r="E3103" t="str">
            <v>NH Residential Wood</v>
          </cell>
          <cell r="F3103">
            <v>3684</v>
          </cell>
          <cell r="G3103">
            <v>3862</v>
          </cell>
          <cell r="H3103">
            <v>4052</v>
          </cell>
          <cell r="I3103">
            <v>4242</v>
          </cell>
          <cell r="J3103">
            <v>4026</v>
          </cell>
          <cell r="K3103">
            <v>4026</v>
          </cell>
          <cell r="L3103">
            <v>4181</v>
          </cell>
          <cell r="M3103">
            <v>3036</v>
          </cell>
          <cell r="N3103">
            <v>2698</v>
          </cell>
          <cell r="O3103">
            <v>2769</v>
          </cell>
          <cell r="P3103">
            <v>2982</v>
          </cell>
          <cell r="Q3103">
            <v>2418</v>
          </cell>
          <cell r="R3103">
            <v>2454</v>
          </cell>
          <cell r="S3103">
            <v>2584</v>
          </cell>
          <cell r="T3103">
            <v>2648</v>
          </cell>
          <cell r="U3103">
            <v>3321</v>
          </cell>
          <cell r="V3103">
            <v>2946</v>
          </cell>
          <cell r="W3103">
            <v>3256</v>
          </cell>
          <cell r="X3103">
            <v>3643</v>
          </cell>
          <cell r="Y3103">
            <v>8256</v>
          </cell>
          <cell r="Z3103">
            <v>8855</v>
          </cell>
          <cell r="AA3103">
            <v>8589</v>
          </cell>
          <cell r="AB3103">
            <v>7177</v>
          </cell>
          <cell r="AC3103">
            <v>9365</v>
          </cell>
          <cell r="AD3103">
            <v>9478</v>
          </cell>
          <cell r="AE3103">
            <v>13918</v>
          </cell>
          <cell r="AF3103">
            <v>10173</v>
          </cell>
          <cell r="AG3103">
            <v>11213</v>
          </cell>
          <cell r="AH3103">
            <v>12660</v>
          </cell>
          <cell r="AI3103">
            <v>13515</v>
          </cell>
          <cell r="AJ3103">
            <v>10554</v>
          </cell>
        </row>
        <row r="3104">
          <cell r="E3104" t="str">
            <v>NJ Residential Wood</v>
          </cell>
          <cell r="F3104">
            <v>16187</v>
          </cell>
          <cell r="G3104">
            <v>16969</v>
          </cell>
          <cell r="H3104">
            <v>17804</v>
          </cell>
          <cell r="I3104">
            <v>15305</v>
          </cell>
          <cell r="J3104">
            <v>14528</v>
          </cell>
          <cell r="K3104">
            <v>14528</v>
          </cell>
          <cell r="L3104">
            <v>15087</v>
          </cell>
          <cell r="M3104">
            <v>8546</v>
          </cell>
          <cell r="N3104">
            <v>7595</v>
          </cell>
          <cell r="O3104">
            <v>7794</v>
          </cell>
          <cell r="P3104">
            <v>8394</v>
          </cell>
          <cell r="Q3104">
            <v>7901</v>
          </cell>
          <cell r="R3104">
            <v>8020</v>
          </cell>
          <cell r="S3104">
            <v>8442</v>
          </cell>
          <cell r="T3104">
            <v>8653</v>
          </cell>
          <cell r="U3104">
            <v>1414</v>
          </cell>
          <cell r="V3104">
            <v>1254</v>
          </cell>
          <cell r="W3104">
            <v>1386</v>
          </cell>
          <cell r="X3104">
            <v>1551</v>
          </cell>
          <cell r="Y3104">
            <v>10964</v>
          </cell>
          <cell r="Z3104">
            <v>11759</v>
          </cell>
          <cell r="AA3104">
            <v>11405</v>
          </cell>
          <cell r="AB3104">
            <v>9531</v>
          </cell>
          <cell r="AC3104">
            <v>12436</v>
          </cell>
          <cell r="AD3104">
            <v>12586</v>
          </cell>
          <cell r="AE3104">
            <v>3215</v>
          </cell>
          <cell r="AF3104">
            <v>2730</v>
          </cell>
          <cell r="AG3104">
            <v>2382</v>
          </cell>
          <cell r="AH3104">
            <v>2992</v>
          </cell>
          <cell r="AI3104">
            <v>2669</v>
          </cell>
          <cell r="AJ3104">
            <v>2411</v>
          </cell>
        </row>
        <row r="3105">
          <cell r="E3105" t="str">
            <v>NM Residential Wood</v>
          </cell>
          <cell r="F3105">
            <v>3131</v>
          </cell>
          <cell r="G3105">
            <v>3282</v>
          </cell>
          <cell r="H3105">
            <v>3443</v>
          </cell>
          <cell r="I3105">
            <v>3268</v>
          </cell>
          <cell r="J3105">
            <v>3102</v>
          </cell>
          <cell r="K3105">
            <v>3102</v>
          </cell>
          <cell r="L3105">
            <v>3221</v>
          </cell>
          <cell r="M3105">
            <v>3632</v>
          </cell>
          <cell r="N3105">
            <v>3228</v>
          </cell>
          <cell r="O3105">
            <v>3313</v>
          </cell>
          <cell r="P3105">
            <v>3567</v>
          </cell>
          <cell r="Q3105">
            <v>2000</v>
          </cell>
          <cell r="R3105">
            <v>2030</v>
          </cell>
          <cell r="S3105">
            <v>2137</v>
          </cell>
          <cell r="T3105">
            <v>2190</v>
          </cell>
          <cell r="U3105">
            <v>9004</v>
          </cell>
          <cell r="V3105">
            <v>7986</v>
          </cell>
          <cell r="W3105">
            <v>8826</v>
          </cell>
          <cell r="X3105">
            <v>9877</v>
          </cell>
          <cell r="Y3105">
            <v>6906</v>
          </cell>
          <cell r="Z3105">
            <v>7407</v>
          </cell>
          <cell r="AA3105">
            <v>7184</v>
          </cell>
          <cell r="AB3105">
            <v>6003</v>
          </cell>
          <cell r="AC3105">
            <v>7833</v>
          </cell>
          <cell r="AD3105">
            <v>7927</v>
          </cell>
          <cell r="AE3105">
            <v>8806</v>
          </cell>
          <cell r="AF3105">
            <v>9037</v>
          </cell>
          <cell r="AG3105">
            <v>7854</v>
          </cell>
          <cell r="AH3105">
            <v>11030</v>
          </cell>
          <cell r="AI3105">
            <v>13087</v>
          </cell>
          <cell r="AJ3105">
            <v>9616</v>
          </cell>
        </row>
        <row r="3106">
          <cell r="E3106" t="str">
            <v>NV Residential Wood</v>
          </cell>
          <cell r="F3106">
            <v>2570</v>
          </cell>
          <cell r="G3106">
            <v>2694</v>
          </cell>
          <cell r="H3106">
            <v>2826</v>
          </cell>
          <cell r="I3106">
            <v>2969</v>
          </cell>
          <cell r="J3106">
            <v>2818</v>
          </cell>
          <cell r="K3106">
            <v>2818</v>
          </cell>
          <cell r="L3106">
            <v>2926</v>
          </cell>
          <cell r="M3106">
            <v>3634</v>
          </cell>
          <cell r="N3106">
            <v>3229</v>
          </cell>
          <cell r="O3106">
            <v>3314</v>
          </cell>
          <cell r="P3106">
            <v>3569</v>
          </cell>
          <cell r="Q3106">
            <v>2179</v>
          </cell>
          <cell r="R3106">
            <v>2212</v>
          </cell>
          <cell r="S3106">
            <v>2329</v>
          </cell>
          <cell r="T3106">
            <v>2387</v>
          </cell>
          <cell r="U3106">
            <v>1948</v>
          </cell>
          <cell r="V3106">
            <v>1728</v>
          </cell>
          <cell r="W3106">
            <v>1910</v>
          </cell>
          <cell r="X3106">
            <v>2137</v>
          </cell>
          <cell r="Y3106">
            <v>1803</v>
          </cell>
          <cell r="Z3106">
            <v>1933</v>
          </cell>
          <cell r="AA3106">
            <v>1875</v>
          </cell>
          <cell r="AB3106">
            <v>1567</v>
          </cell>
          <cell r="AC3106">
            <v>2045</v>
          </cell>
          <cell r="AD3106">
            <v>2069</v>
          </cell>
          <cell r="AE3106">
            <v>1911</v>
          </cell>
          <cell r="AF3106">
            <v>1815</v>
          </cell>
          <cell r="AG3106">
            <v>1863</v>
          </cell>
          <cell r="AH3106">
            <v>2747</v>
          </cell>
          <cell r="AI3106">
            <v>2694</v>
          </cell>
          <cell r="AJ3106">
            <v>2075</v>
          </cell>
        </row>
        <row r="3107">
          <cell r="E3107" t="str">
            <v>NY Residential Wood</v>
          </cell>
          <cell r="F3107">
            <v>38039</v>
          </cell>
          <cell r="G3107">
            <v>39878</v>
          </cell>
          <cell r="H3107">
            <v>41839</v>
          </cell>
          <cell r="I3107">
            <v>55167</v>
          </cell>
          <cell r="J3107">
            <v>52364</v>
          </cell>
          <cell r="K3107">
            <v>52364</v>
          </cell>
          <cell r="L3107">
            <v>54378</v>
          </cell>
          <cell r="M3107">
            <v>84039</v>
          </cell>
          <cell r="N3107">
            <v>74680</v>
          </cell>
          <cell r="O3107">
            <v>76646</v>
          </cell>
          <cell r="P3107">
            <v>82541</v>
          </cell>
          <cell r="Q3107">
            <v>55095</v>
          </cell>
          <cell r="R3107">
            <v>55925</v>
          </cell>
          <cell r="S3107">
            <v>58869</v>
          </cell>
          <cell r="T3107">
            <v>60341</v>
          </cell>
          <cell r="U3107">
            <v>50364</v>
          </cell>
          <cell r="V3107">
            <v>44668</v>
          </cell>
          <cell r="W3107">
            <v>49369</v>
          </cell>
          <cell r="X3107">
            <v>55247</v>
          </cell>
          <cell r="Y3107">
            <v>19343</v>
          </cell>
          <cell r="Z3107">
            <v>20746</v>
          </cell>
          <cell r="AA3107">
            <v>20121</v>
          </cell>
          <cell r="AB3107">
            <v>16814</v>
          </cell>
          <cell r="AC3107">
            <v>21940</v>
          </cell>
          <cell r="AD3107">
            <v>22204</v>
          </cell>
          <cell r="AE3107">
            <v>36979</v>
          </cell>
          <cell r="AF3107">
            <v>29587</v>
          </cell>
          <cell r="AG3107">
            <v>28604</v>
          </cell>
          <cell r="AH3107">
            <v>34818</v>
          </cell>
          <cell r="AI3107">
            <v>35522</v>
          </cell>
          <cell r="AJ3107">
            <v>28194</v>
          </cell>
        </row>
        <row r="3108">
          <cell r="E3108" t="str">
            <v>OH Residential Wood</v>
          </cell>
          <cell r="F3108">
            <v>31203</v>
          </cell>
          <cell r="G3108">
            <v>32712</v>
          </cell>
          <cell r="H3108">
            <v>34321</v>
          </cell>
          <cell r="I3108">
            <v>17666</v>
          </cell>
          <cell r="J3108">
            <v>16769</v>
          </cell>
          <cell r="K3108">
            <v>16769</v>
          </cell>
          <cell r="L3108">
            <v>17414</v>
          </cell>
          <cell r="M3108">
            <v>11336</v>
          </cell>
          <cell r="N3108">
            <v>10074</v>
          </cell>
          <cell r="O3108">
            <v>10339</v>
          </cell>
          <cell r="P3108">
            <v>11134</v>
          </cell>
          <cell r="Q3108">
            <v>15168</v>
          </cell>
          <cell r="R3108">
            <v>15397</v>
          </cell>
          <cell r="S3108">
            <v>16207</v>
          </cell>
          <cell r="T3108">
            <v>16612</v>
          </cell>
          <cell r="U3108">
            <v>20948</v>
          </cell>
          <cell r="V3108">
            <v>18579</v>
          </cell>
          <cell r="W3108">
            <v>20534</v>
          </cell>
          <cell r="X3108">
            <v>22979</v>
          </cell>
          <cell r="Y3108">
            <v>21230</v>
          </cell>
          <cell r="Z3108">
            <v>22770</v>
          </cell>
          <cell r="AA3108">
            <v>22085</v>
          </cell>
          <cell r="AB3108">
            <v>18455</v>
          </cell>
          <cell r="AC3108">
            <v>24081</v>
          </cell>
          <cell r="AD3108">
            <v>24371</v>
          </cell>
          <cell r="AE3108">
            <v>21583</v>
          </cell>
          <cell r="AF3108">
            <v>18874</v>
          </cell>
          <cell r="AG3108">
            <v>18021</v>
          </cell>
          <cell r="AH3108">
            <v>21602</v>
          </cell>
          <cell r="AI3108">
            <v>21304</v>
          </cell>
          <cell r="AJ3108">
            <v>18147</v>
          </cell>
        </row>
        <row r="3109">
          <cell r="E3109" t="str">
            <v>OK Residential Wood</v>
          </cell>
          <cell r="F3109">
            <v>4443</v>
          </cell>
          <cell r="G3109">
            <v>4658</v>
          </cell>
          <cell r="H3109">
            <v>4887</v>
          </cell>
          <cell r="I3109">
            <v>6677</v>
          </cell>
          <cell r="J3109">
            <v>6338</v>
          </cell>
          <cell r="K3109">
            <v>6338</v>
          </cell>
          <cell r="L3109">
            <v>6582</v>
          </cell>
          <cell r="M3109">
            <v>3149</v>
          </cell>
          <cell r="N3109">
            <v>2799</v>
          </cell>
          <cell r="O3109">
            <v>2872</v>
          </cell>
          <cell r="P3109">
            <v>3093</v>
          </cell>
          <cell r="Q3109">
            <v>2865</v>
          </cell>
          <cell r="R3109">
            <v>2908</v>
          </cell>
          <cell r="S3109">
            <v>3061</v>
          </cell>
          <cell r="T3109">
            <v>3137</v>
          </cell>
          <cell r="U3109">
            <v>3174</v>
          </cell>
          <cell r="V3109">
            <v>2815</v>
          </cell>
          <cell r="W3109">
            <v>3111</v>
          </cell>
          <cell r="X3109">
            <v>3482</v>
          </cell>
          <cell r="Y3109">
            <v>5503</v>
          </cell>
          <cell r="Z3109">
            <v>5902</v>
          </cell>
          <cell r="AA3109">
            <v>5724</v>
          </cell>
          <cell r="AB3109">
            <v>4783</v>
          </cell>
          <cell r="AC3109">
            <v>6242</v>
          </cell>
          <cell r="AD3109">
            <v>6317</v>
          </cell>
          <cell r="AE3109">
            <v>3961</v>
          </cell>
          <cell r="AF3109">
            <v>3035</v>
          </cell>
          <cell r="AG3109">
            <v>2591</v>
          </cell>
          <cell r="AH3109">
            <v>4191</v>
          </cell>
          <cell r="AI3109">
            <v>4334</v>
          </cell>
          <cell r="AJ3109">
            <v>3133</v>
          </cell>
        </row>
        <row r="3110">
          <cell r="E3110" t="str">
            <v>OR Residential Wood</v>
          </cell>
          <cell r="F3110">
            <v>7810</v>
          </cell>
          <cell r="G3110">
            <v>8188</v>
          </cell>
          <cell r="H3110">
            <v>8590</v>
          </cell>
          <cell r="I3110">
            <v>10435</v>
          </cell>
          <cell r="J3110">
            <v>9905</v>
          </cell>
          <cell r="K3110">
            <v>9905</v>
          </cell>
          <cell r="L3110">
            <v>10286</v>
          </cell>
          <cell r="M3110">
            <v>8763</v>
          </cell>
          <cell r="N3110">
            <v>7787</v>
          </cell>
          <cell r="O3110">
            <v>7992</v>
          </cell>
          <cell r="P3110">
            <v>8607</v>
          </cell>
          <cell r="Q3110">
            <v>14065</v>
          </cell>
          <cell r="R3110">
            <v>14276</v>
          </cell>
          <cell r="S3110">
            <v>15028</v>
          </cell>
          <cell r="T3110">
            <v>15403</v>
          </cell>
          <cell r="U3110">
            <v>9906</v>
          </cell>
          <cell r="V3110">
            <v>8785</v>
          </cell>
          <cell r="W3110">
            <v>9710</v>
          </cell>
          <cell r="X3110">
            <v>10866</v>
          </cell>
          <cell r="Y3110">
            <v>15912</v>
          </cell>
          <cell r="Z3110">
            <v>17066</v>
          </cell>
          <cell r="AA3110">
            <v>16553</v>
          </cell>
          <cell r="AB3110">
            <v>13832</v>
          </cell>
          <cell r="AC3110">
            <v>18049</v>
          </cell>
          <cell r="AD3110">
            <v>18266</v>
          </cell>
          <cell r="AE3110">
            <v>20627</v>
          </cell>
          <cell r="AF3110">
            <v>20901</v>
          </cell>
          <cell r="AG3110">
            <v>22259</v>
          </cell>
          <cell r="AH3110">
            <v>24189</v>
          </cell>
          <cell r="AI3110">
            <v>27055</v>
          </cell>
          <cell r="AJ3110">
            <v>21563</v>
          </cell>
        </row>
        <row r="3111">
          <cell r="E3111" t="str">
            <v>PA Residential Wood</v>
          </cell>
          <cell r="F3111">
            <v>25992</v>
          </cell>
          <cell r="G3111">
            <v>27248</v>
          </cell>
          <cell r="H3111">
            <v>28588</v>
          </cell>
          <cell r="I3111">
            <v>24690</v>
          </cell>
          <cell r="J3111">
            <v>23436</v>
          </cell>
          <cell r="K3111">
            <v>23436</v>
          </cell>
          <cell r="L3111">
            <v>24337</v>
          </cell>
          <cell r="M3111">
            <v>13815</v>
          </cell>
          <cell r="N3111">
            <v>12277</v>
          </cell>
          <cell r="O3111">
            <v>12600</v>
          </cell>
          <cell r="P3111">
            <v>13569</v>
          </cell>
          <cell r="Q3111">
            <v>12494</v>
          </cell>
          <cell r="R3111">
            <v>12682</v>
          </cell>
          <cell r="S3111">
            <v>13349</v>
          </cell>
          <cell r="T3111">
            <v>13683</v>
          </cell>
          <cell r="U3111">
            <v>15425</v>
          </cell>
          <cell r="V3111">
            <v>13680</v>
          </cell>
          <cell r="W3111">
            <v>15120</v>
          </cell>
          <cell r="X3111">
            <v>16920</v>
          </cell>
          <cell r="Y3111">
            <v>24104</v>
          </cell>
          <cell r="Z3111">
            <v>25852</v>
          </cell>
          <cell r="AA3111">
            <v>25074</v>
          </cell>
          <cell r="AB3111">
            <v>20953</v>
          </cell>
          <cell r="AC3111">
            <v>27341</v>
          </cell>
          <cell r="AD3111">
            <v>27670</v>
          </cell>
          <cell r="AE3111">
            <v>34969</v>
          </cell>
          <cell r="AF3111">
            <v>28382</v>
          </cell>
          <cell r="AG3111">
            <v>27905</v>
          </cell>
          <cell r="AH3111">
            <v>35359</v>
          </cell>
          <cell r="AI3111">
            <v>33528</v>
          </cell>
          <cell r="AJ3111">
            <v>28438</v>
          </cell>
        </row>
        <row r="3112">
          <cell r="E3112" t="str">
            <v>RI Residential Wood</v>
          </cell>
          <cell r="F3112">
            <v>3031</v>
          </cell>
          <cell r="G3112">
            <v>3177</v>
          </cell>
          <cell r="H3112">
            <v>3334</v>
          </cell>
          <cell r="I3112">
            <v>3460</v>
          </cell>
          <cell r="J3112">
            <v>3285</v>
          </cell>
          <cell r="K3112">
            <v>3285</v>
          </cell>
          <cell r="L3112">
            <v>3411</v>
          </cell>
          <cell r="M3112">
            <v>2437</v>
          </cell>
          <cell r="N3112">
            <v>2166</v>
          </cell>
          <cell r="O3112">
            <v>2223</v>
          </cell>
          <cell r="P3112">
            <v>2394</v>
          </cell>
          <cell r="Q3112">
            <v>1926</v>
          </cell>
          <cell r="R3112">
            <v>1955</v>
          </cell>
          <cell r="S3112">
            <v>2058</v>
          </cell>
          <cell r="T3112">
            <v>2109</v>
          </cell>
          <cell r="U3112">
            <v>605</v>
          </cell>
          <cell r="V3112">
            <v>536</v>
          </cell>
          <cell r="W3112">
            <v>593</v>
          </cell>
          <cell r="X3112">
            <v>663</v>
          </cell>
          <cell r="Y3112">
            <v>1399</v>
          </cell>
          <cell r="Z3112">
            <v>1501</v>
          </cell>
          <cell r="AA3112">
            <v>1456</v>
          </cell>
          <cell r="AB3112">
            <v>1216</v>
          </cell>
          <cell r="AC3112">
            <v>1587</v>
          </cell>
          <cell r="AD3112">
            <v>1606</v>
          </cell>
          <cell r="AE3112">
            <v>1832</v>
          </cell>
          <cell r="AF3112">
            <v>1396</v>
          </cell>
          <cell r="AG3112">
            <v>1345</v>
          </cell>
          <cell r="AH3112">
            <v>1249</v>
          </cell>
          <cell r="AI3112">
            <v>1747</v>
          </cell>
          <cell r="AJ3112">
            <v>1286</v>
          </cell>
        </row>
        <row r="3113">
          <cell r="E3113" t="str">
            <v>SC Residential Wood</v>
          </cell>
          <cell r="F3113">
            <v>5911</v>
          </cell>
          <cell r="G3113">
            <v>6196</v>
          </cell>
          <cell r="H3113">
            <v>6501</v>
          </cell>
          <cell r="I3113">
            <v>9402</v>
          </cell>
          <cell r="J3113">
            <v>8924</v>
          </cell>
          <cell r="K3113">
            <v>8924</v>
          </cell>
          <cell r="L3113">
            <v>9267</v>
          </cell>
          <cell r="M3113">
            <v>7264</v>
          </cell>
          <cell r="N3113">
            <v>6455</v>
          </cell>
          <cell r="O3113">
            <v>6625</v>
          </cell>
          <cell r="P3113">
            <v>7135</v>
          </cell>
          <cell r="Q3113">
            <v>4798</v>
          </cell>
          <cell r="R3113">
            <v>4870</v>
          </cell>
          <cell r="S3113">
            <v>5126</v>
          </cell>
          <cell r="T3113">
            <v>5254</v>
          </cell>
          <cell r="U3113">
            <v>3838</v>
          </cell>
          <cell r="V3113">
            <v>3404</v>
          </cell>
          <cell r="W3113">
            <v>3762</v>
          </cell>
          <cell r="X3113">
            <v>4210</v>
          </cell>
          <cell r="Y3113">
            <v>3916</v>
          </cell>
          <cell r="Z3113">
            <v>4200</v>
          </cell>
          <cell r="AA3113">
            <v>4074</v>
          </cell>
          <cell r="AB3113">
            <v>3404</v>
          </cell>
          <cell r="AC3113">
            <v>4442</v>
          </cell>
          <cell r="AD3113">
            <v>4495</v>
          </cell>
          <cell r="AE3113">
            <v>1850</v>
          </cell>
          <cell r="AF3113">
            <v>1599</v>
          </cell>
          <cell r="AG3113">
            <v>1303</v>
          </cell>
          <cell r="AH3113">
            <v>1733</v>
          </cell>
          <cell r="AI3113">
            <v>1639</v>
          </cell>
          <cell r="AJ3113">
            <v>1403</v>
          </cell>
        </row>
        <row r="3114">
          <cell r="E3114" t="str">
            <v>SD Residential Wood</v>
          </cell>
          <cell r="F3114">
            <v>1778</v>
          </cell>
          <cell r="G3114">
            <v>1864</v>
          </cell>
          <cell r="H3114">
            <v>1956</v>
          </cell>
          <cell r="I3114">
            <v>1648</v>
          </cell>
          <cell r="J3114">
            <v>1565</v>
          </cell>
          <cell r="K3114">
            <v>1565</v>
          </cell>
          <cell r="L3114">
            <v>1625</v>
          </cell>
          <cell r="M3114">
            <v>1284</v>
          </cell>
          <cell r="N3114">
            <v>1141</v>
          </cell>
          <cell r="O3114">
            <v>1171</v>
          </cell>
          <cell r="P3114">
            <v>1262</v>
          </cell>
          <cell r="Q3114">
            <v>1248</v>
          </cell>
          <cell r="R3114">
            <v>1267</v>
          </cell>
          <cell r="S3114">
            <v>1333</v>
          </cell>
          <cell r="T3114">
            <v>1367</v>
          </cell>
          <cell r="U3114">
            <v>1159</v>
          </cell>
          <cell r="V3114">
            <v>1028</v>
          </cell>
          <cell r="W3114">
            <v>1137</v>
          </cell>
          <cell r="X3114">
            <v>1272</v>
          </cell>
          <cell r="Y3114">
            <v>1670</v>
          </cell>
          <cell r="Z3114">
            <v>1791</v>
          </cell>
          <cell r="AA3114">
            <v>1737</v>
          </cell>
          <cell r="AB3114">
            <v>1452</v>
          </cell>
          <cell r="AC3114">
            <v>1894</v>
          </cell>
          <cell r="AD3114">
            <v>1917</v>
          </cell>
          <cell r="AE3114">
            <v>2020</v>
          </cell>
          <cell r="AF3114">
            <v>1629</v>
          </cell>
          <cell r="AG3114">
            <v>1539</v>
          </cell>
          <cell r="AH3114">
            <v>2520</v>
          </cell>
          <cell r="AI3114">
            <v>2174</v>
          </cell>
          <cell r="AJ3114">
            <v>1660</v>
          </cell>
        </row>
        <row r="3115">
          <cell r="E3115" t="str">
            <v>TN Residential Wood</v>
          </cell>
          <cell r="F3115">
            <v>18353</v>
          </cell>
          <cell r="G3115">
            <v>19241</v>
          </cell>
          <cell r="H3115">
            <v>20187</v>
          </cell>
          <cell r="I3115">
            <v>15532</v>
          </cell>
          <cell r="J3115">
            <v>14743</v>
          </cell>
          <cell r="K3115">
            <v>14743</v>
          </cell>
          <cell r="L3115">
            <v>15310</v>
          </cell>
          <cell r="M3115">
            <v>8140</v>
          </cell>
          <cell r="N3115">
            <v>7233</v>
          </cell>
          <cell r="O3115">
            <v>7424</v>
          </cell>
          <cell r="P3115">
            <v>7995</v>
          </cell>
          <cell r="Q3115">
            <v>6625</v>
          </cell>
          <cell r="R3115">
            <v>6725</v>
          </cell>
          <cell r="S3115">
            <v>7079</v>
          </cell>
          <cell r="T3115">
            <v>7256</v>
          </cell>
          <cell r="U3115">
            <v>11489</v>
          </cell>
          <cell r="V3115">
            <v>10189</v>
          </cell>
          <cell r="W3115">
            <v>11262</v>
          </cell>
          <cell r="X3115">
            <v>12603</v>
          </cell>
          <cell r="Y3115">
            <v>7665</v>
          </cell>
          <cell r="Z3115">
            <v>8221</v>
          </cell>
          <cell r="AA3115">
            <v>7973</v>
          </cell>
          <cell r="AB3115">
            <v>6663</v>
          </cell>
          <cell r="AC3115">
            <v>8694</v>
          </cell>
          <cell r="AD3115">
            <v>8799</v>
          </cell>
          <cell r="AE3115">
            <v>7666</v>
          </cell>
          <cell r="AF3115">
            <v>6810</v>
          </cell>
          <cell r="AG3115">
            <v>5419</v>
          </cell>
          <cell r="AH3115">
            <v>7166</v>
          </cell>
          <cell r="AI3115">
            <v>7506</v>
          </cell>
          <cell r="AJ3115">
            <v>5905</v>
          </cell>
        </row>
        <row r="3116">
          <cell r="E3116" t="str">
            <v>TX Residential Wood</v>
          </cell>
          <cell r="F3116">
            <v>22139</v>
          </cell>
          <cell r="G3116">
            <v>23210</v>
          </cell>
          <cell r="H3116">
            <v>24351</v>
          </cell>
          <cell r="I3116">
            <v>14500</v>
          </cell>
          <cell r="J3116">
            <v>13763</v>
          </cell>
          <cell r="K3116">
            <v>13763</v>
          </cell>
          <cell r="L3116">
            <v>14293</v>
          </cell>
          <cell r="M3116">
            <v>10862</v>
          </cell>
          <cell r="N3116">
            <v>9652</v>
          </cell>
          <cell r="O3116">
            <v>9906</v>
          </cell>
          <cell r="P3116">
            <v>10668</v>
          </cell>
          <cell r="Q3116">
            <v>11756</v>
          </cell>
          <cell r="R3116">
            <v>11933</v>
          </cell>
          <cell r="S3116">
            <v>12561</v>
          </cell>
          <cell r="T3116">
            <v>12875</v>
          </cell>
          <cell r="U3116">
            <v>18303</v>
          </cell>
          <cell r="V3116">
            <v>16233</v>
          </cell>
          <cell r="W3116">
            <v>17942</v>
          </cell>
          <cell r="X3116">
            <v>20078</v>
          </cell>
          <cell r="Y3116">
            <v>12211</v>
          </cell>
          <cell r="Z3116">
            <v>13097</v>
          </cell>
          <cell r="AA3116">
            <v>12703</v>
          </cell>
          <cell r="AB3116">
            <v>10615</v>
          </cell>
          <cell r="AC3116">
            <v>13851</v>
          </cell>
          <cell r="AD3116">
            <v>14018</v>
          </cell>
          <cell r="AE3116">
            <v>2836</v>
          </cell>
          <cell r="AF3116">
            <v>2067</v>
          </cell>
          <cell r="AG3116">
            <v>1611</v>
          </cell>
          <cell r="AH3116">
            <v>2608</v>
          </cell>
          <cell r="AI3116">
            <v>2690</v>
          </cell>
          <cell r="AJ3116">
            <v>1947</v>
          </cell>
        </row>
        <row r="3117">
          <cell r="E3117" t="str">
            <v>US Residential Wood</v>
          </cell>
          <cell r="F3117">
            <v>581872</v>
          </cell>
          <cell r="G3117">
            <v>610000</v>
          </cell>
          <cell r="H3117">
            <v>640000</v>
          </cell>
          <cell r="I3117">
            <v>547827</v>
          </cell>
          <cell r="J3117">
            <v>520000</v>
          </cell>
          <cell r="K3117">
            <v>520000</v>
          </cell>
          <cell r="L3117">
            <v>540000</v>
          </cell>
          <cell r="M3117">
            <v>427620</v>
          </cell>
          <cell r="N3117">
            <v>380000</v>
          </cell>
          <cell r="O3117">
            <v>390000</v>
          </cell>
          <cell r="P3117">
            <v>420000</v>
          </cell>
          <cell r="Q3117">
            <v>374361</v>
          </cell>
          <cell r="R3117">
            <v>380000</v>
          </cell>
          <cell r="S3117">
            <v>400000</v>
          </cell>
          <cell r="T3117">
            <v>410000</v>
          </cell>
          <cell r="U3117">
            <v>428457</v>
          </cell>
          <cell r="V3117">
            <v>380000</v>
          </cell>
          <cell r="W3117">
            <v>420000</v>
          </cell>
          <cell r="X3117">
            <v>470000</v>
          </cell>
          <cell r="Y3117">
            <v>503980</v>
          </cell>
          <cell r="Z3117">
            <v>540526</v>
          </cell>
          <cell r="AA3117">
            <v>524264</v>
          </cell>
          <cell r="AB3117">
            <v>438095</v>
          </cell>
          <cell r="AC3117">
            <v>571655</v>
          </cell>
          <cell r="AD3117">
            <v>578535</v>
          </cell>
          <cell r="AE3117">
            <v>512736</v>
          </cell>
          <cell r="AF3117">
            <v>444654</v>
          </cell>
          <cell r="AG3117">
            <v>429592</v>
          </cell>
          <cell r="AH3117">
            <v>524877</v>
          </cell>
          <cell r="AI3117">
            <v>545530</v>
          </cell>
          <cell r="AJ3117">
            <v>440779</v>
          </cell>
        </row>
        <row r="3118">
          <cell r="E3118" t="str">
            <v>UT Residential Wood</v>
          </cell>
          <cell r="F3118">
            <v>2964</v>
          </cell>
          <cell r="G3118">
            <v>3107</v>
          </cell>
          <cell r="H3118">
            <v>3260</v>
          </cell>
          <cell r="I3118">
            <v>3153</v>
          </cell>
          <cell r="J3118">
            <v>2993</v>
          </cell>
          <cell r="K3118">
            <v>2993</v>
          </cell>
          <cell r="L3118">
            <v>3108</v>
          </cell>
          <cell r="M3118">
            <v>3541</v>
          </cell>
          <cell r="N3118">
            <v>3146</v>
          </cell>
          <cell r="O3118">
            <v>3229</v>
          </cell>
          <cell r="P3118">
            <v>3478</v>
          </cell>
          <cell r="Q3118">
            <v>1989</v>
          </cell>
          <cell r="R3118">
            <v>2019</v>
          </cell>
          <cell r="S3118">
            <v>2125</v>
          </cell>
          <cell r="T3118">
            <v>2178</v>
          </cell>
          <cell r="U3118">
            <v>1928</v>
          </cell>
          <cell r="V3118">
            <v>1710</v>
          </cell>
          <cell r="W3118">
            <v>1890</v>
          </cell>
          <cell r="X3118">
            <v>2115</v>
          </cell>
          <cell r="Y3118">
            <v>1043</v>
          </cell>
          <cell r="Z3118">
            <v>1118</v>
          </cell>
          <cell r="AA3118">
            <v>1085</v>
          </cell>
          <cell r="AB3118">
            <v>906</v>
          </cell>
          <cell r="AC3118">
            <v>1183</v>
          </cell>
          <cell r="AD3118">
            <v>1197</v>
          </cell>
          <cell r="AE3118">
            <v>3120</v>
          </cell>
          <cell r="AF3118">
            <v>3222</v>
          </cell>
          <cell r="AG3118">
            <v>3174</v>
          </cell>
          <cell r="AH3118">
            <v>4181</v>
          </cell>
          <cell r="AI3118">
            <v>4259</v>
          </cell>
          <cell r="AJ3118">
            <v>3272</v>
          </cell>
        </row>
        <row r="3119">
          <cell r="E3119" t="str">
            <v>VA Residential Wood</v>
          </cell>
          <cell r="F3119">
            <v>10364</v>
          </cell>
          <cell r="G3119">
            <v>10865</v>
          </cell>
          <cell r="H3119">
            <v>11399</v>
          </cell>
          <cell r="I3119">
            <v>16417</v>
          </cell>
          <cell r="J3119">
            <v>15583</v>
          </cell>
          <cell r="K3119">
            <v>15583</v>
          </cell>
          <cell r="L3119">
            <v>16183</v>
          </cell>
          <cell r="M3119">
            <v>12357</v>
          </cell>
          <cell r="N3119">
            <v>10981</v>
          </cell>
          <cell r="O3119">
            <v>11270</v>
          </cell>
          <cell r="P3119">
            <v>12137</v>
          </cell>
          <cell r="Q3119">
            <v>7901</v>
          </cell>
          <cell r="R3119">
            <v>8020</v>
          </cell>
          <cell r="S3119">
            <v>8442</v>
          </cell>
          <cell r="T3119">
            <v>8653</v>
          </cell>
          <cell r="U3119">
            <v>15207</v>
          </cell>
          <cell r="V3119">
            <v>13487</v>
          </cell>
          <cell r="W3119">
            <v>14906</v>
          </cell>
          <cell r="X3119">
            <v>16681</v>
          </cell>
          <cell r="Y3119">
            <v>16159</v>
          </cell>
          <cell r="Z3119">
            <v>17331</v>
          </cell>
          <cell r="AA3119">
            <v>16809</v>
          </cell>
          <cell r="AB3119">
            <v>14047</v>
          </cell>
          <cell r="AC3119">
            <v>18329</v>
          </cell>
          <cell r="AD3119">
            <v>18549</v>
          </cell>
          <cell r="AE3119">
            <v>14223</v>
          </cell>
          <cell r="AF3119">
            <v>12749</v>
          </cell>
          <cell r="AG3119">
            <v>10924</v>
          </cell>
          <cell r="AH3119">
            <v>13794</v>
          </cell>
          <cell r="AI3119">
            <v>12220</v>
          </cell>
          <cell r="AJ3119">
            <v>10756</v>
          </cell>
        </row>
        <row r="3120">
          <cell r="E3120" t="str">
            <v>VT Residential Wood</v>
          </cell>
          <cell r="F3120">
            <v>1983</v>
          </cell>
          <cell r="G3120">
            <v>2079</v>
          </cell>
          <cell r="H3120">
            <v>2181</v>
          </cell>
          <cell r="I3120">
            <v>2284</v>
          </cell>
          <cell r="J3120">
            <v>2168</v>
          </cell>
          <cell r="K3120">
            <v>2168</v>
          </cell>
          <cell r="L3120">
            <v>2251</v>
          </cell>
          <cell r="M3120">
            <v>1632</v>
          </cell>
          <cell r="N3120">
            <v>1450</v>
          </cell>
          <cell r="O3120">
            <v>1489</v>
          </cell>
          <cell r="P3120">
            <v>1603</v>
          </cell>
          <cell r="Q3120">
            <v>1296</v>
          </cell>
          <cell r="R3120">
            <v>1315</v>
          </cell>
          <cell r="S3120">
            <v>1384</v>
          </cell>
          <cell r="T3120">
            <v>1419</v>
          </cell>
          <cell r="U3120">
            <v>3915</v>
          </cell>
          <cell r="V3120">
            <v>3473</v>
          </cell>
          <cell r="W3120">
            <v>3838</v>
          </cell>
          <cell r="X3120">
            <v>4295</v>
          </cell>
          <cell r="Y3120">
            <v>8543</v>
          </cell>
          <cell r="Z3120">
            <v>9163</v>
          </cell>
          <cell r="AA3120">
            <v>8887</v>
          </cell>
          <cell r="AB3120">
            <v>7426</v>
          </cell>
          <cell r="AC3120">
            <v>9690</v>
          </cell>
          <cell r="AD3120">
            <v>9807</v>
          </cell>
          <cell r="AE3120">
            <v>14731</v>
          </cell>
          <cell r="AF3120">
            <v>12275</v>
          </cell>
          <cell r="AG3120">
            <v>12309</v>
          </cell>
          <cell r="AH3120">
            <v>15554</v>
          </cell>
          <cell r="AI3120">
            <v>14565</v>
          </cell>
          <cell r="AJ3120">
            <v>12096</v>
          </cell>
        </row>
        <row r="3121">
          <cell r="E3121" t="str">
            <v>WA Residential Wood</v>
          </cell>
          <cell r="F3121">
            <v>13298</v>
          </cell>
          <cell r="G3121">
            <v>13941</v>
          </cell>
          <cell r="H3121">
            <v>14627</v>
          </cell>
          <cell r="I3121">
            <v>17986</v>
          </cell>
          <cell r="J3121">
            <v>17072</v>
          </cell>
          <cell r="K3121">
            <v>17072</v>
          </cell>
          <cell r="L3121">
            <v>17729</v>
          </cell>
          <cell r="M3121">
            <v>14987</v>
          </cell>
          <cell r="N3121">
            <v>13318</v>
          </cell>
          <cell r="O3121">
            <v>13668</v>
          </cell>
          <cell r="P3121">
            <v>14720</v>
          </cell>
          <cell r="Q3121">
            <v>23788</v>
          </cell>
          <cell r="R3121">
            <v>24147</v>
          </cell>
          <cell r="S3121">
            <v>25417</v>
          </cell>
          <cell r="T3121">
            <v>26053</v>
          </cell>
          <cell r="U3121">
            <v>11344</v>
          </cell>
          <cell r="V3121">
            <v>10061</v>
          </cell>
          <cell r="W3121">
            <v>11120</v>
          </cell>
          <cell r="X3121">
            <v>12443</v>
          </cell>
          <cell r="Y3121">
            <v>17545</v>
          </cell>
          <cell r="Z3121">
            <v>18817</v>
          </cell>
          <cell r="AA3121">
            <v>18251</v>
          </cell>
          <cell r="AB3121">
            <v>15251</v>
          </cell>
          <cell r="AC3121">
            <v>19901</v>
          </cell>
          <cell r="AD3121">
            <v>20140</v>
          </cell>
          <cell r="AE3121">
            <v>23039</v>
          </cell>
          <cell r="AF3121">
            <v>25189</v>
          </cell>
          <cell r="AG3121">
            <v>26067</v>
          </cell>
          <cell r="AH3121">
            <v>27921</v>
          </cell>
          <cell r="AI3121">
            <v>31743</v>
          </cell>
          <cell r="AJ3121">
            <v>25303</v>
          </cell>
        </row>
        <row r="3122">
          <cell r="E3122" t="str">
            <v>WI Residential Wood</v>
          </cell>
          <cell r="F3122">
            <v>14672</v>
          </cell>
          <cell r="G3122">
            <v>15382</v>
          </cell>
          <cell r="H3122">
            <v>16138</v>
          </cell>
          <cell r="I3122">
            <v>8418</v>
          </cell>
          <cell r="J3122">
            <v>7990</v>
          </cell>
          <cell r="K3122">
            <v>7990</v>
          </cell>
          <cell r="L3122">
            <v>8298</v>
          </cell>
          <cell r="M3122">
            <v>5504</v>
          </cell>
          <cell r="N3122">
            <v>4891</v>
          </cell>
          <cell r="O3122">
            <v>5019</v>
          </cell>
          <cell r="P3122">
            <v>5406</v>
          </cell>
          <cell r="Q3122">
            <v>7399</v>
          </cell>
          <cell r="R3122">
            <v>7511</v>
          </cell>
          <cell r="S3122">
            <v>7906</v>
          </cell>
          <cell r="T3122">
            <v>8104</v>
          </cell>
          <cell r="U3122">
            <v>24994</v>
          </cell>
          <cell r="V3122">
            <v>22167</v>
          </cell>
          <cell r="W3122">
            <v>24500</v>
          </cell>
          <cell r="X3122">
            <v>27417</v>
          </cell>
          <cell r="Y3122">
            <v>20366</v>
          </cell>
          <cell r="Z3122">
            <v>21843</v>
          </cell>
          <cell r="AA3122">
            <v>21186</v>
          </cell>
          <cell r="AB3122">
            <v>17704</v>
          </cell>
          <cell r="AC3122">
            <v>23101</v>
          </cell>
          <cell r="AD3122">
            <v>23379</v>
          </cell>
          <cell r="AE3122">
            <v>29291</v>
          </cell>
          <cell r="AF3122">
            <v>25120</v>
          </cell>
          <cell r="AG3122">
            <v>24512</v>
          </cell>
          <cell r="AH3122">
            <v>29763</v>
          </cell>
          <cell r="AI3122">
            <v>29196</v>
          </cell>
          <cell r="AJ3122">
            <v>24525</v>
          </cell>
        </row>
        <row r="3123">
          <cell r="E3123" t="str">
            <v>WV Residential Wood</v>
          </cell>
          <cell r="F3123">
            <v>3243</v>
          </cell>
          <cell r="G3123">
            <v>3400</v>
          </cell>
          <cell r="H3123">
            <v>3567</v>
          </cell>
          <cell r="I3123">
            <v>4893</v>
          </cell>
          <cell r="J3123">
            <v>4645</v>
          </cell>
          <cell r="K3123">
            <v>4645</v>
          </cell>
          <cell r="L3123">
            <v>4823</v>
          </cell>
          <cell r="M3123">
            <v>3502</v>
          </cell>
          <cell r="N3123">
            <v>3112</v>
          </cell>
          <cell r="O3123">
            <v>3193</v>
          </cell>
          <cell r="P3123">
            <v>3439</v>
          </cell>
          <cell r="Q3123">
            <v>2270</v>
          </cell>
          <cell r="R3123">
            <v>2305</v>
          </cell>
          <cell r="S3123">
            <v>2426</v>
          </cell>
          <cell r="T3123">
            <v>2486</v>
          </cell>
          <cell r="U3123">
            <v>9304</v>
          </cell>
          <cell r="V3123">
            <v>8251</v>
          </cell>
          <cell r="W3123">
            <v>9120</v>
          </cell>
          <cell r="X3123">
            <v>10206</v>
          </cell>
          <cell r="Y3123">
            <v>17911</v>
          </cell>
          <cell r="Z3123">
            <v>19210</v>
          </cell>
          <cell r="AA3123">
            <v>18632</v>
          </cell>
          <cell r="AB3123">
            <v>15570</v>
          </cell>
          <cell r="AC3123">
            <v>20316</v>
          </cell>
          <cell r="AD3123">
            <v>20561</v>
          </cell>
          <cell r="AE3123">
            <v>9508</v>
          </cell>
          <cell r="AF3123">
            <v>8530</v>
          </cell>
          <cell r="AG3123">
            <v>8208</v>
          </cell>
          <cell r="AH3123">
            <v>9718</v>
          </cell>
          <cell r="AI3123">
            <v>9545</v>
          </cell>
          <cell r="AJ3123">
            <v>8012</v>
          </cell>
        </row>
        <row r="3124">
          <cell r="E3124" t="str">
            <v>WY Residential Wood</v>
          </cell>
          <cell r="F3124">
            <v>1008</v>
          </cell>
          <cell r="G3124">
            <v>1056</v>
          </cell>
          <cell r="H3124">
            <v>1108</v>
          </cell>
          <cell r="I3124">
            <v>1016</v>
          </cell>
          <cell r="J3124">
            <v>964</v>
          </cell>
          <cell r="K3124">
            <v>964</v>
          </cell>
          <cell r="L3124">
            <v>1001</v>
          </cell>
          <cell r="M3124">
            <v>1053</v>
          </cell>
          <cell r="N3124">
            <v>936</v>
          </cell>
          <cell r="O3124">
            <v>960</v>
          </cell>
          <cell r="P3124">
            <v>1034</v>
          </cell>
          <cell r="Q3124">
            <v>568</v>
          </cell>
          <cell r="R3124">
            <v>577</v>
          </cell>
          <cell r="S3124">
            <v>607</v>
          </cell>
          <cell r="T3124">
            <v>622</v>
          </cell>
          <cell r="U3124">
            <v>1947</v>
          </cell>
          <cell r="V3124">
            <v>1727</v>
          </cell>
          <cell r="W3124">
            <v>1909</v>
          </cell>
          <cell r="X3124">
            <v>2136</v>
          </cell>
          <cell r="Y3124">
            <v>1127</v>
          </cell>
          <cell r="Z3124">
            <v>1209</v>
          </cell>
          <cell r="AA3124">
            <v>1173</v>
          </cell>
          <cell r="AB3124">
            <v>980</v>
          </cell>
          <cell r="AC3124">
            <v>1279</v>
          </cell>
          <cell r="AD3124">
            <v>1294</v>
          </cell>
          <cell r="AE3124">
            <v>4178</v>
          </cell>
          <cell r="AF3124">
            <v>3605</v>
          </cell>
          <cell r="AG3124">
            <v>4193</v>
          </cell>
          <cell r="AH3124">
            <v>4214</v>
          </cell>
          <cell r="AI3124">
            <v>4266</v>
          </cell>
          <cell r="AJ3124">
            <v>3962</v>
          </cell>
        </row>
        <row r="3125">
          <cell r="E3125" t="str">
            <v>AK Commercial Wood and Waste</v>
          </cell>
          <cell r="F3125">
            <v>166</v>
          </cell>
          <cell r="G3125">
            <v>174</v>
          </cell>
          <cell r="H3125">
            <v>183</v>
          </cell>
          <cell r="I3125">
            <v>262</v>
          </cell>
          <cell r="J3125">
            <v>251</v>
          </cell>
          <cell r="K3125">
            <v>253</v>
          </cell>
          <cell r="L3125">
            <v>263</v>
          </cell>
          <cell r="M3125">
            <v>303</v>
          </cell>
          <cell r="N3125">
            <v>229</v>
          </cell>
          <cell r="O3125">
            <v>241</v>
          </cell>
          <cell r="P3125">
            <v>258</v>
          </cell>
          <cell r="Q3125">
            <v>442</v>
          </cell>
          <cell r="R3125">
            <v>453</v>
          </cell>
          <cell r="S3125">
            <v>498</v>
          </cell>
          <cell r="T3125">
            <v>475</v>
          </cell>
          <cell r="U3125">
            <v>160</v>
          </cell>
          <cell r="V3125">
            <v>154</v>
          </cell>
          <cell r="W3125">
            <v>146</v>
          </cell>
          <cell r="X3125">
            <v>154</v>
          </cell>
          <cell r="Y3125">
            <v>303</v>
          </cell>
          <cell r="Z3125">
            <v>299</v>
          </cell>
          <cell r="AA3125">
            <v>288</v>
          </cell>
          <cell r="AB3125">
            <v>252</v>
          </cell>
          <cell r="AC3125">
            <v>743</v>
          </cell>
          <cell r="AD3125">
            <v>851</v>
          </cell>
          <cell r="AE3125">
            <v>1432</v>
          </cell>
          <cell r="AF3125">
            <v>1536</v>
          </cell>
          <cell r="AG3125">
            <v>1416</v>
          </cell>
          <cell r="AH3125">
            <v>1319</v>
          </cell>
          <cell r="AI3125">
            <v>1178</v>
          </cell>
          <cell r="AJ3125">
            <v>1519</v>
          </cell>
        </row>
        <row r="3126">
          <cell r="E3126" t="str">
            <v>AL Commercial Wood and Waste</v>
          </cell>
          <cell r="F3126">
            <v>1654</v>
          </cell>
          <cell r="G3126">
            <v>1726</v>
          </cell>
          <cell r="H3126">
            <v>1821</v>
          </cell>
          <cell r="I3126">
            <v>1707</v>
          </cell>
          <cell r="J3126">
            <v>1634</v>
          </cell>
          <cell r="K3126">
            <v>1650</v>
          </cell>
          <cell r="L3126">
            <v>1714</v>
          </cell>
          <cell r="M3126">
            <v>1098</v>
          </cell>
          <cell r="N3126">
            <v>959</v>
          </cell>
          <cell r="O3126">
            <v>1008</v>
          </cell>
          <cell r="P3126">
            <v>1079</v>
          </cell>
          <cell r="Q3126">
            <v>936</v>
          </cell>
          <cell r="R3126">
            <v>958</v>
          </cell>
          <cell r="S3126">
            <v>998</v>
          </cell>
          <cell r="T3126">
            <v>975</v>
          </cell>
          <cell r="U3126">
            <v>736</v>
          </cell>
          <cell r="V3126">
            <v>683</v>
          </cell>
          <cell r="W3126">
            <v>726</v>
          </cell>
          <cell r="X3126">
            <v>766</v>
          </cell>
          <cell r="Y3126">
            <v>941</v>
          </cell>
          <cell r="Z3126">
            <v>929</v>
          </cell>
          <cell r="AA3126">
            <v>895</v>
          </cell>
          <cell r="AB3126">
            <v>784</v>
          </cell>
          <cell r="AC3126">
            <v>908</v>
          </cell>
          <cell r="AD3126">
            <v>946</v>
          </cell>
          <cell r="AE3126">
            <v>311</v>
          </cell>
          <cell r="AF3126">
            <v>310</v>
          </cell>
          <cell r="AG3126">
            <v>272</v>
          </cell>
          <cell r="AH3126">
            <v>306</v>
          </cell>
          <cell r="AI3126">
            <v>286</v>
          </cell>
          <cell r="AJ3126">
            <v>290</v>
          </cell>
        </row>
        <row r="3127">
          <cell r="E3127" t="str">
            <v>AR Commercial Wood and Waste</v>
          </cell>
          <cell r="F3127">
            <v>522</v>
          </cell>
          <cell r="G3127">
            <v>538</v>
          </cell>
          <cell r="H3127">
            <v>557</v>
          </cell>
          <cell r="I3127">
            <v>834</v>
          </cell>
          <cell r="J3127">
            <v>807</v>
          </cell>
          <cell r="K3127">
            <v>826</v>
          </cell>
          <cell r="L3127">
            <v>837</v>
          </cell>
          <cell r="M3127">
            <v>552</v>
          </cell>
          <cell r="N3127">
            <v>499</v>
          </cell>
          <cell r="O3127">
            <v>578</v>
          </cell>
          <cell r="P3127">
            <v>591</v>
          </cell>
          <cell r="Q3127">
            <v>593</v>
          </cell>
          <cell r="R3127">
            <v>572</v>
          </cell>
          <cell r="S3127">
            <v>585</v>
          </cell>
          <cell r="T3127">
            <v>542</v>
          </cell>
          <cell r="U3127">
            <v>984</v>
          </cell>
          <cell r="V3127">
            <v>905</v>
          </cell>
          <cell r="W3127">
            <v>946</v>
          </cell>
          <cell r="X3127">
            <v>1005</v>
          </cell>
          <cell r="Y3127">
            <v>1397</v>
          </cell>
          <cell r="Z3127">
            <v>1390</v>
          </cell>
          <cell r="AA3127">
            <v>1347</v>
          </cell>
          <cell r="AB3127">
            <v>1193</v>
          </cell>
          <cell r="AC3127">
            <v>1365</v>
          </cell>
          <cell r="AD3127">
            <v>1400</v>
          </cell>
          <cell r="AE3127">
            <v>998</v>
          </cell>
          <cell r="AF3127">
            <v>973</v>
          </cell>
          <cell r="AG3127">
            <v>877</v>
          </cell>
          <cell r="AH3127">
            <v>1088</v>
          </cell>
          <cell r="AI3127">
            <v>1063</v>
          </cell>
          <cell r="AJ3127">
            <v>984</v>
          </cell>
        </row>
        <row r="3128">
          <cell r="E3128" t="str">
            <v>AZ Commercial Wood and Waste</v>
          </cell>
          <cell r="F3128">
            <v>898</v>
          </cell>
          <cell r="G3128">
            <v>938</v>
          </cell>
          <cell r="H3128">
            <v>989</v>
          </cell>
          <cell r="I3128">
            <v>1165</v>
          </cell>
          <cell r="J3128">
            <v>1115</v>
          </cell>
          <cell r="K3128">
            <v>1126</v>
          </cell>
          <cell r="L3128">
            <v>1169</v>
          </cell>
          <cell r="M3128">
            <v>1619</v>
          </cell>
          <cell r="N3128">
            <v>1414</v>
          </cell>
          <cell r="O3128">
            <v>1555</v>
          </cell>
          <cell r="P3128">
            <v>1656</v>
          </cell>
          <cell r="Q3128">
            <v>1069</v>
          </cell>
          <cell r="R3128">
            <v>1070</v>
          </cell>
          <cell r="S3128">
            <v>1113</v>
          </cell>
          <cell r="T3128">
            <v>1042</v>
          </cell>
          <cell r="U3128">
            <v>1394</v>
          </cell>
          <cell r="V3128">
            <v>1307</v>
          </cell>
          <cell r="W3128">
            <v>1386</v>
          </cell>
          <cell r="X3128">
            <v>1450</v>
          </cell>
          <cell r="Y3128">
            <v>454</v>
          </cell>
          <cell r="Z3128">
            <v>456</v>
          </cell>
          <cell r="AA3128">
            <v>457</v>
          </cell>
          <cell r="AB3128">
            <v>382</v>
          </cell>
          <cell r="AC3128">
            <v>391</v>
          </cell>
          <cell r="AD3128">
            <v>407</v>
          </cell>
          <cell r="AE3128">
            <v>573</v>
          </cell>
          <cell r="AF3128">
            <v>574</v>
          </cell>
          <cell r="AG3128">
            <v>564</v>
          </cell>
          <cell r="AH3128">
            <v>650</v>
          </cell>
          <cell r="AI3128">
            <v>790</v>
          </cell>
          <cell r="AJ3128">
            <v>710</v>
          </cell>
        </row>
        <row r="3129">
          <cell r="E3129" t="str">
            <v>CA Commercial Wood and Waste</v>
          </cell>
          <cell r="F3129">
            <v>8380</v>
          </cell>
          <cell r="G3129">
            <v>8731</v>
          </cell>
          <cell r="H3129">
            <v>9188</v>
          </cell>
          <cell r="I3129">
            <v>8757</v>
          </cell>
          <cell r="J3129">
            <v>9200</v>
          </cell>
          <cell r="K3129">
            <v>11402</v>
          </cell>
          <cell r="L3129">
            <v>11233</v>
          </cell>
          <cell r="M3129">
            <v>9831</v>
          </cell>
          <cell r="N3129">
            <v>8610</v>
          </cell>
          <cell r="O3129">
            <v>8992</v>
          </cell>
          <cell r="P3129">
            <v>10771</v>
          </cell>
          <cell r="Q3129">
            <v>9069</v>
          </cell>
          <cell r="R3129">
            <v>9858</v>
          </cell>
          <cell r="S3129">
            <v>10883</v>
          </cell>
          <cell r="T3129">
            <v>10969</v>
          </cell>
          <cell r="U3129">
            <v>9599</v>
          </cell>
          <cell r="V3129">
            <v>10400</v>
          </cell>
          <cell r="W3129">
            <v>9450</v>
          </cell>
          <cell r="X3129">
            <v>9485</v>
          </cell>
          <cell r="Y3129">
            <v>10574</v>
          </cell>
          <cell r="Z3129">
            <v>10462</v>
          </cell>
          <cell r="AA3129">
            <v>17369</v>
          </cell>
          <cell r="AB3129">
            <v>16807</v>
          </cell>
          <cell r="AC3129">
            <v>17423</v>
          </cell>
          <cell r="AD3129">
            <v>17328</v>
          </cell>
          <cell r="AE3129">
            <v>14846</v>
          </cell>
          <cell r="AF3129">
            <v>14285</v>
          </cell>
          <cell r="AG3129">
            <v>13076</v>
          </cell>
          <cell r="AH3129">
            <v>13063</v>
          </cell>
          <cell r="AI3129">
            <v>13002</v>
          </cell>
          <cell r="AJ3129">
            <v>12769</v>
          </cell>
        </row>
        <row r="3130">
          <cell r="E3130" t="str">
            <v>CO Commercial Wood and Waste</v>
          </cell>
          <cell r="F3130">
            <v>1092</v>
          </cell>
          <cell r="G3130">
            <v>1127</v>
          </cell>
          <cell r="H3130">
            <v>1173</v>
          </cell>
          <cell r="I3130">
            <v>1312</v>
          </cell>
          <cell r="J3130">
            <v>1328</v>
          </cell>
          <cell r="K3130">
            <v>1400</v>
          </cell>
          <cell r="L3130">
            <v>1424</v>
          </cell>
          <cell r="M3130">
            <v>1703</v>
          </cell>
          <cell r="N3130">
            <v>1561</v>
          </cell>
          <cell r="O3130">
            <v>1910</v>
          </cell>
          <cell r="P3130">
            <v>1542</v>
          </cell>
          <cell r="Q3130">
            <v>1292</v>
          </cell>
          <cell r="R3130">
            <v>850</v>
          </cell>
          <cell r="S3130">
            <v>885</v>
          </cell>
          <cell r="T3130">
            <v>865</v>
          </cell>
          <cell r="U3130">
            <v>1096</v>
          </cell>
          <cell r="V3130">
            <v>1017</v>
          </cell>
          <cell r="W3130">
            <v>1080</v>
          </cell>
          <cell r="X3130">
            <v>1140</v>
          </cell>
          <cell r="Y3130">
            <v>1315</v>
          </cell>
          <cell r="Z3130">
            <v>1298</v>
          </cell>
          <cell r="AA3130">
            <v>1250</v>
          </cell>
          <cell r="AB3130">
            <v>1095</v>
          </cell>
          <cell r="AC3130">
            <v>1269</v>
          </cell>
          <cell r="AD3130">
            <v>1322</v>
          </cell>
          <cell r="AE3130">
            <v>1714</v>
          </cell>
          <cell r="AF3130">
            <v>1900</v>
          </cell>
          <cell r="AG3130">
            <v>1958</v>
          </cell>
          <cell r="AH3130">
            <v>1699</v>
          </cell>
          <cell r="AI3130">
            <v>1922</v>
          </cell>
          <cell r="AJ3130">
            <v>1896</v>
          </cell>
        </row>
        <row r="3131">
          <cell r="E3131" t="str">
            <v>CT Commercial Wood and Waste</v>
          </cell>
          <cell r="F3131">
            <v>1055</v>
          </cell>
          <cell r="G3131">
            <v>1102</v>
          </cell>
          <cell r="H3131">
            <v>1162</v>
          </cell>
          <cell r="I3131">
            <v>1483</v>
          </cell>
          <cell r="J3131">
            <v>1420</v>
          </cell>
          <cell r="K3131">
            <v>1434</v>
          </cell>
          <cell r="L3131">
            <v>9146</v>
          </cell>
          <cell r="M3131">
            <v>8890</v>
          </cell>
          <cell r="N3131">
            <v>9039</v>
          </cell>
          <cell r="O3131">
            <v>9158</v>
          </cell>
          <cell r="P3131">
            <v>1280</v>
          </cell>
          <cell r="Q3131">
            <v>1069</v>
          </cell>
          <cell r="R3131">
            <v>1095</v>
          </cell>
          <cell r="S3131">
            <v>1140</v>
          </cell>
          <cell r="T3131">
            <v>1115</v>
          </cell>
          <cell r="U3131">
            <v>397</v>
          </cell>
          <cell r="V3131">
            <v>369</v>
          </cell>
          <cell r="W3131">
            <v>392</v>
          </cell>
          <cell r="X3131">
            <v>413</v>
          </cell>
          <cell r="Y3131">
            <v>833</v>
          </cell>
          <cell r="Z3131">
            <v>822</v>
          </cell>
          <cell r="AA3131">
            <v>792</v>
          </cell>
          <cell r="AB3131">
            <v>693</v>
          </cell>
          <cell r="AC3131">
            <v>1529</v>
          </cell>
          <cell r="AD3131">
            <v>1508</v>
          </cell>
          <cell r="AE3131">
            <v>1248</v>
          </cell>
          <cell r="AF3131">
            <v>940</v>
          </cell>
          <cell r="AG3131">
            <v>1018</v>
          </cell>
          <cell r="AH3131">
            <v>946</v>
          </cell>
          <cell r="AI3131">
            <v>969</v>
          </cell>
          <cell r="AJ3131">
            <v>933</v>
          </cell>
        </row>
        <row r="3132">
          <cell r="E3132" t="str">
            <v>DC Commercial Wood and Waste</v>
          </cell>
          <cell r="F3132">
            <v>126</v>
          </cell>
          <cell r="G3132">
            <v>132</v>
          </cell>
          <cell r="H3132">
            <v>139</v>
          </cell>
          <cell r="I3132">
            <v>231</v>
          </cell>
          <cell r="J3132">
            <v>221</v>
          </cell>
          <cell r="K3132">
            <v>223</v>
          </cell>
          <cell r="L3132">
            <v>232</v>
          </cell>
          <cell r="M3132">
            <v>197</v>
          </cell>
          <cell r="N3132">
            <v>172</v>
          </cell>
          <cell r="O3132">
            <v>181</v>
          </cell>
          <cell r="P3132">
            <v>194</v>
          </cell>
          <cell r="Q3132">
            <v>129</v>
          </cell>
          <cell r="R3132">
            <v>132</v>
          </cell>
          <cell r="S3132">
            <v>138</v>
          </cell>
          <cell r="T3132">
            <v>135</v>
          </cell>
          <cell r="U3132">
            <v>6</v>
          </cell>
          <cell r="V3132">
            <v>5</v>
          </cell>
          <cell r="W3132">
            <v>6</v>
          </cell>
          <cell r="X3132">
            <v>6</v>
          </cell>
          <cell r="Y3132">
            <v>3</v>
          </cell>
          <cell r="Z3132">
            <v>3</v>
          </cell>
          <cell r="AA3132">
            <v>3</v>
          </cell>
          <cell r="AB3132">
            <v>3</v>
          </cell>
          <cell r="AC3132">
            <v>3</v>
          </cell>
          <cell r="AD3132">
            <v>3</v>
          </cell>
          <cell r="AE3132">
            <v>0</v>
          </cell>
          <cell r="AF3132">
            <v>1</v>
          </cell>
          <cell r="AG3132">
            <v>806</v>
          </cell>
          <cell r="AH3132">
            <v>931</v>
          </cell>
          <cell r="AI3132">
            <v>1060</v>
          </cell>
          <cell r="AJ3132">
            <v>970</v>
          </cell>
        </row>
        <row r="3133">
          <cell r="E3133" t="str">
            <v>DE Commercial Wood and Waste</v>
          </cell>
          <cell r="F3133">
            <v>132</v>
          </cell>
          <cell r="G3133">
            <v>137</v>
          </cell>
          <cell r="H3133">
            <v>145</v>
          </cell>
          <cell r="I3133">
            <v>257</v>
          </cell>
          <cell r="J3133">
            <v>246</v>
          </cell>
          <cell r="K3133">
            <v>248</v>
          </cell>
          <cell r="L3133">
            <v>258</v>
          </cell>
          <cell r="M3133">
            <v>238</v>
          </cell>
          <cell r="N3133">
            <v>208</v>
          </cell>
          <cell r="O3133">
            <v>219</v>
          </cell>
          <cell r="P3133">
            <v>234</v>
          </cell>
          <cell r="Q3133">
            <v>164</v>
          </cell>
          <cell r="R3133">
            <v>168</v>
          </cell>
          <cell r="S3133">
            <v>175</v>
          </cell>
          <cell r="T3133">
            <v>171</v>
          </cell>
          <cell r="U3133">
            <v>95</v>
          </cell>
          <cell r="V3133">
            <v>88</v>
          </cell>
          <cell r="W3133">
            <v>93</v>
          </cell>
          <cell r="X3133">
            <v>98</v>
          </cell>
          <cell r="Y3133">
            <v>183</v>
          </cell>
          <cell r="Z3133">
            <v>181</v>
          </cell>
          <cell r="AA3133">
            <v>174</v>
          </cell>
          <cell r="AB3133">
            <v>153</v>
          </cell>
          <cell r="AC3133">
            <v>177</v>
          </cell>
          <cell r="AD3133">
            <v>184</v>
          </cell>
          <cell r="AE3133">
            <v>130</v>
          </cell>
          <cell r="AF3133">
            <v>120</v>
          </cell>
          <cell r="AG3133">
            <v>112</v>
          </cell>
          <cell r="AH3133">
            <v>93</v>
          </cell>
          <cell r="AI3133">
            <v>97</v>
          </cell>
          <cell r="AJ3133">
            <v>94</v>
          </cell>
        </row>
        <row r="3134">
          <cell r="E3134" t="str">
            <v>FL Commercial Wood and Waste</v>
          </cell>
          <cell r="F3134">
            <v>3198</v>
          </cell>
          <cell r="G3134">
            <v>3215</v>
          </cell>
          <cell r="H3134">
            <v>3536</v>
          </cell>
          <cell r="I3134">
            <v>1824</v>
          </cell>
          <cell r="J3134">
            <v>1798</v>
          </cell>
          <cell r="K3134">
            <v>1694</v>
          </cell>
          <cell r="L3134">
            <v>1757</v>
          </cell>
          <cell r="M3134">
            <v>1435</v>
          </cell>
          <cell r="N3134">
            <v>1435</v>
          </cell>
          <cell r="O3134">
            <v>1429</v>
          </cell>
          <cell r="P3134">
            <v>1499</v>
          </cell>
          <cell r="Q3134">
            <v>1245</v>
          </cell>
          <cell r="R3134">
            <v>1344</v>
          </cell>
          <cell r="S3134">
            <v>1133</v>
          </cell>
          <cell r="T3134">
            <v>1372</v>
          </cell>
          <cell r="U3134">
            <v>850</v>
          </cell>
          <cell r="V3134">
            <v>825</v>
          </cell>
          <cell r="W3134">
            <v>951</v>
          </cell>
          <cell r="X3134">
            <v>946</v>
          </cell>
          <cell r="Y3134">
            <v>2653</v>
          </cell>
          <cell r="Z3134">
            <v>2589</v>
          </cell>
          <cell r="AA3134">
            <v>2485</v>
          </cell>
          <cell r="AB3134">
            <v>2195</v>
          </cell>
          <cell r="AC3134">
            <v>2426</v>
          </cell>
          <cell r="AD3134">
            <v>2565</v>
          </cell>
          <cell r="AE3134">
            <v>564</v>
          </cell>
          <cell r="AF3134">
            <v>629</v>
          </cell>
          <cell r="AG3134">
            <v>521</v>
          </cell>
          <cell r="AH3134">
            <v>531</v>
          </cell>
          <cell r="AI3134">
            <v>407</v>
          </cell>
          <cell r="AJ3134">
            <v>209</v>
          </cell>
        </row>
        <row r="3135">
          <cell r="E3135" t="str">
            <v>GA Commercial Wood and Waste</v>
          </cell>
          <cell r="F3135">
            <v>1197</v>
          </cell>
          <cell r="G3135">
            <v>1249</v>
          </cell>
          <cell r="H3135">
            <v>1318</v>
          </cell>
          <cell r="I3135">
            <v>2352</v>
          </cell>
          <cell r="J3135">
            <v>2252</v>
          </cell>
          <cell r="K3135">
            <v>2273</v>
          </cell>
          <cell r="L3135">
            <v>2361</v>
          </cell>
          <cell r="M3135">
            <v>2291</v>
          </cell>
          <cell r="N3135">
            <v>2001</v>
          </cell>
          <cell r="O3135">
            <v>2104</v>
          </cell>
          <cell r="P3135">
            <v>2252</v>
          </cell>
          <cell r="Q3135">
            <v>1595</v>
          </cell>
          <cell r="R3135">
            <v>1634</v>
          </cell>
          <cell r="S3135">
            <v>1701</v>
          </cell>
          <cell r="T3135">
            <v>1663</v>
          </cell>
          <cell r="U3135">
            <v>1043</v>
          </cell>
          <cell r="V3135">
            <v>968</v>
          </cell>
          <cell r="W3135">
            <v>1028</v>
          </cell>
          <cell r="X3135">
            <v>1084</v>
          </cell>
          <cell r="Y3135">
            <v>1946</v>
          </cell>
          <cell r="Z3135">
            <v>1897</v>
          </cell>
          <cell r="AA3135">
            <v>1877</v>
          </cell>
          <cell r="AB3135">
            <v>1704</v>
          </cell>
          <cell r="AC3135">
            <v>1892</v>
          </cell>
          <cell r="AD3135">
            <v>1992</v>
          </cell>
          <cell r="AE3135">
            <v>596</v>
          </cell>
          <cell r="AF3135">
            <v>629</v>
          </cell>
          <cell r="AG3135">
            <v>453</v>
          </cell>
          <cell r="AH3135">
            <v>500</v>
          </cell>
          <cell r="AI3135">
            <v>414</v>
          </cell>
          <cell r="AJ3135">
            <v>490</v>
          </cell>
        </row>
        <row r="3136">
          <cell r="E3136" t="str">
            <v>HI Commercial Wood and Waste</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2541</v>
          </cell>
          <cell r="U3136">
            <v>2264</v>
          </cell>
          <cell r="V3136">
            <v>2616</v>
          </cell>
          <cell r="W3136">
            <v>2350</v>
          </cell>
          <cell r="X3136">
            <v>3066</v>
          </cell>
          <cell r="Y3136">
            <v>3045</v>
          </cell>
          <cell r="Z3136">
            <v>2945</v>
          </cell>
          <cell r="AA3136">
            <v>2785</v>
          </cell>
          <cell r="AB3136">
            <v>2213</v>
          </cell>
          <cell r="AC3136">
            <v>3214</v>
          </cell>
          <cell r="AD3136">
            <v>3295</v>
          </cell>
          <cell r="AE3136">
            <v>3185</v>
          </cell>
          <cell r="AF3136">
            <v>3734</v>
          </cell>
          <cell r="AG3136">
            <v>3553</v>
          </cell>
          <cell r="AH3136">
            <v>3805</v>
          </cell>
          <cell r="AI3136">
            <v>3517</v>
          </cell>
          <cell r="AJ3136">
            <v>3275</v>
          </cell>
        </row>
        <row r="3137">
          <cell r="E3137" t="str">
            <v>IA Commercial Wood and Waste</v>
          </cell>
          <cell r="F3137">
            <v>760</v>
          </cell>
          <cell r="G3137">
            <v>862</v>
          </cell>
          <cell r="H3137">
            <v>905</v>
          </cell>
          <cell r="I3137">
            <v>964</v>
          </cell>
          <cell r="J3137">
            <v>973</v>
          </cell>
          <cell r="K3137">
            <v>981</v>
          </cell>
          <cell r="L3137">
            <v>1022</v>
          </cell>
          <cell r="M3137">
            <v>2839</v>
          </cell>
          <cell r="N3137">
            <v>1283</v>
          </cell>
          <cell r="O3137">
            <v>1001</v>
          </cell>
          <cell r="P3137">
            <v>1046</v>
          </cell>
          <cell r="Q3137">
            <v>1061</v>
          </cell>
          <cell r="R3137">
            <v>1188</v>
          </cell>
          <cell r="S3137">
            <v>1483</v>
          </cell>
          <cell r="T3137">
            <v>1621</v>
          </cell>
          <cell r="U3137">
            <v>1615</v>
          </cell>
          <cell r="V3137">
            <v>1554</v>
          </cell>
          <cell r="W3137">
            <v>1449</v>
          </cell>
          <cell r="X3137">
            <v>1227</v>
          </cell>
          <cell r="Y3137">
            <v>1358</v>
          </cell>
          <cell r="Z3137">
            <v>1348</v>
          </cell>
          <cell r="AA3137">
            <v>1417</v>
          </cell>
          <cell r="AB3137">
            <v>1208</v>
          </cell>
          <cell r="AC3137">
            <v>1277</v>
          </cell>
          <cell r="AD3137">
            <v>1467</v>
          </cell>
          <cell r="AE3137">
            <v>1625</v>
          </cell>
          <cell r="AF3137">
            <v>1725</v>
          </cell>
          <cell r="AG3137">
            <v>1546</v>
          </cell>
          <cell r="AH3137">
            <v>2062</v>
          </cell>
          <cell r="AI3137">
            <v>2166</v>
          </cell>
          <cell r="AJ3137">
            <v>1879</v>
          </cell>
        </row>
        <row r="3138">
          <cell r="E3138" t="str">
            <v>ID Commercial Wood and Waste</v>
          </cell>
          <cell r="F3138">
            <v>224</v>
          </cell>
          <cell r="G3138">
            <v>234</v>
          </cell>
          <cell r="H3138">
            <v>246</v>
          </cell>
          <cell r="I3138">
            <v>294</v>
          </cell>
          <cell r="J3138">
            <v>281</v>
          </cell>
          <cell r="K3138">
            <v>284</v>
          </cell>
          <cell r="L3138">
            <v>295</v>
          </cell>
          <cell r="M3138">
            <v>409</v>
          </cell>
          <cell r="N3138">
            <v>358</v>
          </cell>
          <cell r="O3138">
            <v>376</v>
          </cell>
          <cell r="P3138">
            <v>402</v>
          </cell>
          <cell r="Q3138">
            <v>240</v>
          </cell>
          <cell r="R3138">
            <v>245</v>
          </cell>
          <cell r="S3138">
            <v>255</v>
          </cell>
          <cell r="T3138">
            <v>250</v>
          </cell>
          <cell r="U3138">
            <v>1303</v>
          </cell>
          <cell r="V3138">
            <v>1209</v>
          </cell>
          <cell r="W3138">
            <v>1284</v>
          </cell>
          <cell r="X3138">
            <v>1355</v>
          </cell>
          <cell r="Y3138">
            <v>545</v>
          </cell>
          <cell r="Z3138">
            <v>538</v>
          </cell>
          <cell r="AA3138">
            <v>518</v>
          </cell>
          <cell r="AB3138">
            <v>454</v>
          </cell>
          <cell r="AC3138">
            <v>526</v>
          </cell>
          <cell r="AD3138">
            <v>608</v>
          </cell>
          <cell r="AE3138">
            <v>1852</v>
          </cell>
          <cell r="AF3138">
            <v>2083</v>
          </cell>
          <cell r="AG3138">
            <v>2434</v>
          </cell>
          <cell r="AH3138">
            <v>2236</v>
          </cell>
          <cell r="AI3138">
            <v>2521</v>
          </cell>
          <cell r="AJ3138">
            <v>2462</v>
          </cell>
        </row>
        <row r="3139">
          <cell r="E3139" t="str">
            <v>IL Commercial Wood and Waste</v>
          </cell>
          <cell r="F3139">
            <v>3515</v>
          </cell>
          <cell r="G3139">
            <v>3790</v>
          </cell>
          <cell r="H3139">
            <v>3990</v>
          </cell>
          <cell r="I3139">
            <v>2476</v>
          </cell>
          <cell r="J3139">
            <v>2450</v>
          </cell>
          <cell r="K3139">
            <v>2419</v>
          </cell>
          <cell r="L3139">
            <v>2453</v>
          </cell>
          <cell r="M3139">
            <v>1942</v>
          </cell>
          <cell r="N3139">
            <v>1730</v>
          </cell>
          <cell r="O3139">
            <v>1851</v>
          </cell>
          <cell r="P3139">
            <v>2008</v>
          </cell>
          <cell r="Q3139">
            <v>2835</v>
          </cell>
          <cell r="R3139">
            <v>2862</v>
          </cell>
          <cell r="S3139">
            <v>2909</v>
          </cell>
          <cell r="T3139">
            <v>2845</v>
          </cell>
          <cell r="U3139">
            <v>1020</v>
          </cell>
          <cell r="V3139">
            <v>945</v>
          </cell>
          <cell r="W3139">
            <v>1006</v>
          </cell>
          <cell r="X3139">
            <v>1057</v>
          </cell>
          <cell r="Y3139">
            <v>1982</v>
          </cell>
          <cell r="Z3139">
            <v>1953</v>
          </cell>
          <cell r="AA3139">
            <v>1880</v>
          </cell>
          <cell r="AB3139">
            <v>1648</v>
          </cell>
          <cell r="AC3139">
            <v>1908</v>
          </cell>
          <cell r="AD3139">
            <v>1988</v>
          </cell>
          <cell r="AE3139">
            <v>864</v>
          </cell>
          <cell r="AF3139">
            <v>929</v>
          </cell>
          <cell r="AG3139">
            <v>840</v>
          </cell>
          <cell r="AH3139">
            <v>886</v>
          </cell>
          <cell r="AI3139">
            <v>904</v>
          </cell>
          <cell r="AJ3139">
            <v>896</v>
          </cell>
        </row>
        <row r="3140">
          <cell r="E3140" t="str">
            <v>IN Commercial Wood and Waste</v>
          </cell>
          <cell r="F3140">
            <v>8938</v>
          </cell>
          <cell r="G3140">
            <v>8335</v>
          </cell>
          <cell r="H3140">
            <v>9004</v>
          </cell>
          <cell r="I3140">
            <v>8931</v>
          </cell>
          <cell r="J3140">
            <v>8796</v>
          </cell>
          <cell r="K3140">
            <v>8522</v>
          </cell>
          <cell r="L3140">
            <v>8645</v>
          </cell>
          <cell r="M3140">
            <v>8478</v>
          </cell>
          <cell r="N3140">
            <v>8176</v>
          </cell>
          <cell r="O3140">
            <v>7899</v>
          </cell>
          <cell r="P3140">
            <v>7885</v>
          </cell>
          <cell r="Q3140">
            <v>5496</v>
          </cell>
          <cell r="R3140">
            <v>5453</v>
          </cell>
          <cell r="S3140">
            <v>5612</v>
          </cell>
          <cell r="T3140">
            <v>5543</v>
          </cell>
          <cell r="U3140">
            <v>6045</v>
          </cell>
          <cell r="V3140">
            <v>5933</v>
          </cell>
          <cell r="W3140">
            <v>2771</v>
          </cell>
          <cell r="X3140">
            <v>6829</v>
          </cell>
          <cell r="Y3140">
            <v>6280</v>
          </cell>
          <cell r="Z3140">
            <v>6313</v>
          </cell>
          <cell r="AA3140">
            <v>5594</v>
          </cell>
          <cell r="AB3140">
            <v>5435</v>
          </cell>
          <cell r="AC3140">
            <v>5012</v>
          </cell>
          <cell r="AD3140">
            <v>4717</v>
          </cell>
          <cell r="AE3140">
            <v>5402</v>
          </cell>
          <cell r="AF3140">
            <v>5762</v>
          </cell>
          <cell r="AG3140">
            <v>5346</v>
          </cell>
          <cell r="AH3140">
            <v>5570</v>
          </cell>
          <cell r="AI3140">
            <v>4995</v>
          </cell>
          <cell r="AJ3140">
            <v>5332</v>
          </cell>
        </row>
        <row r="3141">
          <cell r="E3141" t="str">
            <v>KS Commercial Wood and Waste</v>
          </cell>
          <cell r="F3141">
            <v>694</v>
          </cell>
          <cell r="G3141">
            <v>724</v>
          </cell>
          <cell r="H3141">
            <v>764</v>
          </cell>
          <cell r="I3141">
            <v>789</v>
          </cell>
          <cell r="J3141">
            <v>755</v>
          </cell>
          <cell r="K3141">
            <v>762</v>
          </cell>
          <cell r="L3141">
            <v>792</v>
          </cell>
          <cell r="M3141">
            <v>753</v>
          </cell>
          <cell r="N3141">
            <v>658</v>
          </cell>
          <cell r="O3141">
            <v>692</v>
          </cell>
          <cell r="P3141">
            <v>740</v>
          </cell>
          <cell r="Q3141">
            <v>765</v>
          </cell>
          <cell r="R3141">
            <v>784</v>
          </cell>
          <cell r="S3141">
            <v>816</v>
          </cell>
          <cell r="T3141">
            <v>798</v>
          </cell>
          <cell r="U3141">
            <v>637</v>
          </cell>
          <cell r="V3141">
            <v>591</v>
          </cell>
          <cell r="W3141">
            <v>627</v>
          </cell>
          <cell r="X3141">
            <v>662</v>
          </cell>
          <cell r="Y3141">
            <v>638</v>
          </cell>
          <cell r="Z3141">
            <v>630</v>
          </cell>
          <cell r="AA3141">
            <v>606</v>
          </cell>
          <cell r="AB3141">
            <v>531</v>
          </cell>
          <cell r="AC3141">
            <v>615</v>
          </cell>
          <cell r="AD3141">
            <v>641</v>
          </cell>
          <cell r="AE3141">
            <v>561</v>
          </cell>
          <cell r="AF3141">
            <v>584</v>
          </cell>
          <cell r="AG3141">
            <v>537</v>
          </cell>
          <cell r="AH3141">
            <v>623</v>
          </cell>
          <cell r="AI3141">
            <v>590</v>
          </cell>
          <cell r="AJ3141">
            <v>602</v>
          </cell>
        </row>
        <row r="3142">
          <cell r="E3142" t="str">
            <v>KY Commercial Wood and Waste</v>
          </cell>
          <cell r="F3142">
            <v>1492</v>
          </cell>
          <cell r="G3142">
            <v>1557</v>
          </cell>
          <cell r="H3142">
            <v>1643</v>
          </cell>
          <cell r="I3142">
            <v>1539</v>
          </cell>
          <cell r="J3142">
            <v>1473</v>
          </cell>
          <cell r="K3142">
            <v>1487</v>
          </cell>
          <cell r="L3142">
            <v>1545</v>
          </cell>
          <cell r="M3142">
            <v>981</v>
          </cell>
          <cell r="N3142">
            <v>857</v>
          </cell>
          <cell r="O3142">
            <v>901</v>
          </cell>
          <cell r="P3142">
            <v>965</v>
          </cell>
          <cell r="Q3142">
            <v>835</v>
          </cell>
          <cell r="R3142">
            <v>855</v>
          </cell>
          <cell r="S3142">
            <v>890</v>
          </cell>
          <cell r="T3142">
            <v>870</v>
          </cell>
          <cell r="U3142">
            <v>1632</v>
          </cell>
          <cell r="V3142">
            <v>1514</v>
          </cell>
          <cell r="W3142">
            <v>1608</v>
          </cell>
          <cell r="X3142">
            <v>1697</v>
          </cell>
          <cell r="Y3142">
            <v>1980</v>
          </cell>
          <cell r="Z3142">
            <v>1955</v>
          </cell>
          <cell r="AA3142">
            <v>1882</v>
          </cell>
          <cell r="AB3142">
            <v>1648</v>
          </cell>
          <cell r="AC3142">
            <v>1910</v>
          </cell>
          <cell r="AD3142">
            <v>1990</v>
          </cell>
          <cell r="AE3142">
            <v>1260</v>
          </cell>
          <cell r="AF3142">
            <v>1329</v>
          </cell>
          <cell r="AG3142">
            <v>1386</v>
          </cell>
          <cell r="AH3142">
            <v>1394</v>
          </cell>
          <cell r="AI3142">
            <v>1487</v>
          </cell>
          <cell r="AJ3142">
            <v>1390</v>
          </cell>
        </row>
        <row r="3143">
          <cell r="E3143" t="str">
            <v>LA Commercial Wood and Waste</v>
          </cell>
          <cell r="F3143">
            <v>592</v>
          </cell>
          <cell r="G3143">
            <v>619</v>
          </cell>
          <cell r="H3143">
            <v>652</v>
          </cell>
          <cell r="I3143">
            <v>1100</v>
          </cell>
          <cell r="J3143">
            <v>1053</v>
          </cell>
          <cell r="K3143">
            <v>1063</v>
          </cell>
          <cell r="L3143">
            <v>1104</v>
          </cell>
          <cell r="M3143">
            <v>650</v>
          </cell>
          <cell r="N3143">
            <v>568</v>
          </cell>
          <cell r="O3143">
            <v>597</v>
          </cell>
          <cell r="P3143">
            <v>639</v>
          </cell>
          <cell r="Q3143">
            <v>614</v>
          </cell>
          <cell r="R3143">
            <v>629</v>
          </cell>
          <cell r="S3143">
            <v>655</v>
          </cell>
          <cell r="T3143">
            <v>640</v>
          </cell>
          <cell r="U3143">
            <v>238</v>
          </cell>
          <cell r="V3143">
            <v>221</v>
          </cell>
          <cell r="W3143">
            <v>235</v>
          </cell>
          <cell r="X3143">
            <v>248</v>
          </cell>
          <cell r="Y3143">
            <v>333</v>
          </cell>
          <cell r="Z3143">
            <v>329</v>
          </cell>
          <cell r="AA3143">
            <v>316</v>
          </cell>
          <cell r="AB3143">
            <v>277</v>
          </cell>
          <cell r="AC3143">
            <v>321</v>
          </cell>
          <cell r="AD3143">
            <v>335</v>
          </cell>
          <cell r="AE3143">
            <v>110</v>
          </cell>
          <cell r="AF3143">
            <v>90</v>
          </cell>
          <cell r="AG3143">
            <v>77</v>
          </cell>
          <cell r="AH3143">
            <v>86</v>
          </cell>
          <cell r="AI3143">
            <v>82</v>
          </cell>
          <cell r="AJ3143">
            <v>86</v>
          </cell>
        </row>
        <row r="3144">
          <cell r="E3144" t="str">
            <v>MA Commercial Wood and Waste</v>
          </cell>
          <cell r="F3144">
            <v>1976</v>
          </cell>
          <cell r="G3144">
            <v>2280</v>
          </cell>
          <cell r="H3144">
            <v>2360</v>
          </cell>
          <cell r="I3144">
            <v>2978</v>
          </cell>
          <cell r="J3144">
            <v>2855</v>
          </cell>
          <cell r="K3144">
            <v>2678</v>
          </cell>
          <cell r="L3144">
            <v>2780</v>
          </cell>
          <cell r="M3144">
            <v>2427</v>
          </cell>
          <cell r="N3144">
            <v>2166</v>
          </cell>
          <cell r="O3144">
            <v>2787</v>
          </cell>
          <cell r="P3144">
            <v>3117</v>
          </cell>
          <cell r="Q3144">
            <v>2679</v>
          </cell>
          <cell r="R3144">
            <v>2939</v>
          </cell>
          <cell r="S3144">
            <v>2912</v>
          </cell>
          <cell r="T3144">
            <v>3843</v>
          </cell>
          <cell r="U3144">
            <v>1494</v>
          </cell>
          <cell r="V3144">
            <v>1550</v>
          </cell>
          <cell r="W3144">
            <v>1608</v>
          </cell>
          <cell r="X3144">
            <v>598</v>
          </cell>
          <cell r="Y3144">
            <v>1442</v>
          </cell>
          <cell r="Z3144">
            <v>1424</v>
          </cell>
          <cell r="AA3144">
            <v>1371</v>
          </cell>
          <cell r="AB3144">
            <v>1201</v>
          </cell>
          <cell r="AC3144">
            <v>1392</v>
          </cell>
          <cell r="AD3144">
            <v>1457</v>
          </cell>
          <cell r="AE3144">
            <v>1542</v>
          </cell>
          <cell r="AF3144">
            <v>2452</v>
          </cell>
          <cell r="AG3144">
            <v>2529</v>
          </cell>
          <cell r="AH3144">
            <v>2274</v>
          </cell>
          <cell r="AI3144">
            <v>2501</v>
          </cell>
          <cell r="AJ3144">
            <v>2310</v>
          </cell>
        </row>
        <row r="3145">
          <cell r="E3145" t="str">
            <v>MD Commercial Wood and Waste</v>
          </cell>
          <cell r="F3145">
            <v>1589</v>
          </cell>
          <cell r="G3145">
            <v>1101</v>
          </cell>
          <cell r="H3145">
            <v>1676</v>
          </cell>
          <cell r="I3145">
            <v>2369</v>
          </cell>
          <cell r="J3145">
            <v>2321</v>
          </cell>
          <cell r="K3145">
            <v>3605</v>
          </cell>
          <cell r="L3145">
            <v>3838</v>
          </cell>
          <cell r="M3145">
            <v>3855</v>
          </cell>
          <cell r="N3145">
            <v>3294</v>
          </cell>
          <cell r="O3145">
            <v>3161</v>
          </cell>
          <cell r="P3145">
            <v>3443</v>
          </cell>
          <cell r="Q3145">
            <v>2325</v>
          </cell>
          <cell r="R3145">
            <v>1984</v>
          </cell>
          <cell r="S3145">
            <v>2278</v>
          </cell>
          <cell r="T3145">
            <v>2769</v>
          </cell>
          <cell r="U3145">
            <v>2680</v>
          </cell>
          <cell r="V3145">
            <v>2832</v>
          </cell>
          <cell r="W3145">
            <v>2635</v>
          </cell>
          <cell r="X3145">
            <v>2816</v>
          </cell>
          <cell r="Y3145">
            <v>3413</v>
          </cell>
          <cell r="Z3145">
            <v>3358</v>
          </cell>
          <cell r="AA3145">
            <v>3556</v>
          </cell>
          <cell r="AB3145">
            <v>3665</v>
          </cell>
          <cell r="AC3145">
            <v>3881</v>
          </cell>
          <cell r="AD3145">
            <v>3010</v>
          </cell>
          <cell r="AE3145">
            <v>2255</v>
          </cell>
          <cell r="AF3145">
            <v>2250</v>
          </cell>
          <cell r="AG3145">
            <v>1816</v>
          </cell>
          <cell r="AH3145">
            <v>1969</v>
          </cell>
          <cell r="AI3145">
            <v>1768</v>
          </cell>
          <cell r="AJ3145">
            <v>1768</v>
          </cell>
        </row>
        <row r="3146">
          <cell r="E3146" t="str">
            <v>ME Commercial Wood and Waste</v>
          </cell>
          <cell r="F3146">
            <v>3110</v>
          </cell>
          <cell r="G3146">
            <v>3107</v>
          </cell>
          <cell r="H3146">
            <v>3452</v>
          </cell>
          <cell r="I3146">
            <v>3832</v>
          </cell>
          <cell r="J3146">
            <v>3996</v>
          </cell>
          <cell r="K3146">
            <v>4007</v>
          </cell>
          <cell r="L3146">
            <v>3925</v>
          </cell>
          <cell r="M3146">
            <v>3864</v>
          </cell>
          <cell r="N3146">
            <v>3808</v>
          </cell>
          <cell r="O3146">
            <v>3567</v>
          </cell>
          <cell r="P3146">
            <v>3508</v>
          </cell>
          <cell r="Q3146">
            <v>2143</v>
          </cell>
          <cell r="R3146">
            <v>2341</v>
          </cell>
          <cell r="S3146">
            <v>2361</v>
          </cell>
          <cell r="T3146">
            <v>2241</v>
          </cell>
          <cell r="U3146">
            <v>2743</v>
          </cell>
          <cell r="V3146">
            <v>2621</v>
          </cell>
          <cell r="W3146">
            <v>2709</v>
          </cell>
          <cell r="X3146">
            <v>2948</v>
          </cell>
          <cell r="Y3146">
            <v>3999</v>
          </cell>
          <cell r="Z3146">
            <v>4053</v>
          </cell>
          <cell r="AA3146">
            <v>3809</v>
          </cell>
          <cell r="AB3146">
            <v>3341</v>
          </cell>
          <cell r="AC3146">
            <v>3668</v>
          </cell>
          <cell r="AD3146">
            <v>3701</v>
          </cell>
          <cell r="AE3146">
            <v>5395</v>
          </cell>
          <cell r="AF3146">
            <v>4647</v>
          </cell>
          <cell r="AG3146">
            <v>5006</v>
          </cell>
          <cell r="AH3146">
            <v>4594</v>
          </cell>
          <cell r="AI3146">
            <v>4288</v>
          </cell>
          <cell r="AJ3146">
            <v>3998</v>
          </cell>
        </row>
        <row r="3147">
          <cell r="E3147" t="str">
            <v>MI Commercial Wood and Waste</v>
          </cell>
          <cell r="F3147">
            <v>7279</v>
          </cell>
          <cell r="G3147">
            <v>9955</v>
          </cell>
          <cell r="H3147">
            <v>10413</v>
          </cell>
          <cell r="I3147">
            <v>9156</v>
          </cell>
          <cell r="J3147">
            <v>8803</v>
          </cell>
          <cell r="K3147">
            <v>9046</v>
          </cell>
          <cell r="L3147">
            <v>10809</v>
          </cell>
          <cell r="M3147">
            <v>11013</v>
          </cell>
          <cell r="N3147">
            <v>9438</v>
          </cell>
          <cell r="O3147">
            <v>9428</v>
          </cell>
          <cell r="P3147">
            <v>8646</v>
          </cell>
          <cell r="Q3147">
            <v>2583</v>
          </cell>
          <cell r="R3147">
            <v>6472</v>
          </cell>
          <cell r="S3147">
            <v>6534</v>
          </cell>
          <cell r="T3147">
            <v>7019</v>
          </cell>
          <cell r="U3147">
            <v>8258</v>
          </cell>
          <cell r="V3147">
            <v>8336</v>
          </cell>
          <cell r="W3147">
            <v>8651</v>
          </cell>
          <cell r="X3147">
            <v>9063</v>
          </cell>
          <cell r="Y3147">
            <v>7327</v>
          </cell>
          <cell r="Z3147">
            <v>7453</v>
          </cell>
          <cell r="AA3147">
            <v>7520</v>
          </cell>
          <cell r="AB3147">
            <v>7783</v>
          </cell>
          <cell r="AC3147">
            <v>7164</v>
          </cell>
          <cell r="AD3147">
            <v>7533</v>
          </cell>
          <cell r="AE3147">
            <v>10599</v>
          </cell>
          <cell r="AF3147">
            <v>11280</v>
          </cell>
          <cell r="AG3147">
            <v>10966</v>
          </cell>
          <cell r="AH3147">
            <v>10465</v>
          </cell>
          <cell r="AI3147">
            <v>7137</v>
          </cell>
          <cell r="AJ3147">
            <v>6291</v>
          </cell>
        </row>
        <row r="3148">
          <cell r="E3148" t="str">
            <v>MN Commercial Wood and Waste</v>
          </cell>
          <cell r="F3148">
            <v>1877</v>
          </cell>
          <cell r="G3148">
            <v>1931</v>
          </cell>
          <cell r="H3148">
            <v>2001</v>
          </cell>
          <cell r="I3148">
            <v>2073</v>
          </cell>
          <cell r="J3148">
            <v>1979</v>
          </cell>
          <cell r="K3148">
            <v>2024</v>
          </cell>
          <cell r="L3148">
            <v>2095</v>
          </cell>
          <cell r="M3148">
            <v>2034</v>
          </cell>
          <cell r="N3148">
            <v>1853</v>
          </cell>
          <cell r="O3148">
            <v>1930</v>
          </cell>
          <cell r="P3148">
            <v>2020</v>
          </cell>
          <cell r="Q3148">
            <v>1822</v>
          </cell>
          <cell r="R3148">
            <v>1826</v>
          </cell>
          <cell r="S3148">
            <v>1869</v>
          </cell>
          <cell r="T3148">
            <v>1860</v>
          </cell>
          <cell r="U3148">
            <v>2100</v>
          </cell>
          <cell r="V3148">
            <v>2176</v>
          </cell>
          <cell r="W3148">
            <v>2230</v>
          </cell>
          <cell r="X3148">
            <v>2360</v>
          </cell>
          <cell r="Y3148">
            <v>2541</v>
          </cell>
          <cell r="Z3148">
            <v>2566</v>
          </cell>
          <cell r="AA3148">
            <v>2457</v>
          </cell>
          <cell r="AB3148">
            <v>2275</v>
          </cell>
          <cell r="AC3148">
            <v>2552</v>
          </cell>
          <cell r="AD3148">
            <v>5184</v>
          </cell>
          <cell r="AE3148">
            <v>5555</v>
          </cell>
          <cell r="AF3148">
            <v>6164</v>
          </cell>
          <cell r="AG3148">
            <v>6338</v>
          </cell>
          <cell r="AH3148">
            <v>6801</v>
          </cell>
          <cell r="AI3148">
            <v>6706</v>
          </cell>
          <cell r="AJ3148">
            <v>5122</v>
          </cell>
        </row>
        <row r="3149">
          <cell r="E3149" t="str">
            <v>MO Commercial Wood and Waste</v>
          </cell>
          <cell r="F3149">
            <v>1462</v>
          </cell>
          <cell r="G3149">
            <v>1526</v>
          </cell>
          <cell r="H3149">
            <v>1609</v>
          </cell>
          <cell r="I3149">
            <v>1662</v>
          </cell>
          <cell r="J3149">
            <v>1592</v>
          </cell>
          <cell r="K3149">
            <v>1618</v>
          </cell>
          <cell r="L3149">
            <v>1687</v>
          </cell>
          <cell r="M3149">
            <v>1710</v>
          </cell>
          <cell r="N3149">
            <v>1454</v>
          </cell>
          <cell r="O3149">
            <v>1500</v>
          </cell>
          <cell r="P3149">
            <v>1624</v>
          </cell>
          <cell r="Q3149">
            <v>1652</v>
          </cell>
          <cell r="R3149">
            <v>1694</v>
          </cell>
          <cell r="S3149">
            <v>1764</v>
          </cell>
          <cell r="T3149">
            <v>1724</v>
          </cell>
          <cell r="U3149">
            <v>2966</v>
          </cell>
          <cell r="V3149">
            <v>2752</v>
          </cell>
          <cell r="W3149">
            <v>2923</v>
          </cell>
          <cell r="X3149">
            <v>3084</v>
          </cell>
          <cell r="Y3149">
            <v>3690</v>
          </cell>
          <cell r="Z3149">
            <v>3643</v>
          </cell>
          <cell r="AA3149">
            <v>3507</v>
          </cell>
          <cell r="AB3149">
            <v>3071</v>
          </cell>
          <cell r="AC3149">
            <v>3760</v>
          </cell>
          <cell r="AD3149">
            <v>4530</v>
          </cell>
          <cell r="AE3149">
            <v>3398</v>
          </cell>
          <cell r="AF3149">
            <v>3886</v>
          </cell>
          <cell r="AG3149">
            <v>4011</v>
          </cell>
          <cell r="AH3149">
            <v>4286</v>
          </cell>
          <cell r="AI3149">
            <v>3831</v>
          </cell>
          <cell r="AJ3149">
            <v>3999</v>
          </cell>
        </row>
        <row r="3150">
          <cell r="E3150" t="str">
            <v>MS Commercial Wood and Waste</v>
          </cell>
          <cell r="F3150">
            <v>1000</v>
          </cell>
          <cell r="G3150">
            <v>1044</v>
          </cell>
          <cell r="H3150">
            <v>1101</v>
          </cell>
          <cell r="I3150">
            <v>1022</v>
          </cell>
          <cell r="J3150">
            <v>979</v>
          </cell>
          <cell r="K3150">
            <v>988</v>
          </cell>
          <cell r="L3150">
            <v>1026</v>
          </cell>
          <cell r="M3150">
            <v>653</v>
          </cell>
          <cell r="N3150">
            <v>570</v>
          </cell>
          <cell r="O3150">
            <v>599</v>
          </cell>
          <cell r="P3150">
            <v>641</v>
          </cell>
          <cell r="Q3150">
            <v>555</v>
          </cell>
          <cell r="R3150">
            <v>568</v>
          </cell>
          <cell r="S3150">
            <v>591</v>
          </cell>
          <cell r="T3150">
            <v>578</v>
          </cell>
          <cell r="U3150">
            <v>776</v>
          </cell>
          <cell r="V3150">
            <v>720</v>
          </cell>
          <cell r="W3150">
            <v>765</v>
          </cell>
          <cell r="X3150">
            <v>807</v>
          </cell>
          <cell r="Y3150">
            <v>779</v>
          </cell>
          <cell r="Z3150">
            <v>769</v>
          </cell>
          <cell r="AA3150">
            <v>740</v>
          </cell>
          <cell r="AB3150">
            <v>648</v>
          </cell>
          <cell r="AC3150">
            <v>751</v>
          </cell>
          <cell r="AD3150">
            <v>783</v>
          </cell>
          <cell r="AE3150">
            <v>204</v>
          </cell>
          <cell r="AF3150">
            <v>225</v>
          </cell>
          <cell r="AG3150">
            <v>145</v>
          </cell>
          <cell r="AH3150">
            <v>221</v>
          </cell>
          <cell r="AI3150">
            <v>228</v>
          </cell>
          <cell r="AJ3150">
            <v>199</v>
          </cell>
        </row>
        <row r="3151">
          <cell r="E3151" t="str">
            <v>MT Commercial Wood and Waste</v>
          </cell>
          <cell r="F3151">
            <v>196</v>
          </cell>
          <cell r="G3151">
            <v>204</v>
          </cell>
          <cell r="H3151">
            <v>215</v>
          </cell>
          <cell r="I3151">
            <v>245</v>
          </cell>
          <cell r="J3151">
            <v>234</v>
          </cell>
          <cell r="K3151">
            <v>237</v>
          </cell>
          <cell r="L3151">
            <v>246</v>
          </cell>
          <cell r="M3151">
            <v>317</v>
          </cell>
          <cell r="N3151">
            <v>276</v>
          </cell>
          <cell r="O3151">
            <v>291</v>
          </cell>
          <cell r="P3151">
            <v>311</v>
          </cell>
          <cell r="Q3151">
            <v>184</v>
          </cell>
          <cell r="R3151">
            <v>188</v>
          </cell>
          <cell r="S3151">
            <v>196</v>
          </cell>
          <cell r="T3151">
            <v>192</v>
          </cell>
          <cell r="U3151">
            <v>968</v>
          </cell>
          <cell r="V3151">
            <v>898</v>
          </cell>
          <cell r="W3151">
            <v>954</v>
          </cell>
          <cell r="X3151">
            <v>1007</v>
          </cell>
          <cell r="Y3151">
            <v>449</v>
          </cell>
          <cell r="Z3151">
            <v>444</v>
          </cell>
          <cell r="AA3151">
            <v>427</v>
          </cell>
          <cell r="AB3151">
            <v>374</v>
          </cell>
          <cell r="AC3151">
            <v>433</v>
          </cell>
          <cell r="AD3151">
            <v>452</v>
          </cell>
          <cell r="AE3151">
            <v>1587</v>
          </cell>
          <cell r="AF3151">
            <v>1970</v>
          </cell>
          <cell r="AG3151">
            <v>1985</v>
          </cell>
          <cell r="AH3151">
            <v>2168</v>
          </cell>
          <cell r="AI3151">
            <v>2030</v>
          </cell>
          <cell r="AJ3151">
            <v>2076</v>
          </cell>
        </row>
        <row r="3152">
          <cell r="E3152" t="str">
            <v>NC Commercial Wood and Waste</v>
          </cell>
          <cell r="F3152">
            <v>1279</v>
          </cell>
          <cell r="G3152">
            <v>1335</v>
          </cell>
          <cell r="H3152">
            <v>1408</v>
          </cell>
          <cell r="I3152">
            <v>2510</v>
          </cell>
          <cell r="J3152">
            <v>2404</v>
          </cell>
          <cell r="K3152">
            <v>2426</v>
          </cell>
          <cell r="L3152">
            <v>2520</v>
          </cell>
          <cell r="M3152">
            <v>2424</v>
          </cell>
          <cell r="N3152">
            <v>2117</v>
          </cell>
          <cell r="O3152">
            <v>2226</v>
          </cell>
          <cell r="P3152">
            <v>2382</v>
          </cell>
          <cell r="Q3152">
            <v>1704</v>
          </cell>
          <cell r="R3152">
            <v>1745</v>
          </cell>
          <cell r="S3152">
            <v>1817</v>
          </cell>
          <cell r="T3152">
            <v>1776</v>
          </cell>
          <cell r="U3152">
            <v>2471</v>
          </cell>
          <cell r="V3152">
            <v>2292</v>
          </cell>
          <cell r="W3152">
            <v>2435</v>
          </cell>
          <cell r="X3152">
            <v>2569</v>
          </cell>
          <cell r="Y3152">
            <v>2376</v>
          </cell>
          <cell r="Z3152">
            <v>2346</v>
          </cell>
          <cell r="AA3152">
            <v>2258</v>
          </cell>
          <cell r="AB3152">
            <v>1999</v>
          </cell>
          <cell r="AC3152">
            <v>2776</v>
          </cell>
          <cell r="AD3152">
            <v>3071</v>
          </cell>
          <cell r="AE3152">
            <v>2122</v>
          </cell>
          <cell r="AF3152">
            <v>2118</v>
          </cell>
          <cell r="AG3152">
            <v>2044</v>
          </cell>
          <cell r="AH3152">
            <v>2150</v>
          </cell>
          <cell r="AI3152">
            <v>1727</v>
          </cell>
          <cell r="AJ3152">
            <v>1915</v>
          </cell>
        </row>
        <row r="3153">
          <cell r="E3153" t="str">
            <v>ND Commercial Wood and Waste</v>
          </cell>
          <cell r="F3153">
            <v>184</v>
          </cell>
          <cell r="G3153">
            <v>192</v>
          </cell>
          <cell r="H3153">
            <v>202</v>
          </cell>
          <cell r="I3153">
            <v>207</v>
          </cell>
          <cell r="J3153">
            <v>198</v>
          </cell>
          <cell r="K3153">
            <v>200</v>
          </cell>
          <cell r="L3153">
            <v>208</v>
          </cell>
          <cell r="M3153">
            <v>196</v>
          </cell>
          <cell r="N3153">
            <v>171</v>
          </cell>
          <cell r="O3153">
            <v>180</v>
          </cell>
          <cell r="P3153">
            <v>193</v>
          </cell>
          <cell r="Q3153">
            <v>195</v>
          </cell>
          <cell r="R3153">
            <v>200</v>
          </cell>
          <cell r="S3153">
            <v>208</v>
          </cell>
          <cell r="T3153">
            <v>203</v>
          </cell>
          <cell r="U3153">
            <v>58</v>
          </cell>
          <cell r="V3153">
            <v>54</v>
          </cell>
          <cell r="W3153">
            <v>57</v>
          </cell>
          <cell r="X3153">
            <v>60</v>
          </cell>
          <cell r="Y3153">
            <v>65</v>
          </cell>
          <cell r="Z3153">
            <v>64</v>
          </cell>
          <cell r="AA3153">
            <v>62</v>
          </cell>
          <cell r="AB3153">
            <v>54</v>
          </cell>
          <cell r="AC3153">
            <v>63</v>
          </cell>
          <cell r="AD3153">
            <v>65</v>
          </cell>
          <cell r="AE3153">
            <v>76</v>
          </cell>
          <cell r="AF3153">
            <v>113</v>
          </cell>
          <cell r="AG3153">
            <v>107</v>
          </cell>
          <cell r="AH3153">
            <v>86</v>
          </cell>
          <cell r="AI3153">
            <v>83</v>
          </cell>
          <cell r="AJ3153">
            <v>92</v>
          </cell>
        </row>
        <row r="3154">
          <cell r="E3154" t="str">
            <v>NE Commercial Wood and Waste</v>
          </cell>
          <cell r="F3154">
            <v>439</v>
          </cell>
          <cell r="G3154">
            <v>458</v>
          </cell>
          <cell r="H3154">
            <v>483</v>
          </cell>
          <cell r="I3154">
            <v>499</v>
          </cell>
          <cell r="J3154">
            <v>478</v>
          </cell>
          <cell r="K3154">
            <v>483</v>
          </cell>
          <cell r="L3154">
            <v>501</v>
          </cell>
          <cell r="M3154">
            <v>576</v>
          </cell>
          <cell r="N3154">
            <v>530</v>
          </cell>
          <cell r="O3154">
            <v>557</v>
          </cell>
          <cell r="P3154">
            <v>647</v>
          </cell>
          <cell r="Q3154">
            <v>585</v>
          </cell>
          <cell r="R3154">
            <v>577</v>
          </cell>
          <cell r="S3154">
            <v>652</v>
          </cell>
          <cell r="T3154">
            <v>663</v>
          </cell>
          <cell r="U3154">
            <v>495</v>
          </cell>
          <cell r="V3154">
            <v>477</v>
          </cell>
          <cell r="W3154">
            <v>506</v>
          </cell>
          <cell r="X3154">
            <v>527</v>
          </cell>
          <cell r="Y3154">
            <v>468</v>
          </cell>
          <cell r="Z3154">
            <v>483</v>
          </cell>
          <cell r="AA3154">
            <v>496</v>
          </cell>
          <cell r="AB3154">
            <v>505</v>
          </cell>
          <cell r="AC3154">
            <v>537</v>
          </cell>
          <cell r="AD3154">
            <v>556</v>
          </cell>
          <cell r="AE3154">
            <v>514</v>
          </cell>
          <cell r="AF3154">
            <v>609</v>
          </cell>
          <cell r="AG3154">
            <v>548</v>
          </cell>
          <cell r="AH3154">
            <v>616</v>
          </cell>
          <cell r="AI3154">
            <v>620</v>
          </cell>
          <cell r="AJ3154">
            <v>543</v>
          </cell>
        </row>
        <row r="3155">
          <cell r="E3155" t="str">
            <v>NH Commercial Wood and Waste</v>
          </cell>
          <cell r="F3155">
            <v>403</v>
          </cell>
          <cell r="G3155">
            <v>420</v>
          </cell>
          <cell r="H3155">
            <v>443</v>
          </cell>
          <cell r="I3155">
            <v>571</v>
          </cell>
          <cell r="J3155">
            <v>547</v>
          </cell>
          <cell r="K3155">
            <v>552</v>
          </cell>
          <cell r="L3155">
            <v>573</v>
          </cell>
          <cell r="M3155">
            <v>507</v>
          </cell>
          <cell r="N3155">
            <v>443</v>
          </cell>
          <cell r="O3155">
            <v>466</v>
          </cell>
          <cell r="P3155">
            <v>498</v>
          </cell>
          <cell r="Q3155">
            <v>425</v>
          </cell>
          <cell r="R3155">
            <v>436</v>
          </cell>
          <cell r="S3155">
            <v>454</v>
          </cell>
          <cell r="T3155">
            <v>444</v>
          </cell>
          <cell r="U3155">
            <v>533</v>
          </cell>
          <cell r="V3155">
            <v>494</v>
          </cell>
          <cell r="W3155">
            <v>525</v>
          </cell>
          <cell r="X3155">
            <v>554</v>
          </cell>
          <cell r="Y3155">
            <v>1166</v>
          </cell>
          <cell r="Z3155">
            <v>1151</v>
          </cell>
          <cell r="AA3155">
            <v>1108</v>
          </cell>
          <cell r="AB3155">
            <v>1231</v>
          </cell>
          <cell r="AC3155">
            <v>1634</v>
          </cell>
          <cell r="AD3155">
            <v>1660</v>
          </cell>
          <cell r="AE3155">
            <v>2488</v>
          </cell>
          <cell r="AF3155">
            <v>2260</v>
          </cell>
          <cell r="AG3155">
            <v>2676</v>
          </cell>
          <cell r="AH3155">
            <v>2461</v>
          </cell>
          <cell r="AI3155">
            <v>2459</v>
          </cell>
          <cell r="AJ3155">
            <v>2412</v>
          </cell>
        </row>
        <row r="3156">
          <cell r="E3156" t="str">
            <v>NJ Commercial Wood and Waste</v>
          </cell>
          <cell r="F3156">
            <v>1802</v>
          </cell>
          <cell r="G3156">
            <v>1880</v>
          </cell>
          <cell r="H3156">
            <v>1981</v>
          </cell>
          <cell r="I3156">
            <v>2096</v>
          </cell>
          <cell r="J3156">
            <v>2033</v>
          </cell>
          <cell r="K3156">
            <v>2047</v>
          </cell>
          <cell r="L3156">
            <v>2119</v>
          </cell>
          <cell r="M3156">
            <v>1558</v>
          </cell>
          <cell r="N3156">
            <v>1281</v>
          </cell>
          <cell r="O3156">
            <v>1354</v>
          </cell>
          <cell r="P3156">
            <v>1442</v>
          </cell>
          <cell r="Q3156">
            <v>1429</v>
          </cell>
          <cell r="R3156">
            <v>1465</v>
          </cell>
          <cell r="S3156">
            <v>1512</v>
          </cell>
          <cell r="T3156">
            <v>1491</v>
          </cell>
          <cell r="U3156">
            <v>228</v>
          </cell>
          <cell r="V3156">
            <v>243</v>
          </cell>
          <cell r="W3156">
            <v>234</v>
          </cell>
          <cell r="X3156">
            <v>260</v>
          </cell>
          <cell r="Y3156">
            <v>4480</v>
          </cell>
          <cell r="Z3156">
            <v>4468</v>
          </cell>
          <cell r="AA3156">
            <v>5313</v>
          </cell>
          <cell r="AB3156">
            <v>3971</v>
          </cell>
          <cell r="AC3156">
            <v>4226</v>
          </cell>
          <cell r="AD3156">
            <v>4445</v>
          </cell>
          <cell r="AE3156">
            <v>3334</v>
          </cell>
          <cell r="AF3156">
            <v>3362</v>
          </cell>
          <cell r="AG3156">
            <v>3320</v>
          </cell>
          <cell r="AH3156">
            <v>3218</v>
          </cell>
          <cell r="AI3156">
            <v>2907</v>
          </cell>
          <cell r="AJ3156">
            <v>2970</v>
          </cell>
        </row>
        <row r="3157">
          <cell r="E3157" t="str">
            <v>NM Commercial Wood and Waste</v>
          </cell>
          <cell r="F3157">
            <v>342</v>
          </cell>
          <cell r="G3157">
            <v>357</v>
          </cell>
          <cell r="H3157">
            <v>377</v>
          </cell>
          <cell r="I3157">
            <v>440</v>
          </cell>
          <cell r="J3157">
            <v>421</v>
          </cell>
          <cell r="K3157">
            <v>425</v>
          </cell>
          <cell r="L3157">
            <v>442</v>
          </cell>
          <cell r="M3157">
            <v>607</v>
          </cell>
          <cell r="N3157">
            <v>530</v>
          </cell>
          <cell r="O3157">
            <v>557</v>
          </cell>
          <cell r="P3157">
            <v>596</v>
          </cell>
          <cell r="Q3157">
            <v>352</v>
          </cell>
          <cell r="R3157">
            <v>360</v>
          </cell>
          <cell r="S3157">
            <v>375</v>
          </cell>
          <cell r="T3157">
            <v>367</v>
          </cell>
          <cell r="U3157">
            <v>1445</v>
          </cell>
          <cell r="V3157">
            <v>1341</v>
          </cell>
          <cell r="W3157">
            <v>1424</v>
          </cell>
          <cell r="X3157">
            <v>1502</v>
          </cell>
          <cell r="Y3157">
            <v>975</v>
          </cell>
          <cell r="Z3157">
            <v>963</v>
          </cell>
          <cell r="AA3157">
            <v>927</v>
          </cell>
          <cell r="AB3157">
            <v>812</v>
          </cell>
          <cell r="AC3157">
            <v>941</v>
          </cell>
          <cell r="AD3157">
            <v>981</v>
          </cell>
          <cell r="AE3157">
            <v>1289</v>
          </cell>
          <cell r="AF3157">
            <v>1600</v>
          </cell>
          <cell r="AG3157">
            <v>1440</v>
          </cell>
          <cell r="AH3157">
            <v>1655</v>
          </cell>
          <cell r="AI3157">
            <v>1889</v>
          </cell>
          <cell r="AJ3157">
            <v>1718</v>
          </cell>
        </row>
        <row r="3158">
          <cell r="E3158" t="str">
            <v>NV Commercial Wood and Waste</v>
          </cell>
          <cell r="F3158">
            <v>281</v>
          </cell>
          <cell r="G3158">
            <v>293</v>
          </cell>
          <cell r="H3158">
            <v>309</v>
          </cell>
          <cell r="I3158">
            <v>400</v>
          </cell>
          <cell r="J3158">
            <v>383</v>
          </cell>
          <cell r="K3158">
            <v>386</v>
          </cell>
          <cell r="L3158">
            <v>401</v>
          </cell>
          <cell r="M3158">
            <v>607</v>
          </cell>
          <cell r="N3158">
            <v>530</v>
          </cell>
          <cell r="O3158">
            <v>558</v>
          </cell>
          <cell r="P3158">
            <v>597</v>
          </cell>
          <cell r="Q3158">
            <v>383</v>
          </cell>
          <cell r="R3158">
            <v>393</v>
          </cell>
          <cell r="S3158">
            <v>409</v>
          </cell>
          <cell r="T3158">
            <v>400</v>
          </cell>
          <cell r="U3158">
            <v>313</v>
          </cell>
          <cell r="V3158">
            <v>290</v>
          </cell>
          <cell r="W3158">
            <v>308</v>
          </cell>
          <cell r="X3158">
            <v>325</v>
          </cell>
          <cell r="Y3158">
            <v>255</v>
          </cell>
          <cell r="Z3158">
            <v>251</v>
          </cell>
          <cell r="AA3158">
            <v>242</v>
          </cell>
          <cell r="AB3158">
            <v>212</v>
          </cell>
          <cell r="AC3158">
            <v>246</v>
          </cell>
          <cell r="AD3158">
            <v>256</v>
          </cell>
          <cell r="AE3158">
            <v>280</v>
          </cell>
          <cell r="AF3158">
            <v>321</v>
          </cell>
          <cell r="AG3158">
            <v>342</v>
          </cell>
          <cell r="AH3158">
            <v>412</v>
          </cell>
          <cell r="AI3158">
            <v>389</v>
          </cell>
          <cell r="AJ3158">
            <v>371</v>
          </cell>
        </row>
        <row r="3159">
          <cell r="E3159" t="str">
            <v>NY Commercial Wood and Waste</v>
          </cell>
          <cell r="F3159">
            <v>4366</v>
          </cell>
          <cell r="G3159">
            <v>4549</v>
          </cell>
          <cell r="H3159">
            <v>4787</v>
          </cell>
          <cell r="I3159">
            <v>7610</v>
          </cell>
          <cell r="J3159">
            <v>8174</v>
          </cell>
          <cell r="K3159">
            <v>10613</v>
          </cell>
          <cell r="L3159">
            <v>11026</v>
          </cell>
          <cell r="M3159">
            <v>17721</v>
          </cell>
          <cell r="N3159">
            <v>15853</v>
          </cell>
          <cell r="O3159">
            <v>16765</v>
          </cell>
          <cell r="P3159">
            <v>18091</v>
          </cell>
          <cell r="Q3159">
            <v>12183</v>
          </cell>
          <cell r="R3159">
            <v>12423</v>
          </cell>
          <cell r="S3159">
            <v>12773</v>
          </cell>
          <cell r="T3159">
            <v>12643</v>
          </cell>
          <cell r="U3159">
            <v>10670</v>
          </cell>
          <cell r="V3159">
            <v>10100</v>
          </cell>
          <cell r="W3159">
            <v>10511</v>
          </cell>
          <cell r="X3159">
            <v>10929</v>
          </cell>
          <cell r="Y3159">
            <v>5078</v>
          </cell>
          <cell r="Z3159">
            <v>5015</v>
          </cell>
          <cell r="AA3159">
            <v>4725</v>
          </cell>
          <cell r="AB3159">
            <v>7126</v>
          </cell>
          <cell r="AC3159">
            <v>7508</v>
          </cell>
          <cell r="AD3159">
            <v>7588</v>
          </cell>
          <cell r="AE3159">
            <v>10193</v>
          </cell>
          <cell r="AF3159">
            <v>10100</v>
          </cell>
          <cell r="AG3159">
            <v>10258</v>
          </cell>
          <cell r="AH3159">
            <v>10200</v>
          </cell>
          <cell r="AI3159">
            <v>9596</v>
          </cell>
          <cell r="AJ3159">
            <v>9516</v>
          </cell>
        </row>
        <row r="3160">
          <cell r="E3160" t="str">
            <v>OH Commercial Wood and Waste</v>
          </cell>
          <cell r="F3160">
            <v>3638</v>
          </cell>
          <cell r="G3160">
            <v>3560</v>
          </cell>
          <cell r="H3160">
            <v>3983</v>
          </cell>
          <cell r="I3160">
            <v>2553</v>
          </cell>
          <cell r="J3160">
            <v>2437</v>
          </cell>
          <cell r="K3160">
            <v>2458</v>
          </cell>
          <cell r="L3160">
            <v>2521</v>
          </cell>
          <cell r="M3160">
            <v>2622</v>
          </cell>
          <cell r="N3160">
            <v>2193</v>
          </cell>
          <cell r="O3160">
            <v>2190</v>
          </cell>
          <cell r="P3160">
            <v>2402</v>
          </cell>
          <cell r="Q3160">
            <v>2948</v>
          </cell>
          <cell r="R3160">
            <v>3517</v>
          </cell>
          <cell r="S3160">
            <v>3542</v>
          </cell>
          <cell r="T3160">
            <v>3477</v>
          </cell>
          <cell r="U3160">
            <v>3455</v>
          </cell>
          <cell r="V3160">
            <v>3119</v>
          </cell>
          <cell r="W3160">
            <v>4049</v>
          </cell>
          <cell r="X3160">
            <v>3495</v>
          </cell>
          <cell r="Y3160">
            <v>2999</v>
          </cell>
          <cell r="Z3160">
            <v>2961</v>
          </cell>
          <cell r="AA3160">
            <v>2850</v>
          </cell>
          <cell r="AB3160">
            <v>2496</v>
          </cell>
          <cell r="AC3160">
            <v>2893</v>
          </cell>
          <cell r="AD3160">
            <v>3119</v>
          </cell>
          <cell r="AE3160">
            <v>3506</v>
          </cell>
          <cell r="AF3160">
            <v>3459</v>
          </cell>
          <cell r="AG3160">
            <v>3430</v>
          </cell>
          <cell r="AH3160">
            <v>3363</v>
          </cell>
          <cell r="AI3160">
            <v>3175</v>
          </cell>
          <cell r="AJ3160">
            <v>3335</v>
          </cell>
        </row>
        <row r="3161">
          <cell r="E3161" t="str">
            <v>OK Commercial Wood and Waste</v>
          </cell>
          <cell r="F3161">
            <v>486</v>
          </cell>
          <cell r="G3161">
            <v>507</v>
          </cell>
          <cell r="H3161">
            <v>535</v>
          </cell>
          <cell r="I3161">
            <v>899</v>
          </cell>
          <cell r="J3161">
            <v>861</v>
          </cell>
          <cell r="K3161">
            <v>869</v>
          </cell>
          <cell r="L3161">
            <v>902</v>
          </cell>
          <cell r="M3161">
            <v>526</v>
          </cell>
          <cell r="N3161">
            <v>460</v>
          </cell>
          <cell r="O3161">
            <v>483</v>
          </cell>
          <cell r="P3161">
            <v>517</v>
          </cell>
          <cell r="Q3161">
            <v>504</v>
          </cell>
          <cell r="R3161">
            <v>516</v>
          </cell>
          <cell r="S3161">
            <v>537</v>
          </cell>
          <cell r="T3161">
            <v>525</v>
          </cell>
          <cell r="U3161">
            <v>509</v>
          </cell>
          <cell r="V3161">
            <v>473</v>
          </cell>
          <cell r="W3161">
            <v>502</v>
          </cell>
          <cell r="X3161">
            <v>530</v>
          </cell>
          <cell r="Y3161">
            <v>777</v>
          </cell>
          <cell r="Z3161">
            <v>767</v>
          </cell>
          <cell r="AA3161">
            <v>739</v>
          </cell>
          <cell r="AB3161">
            <v>647</v>
          </cell>
          <cell r="AC3161">
            <v>750</v>
          </cell>
          <cell r="AD3161">
            <v>781</v>
          </cell>
          <cell r="AE3161">
            <v>580</v>
          </cell>
          <cell r="AF3161">
            <v>538</v>
          </cell>
          <cell r="AG3161">
            <v>475</v>
          </cell>
          <cell r="AH3161">
            <v>629</v>
          </cell>
          <cell r="AI3161">
            <v>626</v>
          </cell>
          <cell r="AJ3161">
            <v>560</v>
          </cell>
        </row>
        <row r="3162">
          <cell r="E3162" t="str">
            <v>OR Commercial Wood and Waste</v>
          </cell>
          <cell r="F3162">
            <v>1982</v>
          </cell>
          <cell r="G3162">
            <v>2011</v>
          </cell>
          <cell r="H3162">
            <v>1733</v>
          </cell>
          <cell r="I3162">
            <v>2285</v>
          </cell>
          <cell r="J3162">
            <v>1345</v>
          </cell>
          <cell r="K3162">
            <v>1358</v>
          </cell>
          <cell r="L3162">
            <v>1410</v>
          </cell>
          <cell r="M3162">
            <v>1464</v>
          </cell>
          <cell r="N3162">
            <v>1279</v>
          </cell>
          <cell r="O3162">
            <v>1345</v>
          </cell>
          <cell r="P3162">
            <v>1439</v>
          </cell>
          <cell r="Q3162">
            <v>2475</v>
          </cell>
          <cell r="R3162">
            <v>2535</v>
          </cell>
          <cell r="S3162">
            <v>2639</v>
          </cell>
          <cell r="T3162">
            <v>2580</v>
          </cell>
          <cell r="U3162">
            <v>1590</v>
          </cell>
          <cell r="V3162">
            <v>1475</v>
          </cell>
          <cell r="W3162">
            <v>1704</v>
          </cell>
          <cell r="X3162">
            <v>1923</v>
          </cell>
          <cell r="Y3162">
            <v>2500</v>
          </cell>
          <cell r="Z3162">
            <v>2467</v>
          </cell>
          <cell r="AA3162">
            <v>2393</v>
          </cell>
          <cell r="AB3162">
            <v>2114</v>
          </cell>
          <cell r="AC3162">
            <v>2403</v>
          </cell>
          <cell r="AD3162">
            <v>2513</v>
          </cell>
          <cell r="AE3162">
            <v>3308</v>
          </cell>
          <cell r="AF3162">
            <v>4063</v>
          </cell>
          <cell r="AG3162">
            <v>4431</v>
          </cell>
          <cell r="AH3162">
            <v>3960</v>
          </cell>
          <cell r="AI3162">
            <v>4216</v>
          </cell>
          <cell r="AJ3162">
            <v>4462</v>
          </cell>
        </row>
        <row r="3163">
          <cell r="E3163" t="str">
            <v>PA Commercial Wood and Waste</v>
          </cell>
          <cell r="F3163">
            <v>2841</v>
          </cell>
          <cell r="G3163">
            <v>2966</v>
          </cell>
          <cell r="H3163">
            <v>6940</v>
          </cell>
          <cell r="I3163">
            <v>7282</v>
          </cell>
          <cell r="J3163">
            <v>6997</v>
          </cell>
          <cell r="K3163">
            <v>7133</v>
          </cell>
          <cell r="L3163">
            <v>7215</v>
          </cell>
          <cell r="M3163">
            <v>6079</v>
          </cell>
          <cell r="N3163">
            <v>5858</v>
          </cell>
          <cell r="O3163">
            <v>5921</v>
          </cell>
          <cell r="P3163">
            <v>6059</v>
          </cell>
          <cell r="Q3163">
            <v>4416</v>
          </cell>
          <cell r="R3163">
            <v>4502</v>
          </cell>
          <cell r="S3163">
            <v>4713</v>
          </cell>
          <cell r="T3163">
            <v>4404</v>
          </cell>
          <cell r="U3163">
            <v>4649</v>
          </cell>
          <cell r="V3163">
            <v>4360</v>
          </cell>
          <cell r="W3163">
            <v>4526</v>
          </cell>
          <cell r="X3163">
            <v>4661</v>
          </cell>
          <cell r="Y3163">
            <v>5471</v>
          </cell>
          <cell r="Z3163">
            <v>5473</v>
          </cell>
          <cell r="AA3163">
            <v>5293</v>
          </cell>
          <cell r="AB3163">
            <v>5015</v>
          </cell>
          <cell r="AC3163">
            <v>5384</v>
          </cell>
          <cell r="AD3163">
            <v>5920</v>
          </cell>
          <cell r="AE3163">
            <v>7539</v>
          </cell>
          <cell r="AF3163">
            <v>7306</v>
          </cell>
          <cell r="AG3163">
            <v>7511</v>
          </cell>
          <cell r="AH3163">
            <v>7505</v>
          </cell>
          <cell r="AI3163">
            <v>6975</v>
          </cell>
          <cell r="AJ3163">
            <v>7261</v>
          </cell>
        </row>
        <row r="3164">
          <cell r="E3164" t="str">
            <v>RI Commercial Wood and Waste</v>
          </cell>
          <cell r="F3164">
            <v>331</v>
          </cell>
          <cell r="G3164">
            <v>346</v>
          </cell>
          <cell r="H3164">
            <v>365</v>
          </cell>
          <cell r="I3164">
            <v>466</v>
          </cell>
          <cell r="J3164">
            <v>446</v>
          </cell>
          <cell r="K3164">
            <v>450</v>
          </cell>
          <cell r="L3164">
            <v>468</v>
          </cell>
          <cell r="M3164">
            <v>407</v>
          </cell>
          <cell r="N3164">
            <v>356</v>
          </cell>
          <cell r="O3164">
            <v>374</v>
          </cell>
          <cell r="P3164">
            <v>400</v>
          </cell>
          <cell r="Q3164">
            <v>339</v>
          </cell>
          <cell r="R3164">
            <v>347</v>
          </cell>
          <cell r="S3164">
            <v>361</v>
          </cell>
          <cell r="T3164">
            <v>353</v>
          </cell>
          <cell r="U3164">
            <v>97</v>
          </cell>
          <cell r="V3164">
            <v>90</v>
          </cell>
          <cell r="W3164">
            <v>96</v>
          </cell>
          <cell r="X3164">
            <v>101</v>
          </cell>
          <cell r="Y3164">
            <v>198</v>
          </cell>
          <cell r="Z3164">
            <v>195</v>
          </cell>
          <cell r="AA3164">
            <v>188</v>
          </cell>
          <cell r="AB3164">
            <v>165</v>
          </cell>
          <cell r="AC3164">
            <v>191</v>
          </cell>
          <cell r="AD3164">
            <v>199</v>
          </cell>
          <cell r="AE3164">
            <v>268</v>
          </cell>
          <cell r="AF3164">
            <v>247</v>
          </cell>
          <cell r="AG3164">
            <v>247</v>
          </cell>
          <cell r="AH3164">
            <v>187</v>
          </cell>
          <cell r="AI3164">
            <v>252</v>
          </cell>
          <cell r="AJ3164">
            <v>230</v>
          </cell>
        </row>
        <row r="3165">
          <cell r="E3165" t="str">
            <v>SC Commercial Wood and Waste</v>
          </cell>
          <cell r="F3165">
            <v>2819</v>
          </cell>
          <cell r="G3165">
            <v>3017</v>
          </cell>
          <cell r="H3165">
            <v>3049</v>
          </cell>
          <cell r="I3165">
            <v>3596</v>
          </cell>
          <cell r="J3165">
            <v>3456</v>
          </cell>
          <cell r="K3165">
            <v>3550</v>
          </cell>
          <cell r="L3165">
            <v>3601</v>
          </cell>
          <cell r="M3165">
            <v>3450</v>
          </cell>
          <cell r="N3165">
            <v>3449</v>
          </cell>
          <cell r="O3165">
            <v>3504</v>
          </cell>
          <cell r="P3165">
            <v>3468</v>
          </cell>
          <cell r="Q3165">
            <v>2077</v>
          </cell>
          <cell r="R3165">
            <v>865</v>
          </cell>
          <cell r="S3165">
            <v>2180</v>
          </cell>
          <cell r="T3165">
            <v>2110</v>
          </cell>
          <cell r="U3165">
            <v>1885</v>
          </cell>
          <cell r="V3165">
            <v>1837</v>
          </cell>
          <cell r="W3165">
            <v>1833</v>
          </cell>
          <cell r="X3165">
            <v>1780</v>
          </cell>
          <cell r="Y3165">
            <v>1443</v>
          </cell>
          <cell r="Z3165">
            <v>546</v>
          </cell>
          <cell r="AA3165">
            <v>526</v>
          </cell>
          <cell r="AB3165">
            <v>460</v>
          </cell>
          <cell r="AC3165">
            <v>534</v>
          </cell>
          <cell r="AD3165">
            <v>556</v>
          </cell>
          <cell r="AE3165">
            <v>271</v>
          </cell>
          <cell r="AF3165">
            <v>283</v>
          </cell>
          <cell r="AG3165">
            <v>239</v>
          </cell>
          <cell r="AH3165">
            <v>260</v>
          </cell>
          <cell r="AI3165">
            <v>237</v>
          </cell>
          <cell r="AJ3165">
            <v>251</v>
          </cell>
        </row>
        <row r="3166">
          <cell r="E3166" t="str">
            <v>SD Commercial Wood and Waste</v>
          </cell>
          <cell r="F3166">
            <v>194</v>
          </cell>
          <cell r="G3166">
            <v>203</v>
          </cell>
          <cell r="H3166">
            <v>214</v>
          </cell>
          <cell r="I3166">
            <v>222</v>
          </cell>
          <cell r="J3166">
            <v>212</v>
          </cell>
          <cell r="K3166">
            <v>214</v>
          </cell>
          <cell r="L3166">
            <v>223</v>
          </cell>
          <cell r="M3166">
            <v>215</v>
          </cell>
          <cell r="N3166">
            <v>187</v>
          </cell>
          <cell r="O3166">
            <v>197</v>
          </cell>
          <cell r="P3166">
            <v>211</v>
          </cell>
          <cell r="Q3166">
            <v>220</v>
          </cell>
          <cell r="R3166">
            <v>225</v>
          </cell>
          <cell r="S3166">
            <v>234</v>
          </cell>
          <cell r="T3166">
            <v>229</v>
          </cell>
          <cell r="U3166">
            <v>186</v>
          </cell>
          <cell r="V3166">
            <v>173</v>
          </cell>
          <cell r="W3166">
            <v>183</v>
          </cell>
          <cell r="X3166">
            <v>193</v>
          </cell>
          <cell r="Y3166">
            <v>236</v>
          </cell>
          <cell r="Z3166">
            <v>233</v>
          </cell>
          <cell r="AA3166">
            <v>224</v>
          </cell>
          <cell r="AB3166">
            <v>196</v>
          </cell>
          <cell r="AC3166">
            <v>228</v>
          </cell>
          <cell r="AD3166">
            <v>237</v>
          </cell>
          <cell r="AE3166">
            <v>296</v>
          </cell>
          <cell r="AF3166">
            <v>289</v>
          </cell>
          <cell r="AG3166">
            <v>282</v>
          </cell>
          <cell r="AH3166">
            <v>378</v>
          </cell>
          <cell r="AI3166">
            <v>314</v>
          </cell>
          <cell r="AJ3166">
            <v>297</v>
          </cell>
        </row>
        <row r="3167">
          <cell r="E3167" t="str">
            <v>TN Commercial Wood and Waste</v>
          </cell>
          <cell r="F3167">
            <v>4870</v>
          </cell>
          <cell r="G3167">
            <v>4995</v>
          </cell>
          <cell r="H3167">
            <v>5212</v>
          </cell>
          <cell r="I3167">
            <v>5057</v>
          </cell>
          <cell r="J3167">
            <v>4838</v>
          </cell>
          <cell r="K3167">
            <v>4723</v>
          </cell>
          <cell r="L3167">
            <v>5079</v>
          </cell>
          <cell r="M3167">
            <v>5111</v>
          </cell>
          <cell r="N3167">
            <v>4027</v>
          </cell>
          <cell r="O3167">
            <v>3997</v>
          </cell>
          <cell r="P3167">
            <v>3853</v>
          </cell>
          <cell r="Q3167">
            <v>2470</v>
          </cell>
          <cell r="R3167">
            <v>1590</v>
          </cell>
          <cell r="S3167">
            <v>1243</v>
          </cell>
          <cell r="T3167">
            <v>1215</v>
          </cell>
          <cell r="U3167">
            <v>1844</v>
          </cell>
          <cell r="V3167">
            <v>1711</v>
          </cell>
          <cell r="W3167">
            <v>1817</v>
          </cell>
          <cell r="X3167">
            <v>1917</v>
          </cell>
          <cell r="Y3167">
            <v>1083</v>
          </cell>
          <cell r="Z3167">
            <v>1069</v>
          </cell>
          <cell r="AA3167">
            <v>1029</v>
          </cell>
          <cell r="AB3167">
            <v>901</v>
          </cell>
          <cell r="AC3167">
            <v>1045</v>
          </cell>
          <cell r="AD3167">
            <v>1088</v>
          </cell>
          <cell r="AE3167">
            <v>1122</v>
          </cell>
          <cell r="AF3167">
            <v>1206</v>
          </cell>
          <cell r="AG3167">
            <v>993</v>
          </cell>
          <cell r="AH3167">
            <v>1075</v>
          </cell>
          <cell r="AI3167">
            <v>1083</v>
          </cell>
          <cell r="AJ3167">
            <v>1055</v>
          </cell>
        </row>
        <row r="3168">
          <cell r="E3168" t="str">
            <v>TX Commercial Wood and Waste</v>
          </cell>
          <cell r="F3168">
            <v>2465</v>
          </cell>
          <cell r="G3168">
            <v>2571</v>
          </cell>
          <cell r="H3168">
            <v>2709</v>
          </cell>
          <cell r="I3168">
            <v>2038</v>
          </cell>
          <cell r="J3168">
            <v>1968</v>
          </cell>
          <cell r="K3168">
            <v>1930</v>
          </cell>
          <cell r="L3168">
            <v>2069</v>
          </cell>
          <cell r="M3168">
            <v>1900</v>
          </cell>
          <cell r="N3168">
            <v>1701</v>
          </cell>
          <cell r="O3168">
            <v>1794</v>
          </cell>
          <cell r="P3168">
            <v>1918</v>
          </cell>
          <cell r="Q3168">
            <v>2166</v>
          </cell>
          <cell r="R3168">
            <v>2266</v>
          </cell>
          <cell r="S3168">
            <v>2781</v>
          </cell>
          <cell r="T3168">
            <v>2543</v>
          </cell>
          <cell r="U3168">
            <v>3322</v>
          </cell>
          <cell r="V3168">
            <v>3179</v>
          </cell>
          <cell r="W3168">
            <v>3399</v>
          </cell>
          <cell r="X3168">
            <v>3540</v>
          </cell>
          <cell r="Y3168">
            <v>2198</v>
          </cell>
          <cell r="Z3168">
            <v>2244</v>
          </cell>
          <cell r="AA3168">
            <v>2104</v>
          </cell>
          <cell r="AB3168">
            <v>1876</v>
          </cell>
          <cell r="AC3168">
            <v>2241</v>
          </cell>
          <cell r="AD3168">
            <v>2322</v>
          </cell>
          <cell r="AE3168">
            <v>968</v>
          </cell>
          <cell r="AF3168">
            <v>851</v>
          </cell>
          <cell r="AG3168">
            <v>780</v>
          </cell>
          <cell r="AH3168">
            <v>807</v>
          </cell>
          <cell r="AI3168">
            <v>517</v>
          </cell>
          <cell r="AJ3168">
            <v>348</v>
          </cell>
        </row>
        <row r="3169">
          <cell r="E3169" t="str">
            <v>US Commercial Wood and Waste</v>
          </cell>
          <cell r="F3169">
            <v>93503</v>
          </cell>
          <cell r="G3169">
            <v>94924</v>
          </cell>
          <cell r="H3169">
            <v>104478</v>
          </cell>
          <cell r="I3169">
            <v>108987</v>
          </cell>
          <cell r="J3169">
            <v>106237</v>
          </cell>
          <cell r="K3169">
            <v>112578</v>
          </cell>
          <cell r="L3169">
            <v>128696</v>
          </cell>
          <cell r="M3169">
            <v>130996</v>
          </cell>
          <cell r="N3169">
            <v>118174</v>
          </cell>
          <cell r="O3169">
            <v>120538</v>
          </cell>
          <cell r="P3169">
            <v>118724</v>
          </cell>
          <cell r="Q3169">
            <v>91332</v>
          </cell>
          <cell r="R3169">
            <v>94538</v>
          </cell>
          <cell r="S3169">
            <v>100462</v>
          </cell>
          <cell r="T3169">
            <v>104565</v>
          </cell>
          <cell r="U3169">
            <v>104244</v>
          </cell>
          <cell r="V3169">
            <v>101415</v>
          </cell>
          <cell r="W3169">
            <v>100756</v>
          </cell>
          <cell r="X3169">
            <v>107117</v>
          </cell>
          <cell r="Y3169">
            <v>108950</v>
          </cell>
          <cell r="Z3169">
            <v>107576</v>
          </cell>
          <cell r="AA3169">
            <v>111702</v>
          </cell>
          <cell r="AB3169">
            <v>105930</v>
          </cell>
          <cell r="AC3169">
            <v>117241</v>
          </cell>
          <cell r="AD3169">
            <v>123252</v>
          </cell>
          <cell r="AE3169">
            <v>126317</v>
          </cell>
          <cell r="AF3169">
            <v>131871</v>
          </cell>
          <cell r="AG3169">
            <v>131236</v>
          </cell>
          <cell r="AH3169">
            <v>130997</v>
          </cell>
          <cell r="AI3169">
            <v>123339</v>
          </cell>
          <cell r="AJ3169">
            <v>120804</v>
          </cell>
        </row>
        <row r="3170">
          <cell r="E3170" t="str">
            <v>UT Commercial Wood and Waste</v>
          </cell>
          <cell r="F3170">
            <v>324</v>
          </cell>
          <cell r="G3170">
            <v>338</v>
          </cell>
          <cell r="H3170">
            <v>357</v>
          </cell>
          <cell r="I3170">
            <v>424</v>
          </cell>
          <cell r="J3170">
            <v>406</v>
          </cell>
          <cell r="K3170">
            <v>410</v>
          </cell>
          <cell r="L3170">
            <v>426</v>
          </cell>
          <cell r="M3170">
            <v>592</v>
          </cell>
          <cell r="N3170">
            <v>517</v>
          </cell>
          <cell r="O3170">
            <v>543</v>
          </cell>
          <cell r="P3170">
            <v>581</v>
          </cell>
          <cell r="Q3170">
            <v>350</v>
          </cell>
          <cell r="R3170">
            <v>358</v>
          </cell>
          <cell r="S3170">
            <v>373</v>
          </cell>
          <cell r="T3170">
            <v>365</v>
          </cell>
          <cell r="U3170">
            <v>309</v>
          </cell>
          <cell r="V3170">
            <v>380</v>
          </cell>
          <cell r="W3170">
            <v>445</v>
          </cell>
          <cell r="X3170">
            <v>322</v>
          </cell>
          <cell r="Y3170">
            <v>147</v>
          </cell>
          <cell r="Z3170">
            <v>145</v>
          </cell>
          <cell r="AA3170">
            <v>140</v>
          </cell>
          <cell r="AB3170">
            <v>123</v>
          </cell>
          <cell r="AC3170">
            <v>142</v>
          </cell>
          <cell r="AD3170">
            <v>148</v>
          </cell>
          <cell r="AE3170">
            <v>625</v>
          </cell>
          <cell r="AF3170">
            <v>736</v>
          </cell>
          <cell r="AG3170">
            <v>686</v>
          </cell>
          <cell r="AH3170">
            <v>774</v>
          </cell>
          <cell r="AI3170">
            <v>704</v>
          </cell>
          <cell r="AJ3170">
            <v>782</v>
          </cell>
        </row>
        <row r="3171">
          <cell r="E3171" t="str">
            <v>VA Commercial Wood and Waste</v>
          </cell>
          <cell r="F3171">
            <v>7298</v>
          </cell>
          <cell r="G3171">
            <v>4413</v>
          </cell>
          <cell r="H3171">
            <v>4731</v>
          </cell>
          <cell r="I3171">
            <v>5306</v>
          </cell>
          <cell r="J3171">
            <v>5185</v>
          </cell>
          <cell r="K3171">
            <v>5433</v>
          </cell>
          <cell r="L3171">
            <v>9121</v>
          </cell>
          <cell r="M3171">
            <v>9466</v>
          </cell>
          <cell r="N3171">
            <v>9747</v>
          </cell>
          <cell r="O3171">
            <v>9275</v>
          </cell>
          <cell r="P3171">
            <v>10078</v>
          </cell>
          <cell r="Q3171">
            <v>6153</v>
          </cell>
          <cell r="R3171">
            <v>5396</v>
          </cell>
          <cell r="S3171">
            <v>6413</v>
          </cell>
          <cell r="T3171">
            <v>7229</v>
          </cell>
          <cell r="U3171">
            <v>8465</v>
          </cell>
          <cell r="V3171">
            <v>8173</v>
          </cell>
          <cell r="W3171">
            <v>7601</v>
          </cell>
          <cell r="X3171">
            <v>7539</v>
          </cell>
          <cell r="Y3171">
            <v>6936</v>
          </cell>
          <cell r="Z3171">
            <v>7078</v>
          </cell>
          <cell r="AA3171">
            <v>6610</v>
          </cell>
          <cell r="AB3171">
            <v>6894</v>
          </cell>
          <cell r="AC3171">
            <v>7413</v>
          </cell>
          <cell r="AD3171">
            <v>7436</v>
          </cell>
          <cell r="AE3171">
            <v>7163</v>
          </cell>
          <cell r="AF3171">
            <v>7401</v>
          </cell>
          <cell r="AG3171">
            <v>7173</v>
          </cell>
          <cell r="AH3171">
            <v>6780</v>
          </cell>
          <cell r="AI3171">
            <v>5849</v>
          </cell>
          <cell r="AJ3171">
            <v>6165</v>
          </cell>
        </row>
        <row r="3172">
          <cell r="E3172" t="str">
            <v>VT Commercial Wood and Waste</v>
          </cell>
          <cell r="F3172">
            <v>217</v>
          </cell>
          <cell r="G3172">
            <v>226</v>
          </cell>
          <cell r="H3172">
            <v>239</v>
          </cell>
          <cell r="I3172">
            <v>307</v>
          </cell>
          <cell r="J3172">
            <v>294</v>
          </cell>
          <cell r="K3172">
            <v>297</v>
          </cell>
          <cell r="L3172">
            <v>309</v>
          </cell>
          <cell r="M3172">
            <v>273</v>
          </cell>
          <cell r="N3172">
            <v>238</v>
          </cell>
          <cell r="O3172">
            <v>250</v>
          </cell>
          <cell r="P3172">
            <v>268</v>
          </cell>
          <cell r="Q3172">
            <v>228</v>
          </cell>
          <cell r="R3172">
            <v>234</v>
          </cell>
          <cell r="S3172">
            <v>243</v>
          </cell>
          <cell r="T3172">
            <v>238</v>
          </cell>
          <cell r="U3172">
            <v>628</v>
          </cell>
          <cell r="V3172">
            <v>583</v>
          </cell>
          <cell r="W3172">
            <v>619</v>
          </cell>
          <cell r="X3172">
            <v>653</v>
          </cell>
          <cell r="Y3172">
            <v>1207</v>
          </cell>
          <cell r="Z3172">
            <v>1191</v>
          </cell>
          <cell r="AA3172">
            <v>1306</v>
          </cell>
          <cell r="AB3172">
            <v>1195</v>
          </cell>
          <cell r="AC3172">
            <v>1359</v>
          </cell>
          <cell r="AD3172">
            <v>1424</v>
          </cell>
          <cell r="AE3172">
            <v>2347</v>
          </cell>
          <cell r="AF3172">
            <v>2345</v>
          </cell>
          <cell r="AG3172">
            <v>2429</v>
          </cell>
          <cell r="AH3172">
            <v>2513</v>
          </cell>
          <cell r="AI3172">
            <v>2281</v>
          </cell>
          <cell r="AJ3172">
            <v>2283</v>
          </cell>
        </row>
        <row r="3173">
          <cell r="E3173" t="str">
            <v>WA Commercial Wood and Waste</v>
          </cell>
          <cell r="F3173">
            <v>1453</v>
          </cell>
          <cell r="G3173">
            <v>1517</v>
          </cell>
          <cell r="H3173">
            <v>1600</v>
          </cell>
          <cell r="I3173">
            <v>2421</v>
          </cell>
          <cell r="J3173">
            <v>2318</v>
          </cell>
          <cell r="K3173">
            <v>2340</v>
          </cell>
          <cell r="L3173">
            <v>2431</v>
          </cell>
          <cell r="M3173">
            <v>2504</v>
          </cell>
          <cell r="N3173">
            <v>2187</v>
          </cell>
          <cell r="O3173">
            <v>2300</v>
          </cell>
          <cell r="P3173">
            <v>2461</v>
          </cell>
          <cell r="Q3173">
            <v>4186</v>
          </cell>
          <cell r="R3173">
            <v>4287</v>
          </cell>
          <cell r="S3173">
            <v>4463</v>
          </cell>
          <cell r="T3173">
            <v>4363</v>
          </cell>
          <cell r="U3173">
            <v>1820</v>
          </cell>
          <cell r="V3173">
            <v>1689</v>
          </cell>
          <cell r="W3173">
            <v>1794</v>
          </cell>
          <cell r="X3173">
            <v>1893</v>
          </cell>
          <cell r="Y3173">
            <v>2478</v>
          </cell>
          <cell r="Z3173">
            <v>2447</v>
          </cell>
          <cell r="AA3173">
            <v>2355</v>
          </cell>
          <cell r="AB3173">
            <v>2065</v>
          </cell>
          <cell r="AC3173">
            <v>2451</v>
          </cell>
          <cell r="AD3173">
            <v>2661</v>
          </cell>
          <cell r="AE3173">
            <v>3537</v>
          </cell>
          <cell r="AF3173">
            <v>4630</v>
          </cell>
          <cell r="AG3173">
            <v>4880</v>
          </cell>
          <cell r="AH3173">
            <v>4323</v>
          </cell>
          <cell r="AI3173">
            <v>4737</v>
          </cell>
          <cell r="AJ3173">
            <v>4659</v>
          </cell>
        </row>
        <row r="3174">
          <cell r="E3174" t="str">
            <v>WI Commercial Wood and Waste</v>
          </cell>
          <cell r="F3174">
            <v>1904</v>
          </cell>
          <cell r="G3174">
            <v>1947</v>
          </cell>
          <cell r="H3174">
            <v>2066</v>
          </cell>
          <cell r="I3174">
            <v>1393</v>
          </cell>
          <cell r="J3174">
            <v>1261</v>
          </cell>
          <cell r="K3174">
            <v>1261</v>
          </cell>
          <cell r="L3174">
            <v>1677</v>
          </cell>
          <cell r="M3174">
            <v>1350</v>
          </cell>
          <cell r="N3174">
            <v>1238</v>
          </cell>
          <cell r="O3174">
            <v>1050</v>
          </cell>
          <cell r="P3174">
            <v>1525</v>
          </cell>
          <cell r="Q3174">
            <v>1654</v>
          </cell>
          <cell r="R3174">
            <v>1629</v>
          </cell>
          <cell r="S3174">
            <v>1634</v>
          </cell>
          <cell r="T3174">
            <v>1768</v>
          </cell>
          <cell r="U3174">
            <v>4365</v>
          </cell>
          <cell r="V3174">
            <v>4020</v>
          </cell>
          <cell r="W3174">
            <v>4400</v>
          </cell>
          <cell r="X3174">
            <v>4595</v>
          </cell>
          <cell r="Y3174">
            <v>3321</v>
          </cell>
          <cell r="Z3174">
            <v>3315</v>
          </cell>
          <cell r="AA3174">
            <v>2940</v>
          </cell>
          <cell r="AB3174">
            <v>2600</v>
          </cell>
          <cell r="AC3174">
            <v>3174</v>
          </cell>
          <cell r="AD3174">
            <v>3322</v>
          </cell>
          <cell r="AE3174">
            <v>4681</v>
          </cell>
          <cell r="AF3174">
            <v>4878</v>
          </cell>
          <cell r="AG3174">
            <v>5087</v>
          </cell>
          <cell r="AH3174">
            <v>4989</v>
          </cell>
          <cell r="AI3174">
            <v>4773</v>
          </cell>
          <cell r="AJ3174">
            <v>4892</v>
          </cell>
        </row>
        <row r="3175">
          <cell r="E3175" t="str">
            <v>WV Commercial Wood and Waste</v>
          </cell>
          <cell r="F3175">
            <v>354</v>
          </cell>
          <cell r="G3175">
            <v>370</v>
          </cell>
          <cell r="H3175">
            <v>390</v>
          </cell>
          <cell r="I3175">
            <v>659</v>
          </cell>
          <cell r="J3175">
            <v>631</v>
          </cell>
          <cell r="K3175">
            <v>637</v>
          </cell>
          <cell r="L3175">
            <v>661</v>
          </cell>
          <cell r="M3175">
            <v>585</v>
          </cell>
          <cell r="N3175">
            <v>511</v>
          </cell>
          <cell r="O3175">
            <v>537</v>
          </cell>
          <cell r="P3175">
            <v>575</v>
          </cell>
          <cell r="Q3175">
            <v>399</v>
          </cell>
          <cell r="R3175">
            <v>409</v>
          </cell>
          <cell r="S3175">
            <v>426</v>
          </cell>
          <cell r="T3175">
            <v>416</v>
          </cell>
          <cell r="U3175">
            <v>1493</v>
          </cell>
          <cell r="V3175">
            <v>1385</v>
          </cell>
          <cell r="W3175">
            <v>1471</v>
          </cell>
          <cell r="X3175">
            <v>1552</v>
          </cell>
          <cell r="Y3175">
            <v>2530</v>
          </cell>
          <cell r="Z3175">
            <v>2498</v>
          </cell>
          <cell r="AA3175">
            <v>2404</v>
          </cell>
          <cell r="AB3175">
            <v>2106</v>
          </cell>
          <cell r="AC3175">
            <v>2441</v>
          </cell>
          <cell r="AD3175">
            <v>2543</v>
          </cell>
          <cell r="AE3175">
            <v>1392</v>
          </cell>
          <cell r="AF3175">
            <v>1511</v>
          </cell>
          <cell r="AG3175">
            <v>1505</v>
          </cell>
          <cell r="AH3175">
            <v>1458</v>
          </cell>
          <cell r="AI3175">
            <v>1378</v>
          </cell>
          <cell r="AJ3175">
            <v>1431</v>
          </cell>
        </row>
        <row r="3176">
          <cell r="E3176" t="str">
            <v>WY Commercial Wood and Waste</v>
          </cell>
          <cell r="F3176">
            <v>110</v>
          </cell>
          <cell r="G3176">
            <v>115</v>
          </cell>
          <cell r="H3176">
            <v>121</v>
          </cell>
          <cell r="I3176">
            <v>137</v>
          </cell>
          <cell r="J3176">
            <v>131</v>
          </cell>
          <cell r="K3176">
            <v>132</v>
          </cell>
          <cell r="L3176">
            <v>137</v>
          </cell>
          <cell r="M3176">
            <v>176</v>
          </cell>
          <cell r="N3176">
            <v>154</v>
          </cell>
          <cell r="O3176">
            <v>162</v>
          </cell>
          <cell r="P3176">
            <v>173</v>
          </cell>
          <cell r="Q3176">
            <v>100</v>
          </cell>
          <cell r="R3176">
            <v>102</v>
          </cell>
          <cell r="S3176">
            <v>107</v>
          </cell>
          <cell r="T3176">
            <v>104</v>
          </cell>
          <cell r="U3176">
            <v>312</v>
          </cell>
          <cell r="V3176">
            <v>290</v>
          </cell>
          <cell r="W3176">
            <v>308</v>
          </cell>
          <cell r="X3176">
            <v>325</v>
          </cell>
          <cell r="Y3176">
            <v>159</v>
          </cell>
          <cell r="Z3176">
            <v>157</v>
          </cell>
          <cell r="AA3176">
            <v>151</v>
          </cell>
          <cell r="AB3176">
            <v>133</v>
          </cell>
          <cell r="AC3176">
            <v>154</v>
          </cell>
          <cell r="AD3176">
            <v>160</v>
          </cell>
          <cell r="AE3176">
            <v>612</v>
          </cell>
          <cell r="AF3176">
            <v>638</v>
          </cell>
          <cell r="AG3176">
            <v>769</v>
          </cell>
          <cell r="AH3176">
            <v>632</v>
          </cell>
          <cell r="AI3176">
            <v>616</v>
          </cell>
          <cell r="AJ3176">
            <v>708</v>
          </cell>
        </row>
        <row r="3177">
          <cell r="E3177" t="str">
            <v>AK Electric Power Wood and Waste</v>
          </cell>
          <cell r="F3177">
            <v>0</v>
          </cell>
          <cell r="G3177">
            <v>0</v>
          </cell>
          <cell r="H3177">
            <v>0</v>
          </cell>
          <cell r="I3177">
            <v>0</v>
          </cell>
          <cell r="J3177">
            <v>0</v>
          </cell>
          <cell r="K3177">
            <v>0</v>
          </cell>
          <cell r="L3177">
            <v>0</v>
          </cell>
          <cell r="M3177">
            <v>0</v>
          </cell>
          <cell r="N3177">
            <v>22</v>
          </cell>
          <cell r="O3177">
            <v>0</v>
          </cell>
          <cell r="P3177">
            <v>0</v>
          </cell>
          <cell r="Q3177">
            <v>0</v>
          </cell>
          <cell r="R3177">
            <v>36</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row>
        <row r="3178">
          <cell r="E3178" t="str">
            <v>AL Electric Power Wood and Waste</v>
          </cell>
          <cell r="F3178">
            <v>26014</v>
          </cell>
          <cell r="G3178">
            <v>25904</v>
          </cell>
          <cell r="H3178">
            <v>24696</v>
          </cell>
          <cell r="I3178">
            <v>24569</v>
          </cell>
          <cell r="J3178">
            <v>23161</v>
          </cell>
          <cell r="K3178">
            <v>20558</v>
          </cell>
          <cell r="L3178">
            <v>20071</v>
          </cell>
          <cell r="M3178">
            <v>18537</v>
          </cell>
          <cell r="N3178">
            <v>18181</v>
          </cell>
          <cell r="O3178">
            <v>12184</v>
          </cell>
          <cell r="P3178">
            <v>3264</v>
          </cell>
          <cell r="Q3178">
            <v>3529</v>
          </cell>
          <cell r="R3178">
            <v>3103</v>
          </cell>
          <cell r="S3178">
            <v>3033</v>
          </cell>
          <cell r="T3178">
            <v>3211</v>
          </cell>
          <cell r="U3178">
            <v>3371</v>
          </cell>
          <cell r="V3178">
            <v>3654</v>
          </cell>
          <cell r="W3178">
            <v>3665</v>
          </cell>
          <cell r="X3178">
            <v>3588</v>
          </cell>
          <cell r="Y3178">
            <v>4870</v>
          </cell>
          <cell r="Z3178">
            <v>5215</v>
          </cell>
          <cell r="AA3178">
            <v>4603</v>
          </cell>
          <cell r="AB3178">
            <v>3890</v>
          </cell>
          <cell r="AC3178">
            <v>4098</v>
          </cell>
          <cell r="AD3178">
            <v>5041</v>
          </cell>
          <cell r="AE3178">
            <v>4550</v>
          </cell>
          <cell r="AF3178">
            <v>4810</v>
          </cell>
          <cell r="AG3178">
            <v>4711</v>
          </cell>
          <cell r="AH3178">
            <v>3384</v>
          </cell>
          <cell r="AI3178">
            <v>523</v>
          </cell>
          <cell r="AJ3178">
            <v>498</v>
          </cell>
        </row>
        <row r="3179">
          <cell r="E3179" t="str">
            <v>AR Electric Power Wood and Waste</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7075</v>
          </cell>
          <cell r="T3179">
            <v>2423</v>
          </cell>
          <cell r="U3179">
            <v>2111</v>
          </cell>
          <cell r="V3179">
            <v>798</v>
          </cell>
          <cell r="W3179">
            <v>1744</v>
          </cell>
          <cell r="X3179">
            <v>1904</v>
          </cell>
          <cell r="Y3179">
            <v>550</v>
          </cell>
          <cell r="Z3179">
            <v>1088</v>
          </cell>
          <cell r="AA3179">
            <v>1323</v>
          </cell>
          <cell r="AB3179">
            <v>1313</v>
          </cell>
          <cell r="AC3179">
            <v>1381</v>
          </cell>
          <cell r="AD3179">
            <v>2640</v>
          </cell>
          <cell r="AE3179">
            <v>2670</v>
          </cell>
          <cell r="AF3179">
            <v>3978</v>
          </cell>
          <cell r="AG3179">
            <v>3261</v>
          </cell>
          <cell r="AH3179">
            <v>2895</v>
          </cell>
          <cell r="AI3179">
            <v>2761</v>
          </cell>
          <cell r="AJ3179">
            <v>2373</v>
          </cell>
        </row>
        <row r="3180">
          <cell r="E3180" t="str">
            <v>AZ Electric Power Wood and Waste</v>
          </cell>
          <cell r="F3180">
            <v>0</v>
          </cell>
          <cell r="G3180">
            <v>0</v>
          </cell>
          <cell r="H3180">
            <v>0</v>
          </cell>
          <cell r="I3180">
            <v>0</v>
          </cell>
          <cell r="J3180">
            <v>0</v>
          </cell>
          <cell r="K3180">
            <v>0</v>
          </cell>
          <cell r="L3180">
            <v>0</v>
          </cell>
          <cell r="M3180">
            <v>0</v>
          </cell>
          <cell r="N3180">
            <v>0</v>
          </cell>
          <cell r="O3180">
            <v>0</v>
          </cell>
          <cell r="P3180">
            <v>0</v>
          </cell>
          <cell r="Q3180">
            <v>341</v>
          </cell>
          <cell r="R3180">
            <v>381</v>
          </cell>
          <cell r="S3180">
            <v>327</v>
          </cell>
          <cell r="T3180">
            <v>361</v>
          </cell>
          <cell r="U3180">
            <v>644</v>
          </cell>
          <cell r="V3180">
            <v>524</v>
          </cell>
          <cell r="W3180">
            <v>214</v>
          </cell>
          <cell r="X3180">
            <v>1700</v>
          </cell>
          <cell r="Y3180">
            <v>1745</v>
          </cell>
          <cell r="Z3180">
            <v>2034</v>
          </cell>
          <cell r="AA3180">
            <v>2374</v>
          </cell>
          <cell r="AB3180">
            <v>2794</v>
          </cell>
          <cell r="AC3180">
            <v>2455</v>
          </cell>
          <cell r="AD3180">
            <v>3604</v>
          </cell>
          <cell r="AE3180">
            <v>3908</v>
          </cell>
          <cell r="AF3180">
            <v>3870</v>
          </cell>
          <cell r="AG3180">
            <v>3078</v>
          </cell>
          <cell r="AH3180">
            <v>3499</v>
          </cell>
          <cell r="AI3180">
            <v>3802</v>
          </cell>
          <cell r="AJ3180">
            <v>3563</v>
          </cell>
        </row>
        <row r="3181">
          <cell r="E3181" t="str">
            <v>CA Electric Power Wood and Waste</v>
          </cell>
          <cell r="F3181">
            <v>71541</v>
          </cell>
          <cell r="G3181">
            <v>70025</v>
          </cell>
          <cell r="H3181">
            <v>78994</v>
          </cell>
          <cell r="I3181">
            <v>76560</v>
          </cell>
          <cell r="J3181">
            <v>82057</v>
          </cell>
          <cell r="K3181">
            <v>62599</v>
          </cell>
          <cell r="L3181">
            <v>61973</v>
          </cell>
          <cell r="M3181">
            <v>61676</v>
          </cell>
          <cell r="N3181">
            <v>64305</v>
          </cell>
          <cell r="O3181">
            <v>69624</v>
          </cell>
          <cell r="P3181">
            <v>69416</v>
          </cell>
          <cell r="Q3181">
            <v>60668</v>
          </cell>
          <cell r="R3181">
            <v>81194</v>
          </cell>
          <cell r="S3181">
            <v>72621</v>
          </cell>
          <cell r="T3181">
            <v>71865</v>
          </cell>
          <cell r="U3181">
            <v>73098</v>
          </cell>
          <cell r="V3181">
            <v>74876</v>
          </cell>
          <cell r="W3181">
            <v>71470</v>
          </cell>
          <cell r="X3181">
            <v>74627</v>
          </cell>
          <cell r="Y3181">
            <v>77484</v>
          </cell>
          <cell r="Z3181">
            <v>79022</v>
          </cell>
          <cell r="AA3181">
            <v>69000</v>
          </cell>
          <cell r="AB3181">
            <v>75213</v>
          </cell>
          <cell r="AC3181">
            <v>74270</v>
          </cell>
          <cell r="AD3181">
            <v>78215</v>
          </cell>
          <cell r="AE3181">
            <v>75669</v>
          </cell>
          <cell r="AF3181">
            <v>65909</v>
          </cell>
          <cell r="AG3181">
            <v>64914</v>
          </cell>
          <cell r="AH3181">
            <v>65681</v>
          </cell>
          <cell r="AI3181">
            <v>66766</v>
          </cell>
          <cell r="AJ3181">
            <v>61194</v>
          </cell>
        </row>
        <row r="3182">
          <cell r="E3182" t="str">
            <v>CO Electric Power Wood and Waste</v>
          </cell>
          <cell r="F3182">
            <v>140</v>
          </cell>
          <cell r="G3182">
            <v>1275</v>
          </cell>
          <cell r="H3182">
            <v>98</v>
          </cell>
          <cell r="I3182">
            <v>87</v>
          </cell>
          <cell r="J3182">
            <v>94</v>
          </cell>
          <cell r="K3182">
            <v>97</v>
          </cell>
          <cell r="L3182">
            <v>55</v>
          </cell>
          <cell r="M3182">
            <v>63</v>
          </cell>
          <cell r="N3182">
            <v>0</v>
          </cell>
          <cell r="O3182">
            <v>0</v>
          </cell>
          <cell r="P3182">
            <v>214</v>
          </cell>
          <cell r="Q3182">
            <v>463</v>
          </cell>
          <cell r="R3182">
            <v>460</v>
          </cell>
          <cell r="S3182">
            <v>438</v>
          </cell>
          <cell r="T3182">
            <v>1017</v>
          </cell>
          <cell r="U3182">
            <v>498</v>
          </cell>
          <cell r="V3182">
            <v>508</v>
          </cell>
          <cell r="W3182">
            <v>553</v>
          </cell>
          <cell r="X3182">
            <v>706</v>
          </cell>
          <cell r="Y3182">
            <v>837</v>
          </cell>
          <cell r="Z3182">
            <v>862</v>
          </cell>
          <cell r="AA3182">
            <v>893</v>
          </cell>
          <cell r="AB3182">
            <v>850</v>
          </cell>
          <cell r="AC3182">
            <v>1157</v>
          </cell>
          <cell r="AD3182">
            <v>1827</v>
          </cell>
          <cell r="AE3182">
            <v>1124</v>
          </cell>
          <cell r="AF3182">
            <v>2312</v>
          </cell>
          <cell r="AG3182">
            <v>2383</v>
          </cell>
          <cell r="AH3182">
            <v>2318</v>
          </cell>
          <cell r="AI3182">
            <v>2337</v>
          </cell>
          <cell r="AJ3182">
            <v>2415</v>
          </cell>
        </row>
        <row r="3183">
          <cell r="E3183" t="str">
            <v>CT Electric Power Wood and Waste</v>
          </cell>
          <cell r="F3183">
            <v>15864</v>
          </cell>
          <cell r="G3183">
            <v>16836</v>
          </cell>
          <cell r="H3183">
            <v>20665</v>
          </cell>
          <cell r="I3183">
            <v>20147</v>
          </cell>
          <cell r="J3183">
            <v>21000</v>
          </cell>
          <cell r="K3183">
            <v>27450</v>
          </cell>
          <cell r="L3183">
            <v>23619</v>
          </cell>
          <cell r="M3183">
            <v>23133</v>
          </cell>
          <cell r="N3183">
            <v>23331</v>
          </cell>
          <cell r="O3183">
            <v>23180</v>
          </cell>
          <cell r="P3183">
            <v>30995</v>
          </cell>
          <cell r="Q3183">
            <v>14341</v>
          </cell>
          <cell r="R3183">
            <v>13706</v>
          </cell>
          <cell r="S3183">
            <v>13843</v>
          </cell>
          <cell r="T3183">
            <v>13488</v>
          </cell>
          <cell r="U3183">
            <v>13621</v>
          </cell>
          <cell r="V3183">
            <v>13603</v>
          </cell>
          <cell r="W3183">
            <v>13120</v>
          </cell>
          <cell r="X3183">
            <v>13258</v>
          </cell>
          <cell r="Y3183">
            <v>13520</v>
          </cell>
          <cell r="Z3183">
            <v>13235</v>
          </cell>
          <cell r="AA3183">
            <v>12526</v>
          </cell>
          <cell r="AB3183">
            <v>12237</v>
          </cell>
          <cell r="AC3183">
            <v>11252</v>
          </cell>
          <cell r="AD3183">
            <v>13106</v>
          </cell>
          <cell r="AE3183">
            <v>13653</v>
          </cell>
          <cell r="AF3183">
            <v>15911</v>
          </cell>
          <cell r="AG3183">
            <v>13061</v>
          </cell>
          <cell r="AH3183">
            <v>12719</v>
          </cell>
          <cell r="AI3183">
            <v>12015</v>
          </cell>
          <cell r="AJ3183">
            <v>12696</v>
          </cell>
        </row>
        <row r="3184">
          <cell r="E3184" t="str">
            <v>DC Electric Power Wood and Waste</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498</v>
          </cell>
          <cell r="AF3184">
            <v>784</v>
          </cell>
          <cell r="AG3184">
            <v>0</v>
          </cell>
          <cell r="AH3184">
            <v>0</v>
          </cell>
          <cell r="AI3184">
            <v>0</v>
          </cell>
          <cell r="AJ3184">
            <v>0</v>
          </cell>
        </row>
        <row r="3185">
          <cell r="E3185" t="str">
            <v>DE Electric Power Wood and Waste</v>
          </cell>
          <cell r="F3185">
            <v>0</v>
          </cell>
          <cell r="G3185">
            <v>0</v>
          </cell>
          <cell r="H3185">
            <v>0</v>
          </cell>
          <cell r="I3185">
            <v>0</v>
          </cell>
          <cell r="J3185">
            <v>0</v>
          </cell>
          <cell r="K3185">
            <v>0</v>
          </cell>
          <cell r="L3185">
            <v>0</v>
          </cell>
          <cell r="M3185">
            <v>0</v>
          </cell>
          <cell r="N3185">
            <v>0</v>
          </cell>
          <cell r="O3185">
            <v>0</v>
          </cell>
          <cell r="P3185">
            <v>191</v>
          </cell>
          <cell r="Q3185">
            <v>0</v>
          </cell>
          <cell r="R3185">
            <v>0</v>
          </cell>
          <cell r="S3185">
            <v>0</v>
          </cell>
          <cell r="T3185">
            <v>0</v>
          </cell>
          <cell r="U3185">
            <v>0</v>
          </cell>
          <cell r="V3185">
            <v>5</v>
          </cell>
          <cell r="W3185">
            <v>538</v>
          </cell>
          <cell r="X3185">
            <v>1832</v>
          </cell>
          <cell r="Y3185">
            <v>1617</v>
          </cell>
          <cell r="Z3185">
            <v>1660</v>
          </cell>
          <cell r="AA3185">
            <v>1783</v>
          </cell>
          <cell r="AB3185">
            <v>1196</v>
          </cell>
          <cell r="AC3185">
            <v>639</v>
          </cell>
          <cell r="AD3185">
            <v>681</v>
          </cell>
          <cell r="AE3185">
            <v>682</v>
          </cell>
          <cell r="AF3185">
            <v>583</v>
          </cell>
          <cell r="AG3185">
            <v>551</v>
          </cell>
          <cell r="AH3185">
            <v>516</v>
          </cell>
          <cell r="AI3185">
            <v>577</v>
          </cell>
          <cell r="AJ3185">
            <v>652</v>
          </cell>
        </row>
        <row r="3186">
          <cell r="E3186" t="str">
            <v>FL Electric Power Wood and Waste</v>
          </cell>
          <cell r="F3186">
            <v>30801</v>
          </cell>
          <cell r="G3186">
            <v>42232</v>
          </cell>
          <cell r="H3186">
            <v>51908</v>
          </cell>
          <cell r="I3186">
            <v>54171</v>
          </cell>
          <cell r="J3186">
            <v>56706</v>
          </cell>
          <cell r="K3186">
            <v>61932</v>
          </cell>
          <cell r="L3186">
            <v>73763</v>
          </cell>
          <cell r="M3186">
            <v>71827</v>
          </cell>
          <cell r="N3186">
            <v>64838</v>
          </cell>
          <cell r="O3186">
            <v>68457</v>
          </cell>
          <cell r="P3186">
            <v>66076</v>
          </cell>
          <cell r="Q3186">
            <v>33406</v>
          </cell>
          <cell r="R3186">
            <v>44953</v>
          </cell>
          <cell r="S3186">
            <v>51131</v>
          </cell>
          <cell r="T3186">
            <v>51237</v>
          </cell>
          <cell r="U3186">
            <v>50420</v>
          </cell>
          <cell r="V3186">
            <v>50442</v>
          </cell>
          <cell r="W3186">
            <v>51695</v>
          </cell>
          <cell r="X3186">
            <v>50292</v>
          </cell>
          <cell r="Y3186">
            <v>53472</v>
          </cell>
          <cell r="Z3186">
            <v>53214</v>
          </cell>
          <cell r="AA3186">
            <v>50251</v>
          </cell>
          <cell r="AB3186">
            <v>50413</v>
          </cell>
          <cell r="AC3186">
            <v>51266</v>
          </cell>
          <cell r="AD3186">
            <v>57709</v>
          </cell>
          <cell r="AE3186">
            <v>59593</v>
          </cell>
          <cell r="AF3186">
            <v>55126</v>
          </cell>
          <cell r="AG3186">
            <v>63369</v>
          </cell>
          <cell r="AH3186">
            <v>62165</v>
          </cell>
          <cell r="AI3186">
            <v>49780</v>
          </cell>
          <cell r="AJ3186">
            <v>45148</v>
          </cell>
        </row>
        <row r="3187">
          <cell r="E3187" t="str">
            <v>GA Electric Power Wood and Waste</v>
          </cell>
          <cell r="F3187">
            <v>0</v>
          </cell>
          <cell r="G3187">
            <v>0</v>
          </cell>
          <cell r="H3187">
            <v>0</v>
          </cell>
          <cell r="I3187">
            <v>51</v>
          </cell>
          <cell r="J3187">
            <v>178</v>
          </cell>
          <cell r="K3187">
            <v>242</v>
          </cell>
          <cell r="L3187">
            <v>243</v>
          </cell>
          <cell r="M3187">
            <v>1528</v>
          </cell>
          <cell r="N3187">
            <v>237</v>
          </cell>
          <cell r="O3187">
            <v>242</v>
          </cell>
          <cell r="P3187">
            <v>96</v>
          </cell>
          <cell r="Q3187">
            <v>245</v>
          </cell>
          <cell r="R3187">
            <v>239</v>
          </cell>
          <cell r="S3187">
            <v>209</v>
          </cell>
          <cell r="T3187">
            <v>216</v>
          </cell>
          <cell r="U3187">
            <v>209</v>
          </cell>
          <cell r="V3187">
            <v>202</v>
          </cell>
          <cell r="W3187">
            <v>155</v>
          </cell>
          <cell r="X3187">
            <v>409</v>
          </cell>
          <cell r="Y3187">
            <v>412</v>
          </cell>
          <cell r="Z3187">
            <v>3378</v>
          </cell>
          <cell r="AA3187">
            <v>2880</v>
          </cell>
          <cell r="AB3187">
            <v>3572</v>
          </cell>
          <cell r="AC3187">
            <v>7322</v>
          </cell>
          <cell r="AD3187">
            <v>8752</v>
          </cell>
          <cell r="AE3187">
            <v>9358</v>
          </cell>
          <cell r="AF3187">
            <v>9566</v>
          </cell>
          <cell r="AG3187">
            <v>13530</v>
          </cell>
          <cell r="AH3187">
            <v>11587</v>
          </cell>
          <cell r="AI3187">
            <v>14674</v>
          </cell>
          <cell r="AJ3187">
            <v>23480</v>
          </cell>
        </row>
        <row r="3188">
          <cell r="E3188" t="str">
            <v>HI Electric Power Wood and Waste</v>
          </cell>
          <cell r="F3188">
            <v>7765</v>
          </cell>
          <cell r="G3188">
            <v>7656</v>
          </cell>
          <cell r="H3188">
            <v>7223</v>
          </cell>
          <cell r="I3188">
            <v>7631</v>
          </cell>
          <cell r="J3188">
            <v>6560</v>
          </cell>
          <cell r="K3188">
            <v>6547</v>
          </cell>
          <cell r="L3188">
            <v>4921</v>
          </cell>
          <cell r="M3188">
            <v>5608</v>
          </cell>
          <cell r="N3188">
            <v>5423</v>
          </cell>
          <cell r="O3188">
            <v>5410</v>
          </cell>
          <cell r="P3188">
            <v>5325</v>
          </cell>
          <cell r="Q3188">
            <v>2830</v>
          </cell>
          <cell r="R3188">
            <v>2398</v>
          </cell>
          <cell r="S3188">
            <v>2561</v>
          </cell>
          <cell r="T3188">
            <v>0</v>
          </cell>
          <cell r="U3188">
            <v>0</v>
          </cell>
          <cell r="V3188">
            <v>0</v>
          </cell>
          <cell r="W3188">
            <v>0</v>
          </cell>
          <cell r="X3188">
            <v>0</v>
          </cell>
          <cell r="Y3188">
            <v>44</v>
          </cell>
          <cell r="Z3188">
            <v>40</v>
          </cell>
          <cell r="AA3188">
            <v>579</v>
          </cell>
          <cell r="AB3188">
            <v>403</v>
          </cell>
          <cell r="AC3188">
            <v>519</v>
          </cell>
          <cell r="AD3188">
            <v>609</v>
          </cell>
          <cell r="AE3188">
            <v>853</v>
          </cell>
          <cell r="AF3188">
            <v>1076</v>
          </cell>
          <cell r="AG3188">
            <v>1762</v>
          </cell>
          <cell r="AH3188">
            <v>1456</v>
          </cell>
          <cell r="AI3188">
            <v>1297</v>
          </cell>
          <cell r="AJ3188">
            <v>1062</v>
          </cell>
        </row>
        <row r="3189">
          <cell r="E3189" t="str">
            <v>IA Electric Power Wood and Waste</v>
          </cell>
          <cell r="F3189">
            <v>181</v>
          </cell>
          <cell r="G3189">
            <v>206</v>
          </cell>
          <cell r="H3189">
            <v>147</v>
          </cell>
          <cell r="I3189">
            <v>241</v>
          </cell>
          <cell r="J3189">
            <v>654</v>
          </cell>
          <cell r="K3189">
            <v>695</v>
          </cell>
          <cell r="L3189">
            <v>730</v>
          </cell>
          <cell r="M3189">
            <v>724</v>
          </cell>
          <cell r="N3189">
            <v>784</v>
          </cell>
          <cell r="O3189">
            <v>863</v>
          </cell>
          <cell r="P3189">
            <v>836</v>
          </cell>
          <cell r="Q3189">
            <v>1022</v>
          </cell>
          <cell r="R3189">
            <v>1014</v>
          </cell>
          <cell r="S3189">
            <v>1015</v>
          </cell>
          <cell r="T3189">
            <v>1000</v>
          </cell>
          <cell r="U3189">
            <v>1012</v>
          </cell>
          <cell r="V3189">
            <v>1074</v>
          </cell>
          <cell r="W3189">
            <v>1499</v>
          </cell>
          <cell r="X3189">
            <v>1680</v>
          </cell>
          <cell r="Y3189">
            <v>1457</v>
          </cell>
          <cell r="Z3189">
            <v>1536</v>
          </cell>
          <cell r="AA3189">
            <v>1434</v>
          </cell>
          <cell r="AB3189">
            <v>1392</v>
          </cell>
          <cell r="AC3189">
            <v>1384</v>
          </cell>
          <cell r="AD3189">
            <v>1704</v>
          </cell>
          <cell r="AE3189">
            <v>1860</v>
          </cell>
          <cell r="AF3189">
            <v>1941</v>
          </cell>
          <cell r="AG3189">
            <v>1932</v>
          </cell>
          <cell r="AH3189">
            <v>1796</v>
          </cell>
          <cell r="AI3189">
            <v>1630</v>
          </cell>
          <cell r="AJ3189">
            <v>1787</v>
          </cell>
        </row>
        <row r="3190">
          <cell r="E3190" t="str">
            <v>ID Electric Power Wood and Waste</v>
          </cell>
          <cell r="F3190">
            <v>1193</v>
          </cell>
          <cell r="G3190">
            <v>1242</v>
          </cell>
          <cell r="H3190">
            <v>1207</v>
          </cell>
          <cell r="I3190">
            <v>1388</v>
          </cell>
          <cell r="J3190">
            <v>1390</v>
          </cell>
          <cell r="K3190">
            <v>1325</v>
          </cell>
          <cell r="L3190">
            <v>1208</v>
          </cell>
          <cell r="M3190">
            <v>1269</v>
          </cell>
          <cell r="N3190">
            <v>1296</v>
          </cell>
          <cell r="O3190">
            <v>715</v>
          </cell>
          <cell r="P3190">
            <v>694</v>
          </cell>
          <cell r="Q3190">
            <v>721</v>
          </cell>
          <cell r="R3190">
            <v>1274</v>
          </cell>
          <cell r="S3190">
            <v>1447</v>
          </cell>
          <cell r="T3190">
            <v>1430</v>
          </cell>
          <cell r="U3190">
            <v>1515</v>
          </cell>
          <cell r="V3190">
            <v>1496</v>
          </cell>
          <cell r="W3190">
            <v>1399</v>
          </cell>
          <cell r="X3190">
            <v>1279</v>
          </cell>
          <cell r="Y3190">
            <v>1533</v>
          </cell>
          <cell r="Z3190">
            <v>1723</v>
          </cell>
          <cell r="AA3190">
            <v>1762</v>
          </cell>
          <cell r="AB3190">
            <v>2336</v>
          </cell>
          <cell r="AC3190">
            <v>3431</v>
          </cell>
          <cell r="AD3190">
            <v>9263</v>
          </cell>
          <cell r="AE3190">
            <v>8313</v>
          </cell>
          <cell r="AF3190">
            <v>2384</v>
          </cell>
          <cell r="AG3190">
            <v>2400</v>
          </cell>
          <cell r="AH3190">
            <v>2242</v>
          </cell>
          <cell r="AI3190">
            <v>2180</v>
          </cell>
          <cell r="AJ3190">
            <v>2153</v>
          </cell>
        </row>
        <row r="3191">
          <cell r="E3191" t="str">
            <v>IL Electric Power Wood and Waste</v>
          </cell>
          <cell r="F3191">
            <v>2363</v>
          </cell>
          <cell r="G3191">
            <v>2541</v>
          </cell>
          <cell r="H3191">
            <v>2524</v>
          </cell>
          <cell r="I3191">
            <v>3152</v>
          </cell>
          <cell r="J3191">
            <v>3618</v>
          </cell>
          <cell r="K3191">
            <v>4282</v>
          </cell>
          <cell r="L3191">
            <v>5632</v>
          </cell>
          <cell r="M3191">
            <v>9975</v>
          </cell>
          <cell r="N3191">
            <v>8696</v>
          </cell>
          <cell r="O3191">
            <v>11201</v>
          </cell>
          <cell r="P3191">
            <v>10882</v>
          </cell>
          <cell r="Q3191">
            <v>9040</v>
          </cell>
          <cell r="R3191">
            <v>10007</v>
          </cell>
          <cell r="S3191">
            <v>9700</v>
          </cell>
          <cell r="T3191">
            <v>9609</v>
          </cell>
          <cell r="U3191">
            <v>8146</v>
          </cell>
          <cell r="V3191">
            <v>7980</v>
          </cell>
          <cell r="W3191">
            <v>8336</v>
          </cell>
          <cell r="X3191">
            <v>9498</v>
          </cell>
          <cell r="Y3191">
            <v>9416</v>
          </cell>
          <cell r="Z3191">
            <v>9472</v>
          </cell>
          <cell r="AA3191">
            <v>8248</v>
          </cell>
          <cell r="AB3191">
            <v>8235</v>
          </cell>
          <cell r="AC3191">
            <v>8068</v>
          </cell>
          <cell r="AD3191">
            <v>8148</v>
          </cell>
          <cell r="AE3191">
            <v>7095</v>
          </cell>
          <cell r="AF3191">
            <v>6737</v>
          </cell>
          <cell r="AG3191">
            <v>6104</v>
          </cell>
          <cell r="AH3191">
            <v>6464</v>
          </cell>
          <cell r="AI3191">
            <v>6266</v>
          </cell>
          <cell r="AJ3191">
            <v>5963</v>
          </cell>
        </row>
        <row r="3192">
          <cell r="E3192" t="str">
            <v>IN Electric Power Wood and Waste</v>
          </cell>
          <cell r="F3192">
            <v>0</v>
          </cell>
          <cell r="G3192">
            <v>0</v>
          </cell>
          <cell r="H3192">
            <v>0</v>
          </cell>
          <cell r="I3192">
            <v>0</v>
          </cell>
          <cell r="J3192">
            <v>0</v>
          </cell>
          <cell r="K3192">
            <v>534</v>
          </cell>
          <cell r="L3192">
            <v>850</v>
          </cell>
          <cell r="M3192">
            <v>1024</v>
          </cell>
          <cell r="N3192">
            <v>1033</v>
          </cell>
          <cell r="O3192">
            <v>1032</v>
          </cell>
          <cell r="P3192">
            <v>1088</v>
          </cell>
          <cell r="Q3192">
            <v>1105</v>
          </cell>
          <cell r="R3192">
            <v>1084</v>
          </cell>
          <cell r="S3192">
            <v>995</v>
          </cell>
          <cell r="T3192">
            <v>1025</v>
          </cell>
          <cell r="U3192">
            <v>242</v>
          </cell>
          <cell r="V3192">
            <v>2169</v>
          </cell>
          <cell r="W3192">
            <v>2255</v>
          </cell>
          <cell r="X3192">
            <v>3104</v>
          </cell>
          <cell r="Y3192">
            <v>3029</v>
          </cell>
          <cell r="Z3192">
            <v>3202</v>
          </cell>
          <cell r="AA3192">
            <v>3600</v>
          </cell>
          <cell r="AB3192">
            <v>3459</v>
          </cell>
          <cell r="AC3192">
            <v>3820</v>
          </cell>
          <cell r="AD3192">
            <v>3746</v>
          </cell>
          <cell r="AE3192">
            <v>4128</v>
          </cell>
          <cell r="AF3192">
            <v>3964</v>
          </cell>
          <cell r="AG3192">
            <v>4359</v>
          </cell>
          <cell r="AH3192">
            <v>4382</v>
          </cell>
          <cell r="AI3192">
            <v>4508</v>
          </cell>
          <cell r="AJ3192">
            <v>4363</v>
          </cell>
        </row>
        <row r="3193">
          <cell r="E3193" t="str">
            <v>KS Electric Power Wood and Waste</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583</v>
          </cell>
          <cell r="AA3193">
            <v>692</v>
          </cell>
          <cell r="AB3193">
            <v>638</v>
          </cell>
          <cell r="AC3193">
            <v>854</v>
          </cell>
          <cell r="AD3193">
            <v>774</v>
          </cell>
          <cell r="AE3193">
            <v>738</v>
          </cell>
          <cell r="AF3193">
            <v>690</v>
          </cell>
          <cell r="AG3193">
            <v>683</v>
          </cell>
          <cell r="AH3193">
            <v>770</v>
          </cell>
          <cell r="AI3193">
            <v>731</v>
          </cell>
          <cell r="AJ3193">
            <v>760</v>
          </cell>
        </row>
        <row r="3194">
          <cell r="E3194" t="str">
            <v>KY Electric Power Wood and Waste</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790</v>
          </cell>
          <cell r="U3194">
            <v>802</v>
          </cell>
          <cell r="V3194">
            <v>1050</v>
          </cell>
          <cell r="W3194">
            <v>1132</v>
          </cell>
          <cell r="X3194">
            <v>1276</v>
          </cell>
          <cell r="Y3194">
            <v>838</v>
          </cell>
          <cell r="Z3194">
            <v>575</v>
          </cell>
          <cell r="AA3194">
            <v>625</v>
          </cell>
          <cell r="AB3194">
            <v>1199</v>
          </cell>
          <cell r="AC3194">
            <v>1230</v>
          </cell>
          <cell r="AD3194">
            <v>1148</v>
          </cell>
          <cell r="AE3194">
            <v>1100</v>
          </cell>
          <cell r="AF3194">
            <v>1241</v>
          </cell>
          <cell r="AG3194">
            <v>1356</v>
          </cell>
          <cell r="AH3194">
            <v>1282</v>
          </cell>
          <cell r="AI3194">
            <v>1229</v>
          </cell>
          <cell r="AJ3194">
            <v>1406</v>
          </cell>
        </row>
        <row r="3195">
          <cell r="E3195" t="str">
            <v>LA Electric Power Wood and Waste</v>
          </cell>
          <cell r="F3195">
            <v>1347</v>
          </cell>
          <cell r="G3195">
            <v>1250</v>
          </cell>
          <cell r="H3195">
            <v>1111</v>
          </cell>
          <cell r="I3195">
            <v>1124</v>
          </cell>
          <cell r="J3195">
            <v>1124</v>
          </cell>
          <cell r="K3195">
            <v>1286</v>
          </cell>
          <cell r="L3195">
            <v>1144</v>
          </cell>
          <cell r="M3195">
            <v>1208</v>
          </cell>
          <cell r="N3195">
            <v>1212</v>
          </cell>
          <cell r="O3195">
            <v>1293</v>
          </cell>
          <cell r="P3195">
            <v>1043</v>
          </cell>
          <cell r="Q3195">
            <v>907</v>
          </cell>
          <cell r="R3195">
            <v>984</v>
          </cell>
          <cell r="S3195">
            <v>1051</v>
          </cell>
          <cell r="T3195">
            <v>1193</v>
          </cell>
          <cell r="U3195">
            <v>1135</v>
          </cell>
          <cell r="V3195">
            <v>1018</v>
          </cell>
          <cell r="W3195">
            <v>1254</v>
          </cell>
          <cell r="X3195">
            <v>1177</v>
          </cell>
          <cell r="Y3195">
            <v>1126</v>
          </cell>
          <cell r="Z3195">
            <v>1234</v>
          </cell>
          <cell r="AA3195">
            <v>1174</v>
          </cell>
          <cell r="AB3195">
            <v>985</v>
          </cell>
          <cell r="AC3195">
            <v>1195</v>
          </cell>
          <cell r="AD3195">
            <v>1397</v>
          </cell>
          <cell r="AE3195">
            <v>1455</v>
          </cell>
          <cell r="AF3195">
            <v>1327</v>
          </cell>
          <cell r="AG3195">
            <v>1445</v>
          </cell>
          <cell r="AH3195">
            <v>1316</v>
          </cell>
          <cell r="AI3195">
            <v>1373</v>
          </cell>
          <cell r="AJ3195">
            <v>974</v>
          </cell>
        </row>
        <row r="3196">
          <cell r="E3196" t="str">
            <v>MA Electric Power Wood and Waste</v>
          </cell>
          <cell r="F3196">
            <v>24387</v>
          </cell>
          <cell r="G3196">
            <v>25906</v>
          </cell>
          <cell r="H3196">
            <v>27602</v>
          </cell>
          <cell r="I3196">
            <v>29296</v>
          </cell>
          <cell r="J3196">
            <v>32444</v>
          </cell>
          <cell r="K3196">
            <v>31412</v>
          </cell>
          <cell r="L3196">
            <v>32963</v>
          </cell>
          <cell r="M3196">
            <v>34294</v>
          </cell>
          <cell r="N3196">
            <v>33609</v>
          </cell>
          <cell r="O3196">
            <v>31712</v>
          </cell>
          <cell r="P3196">
            <v>34113</v>
          </cell>
          <cell r="Q3196">
            <v>21188</v>
          </cell>
          <cell r="R3196">
            <v>19543</v>
          </cell>
          <cell r="S3196">
            <v>20441</v>
          </cell>
          <cell r="T3196">
            <v>20564</v>
          </cell>
          <cell r="U3196">
            <v>21100</v>
          </cell>
          <cell r="V3196">
            <v>20981</v>
          </cell>
          <cell r="W3196">
            <v>20097</v>
          </cell>
          <cell r="X3196">
            <v>21687</v>
          </cell>
          <cell r="Y3196">
            <v>20947</v>
          </cell>
          <cell r="Z3196">
            <v>20929</v>
          </cell>
          <cell r="AA3196">
            <v>19608</v>
          </cell>
          <cell r="AB3196">
            <v>19312</v>
          </cell>
          <cell r="AC3196">
            <v>19380</v>
          </cell>
          <cell r="AD3196">
            <v>20832</v>
          </cell>
          <cell r="AE3196">
            <v>20121</v>
          </cell>
          <cell r="AF3196">
            <v>20203</v>
          </cell>
          <cell r="AG3196">
            <v>19982</v>
          </cell>
          <cell r="AH3196">
            <v>19937</v>
          </cell>
          <cell r="AI3196">
            <v>17340</v>
          </cell>
          <cell r="AJ3196">
            <v>17334</v>
          </cell>
        </row>
        <row r="3197">
          <cell r="E3197" t="str">
            <v>MD Electric Power Wood and Waste</v>
          </cell>
          <cell r="F3197">
            <v>7343</v>
          </cell>
          <cell r="G3197">
            <v>7323</v>
          </cell>
          <cell r="H3197">
            <v>7499</v>
          </cell>
          <cell r="I3197">
            <v>7275</v>
          </cell>
          <cell r="J3197">
            <v>7610</v>
          </cell>
          <cell r="K3197">
            <v>10116</v>
          </cell>
          <cell r="L3197">
            <v>12132</v>
          </cell>
          <cell r="M3197">
            <v>11739</v>
          </cell>
          <cell r="N3197">
            <v>12076</v>
          </cell>
          <cell r="O3197">
            <v>12741</v>
          </cell>
          <cell r="P3197">
            <v>12334</v>
          </cell>
          <cell r="Q3197">
            <v>7034</v>
          </cell>
          <cell r="R3197">
            <v>7317</v>
          </cell>
          <cell r="S3197">
            <v>7128</v>
          </cell>
          <cell r="T3197">
            <v>7306</v>
          </cell>
          <cell r="U3197">
            <v>7311</v>
          </cell>
          <cell r="V3197">
            <v>7608</v>
          </cell>
          <cell r="W3197">
            <v>7497</v>
          </cell>
          <cell r="X3197">
            <v>7679</v>
          </cell>
          <cell r="Y3197">
            <v>7409</v>
          </cell>
          <cell r="Z3197">
            <v>7602</v>
          </cell>
          <cell r="AA3197">
            <v>6961</v>
          </cell>
          <cell r="AB3197">
            <v>7373</v>
          </cell>
          <cell r="AC3197">
            <v>7684</v>
          </cell>
          <cell r="AD3197">
            <v>7862</v>
          </cell>
          <cell r="AE3197">
            <v>7760</v>
          </cell>
          <cell r="AF3197">
            <v>7597</v>
          </cell>
          <cell r="AG3197">
            <v>7792</v>
          </cell>
          <cell r="AH3197">
            <v>7691</v>
          </cell>
          <cell r="AI3197">
            <v>6655</v>
          </cell>
          <cell r="AJ3197">
            <v>6356</v>
          </cell>
        </row>
        <row r="3198">
          <cell r="E3198" t="str">
            <v>ME Electric Power Wood and Waste</v>
          </cell>
          <cell r="F3198">
            <v>21499</v>
          </cell>
          <cell r="G3198">
            <v>22551</v>
          </cell>
          <cell r="H3198">
            <v>26446</v>
          </cell>
          <cell r="I3198">
            <v>31225</v>
          </cell>
          <cell r="J3198">
            <v>24178</v>
          </cell>
          <cell r="K3198">
            <v>19117</v>
          </cell>
          <cell r="L3198">
            <v>20467</v>
          </cell>
          <cell r="M3198">
            <v>19445</v>
          </cell>
          <cell r="N3198">
            <v>22793</v>
          </cell>
          <cell r="O3198">
            <v>24928</v>
          </cell>
          <cell r="P3198">
            <v>26457</v>
          </cell>
          <cell r="Q3198">
            <v>31008</v>
          </cell>
          <cell r="R3198">
            <v>30231</v>
          </cell>
          <cell r="S3198">
            <v>30640</v>
          </cell>
          <cell r="T3198">
            <v>31517</v>
          </cell>
          <cell r="U3198">
            <v>42124</v>
          </cell>
          <cell r="V3198">
            <v>40842</v>
          </cell>
          <cell r="W3198">
            <v>40859</v>
          </cell>
          <cell r="X3198">
            <v>34093</v>
          </cell>
          <cell r="Y3198">
            <v>30248</v>
          </cell>
          <cell r="Z3198">
            <v>32292</v>
          </cell>
          <cell r="AA3198">
            <v>28227</v>
          </cell>
          <cell r="AB3198">
            <v>26847</v>
          </cell>
          <cell r="AC3198">
            <v>27678</v>
          </cell>
          <cell r="AD3198">
            <v>28062</v>
          </cell>
          <cell r="AE3198">
            <v>30961</v>
          </cell>
          <cell r="AF3198">
            <v>28013</v>
          </cell>
          <cell r="AG3198">
            <v>28524</v>
          </cell>
          <cell r="AH3198">
            <v>27031</v>
          </cell>
          <cell r="AI3198">
            <v>20365</v>
          </cell>
          <cell r="AJ3198">
            <v>22157</v>
          </cell>
        </row>
        <row r="3199">
          <cell r="E3199" t="str">
            <v>MI Electric Power Wood and Waste</v>
          </cell>
          <cell r="F3199">
            <v>9010</v>
          </cell>
          <cell r="G3199">
            <v>9297</v>
          </cell>
          <cell r="H3199">
            <v>10670</v>
          </cell>
          <cell r="I3199">
            <v>15999</v>
          </cell>
          <cell r="J3199">
            <v>17722</v>
          </cell>
          <cell r="K3199">
            <v>19653</v>
          </cell>
          <cell r="L3199">
            <v>23384</v>
          </cell>
          <cell r="M3199">
            <v>22558</v>
          </cell>
          <cell r="N3199">
            <v>22469</v>
          </cell>
          <cell r="O3199">
            <v>21653</v>
          </cell>
          <cell r="P3199">
            <v>25622</v>
          </cell>
          <cell r="Q3199">
            <v>25034</v>
          </cell>
          <cell r="R3199">
            <v>24836</v>
          </cell>
          <cell r="S3199">
            <v>24816</v>
          </cell>
          <cell r="T3199">
            <v>25277</v>
          </cell>
          <cell r="U3199">
            <v>23201</v>
          </cell>
          <cell r="V3199">
            <v>23206</v>
          </cell>
          <cell r="W3199">
            <v>22076</v>
          </cell>
          <cell r="X3199">
            <v>22723</v>
          </cell>
          <cell r="Y3199">
            <v>22032</v>
          </cell>
          <cell r="Z3199">
            <v>21936</v>
          </cell>
          <cell r="AA3199">
            <v>22942</v>
          </cell>
          <cell r="AB3199">
            <v>22325</v>
          </cell>
          <cell r="AC3199">
            <v>23236</v>
          </cell>
          <cell r="AD3199">
            <v>24726</v>
          </cell>
          <cell r="AE3199">
            <v>21219</v>
          </cell>
          <cell r="AF3199">
            <v>21796</v>
          </cell>
          <cell r="AG3199">
            <v>22737</v>
          </cell>
          <cell r="AH3199">
            <v>22493</v>
          </cell>
          <cell r="AI3199">
            <v>21934</v>
          </cell>
          <cell r="AJ3199">
            <v>20113</v>
          </cell>
        </row>
        <row r="3200">
          <cell r="E3200" t="str">
            <v>MN Electric Power Wood and Waste</v>
          </cell>
          <cell r="F3200">
            <v>7724</v>
          </cell>
          <cell r="G3200">
            <v>6476</v>
          </cell>
          <cell r="H3200">
            <v>8113</v>
          </cell>
          <cell r="I3200">
            <v>8130</v>
          </cell>
          <cell r="J3200">
            <v>8135</v>
          </cell>
          <cell r="K3200">
            <v>8614</v>
          </cell>
          <cell r="L3200">
            <v>8810</v>
          </cell>
          <cell r="M3200">
            <v>9446</v>
          </cell>
          <cell r="N3200">
            <v>8525</v>
          </cell>
          <cell r="O3200">
            <v>8188</v>
          </cell>
          <cell r="P3200">
            <v>8783</v>
          </cell>
          <cell r="Q3200">
            <v>5464</v>
          </cell>
          <cell r="R3200">
            <v>7762</v>
          </cell>
          <cell r="S3200">
            <v>10376</v>
          </cell>
          <cell r="T3200">
            <v>7907</v>
          </cell>
          <cell r="U3200">
            <v>9295</v>
          </cell>
          <cell r="V3200">
            <v>8857</v>
          </cell>
          <cell r="W3200">
            <v>17202</v>
          </cell>
          <cell r="X3200">
            <v>17744</v>
          </cell>
          <cell r="Y3200">
            <v>20882</v>
          </cell>
          <cell r="Z3200">
            <v>24278</v>
          </cell>
          <cell r="AA3200">
            <v>21440</v>
          </cell>
          <cell r="AB3200">
            <v>24240</v>
          </cell>
          <cell r="AC3200">
            <v>20030</v>
          </cell>
          <cell r="AD3200">
            <v>22132</v>
          </cell>
          <cell r="AE3200">
            <v>22469</v>
          </cell>
          <cell r="AF3200">
            <v>22755</v>
          </cell>
          <cell r="AG3200">
            <v>22681</v>
          </cell>
          <cell r="AH3200">
            <v>17832</v>
          </cell>
          <cell r="AI3200">
            <v>9343</v>
          </cell>
          <cell r="AJ3200">
            <v>8793</v>
          </cell>
        </row>
        <row r="3201">
          <cell r="E3201" t="str">
            <v>MO Electric Power Wood and Waste</v>
          </cell>
          <cell r="F3201">
            <v>0</v>
          </cell>
          <cell r="G3201">
            <v>0</v>
          </cell>
          <cell r="H3201">
            <v>0</v>
          </cell>
          <cell r="I3201">
            <v>13</v>
          </cell>
          <cell r="J3201">
            <v>70</v>
          </cell>
          <cell r="K3201">
            <v>258</v>
          </cell>
          <cell r="L3201">
            <v>324</v>
          </cell>
          <cell r="M3201">
            <v>426</v>
          </cell>
          <cell r="N3201">
            <v>793</v>
          </cell>
          <cell r="O3201">
            <v>510</v>
          </cell>
          <cell r="P3201">
            <v>746</v>
          </cell>
          <cell r="Q3201">
            <v>0</v>
          </cell>
          <cell r="R3201">
            <v>5</v>
          </cell>
          <cell r="S3201">
            <v>5</v>
          </cell>
          <cell r="T3201">
            <v>4</v>
          </cell>
          <cell r="U3201">
            <v>0</v>
          </cell>
          <cell r="V3201">
            <v>130</v>
          </cell>
          <cell r="W3201">
            <v>189</v>
          </cell>
          <cell r="X3201">
            <v>324</v>
          </cell>
          <cell r="Y3201">
            <v>752</v>
          </cell>
          <cell r="Z3201">
            <v>653</v>
          </cell>
          <cell r="AA3201">
            <v>600</v>
          </cell>
          <cell r="AB3201">
            <v>723</v>
          </cell>
          <cell r="AC3201">
            <v>722</v>
          </cell>
          <cell r="AD3201">
            <v>898</v>
          </cell>
          <cell r="AE3201">
            <v>990</v>
          </cell>
          <cell r="AF3201">
            <v>988</v>
          </cell>
          <cell r="AG3201">
            <v>1070</v>
          </cell>
          <cell r="AH3201">
            <v>973</v>
          </cell>
          <cell r="AI3201">
            <v>963</v>
          </cell>
          <cell r="AJ3201">
            <v>1017</v>
          </cell>
        </row>
        <row r="3202">
          <cell r="E3202" t="str">
            <v>MS Electric Power Wood and Waste</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17</v>
          </cell>
          <cell r="AA3202">
            <v>4</v>
          </cell>
          <cell r="AB3202">
            <v>29</v>
          </cell>
          <cell r="AC3202">
            <v>123</v>
          </cell>
          <cell r="AD3202">
            <v>135</v>
          </cell>
          <cell r="AE3202">
            <v>126</v>
          </cell>
          <cell r="AF3202">
            <v>103</v>
          </cell>
          <cell r="AG3202">
            <v>122</v>
          </cell>
          <cell r="AH3202">
            <v>128</v>
          </cell>
          <cell r="AI3202">
            <v>131</v>
          </cell>
          <cell r="AJ3202">
            <v>116</v>
          </cell>
        </row>
        <row r="3203">
          <cell r="E3203" t="str">
            <v>MT Electric Power Wood and Waste</v>
          </cell>
          <cell r="F3203">
            <v>785</v>
          </cell>
          <cell r="G3203">
            <v>651</v>
          </cell>
          <cell r="H3203">
            <v>818</v>
          </cell>
          <cell r="I3203">
            <v>806</v>
          </cell>
          <cell r="J3203">
            <v>433</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112</v>
          </cell>
        </row>
        <row r="3204">
          <cell r="E3204" t="str">
            <v>NC Electric Power Wood and Waste</v>
          </cell>
          <cell r="F3204">
            <v>1764</v>
          </cell>
          <cell r="G3204">
            <v>6604</v>
          </cell>
          <cell r="H3204">
            <v>6392</v>
          </cell>
          <cell r="I3204">
            <v>6335</v>
          </cell>
          <cell r="J3204">
            <v>8196</v>
          </cell>
          <cell r="K3204">
            <v>6480</v>
          </cell>
          <cell r="L3204">
            <v>5942</v>
          </cell>
          <cell r="M3204">
            <v>6288</v>
          </cell>
          <cell r="N3204">
            <v>6875</v>
          </cell>
          <cell r="O3204">
            <v>6636</v>
          </cell>
          <cell r="P3204">
            <v>6665</v>
          </cell>
          <cell r="Q3204">
            <v>6484</v>
          </cell>
          <cell r="R3204">
            <v>6336</v>
          </cell>
          <cell r="S3204">
            <v>6179</v>
          </cell>
          <cell r="T3204">
            <v>6634</v>
          </cell>
          <cell r="U3204">
            <v>7236</v>
          </cell>
          <cell r="V3204">
            <v>8438</v>
          </cell>
          <cell r="W3204">
            <v>8512</v>
          </cell>
          <cell r="X3204">
            <v>7944</v>
          </cell>
          <cell r="Y3204">
            <v>11033</v>
          </cell>
          <cell r="Z3204">
            <v>13383</v>
          </cell>
          <cell r="AA3204">
            <v>15513</v>
          </cell>
          <cell r="AB3204">
            <v>17966</v>
          </cell>
          <cell r="AC3204">
            <v>18144</v>
          </cell>
          <cell r="AD3204">
            <v>20045</v>
          </cell>
          <cell r="AE3204">
            <v>16558</v>
          </cell>
          <cell r="AF3204">
            <v>17826</v>
          </cell>
          <cell r="AG3204">
            <v>20915</v>
          </cell>
          <cell r="AH3204">
            <v>19315</v>
          </cell>
          <cell r="AI3204">
            <v>20005</v>
          </cell>
          <cell r="AJ3204">
            <v>17338</v>
          </cell>
        </row>
        <row r="3205">
          <cell r="E3205" t="str">
            <v>ND Electric Power Wood and Waste</v>
          </cell>
          <cell r="F3205">
            <v>0</v>
          </cell>
          <cell r="G3205">
            <v>0</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row>
        <row r="3206">
          <cell r="E3206" t="str">
            <v>NE Electric Power Wood and Waste</v>
          </cell>
          <cell r="F3206">
            <v>0</v>
          </cell>
          <cell r="G3206">
            <v>0</v>
          </cell>
          <cell r="H3206">
            <v>67</v>
          </cell>
          <cell r="I3206">
            <v>59</v>
          </cell>
          <cell r="J3206">
            <v>96</v>
          </cell>
          <cell r="K3206">
            <v>168</v>
          </cell>
          <cell r="L3206">
            <v>119</v>
          </cell>
          <cell r="M3206">
            <v>160</v>
          </cell>
          <cell r="N3206">
            <v>98</v>
          </cell>
          <cell r="O3206">
            <v>107</v>
          </cell>
          <cell r="P3206">
            <v>106</v>
          </cell>
          <cell r="Q3206">
            <v>107</v>
          </cell>
          <cell r="R3206">
            <v>93</v>
          </cell>
          <cell r="S3206">
            <v>429</v>
          </cell>
          <cell r="T3206">
            <v>333</v>
          </cell>
          <cell r="U3206">
            <v>475</v>
          </cell>
          <cell r="V3206">
            <v>526</v>
          </cell>
          <cell r="W3206">
            <v>615</v>
          </cell>
          <cell r="X3206">
            <v>600</v>
          </cell>
          <cell r="Y3206">
            <v>645</v>
          </cell>
          <cell r="Z3206">
            <v>731</v>
          </cell>
          <cell r="AA3206">
            <v>649</v>
          </cell>
          <cell r="AB3206">
            <v>582</v>
          </cell>
          <cell r="AC3206">
            <v>619</v>
          </cell>
          <cell r="AD3206">
            <v>642</v>
          </cell>
          <cell r="AE3206">
            <v>716</v>
          </cell>
          <cell r="AF3206">
            <v>865</v>
          </cell>
          <cell r="AG3206">
            <v>894</v>
          </cell>
          <cell r="AH3206">
            <v>869</v>
          </cell>
          <cell r="AI3206">
            <v>780</v>
          </cell>
          <cell r="AJ3206">
            <v>871</v>
          </cell>
        </row>
        <row r="3207">
          <cell r="E3207" t="str">
            <v>NH Electric Power Wood and Waste</v>
          </cell>
          <cell r="F3207">
            <v>15321</v>
          </cell>
          <cell r="G3207">
            <v>15420</v>
          </cell>
          <cell r="H3207">
            <v>15603</v>
          </cell>
          <cell r="I3207">
            <v>15958</v>
          </cell>
          <cell r="J3207">
            <v>14894</v>
          </cell>
          <cell r="K3207">
            <v>13701</v>
          </cell>
          <cell r="L3207">
            <v>14042</v>
          </cell>
          <cell r="M3207">
            <v>14203</v>
          </cell>
          <cell r="N3207">
            <v>14622</v>
          </cell>
          <cell r="O3207">
            <v>14722</v>
          </cell>
          <cell r="P3207">
            <v>14695</v>
          </cell>
          <cell r="Q3207">
            <v>13562</v>
          </cell>
          <cell r="R3207">
            <v>12913</v>
          </cell>
          <cell r="S3207">
            <v>11869</v>
          </cell>
          <cell r="T3207">
            <v>12002</v>
          </cell>
          <cell r="U3207">
            <v>12601</v>
          </cell>
          <cell r="V3207">
            <v>12643</v>
          </cell>
          <cell r="W3207">
            <v>16680</v>
          </cell>
          <cell r="X3207">
            <v>17701</v>
          </cell>
          <cell r="Y3207">
            <v>17304</v>
          </cell>
          <cell r="Z3207">
            <v>17499</v>
          </cell>
          <cell r="AA3207">
            <v>15965</v>
          </cell>
          <cell r="AB3207">
            <v>18040</v>
          </cell>
          <cell r="AC3207">
            <v>19952</v>
          </cell>
          <cell r="AD3207">
            <v>22854</v>
          </cell>
          <cell r="AE3207">
            <v>24519</v>
          </cell>
          <cell r="AF3207">
            <v>24293</v>
          </cell>
          <cell r="AG3207">
            <v>23591</v>
          </cell>
          <cell r="AH3207">
            <v>20069</v>
          </cell>
          <cell r="AI3207">
            <v>18124</v>
          </cell>
          <cell r="AJ3207">
            <v>12103</v>
          </cell>
        </row>
        <row r="3208">
          <cell r="E3208" t="str">
            <v>NJ Electric Power Wood and Waste</v>
          </cell>
          <cell r="F3208">
            <v>4281</v>
          </cell>
          <cell r="G3208">
            <v>13259</v>
          </cell>
          <cell r="H3208">
            <v>15228</v>
          </cell>
          <cell r="I3208">
            <v>15885</v>
          </cell>
          <cell r="J3208">
            <v>20496</v>
          </cell>
          <cell r="K3208">
            <v>21426</v>
          </cell>
          <cell r="L3208">
            <v>16752</v>
          </cell>
          <cell r="M3208">
            <v>21679</v>
          </cell>
          <cell r="N3208">
            <v>23470</v>
          </cell>
          <cell r="O3208">
            <v>23944</v>
          </cell>
          <cell r="P3208">
            <v>24043</v>
          </cell>
          <cell r="Q3208">
            <v>15077</v>
          </cell>
          <cell r="R3208">
            <v>15462</v>
          </cell>
          <cell r="S3208">
            <v>12713</v>
          </cell>
          <cell r="T3208">
            <v>12207</v>
          </cell>
          <cell r="U3208">
            <v>13109</v>
          </cell>
          <cell r="V3208">
            <v>13537</v>
          </cell>
          <cell r="W3208">
            <v>11860</v>
          </cell>
          <cell r="X3208">
            <v>14062</v>
          </cell>
          <cell r="Y3208">
            <v>10666</v>
          </cell>
          <cell r="Z3208">
            <v>9831</v>
          </cell>
          <cell r="AA3208">
            <v>10465</v>
          </cell>
          <cell r="AB3208">
            <v>12301</v>
          </cell>
          <cell r="AC3208">
            <v>12215</v>
          </cell>
          <cell r="AD3208">
            <v>13448</v>
          </cell>
          <cell r="AE3208">
            <v>12664</v>
          </cell>
          <cell r="AF3208">
            <v>13116</v>
          </cell>
          <cell r="AG3208">
            <v>12755</v>
          </cell>
          <cell r="AH3208">
            <v>12471</v>
          </cell>
          <cell r="AI3208">
            <v>10703</v>
          </cell>
          <cell r="AJ3208">
            <v>9885</v>
          </cell>
        </row>
        <row r="3209">
          <cell r="E3209" t="str">
            <v>NM Electric Power Wood and Waste</v>
          </cell>
          <cell r="F3209">
            <v>156</v>
          </cell>
          <cell r="G3209">
            <v>156</v>
          </cell>
          <cell r="H3209">
            <v>156</v>
          </cell>
          <cell r="I3209">
            <v>128</v>
          </cell>
          <cell r="J3209">
            <v>121</v>
          </cell>
          <cell r="K3209">
            <v>110</v>
          </cell>
          <cell r="L3209">
            <v>154</v>
          </cell>
          <cell r="M3209">
            <v>84</v>
          </cell>
          <cell r="N3209">
            <v>107</v>
          </cell>
          <cell r="O3209">
            <v>108</v>
          </cell>
          <cell r="P3209">
            <v>87</v>
          </cell>
          <cell r="Q3209">
            <v>209</v>
          </cell>
          <cell r="R3209">
            <v>224</v>
          </cell>
          <cell r="S3209">
            <v>0</v>
          </cell>
          <cell r="T3209">
            <v>0</v>
          </cell>
          <cell r="U3209">
            <v>44</v>
          </cell>
          <cell r="V3209">
            <v>212</v>
          </cell>
          <cell r="W3209">
            <v>336</v>
          </cell>
          <cell r="X3209">
            <v>488</v>
          </cell>
          <cell r="Y3209">
            <v>476</v>
          </cell>
          <cell r="Z3209">
            <v>339</v>
          </cell>
          <cell r="AA3209">
            <v>189</v>
          </cell>
          <cell r="AB3209">
            <v>338</v>
          </cell>
          <cell r="AC3209">
            <v>433</v>
          </cell>
          <cell r="AD3209">
            <v>323</v>
          </cell>
          <cell r="AE3209">
            <v>483</v>
          </cell>
          <cell r="AF3209">
            <v>328</v>
          </cell>
          <cell r="AG3209">
            <v>347</v>
          </cell>
          <cell r="AH3209">
            <v>388</v>
          </cell>
          <cell r="AI3209">
            <v>288</v>
          </cell>
          <cell r="AJ3209">
            <v>289</v>
          </cell>
        </row>
        <row r="3210">
          <cell r="E3210" t="str">
            <v>NV Electric Power Wood and Waste</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10</v>
          </cell>
          <cell r="Z3210">
            <v>0</v>
          </cell>
          <cell r="AA3210">
            <v>0</v>
          </cell>
          <cell r="AB3210">
            <v>209</v>
          </cell>
          <cell r="AC3210">
            <v>266</v>
          </cell>
          <cell r="AD3210">
            <v>270</v>
          </cell>
          <cell r="AE3210">
            <v>282</v>
          </cell>
          <cell r="AF3210">
            <v>769</v>
          </cell>
          <cell r="AG3210">
            <v>839</v>
          </cell>
          <cell r="AH3210">
            <v>795</v>
          </cell>
          <cell r="AI3210">
            <v>904</v>
          </cell>
          <cell r="AJ3210">
            <v>808</v>
          </cell>
        </row>
        <row r="3211">
          <cell r="E3211" t="str">
            <v>NY Electric Power Wood and Waste</v>
          </cell>
          <cell r="F3211">
            <v>28379</v>
          </cell>
          <cell r="G3211">
            <v>29833</v>
          </cell>
          <cell r="H3211">
            <v>37683</v>
          </cell>
          <cell r="I3211">
            <v>34889</v>
          </cell>
          <cell r="J3211">
            <v>40120</v>
          </cell>
          <cell r="K3211">
            <v>38709</v>
          </cell>
          <cell r="L3211">
            <v>41208</v>
          </cell>
          <cell r="M3211">
            <v>41379</v>
          </cell>
          <cell r="N3211">
            <v>39568</v>
          </cell>
          <cell r="O3211">
            <v>41350</v>
          </cell>
          <cell r="P3211">
            <v>41389</v>
          </cell>
          <cell r="Q3211">
            <v>26131</v>
          </cell>
          <cell r="R3211">
            <v>25029</v>
          </cell>
          <cell r="S3211">
            <v>24661</v>
          </cell>
          <cell r="T3211">
            <v>26009</v>
          </cell>
          <cell r="U3211">
            <v>27258</v>
          </cell>
          <cell r="V3211">
            <v>27814</v>
          </cell>
          <cell r="W3211">
            <v>27496</v>
          </cell>
          <cell r="X3211">
            <v>29563</v>
          </cell>
          <cell r="Y3211">
            <v>31500</v>
          </cell>
          <cell r="Z3211">
            <v>31229</v>
          </cell>
          <cell r="AA3211">
            <v>29033</v>
          </cell>
          <cell r="AB3211">
            <v>26689</v>
          </cell>
          <cell r="AC3211">
            <v>29749</v>
          </cell>
          <cell r="AD3211">
            <v>32302</v>
          </cell>
          <cell r="AE3211">
            <v>29838</v>
          </cell>
          <cell r="AF3211">
            <v>31024</v>
          </cell>
          <cell r="AG3211">
            <v>32110</v>
          </cell>
          <cell r="AH3211">
            <v>30098</v>
          </cell>
          <cell r="AI3211">
            <v>27276</v>
          </cell>
          <cell r="AJ3211">
            <v>27120</v>
          </cell>
        </row>
        <row r="3212">
          <cell r="E3212" t="str">
            <v>OH Electric Power Wood and Waste</v>
          </cell>
          <cell r="F3212">
            <v>3642</v>
          </cell>
          <cell r="G3212">
            <v>3860</v>
          </cell>
          <cell r="H3212">
            <v>4002</v>
          </cell>
          <cell r="I3212">
            <v>1311</v>
          </cell>
          <cell r="J3212">
            <v>650</v>
          </cell>
          <cell r="K3212">
            <v>589</v>
          </cell>
          <cell r="L3212">
            <v>860</v>
          </cell>
          <cell r="M3212">
            <v>741</v>
          </cell>
          <cell r="N3212">
            <v>677</v>
          </cell>
          <cell r="O3212">
            <v>755</v>
          </cell>
          <cell r="P3212">
            <v>1032</v>
          </cell>
          <cell r="Q3212">
            <v>1002</v>
          </cell>
          <cell r="R3212">
            <v>991</v>
          </cell>
          <cell r="S3212">
            <v>1220</v>
          </cell>
          <cell r="T3212">
            <v>1122</v>
          </cell>
          <cell r="U3212">
            <v>1106</v>
          </cell>
          <cell r="V3212">
            <v>1067</v>
          </cell>
          <cell r="W3212">
            <v>1040</v>
          </cell>
          <cell r="X3212">
            <v>3497</v>
          </cell>
          <cell r="Y3212">
            <v>2995</v>
          </cell>
          <cell r="Z3212">
            <v>4047</v>
          </cell>
          <cell r="AA3212">
            <v>3841</v>
          </cell>
          <cell r="AB3212">
            <v>6081</v>
          </cell>
          <cell r="AC3212">
            <v>6653</v>
          </cell>
          <cell r="AD3212">
            <v>6560</v>
          </cell>
          <cell r="AE3212">
            <v>6726</v>
          </cell>
          <cell r="AF3212">
            <v>6342</v>
          </cell>
          <cell r="AG3212">
            <v>6585</v>
          </cell>
          <cell r="AH3212">
            <v>6729</v>
          </cell>
          <cell r="AI3212">
            <v>6419</v>
          </cell>
          <cell r="AJ3212">
            <v>5931</v>
          </cell>
        </row>
        <row r="3213">
          <cell r="E3213" t="str">
            <v>OK Electric Power Wood and Waste</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45</v>
          </cell>
          <cell r="Y3213">
            <v>0</v>
          </cell>
          <cell r="Z3213">
            <v>0</v>
          </cell>
          <cell r="AA3213">
            <v>0</v>
          </cell>
          <cell r="AB3213">
            <v>0</v>
          </cell>
          <cell r="AC3213">
            <v>186</v>
          </cell>
          <cell r="AD3213">
            <v>194</v>
          </cell>
          <cell r="AE3213">
            <v>154</v>
          </cell>
          <cell r="AF3213">
            <v>184</v>
          </cell>
          <cell r="AG3213">
            <v>227</v>
          </cell>
          <cell r="AH3213">
            <v>262</v>
          </cell>
          <cell r="AI3213">
            <v>255</v>
          </cell>
          <cell r="AJ3213">
            <v>219</v>
          </cell>
        </row>
        <row r="3214">
          <cell r="E3214" t="str">
            <v>OR Electric Power Wood and Waste</v>
          </cell>
          <cell r="F3214">
            <v>7161</v>
          </cell>
          <cell r="G3214">
            <v>6209</v>
          </cell>
          <cell r="H3214">
            <v>5828</v>
          </cell>
          <cell r="I3214">
            <v>5613</v>
          </cell>
          <cell r="J3214">
            <v>6031</v>
          </cell>
          <cell r="K3214">
            <v>7123</v>
          </cell>
          <cell r="L3214">
            <v>6743</v>
          </cell>
          <cell r="M3214">
            <v>6625</v>
          </cell>
          <cell r="N3214">
            <v>6967</v>
          </cell>
          <cell r="O3214">
            <v>5265</v>
          </cell>
          <cell r="P3214">
            <v>6152</v>
          </cell>
          <cell r="Q3214">
            <v>5460</v>
          </cell>
          <cell r="R3214">
            <v>4293</v>
          </cell>
          <cell r="S3214">
            <v>5897</v>
          </cell>
          <cell r="T3214">
            <v>1320</v>
          </cell>
          <cell r="U3214">
            <v>7126</v>
          </cell>
          <cell r="V3214">
            <v>7414</v>
          </cell>
          <cell r="W3214">
            <v>6700</v>
          </cell>
          <cell r="X3214">
            <v>4474</v>
          </cell>
          <cell r="Y3214">
            <v>5163</v>
          </cell>
          <cell r="Z3214">
            <v>5405</v>
          </cell>
          <cell r="AA3214">
            <v>4915</v>
          </cell>
          <cell r="AB3214">
            <v>5267</v>
          </cell>
          <cell r="AC3214">
            <v>6506</v>
          </cell>
          <cell r="AD3214">
            <v>7719</v>
          </cell>
          <cell r="AE3214">
            <v>6835</v>
          </cell>
          <cell r="AF3214">
            <v>6864</v>
          </cell>
          <cell r="AG3214">
            <v>6157</v>
          </cell>
          <cell r="AH3214">
            <v>6925</v>
          </cell>
          <cell r="AI3214">
            <v>6616</v>
          </cell>
          <cell r="AJ3214">
            <v>6519</v>
          </cell>
        </row>
        <row r="3215">
          <cell r="E3215" t="str">
            <v>PA Electric Power Wood and Waste</v>
          </cell>
          <cell r="F3215">
            <v>8831</v>
          </cell>
          <cell r="G3215">
            <v>15330</v>
          </cell>
          <cell r="H3215">
            <v>20817</v>
          </cell>
          <cell r="I3215">
            <v>23548</v>
          </cell>
          <cell r="J3215">
            <v>24641</v>
          </cell>
          <cell r="K3215">
            <v>27726</v>
          </cell>
          <cell r="L3215">
            <v>29096</v>
          </cell>
          <cell r="M3215">
            <v>29040</v>
          </cell>
          <cell r="N3215">
            <v>30877</v>
          </cell>
          <cell r="O3215">
            <v>31335</v>
          </cell>
          <cell r="P3215">
            <v>31506</v>
          </cell>
          <cell r="Q3215">
            <v>25090</v>
          </cell>
          <cell r="R3215">
            <v>25103</v>
          </cell>
          <cell r="S3215">
            <v>24606</v>
          </cell>
          <cell r="T3215">
            <v>24044</v>
          </cell>
          <cell r="U3215">
            <v>24965</v>
          </cell>
          <cell r="V3215">
            <v>25457</v>
          </cell>
          <cell r="W3215">
            <v>26422</v>
          </cell>
          <cell r="X3215">
            <v>28590</v>
          </cell>
          <cell r="Y3215">
            <v>28548</v>
          </cell>
          <cell r="Z3215">
            <v>30136</v>
          </cell>
          <cell r="AA3215">
            <v>28672</v>
          </cell>
          <cell r="AB3215">
            <v>27573</v>
          </cell>
          <cell r="AC3215">
            <v>27492</v>
          </cell>
          <cell r="AD3215">
            <v>26929</v>
          </cell>
          <cell r="AE3215">
            <v>27220</v>
          </cell>
          <cell r="AF3215">
            <v>27315</v>
          </cell>
          <cell r="AG3215">
            <v>27453</v>
          </cell>
          <cell r="AH3215">
            <v>26731</v>
          </cell>
          <cell r="AI3215">
            <v>24007</v>
          </cell>
          <cell r="AJ3215">
            <v>22169</v>
          </cell>
        </row>
        <row r="3216">
          <cell r="E3216" t="str">
            <v>RI Electric Power Wood and Waste</v>
          </cell>
          <cell r="F3216">
            <v>995</v>
          </cell>
          <cell r="G3216">
            <v>916</v>
          </cell>
          <cell r="H3216">
            <v>995</v>
          </cell>
          <cell r="I3216">
            <v>1115</v>
          </cell>
          <cell r="J3216">
            <v>1027</v>
          </cell>
          <cell r="K3216">
            <v>1032</v>
          </cell>
          <cell r="L3216">
            <v>1233</v>
          </cell>
          <cell r="M3216">
            <v>1129</v>
          </cell>
          <cell r="N3216">
            <v>1302</v>
          </cell>
          <cell r="O3216">
            <v>1450</v>
          </cell>
          <cell r="P3216">
            <v>1414</v>
          </cell>
          <cell r="Q3216">
            <v>1349</v>
          </cell>
          <cell r="R3216">
            <v>1255</v>
          </cell>
          <cell r="S3216">
            <v>1204</v>
          </cell>
          <cell r="T3216">
            <v>1226</v>
          </cell>
          <cell r="U3216">
            <v>0</v>
          </cell>
          <cell r="V3216">
            <v>1824</v>
          </cell>
          <cell r="W3216">
            <v>1920</v>
          </cell>
          <cell r="X3216">
            <v>1998</v>
          </cell>
          <cell r="Y3216">
            <v>1769</v>
          </cell>
          <cell r="Z3216">
            <v>1774</v>
          </cell>
          <cell r="AA3216">
            <v>1555</v>
          </cell>
          <cell r="AB3216">
            <v>1176</v>
          </cell>
          <cell r="AC3216">
            <v>470</v>
          </cell>
          <cell r="AD3216">
            <v>2013</v>
          </cell>
          <cell r="AE3216">
            <v>2082</v>
          </cell>
          <cell r="AF3216">
            <v>2021</v>
          </cell>
          <cell r="AG3216">
            <v>1950</v>
          </cell>
          <cell r="AH3216">
            <v>2048</v>
          </cell>
          <cell r="AI3216">
            <v>2036</v>
          </cell>
          <cell r="AJ3216">
            <v>2843</v>
          </cell>
        </row>
        <row r="3217">
          <cell r="E3217" t="str">
            <v>SC Electric Power Wood and Waste</v>
          </cell>
          <cell r="F3217">
            <v>0</v>
          </cell>
          <cell r="G3217">
            <v>0</v>
          </cell>
          <cell r="H3217">
            <v>0</v>
          </cell>
          <cell r="I3217">
            <v>0</v>
          </cell>
          <cell r="J3217">
            <v>0</v>
          </cell>
          <cell r="K3217">
            <v>0</v>
          </cell>
          <cell r="L3217">
            <v>0</v>
          </cell>
          <cell r="M3217">
            <v>0</v>
          </cell>
          <cell r="N3217">
            <v>0</v>
          </cell>
          <cell r="O3217">
            <v>0</v>
          </cell>
          <cell r="P3217">
            <v>0</v>
          </cell>
          <cell r="Q3217">
            <v>0</v>
          </cell>
          <cell r="R3217">
            <v>147</v>
          </cell>
          <cell r="S3217">
            <v>232</v>
          </cell>
          <cell r="T3217">
            <v>3048</v>
          </cell>
          <cell r="U3217">
            <v>6909</v>
          </cell>
          <cell r="V3217">
            <v>6927</v>
          </cell>
          <cell r="W3217">
            <v>6434</v>
          </cell>
          <cell r="X3217">
            <v>6826</v>
          </cell>
          <cell r="Y3217">
            <v>8488</v>
          </cell>
          <cell r="Z3217">
            <v>8775</v>
          </cell>
          <cell r="AA3217">
            <v>8863</v>
          </cell>
          <cell r="AB3217">
            <v>10658</v>
          </cell>
          <cell r="AC3217">
            <v>11698</v>
          </cell>
          <cell r="AD3217">
            <v>16113</v>
          </cell>
          <cell r="AE3217">
            <v>17138</v>
          </cell>
          <cell r="AF3217">
            <v>16271</v>
          </cell>
          <cell r="AG3217">
            <v>17070</v>
          </cell>
          <cell r="AH3217">
            <v>16218</v>
          </cell>
          <cell r="AI3217">
            <v>16239</v>
          </cell>
          <cell r="AJ3217">
            <v>15381</v>
          </cell>
        </row>
        <row r="3218">
          <cell r="E3218" t="str">
            <v>SD Electric Power Wood and Waste</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18</v>
          </cell>
          <cell r="Y3218">
            <v>62</v>
          </cell>
          <cell r="Z3218">
            <v>0</v>
          </cell>
          <cell r="AA3218">
            <v>0</v>
          </cell>
          <cell r="AB3218">
            <v>0</v>
          </cell>
          <cell r="AC3218">
            <v>0</v>
          </cell>
          <cell r="AD3218">
            <v>0</v>
          </cell>
          <cell r="AE3218">
            <v>0</v>
          </cell>
          <cell r="AF3218">
            <v>0</v>
          </cell>
          <cell r="AG3218">
            <v>0</v>
          </cell>
          <cell r="AH3218">
            <v>0</v>
          </cell>
          <cell r="AI3218">
            <v>0</v>
          </cell>
          <cell r="AJ3218">
            <v>0</v>
          </cell>
        </row>
        <row r="3219">
          <cell r="E3219" t="str">
            <v>TN Electric Power Wood and Waste</v>
          </cell>
          <cell r="F3219">
            <v>0</v>
          </cell>
          <cell r="G3219">
            <v>0</v>
          </cell>
          <cell r="H3219">
            <v>202</v>
          </cell>
          <cell r="I3219">
            <v>224</v>
          </cell>
          <cell r="J3219">
            <v>233</v>
          </cell>
          <cell r="K3219">
            <v>247</v>
          </cell>
          <cell r="L3219">
            <v>292</v>
          </cell>
          <cell r="M3219">
            <v>302</v>
          </cell>
          <cell r="N3219">
            <v>284</v>
          </cell>
          <cell r="O3219">
            <v>270</v>
          </cell>
          <cell r="P3219">
            <v>378</v>
          </cell>
          <cell r="Q3219">
            <v>461</v>
          </cell>
          <cell r="R3219">
            <v>450</v>
          </cell>
          <cell r="S3219">
            <v>375</v>
          </cell>
          <cell r="T3219">
            <v>218</v>
          </cell>
          <cell r="U3219">
            <v>321</v>
          </cell>
          <cell r="V3219">
            <v>293</v>
          </cell>
          <cell r="W3219">
            <v>235</v>
          </cell>
          <cell r="X3219">
            <v>325</v>
          </cell>
          <cell r="Y3219">
            <v>329</v>
          </cell>
          <cell r="Z3219">
            <v>301</v>
          </cell>
          <cell r="AA3219">
            <v>363</v>
          </cell>
          <cell r="AB3219">
            <v>631</v>
          </cell>
          <cell r="AC3219">
            <v>842</v>
          </cell>
          <cell r="AD3219">
            <v>904</v>
          </cell>
          <cell r="AE3219">
            <v>851</v>
          </cell>
          <cell r="AF3219">
            <v>923</v>
          </cell>
          <cell r="AG3219">
            <v>910</v>
          </cell>
          <cell r="AH3219">
            <v>891</v>
          </cell>
          <cell r="AI3219">
            <v>879</v>
          </cell>
          <cell r="AJ3219">
            <v>932</v>
          </cell>
        </row>
        <row r="3220">
          <cell r="E3220" t="str">
            <v>TX Electric Power Wood and Waste</v>
          </cell>
          <cell r="F3220">
            <v>3256</v>
          </cell>
          <cell r="G3220">
            <v>3235</v>
          </cell>
          <cell r="H3220">
            <v>3260</v>
          </cell>
          <cell r="I3220">
            <v>3374</v>
          </cell>
          <cell r="J3220">
            <v>3461</v>
          </cell>
          <cell r="K3220">
            <v>394</v>
          </cell>
          <cell r="L3220">
            <v>573</v>
          </cell>
          <cell r="M3220">
            <v>702</v>
          </cell>
          <cell r="N3220">
            <v>719</v>
          </cell>
          <cell r="O3220">
            <v>714</v>
          </cell>
          <cell r="P3220">
            <v>915</v>
          </cell>
          <cell r="Q3220">
            <v>888</v>
          </cell>
          <cell r="R3220">
            <v>2176</v>
          </cell>
          <cell r="S3220">
            <v>3445</v>
          </cell>
          <cell r="T3220">
            <v>2906</v>
          </cell>
          <cell r="U3220">
            <v>2733</v>
          </cell>
          <cell r="V3220">
            <v>2725</v>
          </cell>
          <cell r="W3220">
            <v>4221</v>
          </cell>
          <cell r="X3220">
            <v>4857</v>
          </cell>
          <cell r="Y3220">
            <v>4409</v>
          </cell>
          <cell r="Z3220">
            <v>5108</v>
          </cell>
          <cell r="AA3220">
            <v>6316</v>
          </cell>
          <cell r="AB3220">
            <v>8532</v>
          </cell>
          <cell r="AC3220">
            <v>8139</v>
          </cell>
          <cell r="AD3220">
            <v>10495</v>
          </cell>
          <cell r="AE3220">
            <v>10845</v>
          </cell>
          <cell r="AF3220">
            <v>8935</v>
          </cell>
          <cell r="AG3220">
            <v>7520</v>
          </cell>
          <cell r="AH3220">
            <v>7784</v>
          </cell>
          <cell r="AI3220">
            <v>6403</v>
          </cell>
          <cell r="AJ3220">
            <v>5181</v>
          </cell>
        </row>
        <row r="3221">
          <cell r="E3221" t="str">
            <v>US Electric Power Wood and Waste</v>
          </cell>
          <cell r="F3221">
            <v>316505</v>
          </cell>
          <cell r="G3221">
            <v>354354</v>
          </cell>
          <cell r="H3221">
            <v>402453</v>
          </cell>
          <cell r="I3221">
            <v>414626</v>
          </cell>
          <cell r="J3221">
            <v>433887</v>
          </cell>
          <cell r="K3221">
            <v>421662</v>
          </cell>
          <cell r="L3221">
            <v>438272</v>
          </cell>
          <cell r="M3221">
            <v>445968</v>
          </cell>
          <cell r="N3221">
            <v>444497</v>
          </cell>
          <cell r="O3221">
            <v>453225</v>
          </cell>
          <cell r="P3221">
            <v>452757</v>
          </cell>
          <cell r="Q3221">
            <v>337141</v>
          </cell>
          <cell r="R3221">
            <v>379971</v>
          </cell>
          <cell r="S3221">
            <v>392098</v>
          </cell>
          <cell r="T3221">
            <v>383079</v>
          </cell>
          <cell r="U3221">
            <v>401464</v>
          </cell>
          <cell r="V3221">
            <v>408051</v>
          </cell>
          <cell r="W3221">
            <v>419312</v>
          </cell>
          <cell r="X3221">
            <v>431315</v>
          </cell>
          <cell r="Y3221">
            <v>437670</v>
          </cell>
          <cell r="Z3221">
            <v>459372</v>
          </cell>
          <cell r="AA3221">
            <v>436727</v>
          </cell>
          <cell r="AB3221">
            <v>452644</v>
          </cell>
          <cell r="AC3221">
            <v>469611</v>
          </cell>
          <cell r="AD3221">
            <v>530143</v>
          </cell>
          <cell r="AE3221">
            <v>524879</v>
          </cell>
          <cell r="AF3221">
            <v>505069</v>
          </cell>
          <cell r="AG3221">
            <v>509541</v>
          </cell>
          <cell r="AH3221">
            <v>496085</v>
          </cell>
          <cell r="AI3221">
            <v>448137</v>
          </cell>
          <cell r="AJ3221">
            <v>427573</v>
          </cell>
        </row>
        <row r="3222">
          <cell r="E3222" t="str">
            <v>UT Electric Power Wood and Waste</v>
          </cell>
          <cell r="F3222">
            <v>0</v>
          </cell>
          <cell r="G3222">
            <v>0</v>
          </cell>
          <cell r="H3222">
            <v>0</v>
          </cell>
          <cell r="I3222">
            <v>0</v>
          </cell>
          <cell r="J3222">
            <v>0</v>
          </cell>
          <cell r="K3222">
            <v>0</v>
          </cell>
          <cell r="L3222">
            <v>0</v>
          </cell>
          <cell r="M3222">
            <v>0</v>
          </cell>
          <cell r="N3222">
            <v>0</v>
          </cell>
          <cell r="O3222">
            <v>1361</v>
          </cell>
          <cell r="P3222">
            <v>1385</v>
          </cell>
          <cell r="Q3222">
            <v>754</v>
          </cell>
          <cell r="R3222">
            <v>797</v>
          </cell>
          <cell r="S3222">
            <v>713</v>
          </cell>
          <cell r="T3222">
            <v>758</v>
          </cell>
          <cell r="U3222">
            <v>779</v>
          </cell>
          <cell r="V3222">
            <v>754</v>
          </cell>
          <cell r="W3222">
            <v>623</v>
          </cell>
          <cell r="X3222">
            <v>987</v>
          </cell>
          <cell r="Y3222">
            <v>1139</v>
          </cell>
          <cell r="Z3222">
            <v>1242</v>
          </cell>
          <cell r="AA3222">
            <v>1302</v>
          </cell>
          <cell r="AB3222">
            <v>1314</v>
          </cell>
          <cell r="AC3222">
            <v>1421</v>
          </cell>
          <cell r="AD3222">
            <v>1515</v>
          </cell>
          <cell r="AE3222">
            <v>1247</v>
          </cell>
          <cell r="AF3222">
            <v>1343</v>
          </cell>
          <cell r="AG3222">
            <v>1085</v>
          </cell>
          <cell r="AH3222">
            <v>770</v>
          </cell>
          <cell r="AI3222">
            <v>769</v>
          </cell>
          <cell r="AJ3222">
            <v>840</v>
          </cell>
        </row>
        <row r="3223">
          <cell r="E3223" t="str">
            <v>VA Electric Power Wood and Waste</v>
          </cell>
          <cell r="F3223">
            <v>6638</v>
          </cell>
          <cell r="G3223">
            <v>10115</v>
          </cell>
          <cell r="H3223">
            <v>11092</v>
          </cell>
          <cell r="I3223">
            <v>10109</v>
          </cell>
          <cell r="J3223">
            <v>11761</v>
          </cell>
          <cell r="K3223">
            <v>12923</v>
          </cell>
          <cell r="L3223">
            <v>13495</v>
          </cell>
          <cell r="M3223">
            <v>12656</v>
          </cell>
          <cell r="N3223">
            <v>12228</v>
          </cell>
          <cell r="O3223">
            <v>13980</v>
          </cell>
          <cell r="P3223">
            <v>5687</v>
          </cell>
          <cell r="Q3223">
            <v>6591</v>
          </cell>
          <cell r="R3223">
            <v>11607</v>
          </cell>
          <cell r="S3223">
            <v>12023</v>
          </cell>
          <cell r="T3223">
            <v>14140</v>
          </cell>
          <cell r="U3223">
            <v>13770</v>
          </cell>
          <cell r="V3223">
            <v>12539</v>
          </cell>
          <cell r="W3223">
            <v>13146</v>
          </cell>
          <cell r="X3223">
            <v>16249</v>
          </cell>
          <cell r="Y3223">
            <v>15686</v>
          </cell>
          <cell r="Z3223">
            <v>16299</v>
          </cell>
          <cell r="AA3223">
            <v>15920</v>
          </cell>
          <cell r="AB3223">
            <v>17174</v>
          </cell>
          <cell r="AC3223">
            <v>22098</v>
          </cell>
          <cell r="AD3223">
            <v>32981</v>
          </cell>
          <cell r="AE3223">
            <v>33579</v>
          </cell>
          <cell r="AF3223">
            <v>33594</v>
          </cell>
          <cell r="AG3223">
            <v>28407</v>
          </cell>
          <cell r="AH3223">
            <v>35738</v>
          </cell>
          <cell r="AI3223">
            <v>31176</v>
          </cell>
          <cell r="AJ3223">
            <v>27943</v>
          </cell>
        </row>
        <row r="3224">
          <cell r="E3224" t="str">
            <v>VT Electric Power Wood and Waste</v>
          </cell>
          <cell r="F3224">
            <v>980</v>
          </cell>
          <cell r="G3224">
            <v>1141</v>
          </cell>
          <cell r="H3224">
            <v>1392</v>
          </cell>
          <cell r="I3224">
            <v>2837</v>
          </cell>
          <cell r="J3224">
            <v>2958</v>
          </cell>
          <cell r="K3224">
            <v>3446</v>
          </cell>
          <cell r="L3224">
            <v>3616</v>
          </cell>
          <cell r="M3224">
            <v>3893</v>
          </cell>
          <cell r="N3224">
            <v>3672</v>
          </cell>
          <cell r="O3224">
            <v>4164</v>
          </cell>
          <cell r="P3224">
            <v>3920</v>
          </cell>
          <cell r="Q3224">
            <v>3940</v>
          </cell>
          <cell r="R3224">
            <v>8395</v>
          </cell>
          <cell r="S3224">
            <v>9411</v>
          </cell>
          <cell r="T3224">
            <v>6821</v>
          </cell>
          <cell r="U3224">
            <v>5298</v>
          </cell>
          <cell r="V3224">
            <v>5848</v>
          </cell>
          <cell r="W3224">
            <v>6036</v>
          </cell>
          <cell r="X3224">
            <v>5630</v>
          </cell>
          <cell r="Y3224">
            <v>5663</v>
          </cell>
          <cell r="Z3224">
            <v>6488</v>
          </cell>
          <cell r="AA3224">
            <v>5549</v>
          </cell>
          <cell r="AB3224">
            <v>4970</v>
          </cell>
          <cell r="AC3224">
            <v>6809</v>
          </cell>
          <cell r="AD3224">
            <v>6359</v>
          </cell>
          <cell r="AE3224">
            <v>6535</v>
          </cell>
          <cell r="AF3224">
            <v>6622</v>
          </cell>
          <cell r="AG3224">
            <v>6152</v>
          </cell>
          <cell r="AH3224">
            <v>6054</v>
          </cell>
          <cell r="AI3224">
            <v>5881</v>
          </cell>
          <cell r="AJ3224">
            <v>6367</v>
          </cell>
        </row>
        <row r="3225">
          <cell r="E3225" t="str">
            <v>WA Electric Power Wood and Waste</v>
          </cell>
          <cell r="F3225">
            <v>3717</v>
          </cell>
          <cell r="G3225">
            <v>3696</v>
          </cell>
          <cell r="H3225">
            <v>6608</v>
          </cell>
          <cell r="I3225">
            <v>7253</v>
          </cell>
          <cell r="J3225">
            <v>7338</v>
          </cell>
          <cell r="K3225">
            <v>5970</v>
          </cell>
          <cell r="L3225">
            <v>6556</v>
          </cell>
          <cell r="M3225">
            <v>6567</v>
          </cell>
          <cell r="N3225">
            <v>6750</v>
          </cell>
          <cell r="O3225">
            <v>7467</v>
          </cell>
          <cell r="P3225">
            <v>9849</v>
          </cell>
          <cell r="Q3225">
            <v>7402</v>
          </cell>
          <cell r="R3225">
            <v>9066</v>
          </cell>
          <cell r="S3225">
            <v>12787</v>
          </cell>
          <cell r="T3225">
            <v>10992</v>
          </cell>
          <cell r="U3225">
            <v>11155</v>
          </cell>
          <cell r="V3225">
            <v>10868</v>
          </cell>
          <cell r="W3225">
            <v>11250</v>
          </cell>
          <cell r="X3225">
            <v>7684</v>
          </cell>
          <cell r="Y3225">
            <v>7755</v>
          </cell>
          <cell r="Z3225">
            <v>10286</v>
          </cell>
          <cell r="AA3225">
            <v>9163</v>
          </cell>
          <cell r="AB3225">
            <v>6297</v>
          </cell>
          <cell r="AC3225">
            <v>7663</v>
          </cell>
          <cell r="AD3225">
            <v>7770</v>
          </cell>
          <cell r="AE3225">
            <v>8273</v>
          </cell>
          <cell r="AF3225">
            <v>8446</v>
          </cell>
          <cell r="AG3225">
            <v>8266</v>
          </cell>
          <cell r="AH3225">
            <v>7761</v>
          </cell>
          <cell r="AI3225">
            <v>6124</v>
          </cell>
          <cell r="AJ3225">
            <v>5748</v>
          </cell>
        </row>
        <row r="3226">
          <cell r="E3226" t="str">
            <v>WI Electric Power Wood and Waste</v>
          </cell>
          <cell r="F3226">
            <v>3427</v>
          </cell>
          <cell r="G3226">
            <v>3209</v>
          </cell>
          <cell r="H3226">
            <v>3407</v>
          </cell>
          <cell r="I3226">
            <v>4123</v>
          </cell>
          <cell r="J3226">
            <v>4730</v>
          </cell>
          <cell r="K3226">
            <v>4901</v>
          </cell>
          <cell r="L3226">
            <v>5302</v>
          </cell>
          <cell r="M3226">
            <v>6040</v>
          </cell>
          <cell r="N3226">
            <v>6658</v>
          </cell>
          <cell r="O3226">
            <v>5664</v>
          </cell>
          <cell r="P3226">
            <v>5212</v>
          </cell>
          <cell r="Q3226">
            <v>4130</v>
          </cell>
          <cell r="R3226">
            <v>5072</v>
          </cell>
          <cell r="S3226">
            <v>5453</v>
          </cell>
          <cell r="T3226">
            <v>7838</v>
          </cell>
          <cell r="U3226">
            <v>6716</v>
          </cell>
          <cell r="V3226">
            <v>8142</v>
          </cell>
          <cell r="W3226">
            <v>8841</v>
          </cell>
          <cell r="X3226">
            <v>9195</v>
          </cell>
          <cell r="Y3226">
            <v>9814</v>
          </cell>
          <cell r="Z3226">
            <v>10720</v>
          </cell>
          <cell r="AA3226">
            <v>14787</v>
          </cell>
          <cell r="AB3226">
            <v>15753</v>
          </cell>
          <cell r="AC3226">
            <v>15017</v>
          </cell>
          <cell r="AD3226">
            <v>17642</v>
          </cell>
          <cell r="AE3226">
            <v>17373</v>
          </cell>
          <cell r="AF3226">
            <v>14325</v>
          </cell>
          <cell r="AG3226">
            <v>14498</v>
          </cell>
          <cell r="AH3226">
            <v>13615</v>
          </cell>
          <cell r="AI3226">
            <v>14071</v>
          </cell>
          <cell r="AJ3226">
            <v>12572</v>
          </cell>
        </row>
        <row r="3227">
          <cell r="E3227" t="str">
            <v>WV Electric Power Wood and Waste</v>
          </cell>
          <cell r="F3227">
            <v>0</v>
          </cell>
          <cell r="G3227">
            <v>0</v>
          </cell>
          <cell r="H3227">
            <v>0</v>
          </cell>
          <cell r="I3227">
            <v>0</v>
          </cell>
          <cell r="J3227">
            <v>0</v>
          </cell>
          <cell r="K3227">
            <v>0</v>
          </cell>
          <cell r="L3227">
            <v>0</v>
          </cell>
          <cell r="M3227">
            <v>0</v>
          </cell>
          <cell r="N3227">
            <v>0</v>
          </cell>
          <cell r="O3227">
            <v>0</v>
          </cell>
          <cell r="P3227">
            <v>147</v>
          </cell>
          <cell r="Q3227">
            <v>157</v>
          </cell>
          <cell r="R3227">
            <v>35</v>
          </cell>
          <cell r="S3227">
            <v>30</v>
          </cell>
          <cell r="T3227">
            <v>20</v>
          </cell>
          <cell r="U3227">
            <v>7</v>
          </cell>
          <cell r="V3227">
            <v>0</v>
          </cell>
          <cell r="W3227">
            <v>0</v>
          </cell>
          <cell r="X3227">
            <v>0</v>
          </cell>
          <cell r="Y3227">
            <v>0</v>
          </cell>
          <cell r="Z3227">
            <v>0</v>
          </cell>
          <cell r="AA3227">
            <v>138</v>
          </cell>
          <cell r="AB3227">
            <v>118</v>
          </cell>
          <cell r="AC3227">
            <v>45</v>
          </cell>
          <cell r="AD3227">
            <v>54</v>
          </cell>
          <cell r="AE3227">
            <v>66</v>
          </cell>
          <cell r="AF3227">
            <v>0</v>
          </cell>
          <cell r="AG3227">
            <v>0</v>
          </cell>
          <cell r="AH3227">
            <v>0</v>
          </cell>
          <cell r="AI3227">
            <v>0</v>
          </cell>
          <cell r="AJ3227">
            <v>29</v>
          </cell>
        </row>
        <row r="3228">
          <cell r="E3228" t="str">
            <v>WY Electric Power Wood and Waste</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row>
        <row r="3229">
          <cell r="E3229" t="str">
            <v>AK Industrial Wood and Waste</v>
          </cell>
          <cell r="F3229">
            <v>6480</v>
          </cell>
          <cell r="G3229">
            <v>6184</v>
          </cell>
          <cell r="H3229">
            <v>6896</v>
          </cell>
          <cell r="I3229">
            <v>4858</v>
          </cell>
          <cell r="J3229">
            <v>7557</v>
          </cell>
          <cell r="K3229">
            <v>6203</v>
          </cell>
          <cell r="L3229">
            <v>5863</v>
          </cell>
          <cell r="M3229">
            <v>1847</v>
          </cell>
          <cell r="N3229">
            <v>242</v>
          </cell>
          <cell r="O3229">
            <v>104</v>
          </cell>
          <cell r="P3229">
            <v>101</v>
          </cell>
          <cell r="Q3229">
            <v>19</v>
          </cell>
          <cell r="R3229">
            <v>154</v>
          </cell>
          <cell r="S3229">
            <v>78</v>
          </cell>
          <cell r="T3229">
            <v>97</v>
          </cell>
          <cell r="U3229">
            <v>52</v>
          </cell>
          <cell r="V3229">
            <v>95</v>
          </cell>
          <cell r="W3229">
            <v>129</v>
          </cell>
          <cell r="X3229">
            <v>70</v>
          </cell>
          <cell r="Y3229">
            <v>94</v>
          </cell>
          <cell r="Z3229">
            <v>104</v>
          </cell>
          <cell r="AA3229">
            <v>155</v>
          </cell>
          <cell r="AB3229">
            <v>145</v>
          </cell>
          <cell r="AC3229">
            <v>180</v>
          </cell>
          <cell r="AD3229">
            <v>208</v>
          </cell>
          <cell r="AE3229">
            <v>167</v>
          </cell>
          <cell r="AF3229">
            <v>121</v>
          </cell>
          <cell r="AG3229">
            <v>86</v>
          </cell>
          <cell r="AH3229">
            <v>99</v>
          </cell>
          <cell r="AI3229">
            <v>78</v>
          </cell>
          <cell r="AJ3229">
            <v>72</v>
          </cell>
        </row>
        <row r="3230">
          <cell r="E3230" t="str">
            <v>AL Industrial Wood and Waste</v>
          </cell>
          <cell r="F3230">
            <v>100885</v>
          </cell>
          <cell r="G3230">
            <v>99669</v>
          </cell>
          <cell r="H3230">
            <v>105583</v>
          </cell>
          <cell r="I3230">
            <v>135893</v>
          </cell>
          <cell r="J3230">
            <v>177630</v>
          </cell>
          <cell r="K3230">
            <v>187712</v>
          </cell>
          <cell r="L3230">
            <v>174338</v>
          </cell>
          <cell r="M3230">
            <v>155654</v>
          </cell>
          <cell r="N3230">
            <v>184205</v>
          </cell>
          <cell r="O3230">
            <v>191472</v>
          </cell>
          <cell r="P3230">
            <v>192986</v>
          </cell>
          <cell r="Q3230">
            <v>155232</v>
          </cell>
          <cell r="R3230">
            <v>153307</v>
          </cell>
          <cell r="S3230">
            <v>145353</v>
          </cell>
          <cell r="T3230">
            <v>174133</v>
          </cell>
          <cell r="U3230">
            <v>169338</v>
          </cell>
          <cell r="V3230">
            <v>185668</v>
          </cell>
          <cell r="W3230">
            <v>178230</v>
          </cell>
          <cell r="X3230">
            <v>163345</v>
          </cell>
          <cell r="Y3230">
            <v>129478</v>
          </cell>
          <cell r="Z3230">
            <v>143825</v>
          </cell>
          <cell r="AA3230">
            <v>156899</v>
          </cell>
          <cell r="AB3230">
            <v>160622</v>
          </cell>
          <cell r="AC3230">
            <v>174621</v>
          </cell>
          <cell r="AD3230">
            <v>164530</v>
          </cell>
          <cell r="AE3230">
            <v>157894</v>
          </cell>
          <cell r="AF3230">
            <v>156903</v>
          </cell>
          <cell r="AG3230">
            <v>162301</v>
          </cell>
          <cell r="AH3230">
            <v>162703</v>
          </cell>
          <cell r="AI3230">
            <v>163217</v>
          </cell>
          <cell r="AJ3230">
            <v>158263</v>
          </cell>
        </row>
        <row r="3231">
          <cell r="E3231" t="str">
            <v>AR Industrial Wood and Waste</v>
          </cell>
          <cell r="F3231">
            <v>66909</v>
          </cell>
          <cell r="G3231">
            <v>67561</v>
          </cell>
          <cell r="H3231">
            <v>72222</v>
          </cell>
          <cell r="I3231">
            <v>80091</v>
          </cell>
          <cell r="J3231">
            <v>77087</v>
          </cell>
          <cell r="K3231">
            <v>77522</v>
          </cell>
          <cell r="L3231">
            <v>82171</v>
          </cell>
          <cell r="M3231">
            <v>83985</v>
          </cell>
          <cell r="N3231">
            <v>79375</v>
          </cell>
          <cell r="O3231">
            <v>79428</v>
          </cell>
          <cell r="P3231">
            <v>80569</v>
          </cell>
          <cell r="Q3231">
            <v>63996</v>
          </cell>
          <cell r="R3231">
            <v>70105</v>
          </cell>
          <cell r="S3231">
            <v>70339</v>
          </cell>
          <cell r="T3231">
            <v>70473</v>
          </cell>
          <cell r="U3231">
            <v>72492</v>
          </cell>
          <cell r="V3231">
            <v>77443</v>
          </cell>
          <cell r="W3231">
            <v>80024</v>
          </cell>
          <cell r="X3231">
            <v>67752</v>
          </cell>
          <cell r="Y3231">
            <v>70995</v>
          </cell>
          <cell r="Z3231">
            <v>75926</v>
          </cell>
          <cell r="AA3231">
            <v>78962</v>
          </cell>
          <cell r="AB3231">
            <v>78901</v>
          </cell>
          <cell r="AC3231">
            <v>76729</v>
          </cell>
          <cell r="AD3231">
            <v>75321</v>
          </cell>
          <cell r="AE3231">
            <v>69150</v>
          </cell>
          <cell r="AF3231">
            <v>65769</v>
          </cell>
          <cell r="AG3231">
            <v>67607</v>
          </cell>
          <cell r="AH3231">
            <v>66975</v>
          </cell>
          <cell r="AI3231">
            <v>65470</v>
          </cell>
          <cell r="AJ3231">
            <v>50655</v>
          </cell>
        </row>
        <row r="3232">
          <cell r="E3232" t="str">
            <v>AZ Industrial Wood and Waste</v>
          </cell>
          <cell r="F3232">
            <v>4623</v>
          </cell>
          <cell r="G3232">
            <v>5031</v>
          </cell>
          <cell r="H3232">
            <v>5065</v>
          </cell>
          <cell r="I3232">
            <v>3778</v>
          </cell>
          <cell r="J3232">
            <v>4132</v>
          </cell>
          <cell r="K3232">
            <v>5042</v>
          </cell>
          <cell r="L3232">
            <v>3093</v>
          </cell>
          <cell r="M3232">
            <v>3206</v>
          </cell>
          <cell r="N3232">
            <v>807</v>
          </cell>
          <cell r="O3232">
            <v>829</v>
          </cell>
          <cell r="P3232">
            <v>749</v>
          </cell>
          <cell r="Q3232">
            <v>1276</v>
          </cell>
          <cell r="R3232">
            <v>935</v>
          </cell>
          <cell r="S3232">
            <v>941</v>
          </cell>
          <cell r="T3232">
            <v>982</v>
          </cell>
          <cell r="U3232">
            <v>1004</v>
          </cell>
          <cell r="V3232">
            <v>1218</v>
          </cell>
          <cell r="W3232">
            <v>1319</v>
          </cell>
          <cell r="X3232">
            <v>1283</v>
          </cell>
          <cell r="Y3232">
            <v>1270</v>
          </cell>
          <cell r="Z3232">
            <v>1683</v>
          </cell>
          <cell r="AA3232">
            <v>257</v>
          </cell>
          <cell r="AB3232">
            <v>254</v>
          </cell>
          <cell r="AC3232">
            <v>257</v>
          </cell>
          <cell r="AD3232">
            <v>262</v>
          </cell>
          <cell r="AE3232">
            <v>262</v>
          </cell>
          <cell r="AF3232">
            <v>262</v>
          </cell>
          <cell r="AG3232">
            <v>1334</v>
          </cell>
          <cell r="AH3232">
            <v>1312</v>
          </cell>
          <cell r="AI3232">
            <v>1312</v>
          </cell>
          <cell r="AJ3232">
            <v>1312</v>
          </cell>
        </row>
        <row r="3233">
          <cell r="E3233" t="str">
            <v>CA Industrial Wood and Waste</v>
          </cell>
          <cell r="F3233">
            <v>65331</v>
          </cell>
          <cell r="G3233">
            <v>58544</v>
          </cell>
          <cell r="H3233">
            <v>57073</v>
          </cell>
          <cell r="I3233">
            <v>46715</v>
          </cell>
          <cell r="J3233">
            <v>44821</v>
          </cell>
          <cell r="K3233">
            <v>42268</v>
          </cell>
          <cell r="L3233">
            <v>35567</v>
          </cell>
          <cell r="M3233">
            <v>42050</v>
          </cell>
          <cell r="N3233">
            <v>34671</v>
          </cell>
          <cell r="O3233">
            <v>37611</v>
          </cell>
          <cell r="P3233">
            <v>41117</v>
          </cell>
          <cell r="Q3233">
            <v>50862</v>
          </cell>
          <cell r="R3233">
            <v>34921</v>
          </cell>
          <cell r="S3233">
            <v>33812</v>
          </cell>
          <cell r="T3233">
            <v>33983</v>
          </cell>
          <cell r="U3233">
            <v>37033</v>
          </cell>
          <cell r="V3233">
            <v>30569</v>
          </cell>
          <cell r="W3233">
            <v>31519</v>
          </cell>
          <cell r="X3233">
            <v>28310</v>
          </cell>
          <cell r="Y3233">
            <v>26700</v>
          </cell>
          <cell r="Z3233">
            <v>29930</v>
          </cell>
          <cell r="AA3233">
            <v>32639</v>
          </cell>
          <cell r="AB3233">
            <v>31652</v>
          </cell>
          <cell r="AC3233">
            <v>31637</v>
          </cell>
          <cell r="AD3233">
            <v>28451</v>
          </cell>
          <cell r="AE3233">
            <v>27021</v>
          </cell>
          <cell r="AF3233">
            <v>28779</v>
          </cell>
          <cell r="AG3233">
            <v>32509</v>
          </cell>
          <cell r="AH3233">
            <v>32415</v>
          </cell>
          <cell r="AI3233">
            <v>32461</v>
          </cell>
          <cell r="AJ3233">
            <v>53247</v>
          </cell>
        </row>
        <row r="3234">
          <cell r="E3234" t="str">
            <v>CO Industrial Wood and Waste</v>
          </cell>
          <cell r="F3234">
            <v>2358</v>
          </cell>
          <cell r="G3234">
            <v>2322</v>
          </cell>
          <cell r="H3234">
            <v>2188</v>
          </cell>
          <cell r="I3234">
            <v>2142</v>
          </cell>
          <cell r="J3234">
            <v>2014</v>
          </cell>
          <cell r="K3234">
            <v>2059</v>
          </cell>
          <cell r="L3234">
            <v>2000</v>
          </cell>
          <cell r="M3234">
            <v>1667</v>
          </cell>
          <cell r="N3234">
            <v>1584</v>
          </cell>
          <cell r="O3234">
            <v>1610</v>
          </cell>
          <cell r="P3234">
            <v>1329</v>
          </cell>
          <cell r="Q3234">
            <v>366</v>
          </cell>
          <cell r="R3234">
            <v>283</v>
          </cell>
          <cell r="S3234">
            <v>282</v>
          </cell>
          <cell r="T3234">
            <v>291</v>
          </cell>
          <cell r="U3234">
            <v>299</v>
          </cell>
          <cell r="V3234">
            <v>341</v>
          </cell>
          <cell r="W3234">
            <v>371</v>
          </cell>
          <cell r="X3234">
            <v>362</v>
          </cell>
          <cell r="Y3234">
            <v>363</v>
          </cell>
          <cell r="Z3234">
            <v>467</v>
          </cell>
          <cell r="AA3234">
            <v>399</v>
          </cell>
          <cell r="AB3234">
            <v>395</v>
          </cell>
          <cell r="AC3234">
            <v>399</v>
          </cell>
          <cell r="AD3234">
            <v>392</v>
          </cell>
          <cell r="AE3234">
            <v>392</v>
          </cell>
          <cell r="AF3234">
            <v>392</v>
          </cell>
          <cell r="AG3234">
            <v>503</v>
          </cell>
          <cell r="AH3234">
            <v>492</v>
          </cell>
          <cell r="AI3234">
            <v>492</v>
          </cell>
          <cell r="AJ3234">
            <v>492</v>
          </cell>
        </row>
        <row r="3235">
          <cell r="E3235" t="str">
            <v>CT Industrial Wood and Waste</v>
          </cell>
          <cell r="F3235">
            <v>2135</v>
          </cell>
          <cell r="G3235">
            <v>2242</v>
          </cell>
          <cell r="H3235">
            <v>2022</v>
          </cell>
          <cell r="I3235">
            <v>2109</v>
          </cell>
          <cell r="J3235">
            <v>2466</v>
          </cell>
          <cell r="K3235">
            <v>2898</v>
          </cell>
          <cell r="L3235">
            <v>5770</v>
          </cell>
          <cell r="M3235">
            <v>6130</v>
          </cell>
          <cell r="N3235">
            <v>5087</v>
          </cell>
          <cell r="O3235">
            <v>5257</v>
          </cell>
          <cell r="P3235">
            <v>5012</v>
          </cell>
          <cell r="Q3235">
            <v>5060</v>
          </cell>
          <cell r="R3235">
            <v>3567</v>
          </cell>
          <cell r="S3235">
            <v>3630</v>
          </cell>
          <cell r="T3235">
            <v>3837</v>
          </cell>
          <cell r="U3235">
            <v>3887</v>
          </cell>
          <cell r="V3235">
            <v>3403</v>
          </cell>
          <cell r="W3235">
            <v>3571</v>
          </cell>
          <cell r="X3235">
            <v>3441</v>
          </cell>
          <cell r="Y3235">
            <v>3129</v>
          </cell>
          <cell r="Z3235">
            <v>4952</v>
          </cell>
          <cell r="AA3235">
            <v>4405</v>
          </cell>
          <cell r="AB3235">
            <v>4399</v>
          </cell>
          <cell r="AC3235">
            <v>4404</v>
          </cell>
          <cell r="AD3235">
            <v>4262</v>
          </cell>
          <cell r="AE3235">
            <v>4262</v>
          </cell>
          <cell r="AF3235">
            <v>4262</v>
          </cell>
          <cell r="AG3235">
            <v>3594</v>
          </cell>
          <cell r="AH3235">
            <v>3641</v>
          </cell>
          <cell r="AI3235">
            <v>3633</v>
          </cell>
          <cell r="AJ3235">
            <v>3629</v>
          </cell>
        </row>
        <row r="3236">
          <cell r="E3236" t="str">
            <v>DC Industrial Wood and Waste</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row>
        <row r="3237">
          <cell r="E3237" t="str">
            <v>DE Industrial Wood and Waste</v>
          </cell>
          <cell r="F3237">
            <v>234</v>
          </cell>
          <cell r="G3237">
            <v>246</v>
          </cell>
          <cell r="H3237">
            <v>222</v>
          </cell>
          <cell r="I3237">
            <v>232</v>
          </cell>
          <cell r="J3237">
            <v>274</v>
          </cell>
          <cell r="K3237">
            <v>323</v>
          </cell>
          <cell r="L3237">
            <v>406</v>
          </cell>
          <cell r="M3237">
            <v>438</v>
          </cell>
          <cell r="N3237">
            <v>359</v>
          </cell>
          <cell r="O3237">
            <v>371</v>
          </cell>
          <cell r="P3237">
            <v>357</v>
          </cell>
          <cell r="Q3237">
            <v>113</v>
          </cell>
          <cell r="R3237">
            <v>78</v>
          </cell>
          <cell r="S3237">
            <v>78</v>
          </cell>
          <cell r="T3237">
            <v>80</v>
          </cell>
          <cell r="U3237">
            <v>83</v>
          </cell>
          <cell r="V3237">
            <v>29</v>
          </cell>
          <cell r="W3237">
            <v>31</v>
          </cell>
          <cell r="X3237">
            <v>30</v>
          </cell>
          <cell r="Y3237">
            <v>27</v>
          </cell>
          <cell r="Z3237">
            <v>42</v>
          </cell>
          <cell r="AA3237">
            <v>34</v>
          </cell>
          <cell r="AB3237">
            <v>33</v>
          </cell>
          <cell r="AC3237">
            <v>33</v>
          </cell>
          <cell r="AD3237">
            <v>203</v>
          </cell>
          <cell r="AE3237">
            <v>111</v>
          </cell>
          <cell r="AF3237">
            <v>112</v>
          </cell>
          <cell r="AG3237">
            <v>163</v>
          </cell>
          <cell r="AH3237">
            <v>187</v>
          </cell>
          <cell r="AI3237">
            <v>162</v>
          </cell>
          <cell r="AJ3237">
            <v>181</v>
          </cell>
        </row>
        <row r="3238">
          <cell r="E3238" t="str">
            <v>FL Industrial Wood and Waste</v>
          </cell>
          <cell r="F3238">
            <v>110974</v>
          </cell>
          <cell r="G3238">
            <v>110450</v>
          </cell>
          <cell r="H3238">
            <v>115999</v>
          </cell>
          <cell r="I3238">
            <v>118463</v>
          </cell>
          <cell r="J3238">
            <v>113583</v>
          </cell>
          <cell r="K3238">
            <v>112896</v>
          </cell>
          <cell r="L3238">
            <v>120419</v>
          </cell>
          <cell r="M3238">
            <v>117271</v>
          </cell>
          <cell r="N3238">
            <v>99762</v>
          </cell>
          <cell r="O3238">
            <v>95849</v>
          </cell>
          <cell r="P3238">
            <v>90160</v>
          </cell>
          <cell r="Q3238">
            <v>87885</v>
          </cell>
          <cell r="R3238">
            <v>93003</v>
          </cell>
          <cell r="S3238">
            <v>100247</v>
          </cell>
          <cell r="T3238">
            <v>91175</v>
          </cell>
          <cell r="U3238">
            <v>99688</v>
          </cell>
          <cell r="V3238">
            <v>102303</v>
          </cell>
          <cell r="W3238">
            <v>105085</v>
          </cell>
          <cell r="X3238">
            <v>109039</v>
          </cell>
          <cell r="Y3238">
            <v>109185</v>
          </cell>
          <cell r="Z3238">
            <v>122925</v>
          </cell>
          <cell r="AA3238">
            <v>122365</v>
          </cell>
          <cell r="AB3238">
            <v>118818</v>
          </cell>
          <cell r="AC3238">
            <v>121837</v>
          </cell>
          <cell r="AD3238">
            <v>111438</v>
          </cell>
          <cell r="AE3238">
            <v>120226</v>
          </cell>
          <cell r="AF3238">
            <v>114366</v>
          </cell>
          <cell r="AG3238">
            <v>111626</v>
          </cell>
          <cell r="AH3238">
            <v>105573</v>
          </cell>
          <cell r="AI3238">
            <v>105325</v>
          </cell>
          <cell r="AJ3238">
            <v>93868</v>
          </cell>
        </row>
        <row r="3239">
          <cell r="E3239" t="str">
            <v>GA Industrial Wood and Waste</v>
          </cell>
          <cell r="F3239">
            <v>175470</v>
          </cell>
          <cell r="G3239">
            <v>169860</v>
          </cell>
          <cell r="H3239">
            <v>170118</v>
          </cell>
          <cell r="I3239">
            <v>173996</v>
          </cell>
          <cell r="J3239">
            <v>176940</v>
          </cell>
          <cell r="K3239">
            <v>186533</v>
          </cell>
          <cell r="L3239">
            <v>188432</v>
          </cell>
          <cell r="M3239">
            <v>200997</v>
          </cell>
          <cell r="N3239">
            <v>188514</v>
          </cell>
          <cell r="O3239">
            <v>187821</v>
          </cell>
          <cell r="P3239">
            <v>180747</v>
          </cell>
          <cell r="Q3239">
            <v>153997</v>
          </cell>
          <cell r="R3239">
            <v>244662</v>
          </cell>
          <cell r="S3239">
            <v>167786</v>
          </cell>
          <cell r="T3239">
            <v>177578</v>
          </cell>
          <cell r="U3239">
            <v>167517</v>
          </cell>
          <cell r="V3239">
            <v>174352</v>
          </cell>
          <cell r="W3239">
            <v>170392</v>
          </cell>
          <cell r="X3239">
            <v>139400</v>
          </cell>
          <cell r="Y3239">
            <v>133576</v>
          </cell>
          <cell r="Z3239">
            <v>155195</v>
          </cell>
          <cell r="AA3239">
            <v>162475</v>
          </cell>
          <cell r="AB3239">
            <v>159370</v>
          </cell>
          <cell r="AC3239">
            <v>179835</v>
          </cell>
          <cell r="AD3239">
            <v>197293</v>
          </cell>
          <cell r="AE3239">
            <v>210927</v>
          </cell>
          <cell r="AF3239">
            <v>194288</v>
          </cell>
          <cell r="AG3239">
            <v>181856</v>
          </cell>
          <cell r="AH3239">
            <v>183628</v>
          </cell>
          <cell r="AI3239">
            <v>189547</v>
          </cell>
          <cell r="AJ3239">
            <v>181532</v>
          </cell>
        </row>
        <row r="3240">
          <cell r="E3240" t="str">
            <v>HI Industrial Wood and Waste</v>
          </cell>
          <cell r="F3240">
            <v>18159</v>
          </cell>
          <cell r="G3240">
            <v>17790</v>
          </cell>
          <cell r="H3240">
            <v>17678</v>
          </cell>
          <cell r="I3240">
            <v>16757</v>
          </cell>
          <cell r="J3240">
            <v>14164</v>
          </cell>
          <cell r="K3240">
            <v>13256</v>
          </cell>
          <cell r="L3240">
            <v>14145</v>
          </cell>
          <cell r="M3240">
            <v>11825</v>
          </cell>
          <cell r="N3240">
            <v>11125</v>
          </cell>
          <cell r="O3240">
            <v>11571</v>
          </cell>
          <cell r="P3240">
            <v>9869</v>
          </cell>
          <cell r="Q3240">
            <v>5117</v>
          </cell>
          <cell r="R3240">
            <v>5083</v>
          </cell>
          <cell r="S3240">
            <v>6745</v>
          </cell>
          <cell r="T3240">
            <v>6795</v>
          </cell>
          <cell r="U3240">
            <v>5943</v>
          </cell>
          <cell r="V3240">
            <v>5753</v>
          </cell>
          <cell r="W3240">
            <v>5447</v>
          </cell>
          <cell r="X3240">
            <v>5351</v>
          </cell>
          <cell r="Y3240">
            <v>5155</v>
          </cell>
          <cell r="Z3240">
            <v>4392</v>
          </cell>
          <cell r="AA3240">
            <v>3659</v>
          </cell>
          <cell r="AB3240">
            <v>3778</v>
          </cell>
          <cell r="AC3240">
            <v>4036</v>
          </cell>
          <cell r="AD3240">
            <v>3412</v>
          </cell>
          <cell r="AE3240">
            <v>3169</v>
          </cell>
          <cell r="AF3240">
            <v>3360</v>
          </cell>
          <cell r="AG3240">
            <v>68</v>
          </cell>
          <cell r="AH3240">
            <v>68</v>
          </cell>
          <cell r="AI3240">
            <v>68</v>
          </cell>
          <cell r="AJ3240">
            <v>68</v>
          </cell>
        </row>
        <row r="3241">
          <cell r="E3241" t="str">
            <v>IA Industrial Wood and Waste</v>
          </cell>
          <cell r="F3241">
            <v>39922</v>
          </cell>
          <cell r="G3241">
            <v>38989</v>
          </cell>
          <cell r="H3241">
            <v>36954</v>
          </cell>
          <cell r="I3241">
            <v>35894</v>
          </cell>
          <cell r="J3241">
            <v>33134</v>
          </cell>
          <cell r="K3241">
            <v>33093</v>
          </cell>
          <cell r="L3241">
            <v>40239</v>
          </cell>
          <cell r="M3241">
            <v>31974</v>
          </cell>
          <cell r="N3241">
            <v>30881</v>
          </cell>
          <cell r="O3241">
            <v>31257</v>
          </cell>
          <cell r="P3241">
            <v>24917</v>
          </cell>
          <cell r="Q3241">
            <v>20852</v>
          </cell>
          <cell r="R3241">
            <v>23791</v>
          </cell>
          <cell r="S3241">
            <v>22956</v>
          </cell>
          <cell r="T3241">
            <v>22770</v>
          </cell>
          <cell r="U3241">
            <v>24067</v>
          </cell>
          <cell r="V3241">
            <v>14398</v>
          </cell>
          <cell r="W3241">
            <v>16287</v>
          </cell>
          <cell r="X3241">
            <v>16276</v>
          </cell>
          <cell r="Y3241">
            <v>18373</v>
          </cell>
          <cell r="Z3241">
            <v>19488</v>
          </cell>
          <cell r="AA3241">
            <v>11176</v>
          </cell>
          <cell r="AB3241">
            <v>10208</v>
          </cell>
          <cell r="AC3241">
            <v>10688</v>
          </cell>
          <cell r="AD3241">
            <v>13455</v>
          </cell>
          <cell r="AE3241">
            <v>12785</v>
          </cell>
          <cell r="AF3241">
            <v>12540</v>
          </cell>
          <cell r="AG3241">
            <v>10399</v>
          </cell>
          <cell r="AH3241">
            <v>10405</v>
          </cell>
          <cell r="AI3241">
            <v>10937</v>
          </cell>
          <cell r="AJ3241">
            <v>10820</v>
          </cell>
        </row>
        <row r="3242">
          <cell r="E3242" t="str">
            <v>ID Industrial Wood and Waste</v>
          </cell>
          <cell r="F3242">
            <v>20005</v>
          </cell>
          <cell r="G3242">
            <v>19790</v>
          </cell>
          <cell r="H3242">
            <v>21358</v>
          </cell>
          <cell r="I3242">
            <v>20949</v>
          </cell>
          <cell r="J3242">
            <v>19881</v>
          </cell>
          <cell r="K3242">
            <v>21556</v>
          </cell>
          <cell r="L3242">
            <v>22370</v>
          </cell>
          <cell r="M3242">
            <v>24231</v>
          </cell>
          <cell r="N3242">
            <v>23243</v>
          </cell>
          <cell r="O3242">
            <v>24509</v>
          </cell>
          <cell r="P3242">
            <v>24050</v>
          </cell>
          <cell r="Q3242">
            <v>25796</v>
          </cell>
          <cell r="R3242">
            <v>19106</v>
          </cell>
          <cell r="S3242">
            <v>19311</v>
          </cell>
          <cell r="T3242">
            <v>22537</v>
          </cell>
          <cell r="U3242">
            <v>23200</v>
          </cell>
          <cell r="V3242">
            <v>21881</v>
          </cell>
          <cell r="W3242">
            <v>22319</v>
          </cell>
          <cell r="X3242">
            <v>20271</v>
          </cell>
          <cell r="Y3242">
            <v>19827</v>
          </cell>
          <cell r="Z3242">
            <v>23363</v>
          </cell>
          <cell r="AA3242">
            <v>18633</v>
          </cell>
          <cell r="AB3242">
            <v>18055</v>
          </cell>
          <cell r="AC3242">
            <v>17703</v>
          </cell>
          <cell r="AD3242">
            <v>18039</v>
          </cell>
          <cell r="AE3242">
            <v>17405</v>
          </cell>
          <cell r="AF3242">
            <v>16900</v>
          </cell>
          <cell r="AG3242">
            <v>17722</v>
          </cell>
          <cell r="AH3242">
            <v>18792</v>
          </cell>
          <cell r="AI3242">
            <v>17181</v>
          </cell>
          <cell r="AJ3242">
            <v>16882</v>
          </cell>
        </row>
        <row r="3243">
          <cell r="E3243" t="str">
            <v>IL Industrial Wood and Waste</v>
          </cell>
          <cell r="F3243">
            <v>31593</v>
          </cell>
          <cell r="G3243">
            <v>31118</v>
          </cell>
          <cell r="H3243">
            <v>30031</v>
          </cell>
          <cell r="I3243">
            <v>29509</v>
          </cell>
          <cell r="J3243">
            <v>27724</v>
          </cell>
          <cell r="K3243">
            <v>28272</v>
          </cell>
          <cell r="L3243">
            <v>33303</v>
          </cell>
          <cell r="M3243">
            <v>29660</v>
          </cell>
          <cell r="N3243">
            <v>25845</v>
          </cell>
          <cell r="O3243">
            <v>25879</v>
          </cell>
          <cell r="P3243">
            <v>20654</v>
          </cell>
          <cell r="Q3243">
            <v>14594</v>
          </cell>
          <cell r="R3243">
            <v>15539</v>
          </cell>
          <cell r="S3243">
            <v>15227</v>
          </cell>
          <cell r="T3243">
            <v>15288</v>
          </cell>
          <cell r="U3243">
            <v>16029</v>
          </cell>
          <cell r="V3243">
            <v>10718</v>
          </cell>
          <cell r="W3243">
            <v>11946</v>
          </cell>
          <cell r="X3243">
            <v>11731</v>
          </cell>
          <cell r="Y3243">
            <v>12442</v>
          </cell>
          <cell r="Z3243">
            <v>14065</v>
          </cell>
          <cell r="AA3243">
            <v>4757</v>
          </cell>
          <cell r="AB3243">
            <v>4454</v>
          </cell>
          <cell r="AC3243">
            <v>4732</v>
          </cell>
          <cell r="AD3243">
            <v>5064</v>
          </cell>
          <cell r="AE3243">
            <v>5553</v>
          </cell>
          <cell r="AF3243">
            <v>5679</v>
          </cell>
          <cell r="AG3243">
            <v>5356</v>
          </cell>
          <cell r="AH3243">
            <v>5702</v>
          </cell>
          <cell r="AI3243">
            <v>5675</v>
          </cell>
          <cell r="AJ3243">
            <v>5647</v>
          </cell>
        </row>
        <row r="3244">
          <cell r="E3244" t="str">
            <v>IN Industrial Wood and Waste</v>
          </cell>
          <cell r="F3244">
            <v>21920</v>
          </cell>
          <cell r="G3244">
            <v>21651</v>
          </cell>
          <cell r="H3244">
            <v>20359</v>
          </cell>
          <cell r="I3244">
            <v>19995</v>
          </cell>
          <cell r="J3244">
            <v>18832</v>
          </cell>
          <cell r="K3244">
            <v>19440</v>
          </cell>
          <cell r="L3244">
            <v>20082</v>
          </cell>
          <cell r="M3244">
            <v>16625</v>
          </cell>
          <cell r="N3244">
            <v>15599</v>
          </cell>
          <cell r="O3244">
            <v>15937</v>
          </cell>
          <cell r="P3244">
            <v>13069</v>
          </cell>
          <cell r="Q3244">
            <v>18052</v>
          </cell>
          <cell r="R3244">
            <v>19033</v>
          </cell>
          <cell r="S3244">
            <v>18585</v>
          </cell>
          <cell r="T3244">
            <v>19168</v>
          </cell>
          <cell r="U3244">
            <v>19680</v>
          </cell>
          <cell r="V3244">
            <v>8847</v>
          </cell>
          <cell r="W3244">
            <v>9781</v>
          </cell>
          <cell r="X3244">
            <v>9556</v>
          </cell>
          <cell r="Y3244">
            <v>10082</v>
          </cell>
          <cell r="Z3244">
            <v>11431</v>
          </cell>
          <cell r="AA3244">
            <v>11662</v>
          </cell>
          <cell r="AB3244">
            <v>11014</v>
          </cell>
          <cell r="AC3244">
            <v>11801</v>
          </cell>
          <cell r="AD3244">
            <v>12432</v>
          </cell>
          <cell r="AE3244">
            <v>12581</v>
          </cell>
          <cell r="AF3244">
            <v>12534</v>
          </cell>
          <cell r="AG3244">
            <v>13830</v>
          </cell>
          <cell r="AH3244">
            <v>13964</v>
          </cell>
          <cell r="AI3244">
            <v>13732</v>
          </cell>
          <cell r="AJ3244">
            <v>14734</v>
          </cell>
        </row>
        <row r="3245">
          <cell r="E3245" t="str">
            <v>KS Industrial Wood and Waste</v>
          </cell>
          <cell r="F3245">
            <v>4708</v>
          </cell>
          <cell r="G3245">
            <v>4618</v>
          </cell>
          <cell r="H3245">
            <v>4363</v>
          </cell>
          <cell r="I3245">
            <v>4256</v>
          </cell>
          <cell r="J3245">
            <v>3975</v>
          </cell>
          <cell r="K3245">
            <v>4023</v>
          </cell>
          <cell r="L3245">
            <v>3893</v>
          </cell>
          <cell r="M3245">
            <v>3152</v>
          </cell>
          <cell r="N3245">
            <v>3012</v>
          </cell>
          <cell r="O3245">
            <v>3055</v>
          </cell>
          <cell r="P3245">
            <v>2468</v>
          </cell>
          <cell r="Q3245">
            <v>2855</v>
          </cell>
          <cell r="R3245">
            <v>2918</v>
          </cell>
          <cell r="S3245">
            <v>2840</v>
          </cell>
          <cell r="T3245">
            <v>2849</v>
          </cell>
          <cell r="U3245">
            <v>2989</v>
          </cell>
          <cell r="V3245">
            <v>582</v>
          </cell>
          <cell r="W3245">
            <v>620</v>
          </cell>
          <cell r="X3245">
            <v>600</v>
          </cell>
          <cell r="Y3245">
            <v>567</v>
          </cell>
          <cell r="Z3245">
            <v>829</v>
          </cell>
          <cell r="AA3245">
            <v>2773</v>
          </cell>
          <cell r="AB3245">
            <v>2480</v>
          </cell>
          <cell r="AC3245">
            <v>1909</v>
          </cell>
          <cell r="AD3245">
            <v>1878</v>
          </cell>
          <cell r="AE3245">
            <v>2025</v>
          </cell>
          <cell r="AF3245">
            <v>1820</v>
          </cell>
          <cell r="AG3245">
            <v>2082</v>
          </cell>
          <cell r="AH3245">
            <v>2502</v>
          </cell>
          <cell r="AI3245">
            <v>2316</v>
          </cell>
          <cell r="AJ3245">
            <v>2250</v>
          </cell>
        </row>
        <row r="3246">
          <cell r="E3246" t="str">
            <v>KY Industrial Wood and Waste</v>
          </cell>
          <cell r="F3246">
            <v>2219</v>
          </cell>
          <cell r="G3246">
            <v>2328</v>
          </cell>
          <cell r="H3246">
            <v>2101</v>
          </cell>
          <cell r="I3246">
            <v>2188</v>
          </cell>
          <cell r="J3246">
            <v>2574</v>
          </cell>
          <cell r="K3246">
            <v>3162</v>
          </cell>
          <cell r="L3246">
            <v>5720</v>
          </cell>
          <cell r="M3246">
            <v>6099</v>
          </cell>
          <cell r="N3246">
            <v>5072</v>
          </cell>
          <cell r="O3246">
            <v>5200</v>
          </cell>
          <cell r="P3246">
            <v>5004</v>
          </cell>
          <cell r="Q3246">
            <v>7073</v>
          </cell>
          <cell r="R3246">
            <v>15480</v>
          </cell>
          <cell r="S3246">
            <v>18671</v>
          </cell>
          <cell r="T3246">
            <v>19551</v>
          </cell>
          <cell r="U3246">
            <v>19984</v>
          </cell>
          <cell r="V3246">
            <v>18820</v>
          </cell>
          <cell r="W3246">
            <v>19750</v>
          </cell>
          <cell r="X3246">
            <v>18197</v>
          </cell>
          <cell r="Y3246">
            <v>13520</v>
          </cell>
          <cell r="Z3246">
            <v>19130</v>
          </cell>
          <cell r="AA3246">
            <v>19741</v>
          </cell>
          <cell r="AB3246">
            <v>17903</v>
          </cell>
          <cell r="AC3246">
            <v>19180</v>
          </cell>
          <cell r="AD3246">
            <v>21306</v>
          </cell>
          <cell r="AE3246">
            <v>21480</v>
          </cell>
          <cell r="AF3246">
            <v>22017</v>
          </cell>
          <cell r="AG3246">
            <v>24583</v>
          </cell>
          <cell r="AH3246">
            <v>24772</v>
          </cell>
          <cell r="AI3246">
            <v>24398</v>
          </cell>
          <cell r="AJ3246">
            <v>20121</v>
          </cell>
        </row>
        <row r="3247">
          <cell r="E3247" t="str">
            <v>LA Industrial Wood and Waste</v>
          </cell>
          <cell r="F3247">
            <v>110824</v>
          </cell>
          <cell r="G3247">
            <v>112906</v>
          </cell>
          <cell r="H3247">
            <v>116072</v>
          </cell>
          <cell r="I3247">
            <v>114174</v>
          </cell>
          <cell r="J3247">
            <v>126980</v>
          </cell>
          <cell r="K3247">
            <v>131340</v>
          </cell>
          <cell r="L3247">
            <v>131799</v>
          </cell>
          <cell r="M3247">
            <v>132900</v>
          </cell>
          <cell r="N3247">
            <v>130947</v>
          </cell>
          <cell r="O3247">
            <v>134149</v>
          </cell>
          <cell r="P3247">
            <v>130881</v>
          </cell>
          <cell r="Q3247">
            <v>122950</v>
          </cell>
          <cell r="R3247">
            <v>126113</v>
          </cell>
          <cell r="S3247">
            <v>133382</v>
          </cell>
          <cell r="T3247">
            <v>168135</v>
          </cell>
          <cell r="U3247">
            <v>139376</v>
          </cell>
          <cell r="V3247">
            <v>138768</v>
          </cell>
          <cell r="W3247">
            <v>137692</v>
          </cell>
          <cell r="X3247">
            <v>94379</v>
          </cell>
          <cell r="Y3247">
            <v>89454</v>
          </cell>
          <cell r="Z3247">
            <v>96393</v>
          </cell>
          <cell r="AA3247">
            <v>95703</v>
          </cell>
          <cell r="AB3247">
            <v>96927</v>
          </cell>
          <cell r="AC3247">
            <v>109315</v>
          </cell>
          <cell r="AD3247">
            <v>131654</v>
          </cell>
          <cell r="AE3247">
            <v>117259</v>
          </cell>
          <cell r="AF3247">
            <v>132925</v>
          </cell>
          <cell r="AG3247">
            <v>122045</v>
          </cell>
          <cell r="AH3247">
            <v>119784</v>
          </cell>
          <cell r="AI3247">
            <v>108699</v>
          </cell>
          <cell r="AJ3247">
            <v>107328</v>
          </cell>
        </row>
        <row r="3248">
          <cell r="E3248" t="str">
            <v>MA Industrial Wood and Waste</v>
          </cell>
          <cell r="F3248">
            <v>7615</v>
          </cell>
          <cell r="G3248">
            <v>7576</v>
          </cell>
          <cell r="H3248">
            <v>7876</v>
          </cell>
          <cell r="I3248">
            <v>7528</v>
          </cell>
          <cell r="J3248">
            <v>8660</v>
          </cell>
          <cell r="K3248">
            <v>9638</v>
          </cell>
          <cell r="L3248">
            <v>9754</v>
          </cell>
          <cell r="M3248">
            <v>10146</v>
          </cell>
          <cell r="N3248">
            <v>6798</v>
          </cell>
          <cell r="O3248">
            <v>7024</v>
          </cell>
          <cell r="P3248">
            <v>6683</v>
          </cell>
          <cell r="Q3248">
            <v>4966</v>
          </cell>
          <cell r="R3248">
            <v>3241</v>
          </cell>
          <cell r="S3248">
            <v>3297</v>
          </cell>
          <cell r="T3248">
            <v>3482</v>
          </cell>
          <cell r="U3248">
            <v>3530</v>
          </cell>
          <cell r="V3248">
            <v>4118</v>
          </cell>
          <cell r="W3248">
            <v>4335</v>
          </cell>
          <cell r="X3248">
            <v>4180</v>
          </cell>
          <cell r="Y3248">
            <v>3837</v>
          </cell>
          <cell r="Z3248">
            <v>5961</v>
          </cell>
          <cell r="AA3248">
            <v>7730</v>
          </cell>
          <cell r="AB3248">
            <v>7651</v>
          </cell>
          <cell r="AC3248">
            <v>7692</v>
          </cell>
          <cell r="AD3248">
            <v>7465</v>
          </cell>
          <cell r="AE3248">
            <v>7459</v>
          </cell>
          <cell r="AF3248">
            <v>7577</v>
          </cell>
          <cell r="AG3248">
            <v>3440</v>
          </cell>
          <cell r="AH3248">
            <v>3304</v>
          </cell>
          <cell r="AI3248">
            <v>3157</v>
          </cell>
          <cell r="AJ3248">
            <v>3148</v>
          </cell>
        </row>
        <row r="3249">
          <cell r="E3249" t="str">
            <v>MD Industrial Wood and Waste</v>
          </cell>
          <cell r="F3249">
            <v>9734</v>
          </cell>
          <cell r="G3249">
            <v>10212</v>
          </cell>
          <cell r="H3249">
            <v>9859</v>
          </cell>
          <cell r="I3249">
            <v>9996</v>
          </cell>
          <cell r="J3249">
            <v>10436</v>
          </cell>
          <cell r="K3249">
            <v>11322</v>
          </cell>
          <cell r="L3249">
            <v>12269</v>
          </cell>
          <cell r="M3249">
            <v>11801</v>
          </cell>
          <cell r="N3249">
            <v>11055</v>
          </cell>
          <cell r="O3249">
            <v>11698</v>
          </cell>
          <cell r="P3249">
            <v>11283</v>
          </cell>
          <cell r="Q3249">
            <v>5684</v>
          </cell>
          <cell r="R3249">
            <v>5793</v>
          </cell>
          <cell r="S3249">
            <v>11506</v>
          </cell>
          <cell r="T3249">
            <v>11616</v>
          </cell>
          <cell r="U3249">
            <v>11739</v>
          </cell>
          <cell r="V3249">
            <v>9878</v>
          </cell>
          <cell r="W3249">
            <v>9479</v>
          </cell>
          <cell r="X3249">
            <v>9212</v>
          </cell>
          <cell r="Y3249">
            <v>8552</v>
          </cell>
          <cell r="Z3249">
            <v>9918</v>
          </cell>
          <cell r="AA3249">
            <v>8309</v>
          </cell>
          <cell r="AB3249">
            <v>8306</v>
          </cell>
          <cell r="AC3249">
            <v>8292</v>
          </cell>
          <cell r="AD3249">
            <v>8375</v>
          </cell>
          <cell r="AE3249">
            <v>7686</v>
          </cell>
          <cell r="AF3249">
            <v>8538</v>
          </cell>
          <cell r="AG3249">
            <v>7786</v>
          </cell>
          <cell r="AH3249">
            <v>7431</v>
          </cell>
          <cell r="AI3249">
            <v>3814</v>
          </cell>
          <cell r="AJ3249">
            <v>799</v>
          </cell>
        </row>
        <row r="3250">
          <cell r="E3250" t="str">
            <v>ME Industrial Wood and Waste</v>
          </cell>
          <cell r="F3250">
            <v>80094</v>
          </cell>
          <cell r="G3250">
            <v>87178</v>
          </cell>
          <cell r="H3250">
            <v>87998</v>
          </cell>
          <cell r="I3250">
            <v>84591</v>
          </cell>
          <cell r="J3250">
            <v>87540</v>
          </cell>
          <cell r="K3250">
            <v>98366</v>
          </cell>
          <cell r="L3250">
            <v>94848</v>
          </cell>
          <cell r="M3250">
            <v>97609</v>
          </cell>
          <cell r="N3250">
            <v>83487</v>
          </cell>
          <cell r="O3250">
            <v>88935</v>
          </cell>
          <cell r="P3250">
            <v>92841</v>
          </cell>
          <cell r="Q3250">
            <v>82682</v>
          </cell>
          <cell r="R3250">
            <v>76638</v>
          </cell>
          <cell r="S3250">
            <v>64054</v>
          </cell>
          <cell r="T3250">
            <v>65403</v>
          </cell>
          <cell r="U3250">
            <v>67757</v>
          </cell>
          <cell r="V3250">
            <v>60965</v>
          </cell>
          <cell r="W3250">
            <v>68076</v>
          </cell>
          <cell r="X3250">
            <v>93516</v>
          </cell>
          <cell r="Y3250">
            <v>55458</v>
          </cell>
          <cell r="Z3250">
            <v>65066</v>
          </cell>
          <cell r="AA3250">
            <v>68914</v>
          </cell>
          <cell r="AB3250">
            <v>70484</v>
          </cell>
          <cell r="AC3250">
            <v>69803</v>
          </cell>
          <cell r="AD3250">
            <v>63998</v>
          </cell>
          <cell r="AE3250">
            <v>56717</v>
          </cell>
          <cell r="AF3250">
            <v>48763</v>
          </cell>
          <cell r="AG3250">
            <v>44053</v>
          </cell>
          <cell r="AH3250">
            <v>44932</v>
          </cell>
          <cell r="AI3250">
            <v>47251</v>
          </cell>
          <cell r="AJ3250">
            <v>39675</v>
          </cell>
        </row>
        <row r="3251">
          <cell r="E3251" t="str">
            <v>MI Industrial Wood and Waste</v>
          </cell>
          <cell r="F3251">
            <v>36495</v>
          </cell>
          <cell r="G3251">
            <v>38183</v>
          </cell>
          <cell r="H3251">
            <v>37852</v>
          </cell>
          <cell r="I3251">
            <v>40631</v>
          </cell>
          <cell r="J3251">
            <v>43003</v>
          </cell>
          <cell r="K3251">
            <v>44671</v>
          </cell>
          <cell r="L3251">
            <v>53304</v>
          </cell>
          <cell r="M3251">
            <v>51395</v>
          </cell>
          <cell r="N3251">
            <v>49553</v>
          </cell>
          <cell r="O3251">
            <v>51370</v>
          </cell>
          <cell r="P3251">
            <v>50408</v>
          </cell>
          <cell r="Q3251">
            <v>35480</v>
          </cell>
          <cell r="R3251">
            <v>25693</v>
          </cell>
          <cell r="S3251">
            <v>35384</v>
          </cell>
          <cell r="T3251">
            <v>37250</v>
          </cell>
          <cell r="U3251">
            <v>36252</v>
          </cell>
          <cell r="V3251">
            <v>34083</v>
          </cell>
          <cell r="W3251">
            <v>34685</v>
          </cell>
          <cell r="X3251">
            <v>35152</v>
          </cell>
          <cell r="Y3251">
            <v>32496</v>
          </cell>
          <cell r="Z3251">
            <v>39996</v>
          </cell>
          <cell r="AA3251">
            <v>51184</v>
          </cell>
          <cell r="AB3251">
            <v>51250</v>
          </cell>
          <cell r="AC3251">
            <v>52744</v>
          </cell>
          <cell r="AD3251">
            <v>52253</v>
          </cell>
          <cell r="AE3251">
            <v>50050</v>
          </cell>
          <cell r="AF3251">
            <v>49280</v>
          </cell>
          <cell r="AG3251">
            <v>44392</v>
          </cell>
          <cell r="AH3251">
            <v>45702</v>
          </cell>
          <cell r="AI3251">
            <v>44896</v>
          </cell>
          <cell r="AJ3251">
            <v>42881</v>
          </cell>
        </row>
        <row r="3252">
          <cell r="E3252" t="str">
            <v>MN Industrial Wood and Waste</v>
          </cell>
          <cell r="F3252">
            <v>28006</v>
          </cell>
          <cell r="G3252">
            <v>29216</v>
          </cell>
          <cell r="H3252">
            <v>30370</v>
          </cell>
          <cell r="I3252">
            <v>31443</v>
          </cell>
          <cell r="J3252">
            <v>33373</v>
          </cell>
          <cell r="K3252">
            <v>35603</v>
          </cell>
          <cell r="L3252">
            <v>35898</v>
          </cell>
          <cell r="M3252">
            <v>36082</v>
          </cell>
          <cell r="N3252">
            <v>33310</v>
          </cell>
          <cell r="O3252">
            <v>33014</v>
          </cell>
          <cell r="P3252">
            <v>35663</v>
          </cell>
          <cell r="Q3252">
            <v>39143</v>
          </cell>
          <cell r="R3252">
            <v>28578</v>
          </cell>
          <cell r="S3252">
            <v>23124</v>
          </cell>
          <cell r="T3252">
            <v>34244</v>
          </cell>
          <cell r="U3252">
            <v>35067</v>
          </cell>
          <cell r="V3252">
            <v>33032</v>
          </cell>
          <cell r="W3252">
            <v>33585</v>
          </cell>
          <cell r="X3252">
            <v>32857</v>
          </cell>
          <cell r="Y3252">
            <v>32063</v>
          </cell>
          <cell r="Z3252">
            <v>37563</v>
          </cell>
          <cell r="AA3252">
            <v>35895</v>
          </cell>
          <cell r="AB3252">
            <v>34604</v>
          </cell>
          <cell r="AC3252">
            <v>34545</v>
          </cell>
          <cell r="AD3252">
            <v>37347</v>
          </cell>
          <cell r="AE3252">
            <v>33746</v>
          </cell>
          <cell r="AF3252">
            <v>34316</v>
          </cell>
          <cell r="AG3252">
            <v>27490</v>
          </cell>
          <cell r="AH3252">
            <v>27902</v>
          </cell>
          <cell r="AI3252">
            <v>28056</v>
          </cell>
          <cell r="AJ3252">
            <v>27236</v>
          </cell>
        </row>
        <row r="3253">
          <cell r="E3253" t="str">
            <v>MO Industrial Wood and Waste</v>
          </cell>
          <cell r="F3253">
            <v>3115</v>
          </cell>
          <cell r="G3253">
            <v>3100</v>
          </cell>
          <cell r="H3253">
            <v>2903</v>
          </cell>
          <cell r="I3253">
            <v>2908</v>
          </cell>
          <cell r="J3253">
            <v>2530</v>
          </cell>
          <cell r="K3253">
            <v>2656</v>
          </cell>
          <cell r="L3253">
            <v>2787</v>
          </cell>
          <cell r="M3253">
            <v>2585</v>
          </cell>
          <cell r="N3253">
            <v>2533</v>
          </cell>
          <cell r="O3253">
            <v>2626</v>
          </cell>
          <cell r="P3253">
            <v>2229</v>
          </cell>
          <cell r="Q3253">
            <v>6791</v>
          </cell>
          <cell r="R3253">
            <v>5333</v>
          </cell>
          <cell r="S3253">
            <v>5305</v>
          </cell>
          <cell r="T3253">
            <v>5582</v>
          </cell>
          <cell r="U3253">
            <v>5675</v>
          </cell>
          <cell r="V3253">
            <v>4558</v>
          </cell>
          <cell r="W3253">
            <v>4765</v>
          </cell>
          <cell r="X3253">
            <v>4685</v>
          </cell>
          <cell r="Y3253">
            <v>4348</v>
          </cell>
          <cell r="Z3253">
            <v>6234</v>
          </cell>
          <cell r="AA3253">
            <v>2343</v>
          </cell>
          <cell r="AB3253">
            <v>2190</v>
          </cell>
          <cell r="AC3253">
            <v>2162</v>
          </cell>
          <cell r="AD3253">
            <v>2090</v>
          </cell>
          <cell r="AE3253">
            <v>2059</v>
          </cell>
          <cell r="AF3253">
            <v>2084</v>
          </cell>
          <cell r="AG3253">
            <v>3932</v>
          </cell>
          <cell r="AH3253">
            <v>3145</v>
          </cell>
          <cell r="AI3253">
            <v>3747</v>
          </cell>
          <cell r="AJ3253">
            <v>3845</v>
          </cell>
        </row>
        <row r="3254">
          <cell r="E3254" t="str">
            <v>MS Industrial Wood and Waste</v>
          </cell>
          <cell r="F3254">
            <v>74686</v>
          </cell>
          <cell r="G3254">
            <v>78832</v>
          </cell>
          <cell r="H3254">
            <v>79614</v>
          </cell>
          <cell r="I3254">
            <v>83763</v>
          </cell>
          <cell r="J3254">
            <v>86564</v>
          </cell>
          <cell r="K3254">
            <v>85868</v>
          </cell>
          <cell r="L3254">
            <v>77067</v>
          </cell>
          <cell r="M3254">
            <v>79554</v>
          </cell>
          <cell r="N3254">
            <v>59902</v>
          </cell>
          <cell r="O3254">
            <v>60696</v>
          </cell>
          <cell r="P3254">
            <v>70637</v>
          </cell>
          <cell r="Q3254">
            <v>52070</v>
          </cell>
          <cell r="R3254">
            <v>45543</v>
          </cell>
          <cell r="S3254">
            <v>40965</v>
          </cell>
          <cell r="T3254">
            <v>56746</v>
          </cell>
          <cell r="U3254">
            <v>56511</v>
          </cell>
          <cell r="V3254">
            <v>57473</v>
          </cell>
          <cell r="W3254">
            <v>57450</v>
          </cell>
          <cell r="X3254">
            <v>40019</v>
          </cell>
          <cell r="Y3254">
            <v>39175</v>
          </cell>
          <cell r="Z3254">
            <v>49784</v>
          </cell>
          <cell r="AA3254">
            <v>50634</v>
          </cell>
          <cell r="AB3254">
            <v>64601</v>
          </cell>
          <cell r="AC3254">
            <v>51462</v>
          </cell>
          <cell r="AD3254">
            <v>52607</v>
          </cell>
          <cell r="AE3254">
            <v>51795</v>
          </cell>
          <cell r="AF3254">
            <v>51524</v>
          </cell>
          <cell r="AG3254">
            <v>47028</v>
          </cell>
          <cell r="AH3254">
            <v>47271</v>
          </cell>
          <cell r="AI3254">
            <v>46412</v>
          </cell>
          <cell r="AJ3254">
            <v>45852</v>
          </cell>
        </row>
        <row r="3255">
          <cell r="E3255" t="str">
            <v>MT Industrial Wood and Waste</v>
          </cell>
          <cell r="F3255">
            <v>8884</v>
          </cell>
          <cell r="G3255">
            <v>14322</v>
          </cell>
          <cell r="H3255">
            <v>7000</v>
          </cell>
          <cell r="I3255">
            <v>6872</v>
          </cell>
          <cell r="J3255">
            <v>7671</v>
          </cell>
          <cell r="K3255">
            <v>14437</v>
          </cell>
          <cell r="L3255">
            <v>13692</v>
          </cell>
          <cell r="M3255">
            <v>13963</v>
          </cell>
          <cell r="N3255">
            <v>12741</v>
          </cell>
          <cell r="O3255">
            <v>13304</v>
          </cell>
          <cell r="P3255">
            <v>13088</v>
          </cell>
          <cell r="Q3255">
            <v>10651</v>
          </cell>
          <cell r="R3255">
            <v>9724</v>
          </cell>
          <cell r="S3255">
            <v>10641</v>
          </cell>
          <cell r="T3255">
            <v>11186</v>
          </cell>
          <cell r="U3255">
            <v>10828</v>
          </cell>
          <cell r="V3255">
            <v>10889</v>
          </cell>
          <cell r="W3255">
            <v>13124</v>
          </cell>
          <cell r="X3255">
            <v>10828</v>
          </cell>
          <cell r="Y3255">
            <v>9070</v>
          </cell>
          <cell r="Z3255">
            <v>9691</v>
          </cell>
          <cell r="AA3255">
            <v>1518</v>
          </cell>
          <cell r="AB3255">
            <v>1435</v>
          </cell>
          <cell r="AC3255">
            <v>1307</v>
          </cell>
          <cell r="AD3255">
            <v>1617</v>
          </cell>
          <cell r="AE3255">
            <v>1717</v>
          </cell>
          <cell r="AF3255">
            <v>1714</v>
          </cell>
          <cell r="AG3255">
            <v>2118</v>
          </cell>
          <cell r="AH3255">
            <v>2131</v>
          </cell>
          <cell r="AI3255">
            <v>2073</v>
          </cell>
          <cell r="AJ3255">
            <v>2086</v>
          </cell>
        </row>
        <row r="3256">
          <cell r="E3256" t="str">
            <v>NC Industrial Wood and Waste</v>
          </cell>
          <cell r="F3256">
            <v>82759</v>
          </cell>
          <cell r="G3256">
            <v>55732</v>
          </cell>
          <cell r="H3256">
            <v>79066</v>
          </cell>
          <cell r="I3256">
            <v>78084</v>
          </cell>
          <cell r="J3256">
            <v>84005</v>
          </cell>
          <cell r="K3256">
            <v>84860</v>
          </cell>
          <cell r="L3256">
            <v>82657</v>
          </cell>
          <cell r="M3256">
            <v>83816</v>
          </cell>
          <cell r="N3256">
            <v>78903</v>
          </cell>
          <cell r="O3256">
            <v>79622</v>
          </cell>
          <cell r="P3256">
            <v>80602</v>
          </cell>
          <cell r="Q3256">
            <v>82318</v>
          </cell>
          <cell r="R3256">
            <v>71445</v>
          </cell>
          <cell r="S3256">
            <v>89894</v>
          </cell>
          <cell r="T3256">
            <v>65905</v>
          </cell>
          <cell r="U3256">
            <v>65702</v>
          </cell>
          <cell r="V3256">
            <v>73543</v>
          </cell>
          <cell r="W3256">
            <v>56425</v>
          </cell>
          <cell r="X3256">
            <v>84476</v>
          </cell>
          <cell r="Y3256">
            <v>66631</v>
          </cell>
          <cell r="Z3256">
            <v>75764</v>
          </cell>
          <cell r="AA3256">
            <v>81021</v>
          </cell>
          <cell r="AB3256">
            <v>79789</v>
          </cell>
          <cell r="AC3256">
            <v>80705</v>
          </cell>
          <cell r="AD3256">
            <v>76851</v>
          </cell>
          <cell r="AE3256">
            <v>81880</v>
          </cell>
          <cell r="AF3256">
            <v>77487</v>
          </cell>
          <cell r="AG3256">
            <v>77587</v>
          </cell>
          <cell r="AH3256">
            <v>73142</v>
          </cell>
          <cell r="AI3256">
            <v>73519</v>
          </cell>
          <cell r="AJ3256">
            <v>77462</v>
          </cell>
        </row>
        <row r="3257">
          <cell r="E3257" t="str">
            <v>ND Industrial Wood and Waste</v>
          </cell>
          <cell r="F3257">
            <v>75</v>
          </cell>
          <cell r="G3257">
            <v>75</v>
          </cell>
          <cell r="H3257">
            <v>70</v>
          </cell>
          <cell r="I3257">
            <v>70</v>
          </cell>
          <cell r="J3257">
            <v>648</v>
          </cell>
          <cell r="K3257">
            <v>943</v>
          </cell>
          <cell r="L3257">
            <v>692</v>
          </cell>
          <cell r="M3257">
            <v>884</v>
          </cell>
          <cell r="N3257">
            <v>1008</v>
          </cell>
          <cell r="O3257">
            <v>1097</v>
          </cell>
          <cell r="P3257">
            <v>1204</v>
          </cell>
          <cell r="Q3257">
            <v>2213</v>
          </cell>
          <cell r="R3257">
            <v>1319</v>
          </cell>
          <cell r="S3257">
            <v>1302</v>
          </cell>
          <cell r="T3257">
            <v>1866</v>
          </cell>
          <cell r="U3257">
            <v>2492</v>
          </cell>
          <cell r="V3257">
            <v>2027</v>
          </cell>
          <cell r="W3257">
            <v>1635</v>
          </cell>
          <cell r="X3257">
            <v>1454</v>
          </cell>
          <cell r="Y3257">
            <v>1473</v>
          </cell>
          <cell r="Z3257">
            <v>1588</v>
          </cell>
          <cell r="AA3257">
            <v>2358</v>
          </cell>
          <cell r="AB3257">
            <v>1985</v>
          </cell>
          <cell r="AC3257">
            <v>2227</v>
          </cell>
          <cell r="AD3257">
            <v>2289</v>
          </cell>
          <cell r="AE3257">
            <v>2240</v>
          </cell>
          <cell r="AF3257">
            <v>2197</v>
          </cell>
          <cell r="AG3257">
            <v>1985</v>
          </cell>
          <cell r="AH3257">
            <v>1235</v>
          </cell>
          <cell r="AI3257">
            <v>1192</v>
          </cell>
          <cell r="AJ3257">
            <v>1173</v>
          </cell>
        </row>
        <row r="3258">
          <cell r="E3258" t="str">
            <v>NE Industrial Wood and Waste</v>
          </cell>
          <cell r="F3258">
            <v>0</v>
          </cell>
          <cell r="G3258">
            <v>0</v>
          </cell>
          <cell r="H3258">
            <v>0</v>
          </cell>
          <cell r="I3258">
            <v>0</v>
          </cell>
          <cell r="J3258">
            <v>5</v>
          </cell>
          <cell r="K3258">
            <v>5</v>
          </cell>
          <cell r="L3258">
            <v>3497</v>
          </cell>
          <cell r="M3258">
            <v>2742</v>
          </cell>
          <cell r="N3258">
            <v>2652</v>
          </cell>
          <cell r="O3258">
            <v>2683</v>
          </cell>
          <cell r="P3258">
            <v>2121</v>
          </cell>
          <cell r="Q3258">
            <v>4173</v>
          </cell>
          <cell r="R3258">
            <v>4744</v>
          </cell>
          <cell r="S3258">
            <v>4575</v>
          </cell>
          <cell r="T3258">
            <v>4534</v>
          </cell>
          <cell r="U3258">
            <v>4795</v>
          </cell>
          <cell r="V3258">
            <v>3351</v>
          </cell>
          <cell r="W3258">
            <v>3790</v>
          </cell>
          <cell r="X3258">
            <v>3731</v>
          </cell>
          <cell r="Y3258">
            <v>4088</v>
          </cell>
          <cell r="Z3258">
            <v>4275</v>
          </cell>
          <cell r="AA3258">
            <v>423</v>
          </cell>
          <cell r="AB3258">
            <v>399</v>
          </cell>
          <cell r="AC3258">
            <v>474</v>
          </cell>
          <cell r="AD3258">
            <v>462</v>
          </cell>
          <cell r="AE3258">
            <v>530</v>
          </cell>
          <cell r="AF3258">
            <v>791</v>
          </cell>
          <cell r="AG3258">
            <v>647</v>
          </cell>
          <cell r="AH3258">
            <v>915</v>
          </cell>
          <cell r="AI3258">
            <v>1008</v>
          </cell>
          <cell r="AJ3258">
            <v>1102</v>
          </cell>
        </row>
        <row r="3259">
          <cell r="E3259" t="str">
            <v>NH Industrial Wood and Waste</v>
          </cell>
          <cell r="F3259">
            <v>7822</v>
          </cell>
          <cell r="G3259">
            <v>4620</v>
          </cell>
          <cell r="H3259">
            <v>7672</v>
          </cell>
          <cell r="I3259">
            <v>7107</v>
          </cell>
          <cell r="J3259">
            <v>5785</v>
          </cell>
          <cell r="K3259">
            <v>7035</v>
          </cell>
          <cell r="L3259">
            <v>8953</v>
          </cell>
          <cell r="M3259">
            <v>7937</v>
          </cell>
          <cell r="N3259">
            <v>6503</v>
          </cell>
          <cell r="O3259">
            <v>6477</v>
          </cell>
          <cell r="P3259">
            <v>5847</v>
          </cell>
          <cell r="Q3259">
            <v>3507</v>
          </cell>
          <cell r="R3259">
            <v>1451</v>
          </cell>
          <cell r="S3259">
            <v>1429</v>
          </cell>
          <cell r="T3259">
            <v>6605</v>
          </cell>
          <cell r="U3259">
            <v>6795</v>
          </cell>
          <cell r="V3259">
            <v>1795</v>
          </cell>
          <cell r="W3259">
            <v>1769</v>
          </cell>
          <cell r="X3259">
            <v>1710</v>
          </cell>
          <cell r="Y3259">
            <v>1537</v>
          </cell>
          <cell r="Z3259">
            <v>2376</v>
          </cell>
          <cell r="AA3259">
            <v>4113</v>
          </cell>
          <cell r="AB3259">
            <v>4015</v>
          </cell>
          <cell r="AC3259">
            <v>4218</v>
          </cell>
          <cell r="AD3259">
            <v>4074</v>
          </cell>
          <cell r="AE3259">
            <v>4051</v>
          </cell>
          <cell r="AF3259">
            <v>4024</v>
          </cell>
          <cell r="AG3259">
            <v>4428</v>
          </cell>
          <cell r="AH3259">
            <v>3556</v>
          </cell>
          <cell r="AI3259">
            <v>3472</v>
          </cell>
          <cell r="AJ3259">
            <v>3430</v>
          </cell>
        </row>
        <row r="3260">
          <cell r="E3260" t="str">
            <v>NJ Industrial Wood and Waste</v>
          </cell>
          <cell r="F3260">
            <v>3082</v>
          </cell>
          <cell r="G3260">
            <v>3169</v>
          </cell>
          <cell r="H3260">
            <v>2858</v>
          </cell>
          <cell r="I3260">
            <v>2980</v>
          </cell>
          <cell r="J3260">
            <v>3655</v>
          </cell>
          <cell r="K3260">
            <v>4512</v>
          </cell>
          <cell r="L3260">
            <v>6443</v>
          </cell>
          <cell r="M3260">
            <v>6674</v>
          </cell>
          <cell r="N3260">
            <v>5576</v>
          </cell>
          <cell r="O3260">
            <v>5872</v>
          </cell>
          <cell r="P3260">
            <v>5556</v>
          </cell>
          <cell r="Q3260">
            <v>3690</v>
          </cell>
          <cell r="R3260">
            <v>2561</v>
          </cell>
          <cell r="S3260">
            <v>2299</v>
          </cell>
          <cell r="T3260">
            <v>2793</v>
          </cell>
          <cell r="U3260">
            <v>2761</v>
          </cell>
          <cell r="V3260">
            <v>4064</v>
          </cell>
          <cell r="W3260">
            <v>4022</v>
          </cell>
          <cell r="X3260">
            <v>3899</v>
          </cell>
          <cell r="Y3260">
            <v>3490</v>
          </cell>
          <cell r="Z3260">
            <v>5576</v>
          </cell>
          <cell r="AA3260">
            <v>3063</v>
          </cell>
          <cell r="AB3260">
            <v>3042</v>
          </cell>
          <cell r="AC3260">
            <v>3175</v>
          </cell>
          <cell r="AD3260">
            <v>3082</v>
          </cell>
          <cell r="AE3260">
            <v>3080</v>
          </cell>
          <cell r="AF3260">
            <v>3085</v>
          </cell>
          <cell r="AG3260">
            <v>526</v>
          </cell>
          <cell r="AH3260">
            <v>610</v>
          </cell>
          <cell r="AI3260">
            <v>481</v>
          </cell>
          <cell r="AJ3260">
            <v>608</v>
          </cell>
        </row>
        <row r="3261">
          <cell r="E3261" t="str">
            <v>NM Industrial Wood and Waste</v>
          </cell>
          <cell r="F3261">
            <v>259</v>
          </cell>
          <cell r="G3261">
            <v>271</v>
          </cell>
          <cell r="H3261">
            <v>245</v>
          </cell>
          <cell r="I3261">
            <v>254</v>
          </cell>
          <cell r="J3261">
            <v>299</v>
          </cell>
          <cell r="K3261">
            <v>346</v>
          </cell>
          <cell r="L3261">
            <v>194</v>
          </cell>
          <cell r="M3261">
            <v>211</v>
          </cell>
          <cell r="N3261">
            <v>181</v>
          </cell>
          <cell r="O3261">
            <v>187</v>
          </cell>
          <cell r="P3261">
            <v>180</v>
          </cell>
          <cell r="Q3261">
            <v>402</v>
          </cell>
          <cell r="R3261">
            <v>299</v>
          </cell>
          <cell r="S3261">
            <v>302</v>
          </cell>
          <cell r="T3261">
            <v>316</v>
          </cell>
          <cell r="U3261">
            <v>323</v>
          </cell>
          <cell r="V3261">
            <v>592</v>
          </cell>
          <cell r="W3261">
            <v>636</v>
          </cell>
          <cell r="X3261">
            <v>617</v>
          </cell>
          <cell r="Y3261">
            <v>600</v>
          </cell>
          <cell r="Z3261">
            <v>828</v>
          </cell>
          <cell r="AA3261">
            <v>60</v>
          </cell>
          <cell r="AB3261">
            <v>58</v>
          </cell>
          <cell r="AC3261">
            <v>94</v>
          </cell>
          <cell r="AD3261">
            <v>114</v>
          </cell>
          <cell r="AE3261">
            <v>113</v>
          </cell>
          <cell r="AF3261">
            <v>115</v>
          </cell>
          <cell r="AG3261">
            <v>93</v>
          </cell>
          <cell r="AH3261">
            <v>97</v>
          </cell>
          <cell r="AI3261">
            <v>83</v>
          </cell>
          <cell r="AJ3261">
            <v>81</v>
          </cell>
        </row>
        <row r="3262">
          <cell r="E3262" t="str">
            <v>NV Industrial Wood and Waste</v>
          </cell>
          <cell r="F3262">
            <v>0</v>
          </cell>
          <cell r="G3262">
            <v>0</v>
          </cell>
          <cell r="H3262">
            <v>0</v>
          </cell>
          <cell r="I3262">
            <v>0</v>
          </cell>
          <cell r="J3262">
            <v>0</v>
          </cell>
          <cell r="K3262">
            <v>0</v>
          </cell>
          <cell r="L3262">
            <v>227</v>
          </cell>
          <cell r="M3262">
            <v>247</v>
          </cell>
          <cell r="N3262">
            <v>205</v>
          </cell>
          <cell r="O3262">
            <v>212</v>
          </cell>
          <cell r="P3262">
            <v>205</v>
          </cell>
          <cell r="Q3262">
            <v>770</v>
          </cell>
          <cell r="R3262">
            <v>529</v>
          </cell>
          <cell r="S3262">
            <v>538</v>
          </cell>
          <cell r="T3262">
            <v>568</v>
          </cell>
          <cell r="U3262">
            <v>576</v>
          </cell>
          <cell r="V3262">
            <v>481</v>
          </cell>
          <cell r="W3262">
            <v>512</v>
          </cell>
          <cell r="X3262">
            <v>495</v>
          </cell>
          <cell r="Y3262">
            <v>469</v>
          </cell>
          <cell r="Z3262">
            <v>684</v>
          </cell>
          <cell r="AA3262">
            <v>155</v>
          </cell>
          <cell r="AB3262">
            <v>155</v>
          </cell>
          <cell r="AC3262">
            <v>155</v>
          </cell>
          <cell r="AD3262">
            <v>158</v>
          </cell>
          <cell r="AE3262">
            <v>158</v>
          </cell>
          <cell r="AF3262">
            <v>158</v>
          </cell>
          <cell r="AG3262">
            <v>119</v>
          </cell>
          <cell r="AH3262">
            <v>118</v>
          </cell>
          <cell r="AI3262">
            <v>118</v>
          </cell>
          <cell r="AJ3262">
            <v>118</v>
          </cell>
        </row>
        <row r="3263">
          <cell r="E3263" t="str">
            <v>NY Industrial Wood and Waste</v>
          </cell>
          <cell r="F3263">
            <v>26603</v>
          </cell>
          <cell r="G3263">
            <v>20837</v>
          </cell>
          <cell r="H3263">
            <v>20207</v>
          </cell>
          <cell r="I3263">
            <v>19628</v>
          </cell>
          <cell r="J3263">
            <v>21333</v>
          </cell>
          <cell r="K3263">
            <v>20912</v>
          </cell>
          <cell r="L3263">
            <v>32595</v>
          </cell>
          <cell r="M3263">
            <v>34544</v>
          </cell>
          <cell r="N3263">
            <v>28928</v>
          </cell>
          <cell r="O3263">
            <v>30399</v>
          </cell>
          <cell r="P3263">
            <v>32114</v>
          </cell>
          <cell r="Q3263">
            <v>17717</v>
          </cell>
          <cell r="R3263">
            <v>14014</v>
          </cell>
          <cell r="S3263">
            <v>13867</v>
          </cell>
          <cell r="T3263">
            <v>17221</v>
          </cell>
          <cell r="U3263">
            <v>16945</v>
          </cell>
          <cell r="V3263">
            <v>16611</v>
          </cell>
          <cell r="W3263">
            <v>16046</v>
          </cell>
          <cell r="X3263">
            <v>13598</v>
          </cell>
          <cell r="Y3263">
            <v>13039</v>
          </cell>
          <cell r="Z3263">
            <v>17868</v>
          </cell>
          <cell r="AA3263">
            <v>24391</v>
          </cell>
          <cell r="AB3263">
            <v>24367</v>
          </cell>
          <cell r="AC3263">
            <v>22976</v>
          </cell>
          <cell r="AD3263">
            <v>23564</v>
          </cell>
          <cell r="AE3263">
            <v>23931</v>
          </cell>
          <cell r="AF3263">
            <v>24147</v>
          </cell>
          <cell r="AG3263">
            <v>24753</v>
          </cell>
          <cell r="AH3263">
            <v>23969</v>
          </cell>
          <cell r="AI3263">
            <v>23703</v>
          </cell>
          <cell r="AJ3263">
            <v>22454</v>
          </cell>
        </row>
        <row r="3264">
          <cell r="E3264" t="str">
            <v>OH Industrial Wood and Waste</v>
          </cell>
          <cell r="F3264">
            <v>27629</v>
          </cell>
          <cell r="G3264">
            <v>30647</v>
          </cell>
          <cell r="H3264">
            <v>24352</v>
          </cell>
          <cell r="I3264">
            <v>22639</v>
          </cell>
          <cell r="J3264">
            <v>49156</v>
          </cell>
          <cell r="K3264">
            <v>45468</v>
          </cell>
          <cell r="L3264">
            <v>53423</v>
          </cell>
          <cell r="M3264">
            <v>53611</v>
          </cell>
          <cell r="N3264">
            <v>49324</v>
          </cell>
          <cell r="O3264">
            <v>55862</v>
          </cell>
          <cell r="P3264">
            <v>57937</v>
          </cell>
          <cell r="Q3264">
            <v>25766</v>
          </cell>
          <cell r="R3264">
            <v>12249</v>
          </cell>
          <cell r="S3264">
            <v>20491</v>
          </cell>
          <cell r="T3264">
            <v>21271</v>
          </cell>
          <cell r="U3264">
            <v>21776</v>
          </cell>
          <cell r="V3264">
            <v>23894</v>
          </cell>
          <cell r="W3264">
            <v>24284</v>
          </cell>
          <cell r="X3264">
            <v>23973</v>
          </cell>
          <cell r="Y3264">
            <v>23119</v>
          </cell>
          <cell r="Z3264">
            <v>29973</v>
          </cell>
          <cell r="AA3264">
            <v>30441</v>
          </cell>
          <cell r="AB3264">
            <v>28464</v>
          </cell>
          <cell r="AC3264">
            <v>29546</v>
          </cell>
          <cell r="AD3264">
            <v>29576</v>
          </cell>
          <cell r="AE3264">
            <v>28491</v>
          </cell>
          <cell r="AF3264">
            <v>28213</v>
          </cell>
          <cell r="AG3264">
            <v>23726</v>
          </cell>
          <cell r="AH3264">
            <v>21536</v>
          </cell>
          <cell r="AI3264">
            <v>21697</v>
          </cell>
          <cell r="AJ3264">
            <v>21570</v>
          </cell>
        </row>
        <row r="3265">
          <cell r="E3265" t="str">
            <v>OK Industrial Wood and Waste</v>
          </cell>
          <cell r="F3265">
            <v>16492</v>
          </cell>
          <cell r="G3265">
            <v>15901</v>
          </cell>
          <cell r="H3265">
            <v>14256</v>
          </cell>
          <cell r="I3265">
            <v>15370</v>
          </cell>
          <cell r="J3265">
            <v>16896</v>
          </cell>
          <cell r="K3265">
            <v>17330</v>
          </cell>
          <cell r="L3265">
            <v>21792</v>
          </cell>
          <cell r="M3265">
            <v>21592</v>
          </cell>
          <cell r="N3265">
            <v>21474</v>
          </cell>
          <cell r="O3265">
            <v>19416</v>
          </cell>
          <cell r="P3265">
            <v>20487</v>
          </cell>
          <cell r="Q3265">
            <v>20735</v>
          </cell>
          <cell r="R3265">
            <v>17218</v>
          </cell>
          <cell r="S3265">
            <v>19552</v>
          </cell>
          <cell r="T3265">
            <v>22810</v>
          </cell>
          <cell r="U3265">
            <v>22837</v>
          </cell>
          <cell r="V3265">
            <v>23836</v>
          </cell>
          <cell r="W3265">
            <v>22076</v>
          </cell>
          <cell r="X3265">
            <v>8781</v>
          </cell>
          <cell r="Y3265">
            <v>12062</v>
          </cell>
          <cell r="Z3265">
            <v>23582</v>
          </cell>
          <cell r="AA3265">
            <v>23646</v>
          </cell>
          <cell r="AB3265">
            <v>25627</v>
          </cell>
          <cell r="AC3265">
            <v>26573</v>
          </cell>
          <cell r="AD3265">
            <v>24638</v>
          </cell>
          <cell r="AE3265">
            <v>23343</v>
          </cell>
          <cell r="AF3265">
            <v>26170</v>
          </cell>
          <cell r="AG3265">
            <v>30329</v>
          </cell>
          <cell r="AH3265">
            <v>30883</v>
          </cell>
          <cell r="AI3265">
            <v>29156</v>
          </cell>
          <cell r="AJ3265">
            <v>31030</v>
          </cell>
        </row>
        <row r="3266">
          <cell r="E3266" t="str">
            <v>OR Industrial Wood and Waste</v>
          </cell>
          <cell r="F3266">
            <v>40763</v>
          </cell>
          <cell r="G3266">
            <v>38674</v>
          </cell>
          <cell r="H3266">
            <v>29238</v>
          </cell>
          <cell r="I3266">
            <v>25271</v>
          </cell>
          <cell r="J3266">
            <v>27774</v>
          </cell>
          <cell r="K3266">
            <v>27497</v>
          </cell>
          <cell r="L3266">
            <v>33676</v>
          </cell>
          <cell r="M3266">
            <v>35722</v>
          </cell>
          <cell r="N3266">
            <v>30114</v>
          </cell>
          <cell r="O3266">
            <v>26318</v>
          </cell>
          <cell r="P3266">
            <v>29574</v>
          </cell>
          <cell r="Q3266">
            <v>29534</v>
          </cell>
          <cell r="R3266">
            <v>24072</v>
          </cell>
          <cell r="S3266">
            <v>18186</v>
          </cell>
          <cell r="T3266">
            <v>26171</v>
          </cell>
          <cell r="U3266">
            <v>26910</v>
          </cell>
          <cell r="V3266">
            <v>28792</v>
          </cell>
          <cell r="W3266">
            <v>30376</v>
          </cell>
          <cell r="X3266">
            <v>26109</v>
          </cell>
          <cell r="Y3266">
            <v>25384</v>
          </cell>
          <cell r="Z3266">
            <v>29963</v>
          </cell>
          <cell r="AA3266">
            <v>28205</v>
          </cell>
          <cell r="AB3266">
            <v>33888</v>
          </cell>
          <cell r="AC3266">
            <v>38467</v>
          </cell>
          <cell r="AD3266">
            <v>37369</v>
          </cell>
          <cell r="AE3266">
            <v>43202</v>
          </cell>
          <cell r="AF3266">
            <v>38633</v>
          </cell>
          <cell r="AG3266">
            <v>43750</v>
          </cell>
          <cell r="AH3266">
            <v>42896</v>
          </cell>
          <cell r="AI3266">
            <v>41089</v>
          </cell>
          <cell r="AJ3266">
            <v>41977</v>
          </cell>
        </row>
        <row r="3267">
          <cell r="E3267" t="str">
            <v>PA Industrial Wood and Waste</v>
          </cell>
          <cell r="F3267">
            <v>23699</v>
          </cell>
          <cell r="G3267">
            <v>23974</v>
          </cell>
          <cell r="H3267">
            <v>23854</v>
          </cell>
          <cell r="I3267">
            <v>23980</v>
          </cell>
          <cell r="J3267">
            <v>27881</v>
          </cell>
          <cell r="K3267">
            <v>33231</v>
          </cell>
          <cell r="L3267">
            <v>38401</v>
          </cell>
          <cell r="M3267">
            <v>41832</v>
          </cell>
          <cell r="N3267">
            <v>36283</v>
          </cell>
          <cell r="O3267">
            <v>38504</v>
          </cell>
          <cell r="P3267">
            <v>38044</v>
          </cell>
          <cell r="Q3267">
            <v>35610</v>
          </cell>
          <cell r="R3267">
            <v>30247</v>
          </cell>
          <cell r="S3267">
            <v>31111</v>
          </cell>
          <cell r="T3267">
            <v>32291</v>
          </cell>
          <cell r="U3267">
            <v>32554</v>
          </cell>
          <cell r="V3267">
            <v>30287</v>
          </cell>
          <cell r="W3267">
            <v>30518</v>
          </cell>
          <cell r="X3267">
            <v>30343</v>
          </cell>
          <cell r="Y3267">
            <v>28931</v>
          </cell>
          <cell r="Z3267">
            <v>38128</v>
          </cell>
          <cell r="AA3267">
            <v>52215</v>
          </cell>
          <cell r="AB3267">
            <v>52217</v>
          </cell>
          <cell r="AC3267">
            <v>59829</v>
          </cell>
          <cell r="AD3267">
            <v>54885</v>
          </cell>
          <cell r="AE3267">
            <v>53127</v>
          </cell>
          <cell r="AF3267">
            <v>54657</v>
          </cell>
          <cell r="AG3267">
            <v>54640</v>
          </cell>
          <cell r="AH3267">
            <v>51452</v>
          </cell>
          <cell r="AI3267">
            <v>48963</v>
          </cell>
          <cell r="AJ3267">
            <v>48925</v>
          </cell>
        </row>
        <row r="3268">
          <cell r="E3268" t="str">
            <v>RI Industrial Wood and Waste</v>
          </cell>
          <cell r="F3268">
            <v>0</v>
          </cell>
          <cell r="G3268">
            <v>0</v>
          </cell>
          <cell r="H3268">
            <v>0</v>
          </cell>
          <cell r="I3268">
            <v>0</v>
          </cell>
          <cell r="J3268">
            <v>169</v>
          </cell>
          <cell r="K3268">
            <v>175</v>
          </cell>
          <cell r="L3268">
            <v>302</v>
          </cell>
          <cell r="M3268">
            <v>257</v>
          </cell>
          <cell r="N3268">
            <v>247</v>
          </cell>
          <cell r="O3268">
            <v>253</v>
          </cell>
          <cell r="P3268">
            <v>224</v>
          </cell>
          <cell r="Q3268">
            <v>217</v>
          </cell>
          <cell r="R3268">
            <v>73</v>
          </cell>
          <cell r="S3268">
            <v>72</v>
          </cell>
          <cell r="T3268">
            <v>74</v>
          </cell>
          <cell r="U3268">
            <v>76</v>
          </cell>
          <cell r="V3268">
            <v>57</v>
          </cell>
          <cell r="W3268">
            <v>59</v>
          </cell>
          <cell r="X3268">
            <v>57</v>
          </cell>
          <cell r="Y3268">
            <v>51</v>
          </cell>
          <cell r="Z3268">
            <v>84</v>
          </cell>
          <cell r="AA3268">
            <v>122</v>
          </cell>
          <cell r="AB3268">
            <v>113</v>
          </cell>
          <cell r="AC3268">
            <v>123</v>
          </cell>
          <cell r="AD3268">
            <v>134</v>
          </cell>
          <cell r="AE3268">
            <v>133</v>
          </cell>
          <cell r="AF3268">
            <v>135</v>
          </cell>
          <cell r="AG3268">
            <v>141</v>
          </cell>
          <cell r="AH3268">
            <v>163</v>
          </cell>
          <cell r="AI3268">
            <v>159</v>
          </cell>
          <cell r="AJ3268">
            <v>157</v>
          </cell>
        </row>
        <row r="3269">
          <cell r="E3269" t="str">
            <v>SC Industrial Wood and Waste</v>
          </cell>
          <cell r="F3269">
            <v>62972</v>
          </cell>
          <cell r="G3269">
            <v>65878</v>
          </cell>
          <cell r="H3269">
            <v>66750</v>
          </cell>
          <cell r="I3269">
            <v>66696</v>
          </cell>
          <cell r="J3269">
            <v>70832</v>
          </cell>
          <cell r="K3269">
            <v>76459</v>
          </cell>
          <cell r="L3269">
            <v>87360</v>
          </cell>
          <cell r="M3269">
            <v>90921</v>
          </cell>
          <cell r="N3269">
            <v>83513</v>
          </cell>
          <cell r="O3269">
            <v>69425</v>
          </cell>
          <cell r="P3269">
            <v>66059</v>
          </cell>
          <cell r="Q3269">
            <v>50865</v>
          </cell>
          <cell r="R3269">
            <v>60433</v>
          </cell>
          <cell r="S3269">
            <v>58910</v>
          </cell>
          <cell r="T3269">
            <v>62258</v>
          </cell>
          <cell r="U3269">
            <v>61911</v>
          </cell>
          <cell r="V3269">
            <v>68193</v>
          </cell>
          <cell r="W3269">
            <v>67194</v>
          </cell>
          <cell r="X3269">
            <v>67651</v>
          </cell>
          <cell r="Y3269">
            <v>65799</v>
          </cell>
          <cell r="Z3269">
            <v>77921</v>
          </cell>
          <cell r="AA3269">
            <v>87139</v>
          </cell>
          <cell r="AB3269">
            <v>89290</v>
          </cell>
          <cell r="AC3269">
            <v>86435</v>
          </cell>
          <cell r="AD3269">
            <v>90339</v>
          </cell>
          <cell r="AE3269">
            <v>84345</v>
          </cell>
          <cell r="AF3269">
            <v>85268</v>
          </cell>
          <cell r="AG3269">
            <v>88378</v>
          </cell>
          <cell r="AH3269">
            <v>86859</v>
          </cell>
          <cell r="AI3269">
            <v>85791</v>
          </cell>
          <cell r="AJ3269">
            <v>81916</v>
          </cell>
        </row>
        <row r="3270">
          <cell r="E3270" t="str">
            <v>SD Industrial Wood and Waste</v>
          </cell>
          <cell r="F3270">
            <v>246</v>
          </cell>
          <cell r="G3270">
            <v>257</v>
          </cell>
          <cell r="H3270">
            <v>232</v>
          </cell>
          <cell r="I3270">
            <v>241</v>
          </cell>
          <cell r="J3270">
            <v>280</v>
          </cell>
          <cell r="K3270">
            <v>323</v>
          </cell>
          <cell r="L3270">
            <v>344</v>
          </cell>
          <cell r="M3270">
            <v>356</v>
          </cell>
          <cell r="N3270">
            <v>299</v>
          </cell>
          <cell r="O3270">
            <v>309</v>
          </cell>
          <cell r="P3270">
            <v>293</v>
          </cell>
          <cell r="Q3270">
            <v>337</v>
          </cell>
          <cell r="R3270">
            <v>185</v>
          </cell>
          <cell r="S3270">
            <v>188</v>
          </cell>
          <cell r="T3270">
            <v>198</v>
          </cell>
          <cell r="U3270">
            <v>201</v>
          </cell>
          <cell r="V3270">
            <v>207</v>
          </cell>
          <cell r="W3270">
            <v>215</v>
          </cell>
          <cell r="X3270">
            <v>206</v>
          </cell>
          <cell r="Y3270">
            <v>181</v>
          </cell>
          <cell r="Z3270">
            <v>307</v>
          </cell>
          <cell r="AA3270">
            <v>669</v>
          </cell>
          <cell r="AB3270">
            <v>620</v>
          </cell>
          <cell r="AC3270">
            <v>674</v>
          </cell>
          <cell r="AD3270">
            <v>656</v>
          </cell>
          <cell r="AE3270">
            <v>652</v>
          </cell>
          <cell r="AF3270">
            <v>747</v>
          </cell>
          <cell r="AG3270">
            <v>839</v>
          </cell>
          <cell r="AH3270">
            <v>894</v>
          </cell>
          <cell r="AI3270">
            <v>863</v>
          </cell>
          <cell r="AJ3270">
            <v>1176</v>
          </cell>
        </row>
        <row r="3271">
          <cell r="E3271" t="str">
            <v>TN Industrial Wood and Waste</v>
          </cell>
          <cell r="F3271">
            <v>33276</v>
          </cell>
          <cell r="G3271">
            <v>36695</v>
          </cell>
          <cell r="H3271">
            <v>35642</v>
          </cell>
          <cell r="I3271">
            <v>34321</v>
          </cell>
          <cell r="J3271">
            <v>36800</v>
          </cell>
          <cell r="K3271">
            <v>40727</v>
          </cell>
          <cell r="L3271">
            <v>35286</v>
          </cell>
          <cell r="M3271">
            <v>33709</v>
          </cell>
          <cell r="N3271">
            <v>34948</v>
          </cell>
          <cell r="O3271">
            <v>38338</v>
          </cell>
          <cell r="P3271">
            <v>40592</v>
          </cell>
          <cell r="Q3271">
            <v>54799</v>
          </cell>
          <cell r="R3271">
            <v>54757</v>
          </cell>
          <cell r="S3271">
            <v>49594</v>
          </cell>
          <cell r="T3271">
            <v>62891</v>
          </cell>
          <cell r="U3271">
            <v>51387</v>
          </cell>
          <cell r="V3271">
            <v>44963</v>
          </cell>
          <cell r="W3271">
            <v>43107</v>
          </cell>
          <cell r="X3271">
            <v>51387</v>
          </cell>
          <cell r="Y3271">
            <v>46089</v>
          </cell>
          <cell r="Z3271">
            <v>53083</v>
          </cell>
          <cell r="AA3271">
            <v>50447</v>
          </cell>
          <cell r="AB3271">
            <v>55308</v>
          </cell>
          <cell r="AC3271">
            <v>54917</v>
          </cell>
          <cell r="AD3271">
            <v>57349</v>
          </cell>
          <cell r="AE3271">
            <v>57314</v>
          </cell>
          <cell r="AF3271">
            <v>55096</v>
          </cell>
          <cell r="AG3271">
            <v>51088</v>
          </cell>
          <cell r="AH3271">
            <v>52509</v>
          </cell>
          <cell r="AI3271">
            <v>47037</v>
          </cell>
          <cell r="AJ3271">
            <v>42717</v>
          </cell>
        </row>
        <row r="3272">
          <cell r="E3272" t="str">
            <v>TX Industrial Wood and Waste</v>
          </cell>
          <cell r="F3272">
            <v>68113</v>
          </cell>
          <cell r="G3272">
            <v>67346</v>
          </cell>
          <cell r="H3272">
            <v>75461</v>
          </cell>
          <cell r="I3272">
            <v>78127</v>
          </cell>
          <cell r="J3272">
            <v>78312</v>
          </cell>
          <cell r="K3272">
            <v>83389</v>
          </cell>
          <cell r="L3272">
            <v>81909</v>
          </cell>
          <cell r="M3272">
            <v>89141</v>
          </cell>
          <cell r="N3272">
            <v>81582</v>
          </cell>
          <cell r="O3272">
            <v>65721</v>
          </cell>
          <cell r="P3272">
            <v>67985</v>
          </cell>
          <cell r="Q3272">
            <v>55871</v>
          </cell>
          <cell r="R3272">
            <v>64974</v>
          </cell>
          <cell r="S3272">
            <v>60127</v>
          </cell>
          <cell r="T3272">
            <v>56510</v>
          </cell>
          <cell r="U3272">
            <v>55804</v>
          </cell>
          <cell r="V3272">
            <v>55561</v>
          </cell>
          <cell r="W3272">
            <v>58925</v>
          </cell>
          <cell r="X3272">
            <v>71534</v>
          </cell>
          <cell r="Y3272">
            <v>45338</v>
          </cell>
          <cell r="Z3272">
            <v>64988</v>
          </cell>
          <cell r="AA3272">
            <v>69887</v>
          </cell>
          <cell r="AB3272">
            <v>68741</v>
          </cell>
          <cell r="AC3272">
            <v>71036</v>
          </cell>
          <cell r="AD3272">
            <v>68004</v>
          </cell>
          <cell r="AE3272">
            <v>66747</v>
          </cell>
          <cell r="AF3272">
            <v>69022</v>
          </cell>
          <cell r="AG3272">
            <v>70586</v>
          </cell>
          <cell r="AH3272">
            <v>75505</v>
          </cell>
          <cell r="AI3272">
            <v>71295</v>
          </cell>
          <cell r="AJ3272">
            <v>72409</v>
          </cell>
        </row>
        <row r="3273">
          <cell r="E3273" t="str">
            <v>US Industrial Wood and Waste</v>
          </cell>
          <cell r="F3273">
            <v>1634235</v>
          </cell>
          <cell r="G3273">
            <v>1594521</v>
          </cell>
          <cell r="H3273">
            <v>1639737</v>
          </cell>
          <cell r="I3273">
            <v>1665502</v>
          </cell>
          <cell r="J3273">
            <v>1779017</v>
          </cell>
          <cell r="K3273">
            <v>1847104</v>
          </cell>
          <cell r="L3273">
            <v>1907048</v>
          </cell>
          <cell r="M3273">
            <v>1914627</v>
          </cell>
          <cell r="N3273">
            <v>1783784</v>
          </cell>
          <cell r="O3273">
            <v>1790562</v>
          </cell>
          <cell r="P3273">
            <v>1781036</v>
          </cell>
          <cell r="Q3273">
            <v>1571239</v>
          </cell>
          <cell r="R3273">
            <v>1542779</v>
          </cell>
          <cell r="S3273">
            <v>1510828</v>
          </cell>
          <cell r="T3273">
            <v>1612653</v>
          </cell>
          <cell r="U3273">
            <v>1604209</v>
          </cell>
          <cell r="V3273">
            <v>1606413</v>
          </cell>
          <cell r="W3273">
            <v>1561942</v>
          </cell>
          <cell r="X3273">
            <v>1485816</v>
          </cell>
          <cell r="Y3273">
            <v>1336078</v>
          </cell>
          <cell r="Z3273">
            <v>1577178</v>
          </cell>
          <cell r="AA3273">
            <v>1602320</v>
          </cell>
          <cell r="AB3273">
            <v>1621149</v>
          </cell>
          <cell r="AC3273">
            <v>1676185</v>
          </cell>
          <cell r="AD3273">
            <v>1685025</v>
          </cell>
          <cell r="AE3273">
            <v>1666208</v>
          </cell>
          <cell r="AF3273">
            <v>1648201</v>
          </cell>
          <cell r="AG3273">
            <v>1609860</v>
          </cell>
          <cell r="AH3273">
            <v>1597402</v>
          </cell>
          <cell r="AI3273">
            <v>1562776</v>
          </cell>
          <cell r="AJ3273">
            <v>1515239</v>
          </cell>
        </row>
        <row r="3274">
          <cell r="E3274" t="str">
            <v>UT Industrial Wood and Waste</v>
          </cell>
          <cell r="F3274">
            <v>154</v>
          </cell>
          <cell r="G3274">
            <v>160</v>
          </cell>
          <cell r="H3274">
            <v>145</v>
          </cell>
          <cell r="I3274">
            <v>150</v>
          </cell>
          <cell r="J3274">
            <v>153</v>
          </cell>
          <cell r="K3274">
            <v>177</v>
          </cell>
          <cell r="L3274">
            <v>263</v>
          </cell>
          <cell r="M3274">
            <v>265</v>
          </cell>
          <cell r="N3274">
            <v>225</v>
          </cell>
          <cell r="O3274">
            <v>232</v>
          </cell>
          <cell r="P3274">
            <v>218</v>
          </cell>
          <cell r="Q3274">
            <v>264</v>
          </cell>
          <cell r="R3274">
            <v>195</v>
          </cell>
          <cell r="S3274">
            <v>196</v>
          </cell>
          <cell r="T3274">
            <v>203</v>
          </cell>
          <cell r="U3274">
            <v>208</v>
          </cell>
          <cell r="V3274">
            <v>353</v>
          </cell>
          <cell r="W3274">
            <v>382</v>
          </cell>
          <cell r="X3274">
            <v>371</v>
          </cell>
          <cell r="Y3274">
            <v>365</v>
          </cell>
          <cell r="Z3274">
            <v>490</v>
          </cell>
          <cell r="AA3274">
            <v>203</v>
          </cell>
          <cell r="AB3274">
            <v>201</v>
          </cell>
          <cell r="AC3274">
            <v>203</v>
          </cell>
          <cell r="AD3274">
            <v>203</v>
          </cell>
          <cell r="AE3274">
            <v>203</v>
          </cell>
          <cell r="AF3274">
            <v>203</v>
          </cell>
          <cell r="AG3274">
            <v>176</v>
          </cell>
          <cell r="AH3274">
            <v>197</v>
          </cell>
          <cell r="AI3274">
            <v>215</v>
          </cell>
          <cell r="AJ3274">
            <v>214</v>
          </cell>
        </row>
        <row r="3275">
          <cell r="E3275" t="str">
            <v>VA Industrial Wood and Waste</v>
          </cell>
          <cell r="F3275">
            <v>66142</v>
          </cell>
          <cell r="G3275">
            <v>69123</v>
          </cell>
          <cell r="H3275">
            <v>70877</v>
          </cell>
          <cell r="I3275">
            <v>72970</v>
          </cell>
          <cell r="J3275">
            <v>77362</v>
          </cell>
          <cell r="K3275">
            <v>81423</v>
          </cell>
          <cell r="L3275">
            <v>82202</v>
          </cell>
          <cell r="M3275">
            <v>77983</v>
          </cell>
          <cell r="N3275">
            <v>76265</v>
          </cell>
          <cell r="O3275">
            <v>77998</v>
          </cell>
          <cell r="P3275">
            <v>78193</v>
          </cell>
          <cell r="Q3275">
            <v>60970</v>
          </cell>
          <cell r="R3275">
            <v>42424</v>
          </cell>
          <cell r="S3275">
            <v>58378</v>
          </cell>
          <cell r="T3275">
            <v>64012</v>
          </cell>
          <cell r="U3275">
            <v>73438</v>
          </cell>
          <cell r="V3275">
            <v>69933</v>
          </cell>
          <cell r="W3275">
            <v>67360</v>
          </cell>
          <cell r="X3275">
            <v>65341</v>
          </cell>
          <cell r="Y3275">
            <v>59783</v>
          </cell>
          <cell r="Z3275">
            <v>53116</v>
          </cell>
          <cell r="AA3275">
            <v>51269</v>
          </cell>
          <cell r="AB3275">
            <v>51738</v>
          </cell>
          <cell r="AC3275">
            <v>55806</v>
          </cell>
          <cell r="AD3275">
            <v>59968</v>
          </cell>
          <cell r="AE3275">
            <v>63288</v>
          </cell>
          <cell r="AF3275">
            <v>58211</v>
          </cell>
          <cell r="AG3275">
            <v>63051</v>
          </cell>
          <cell r="AH3275">
            <v>61955</v>
          </cell>
          <cell r="AI3275">
            <v>58440</v>
          </cell>
          <cell r="AJ3275">
            <v>58493</v>
          </cell>
        </row>
        <row r="3276">
          <cell r="E3276" t="str">
            <v>VT Industrial Wood and Waste</v>
          </cell>
          <cell r="F3276">
            <v>2099</v>
          </cell>
          <cell r="G3276">
            <v>2871</v>
          </cell>
          <cell r="H3276">
            <v>2666</v>
          </cell>
          <cell r="I3276">
            <v>2686</v>
          </cell>
          <cell r="J3276">
            <v>2920</v>
          </cell>
          <cell r="K3276">
            <v>3209</v>
          </cell>
          <cell r="L3276">
            <v>2938</v>
          </cell>
          <cell r="M3276">
            <v>3226</v>
          </cell>
          <cell r="N3276">
            <v>2729</v>
          </cell>
          <cell r="O3276">
            <v>2497</v>
          </cell>
          <cell r="P3276">
            <v>2982</v>
          </cell>
          <cell r="Q3276">
            <v>2580</v>
          </cell>
          <cell r="R3276">
            <v>1285</v>
          </cell>
          <cell r="S3276">
            <v>1178</v>
          </cell>
          <cell r="T3276">
            <v>1510</v>
          </cell>
          <cell r="U3276">
            <v>2209</v>
          </cell>
          <cell r="V3276">
            <v>2460</v>
          </cell>
          <cell r="W3276">
            <v>1591</v>
          </cell>
          <cell r="X3276">
            <v>1536</v>
          </cell>
          <cell r="Y3276">
            <v>1424</v>
          </cell>
          <cell r="Z3276">
            <v>2168</v>
          </cell>
          <cell r="AA3276">
            <v>449</v>
          </cell>
          <cell r="AB3276">
            <v>435</v>
          </cell>
          <cell r="AC3276">
            <v>446</v>
          </cell>
          <cell r="AD3276">
            <v>448</v>
          </cell>
          <cell r="AE3276">
            <v>447</v>
          </cell>
          <cell r="AF3276">
            <v>396</v>
          </cell>
          <cell r="AG3276">
            <v>234</v>
          </cell>
          <cell r="AH3276">
            <v>206</v>
          </cell>
          <cell r="AI3276">
            <v>206</v>
          </cell>
          <cell r="AJ3276">
            <v>206</v>
          </cell>
        </row>
        <row r="3277">
          <cell r="E3277" t="str">
            <v>WA Industrial Wood and Waste</v>
          </cell>
          <cell r="F3277">
            <v>74960</v>
          </cell>
          <cell r="G3277">
            <v>54735</v>
          </cell>
          <cell r="H3277">
            <v>72538</v>
          </cell>
          <cell r="I3277">
            <v>68803</v>
          </cell>
          <cell r="J3277">
            <v>69565</v>
          </cell>
          <cell r="K3277">
            <v>64748</v>
          </cell>
          <cell r="L3277">
            <v>62948</v>
          </cell>
          <cell r="M3277">
            <v>70100</v>
          </cell>
          <cell r="N3277">
            <v>64868</v>
          </cell>
          <cell r="O3277">
            <v>65631</v>
          </cell>
          <cell r="P3277">
            <v>62173</v>
          </cell>
          <cell r="Q3277">
            <v>57280</v>
          </cell>
          <cell r="R3277">
            <v>50137</v>
          </cell>
          <cell r="S3277">
            <v>53003</v>
          </cell>
          <cell r="T3277">
            <v>51143</v>
          </cell>
          <cell r="U3277">
            <v>56934</v>
          </cell>
          <cell r="V3277">
            <v>81118</v>
          </cell>
          <cell r="W3277">
            <v>54916</v>
          </cell>
          <cell r="X3277">
            <v>55254</v>
          </cell>
          <cell r="Y3277">
            <v>56555</v>
          </cell>
          <cell r="Z3277">
            <v>76022</v>
          </cell>
          <cell r="AA3277">
            <v>74667</v>
          </cell>
          <cell r="AB3277">
            <v>77702</v>
          </cell>
          <cell r="AC3277">
            <v>77966</v>
          </cell>
          <cell r="AD3277">
            <v>77987</v>
          </cell>
          <cell r="AE3277">
            <v>78447</v>
          </cell>
          <cell r="AF3277">
            <v>84518</v>
          </cell>
          <cell r="AG3277">
            <v>78513</v>
          </cell>
          <cell r="AH3277">
            <v>76744</v>
          </cell>
          <cell r="AI3277">
            <v>75816</v>
          </cell>
          <cell r="AJ3277">
            <v>70436</v>
          </cell>
        </row>
        <row r="3278">
          <cell r="E3278" t="str">
            <v>WI Industrial Wood and Waste</v>
          </cell>
          <cell r="F3278">
            <v>61324</v>
          </cell>
          <cell r="G3278">
            <v>61164</v>
          </cell>
          <cell r="H3278">
            <v>62165</v>
          </cell>
          <cell r="I3278">
            <v>64716</v>
          </cell>
          <cell r="J3278">
            <v>69478</v>
          </cell>
          <cell r="K3278">
            <v>71964</v>
          </cell>
          <cell r="L3278">
            <v>79786</v>
          </cell>
          <cell r="M3278">
            <v>84018</v>
          </cell>
          <cell r="N3278">
            <v>76633</v>
          </cell>
          <cell r="O3278">
            <v>81266</v>
          </cell>
          <cell r="P3278">
            <v>80000</v>
          </cell>
          <cell r="Q3278">
            <v>85770</v>
          </cell>
          <cell r="R3278">
            <v>57961</v>
          </cell>
          <cell r="S3278">
            <v>69481</v>
          </cell>
          <cell r="T3278">
            <v>54649</v>
          </cell>
          <cell r="U3278">
            <v>65910</v>
          </cell>
          <cell r="V3278">
            <v>62770</v>
          </cell>
          <cell r="W3278">
            <v>54701</v>
          </cell>
          <cell r="X3278">
            <v>52108</v>
          </cell>
          <cell r="Y3278">
            <v>49135</v>
          </cell>
          <cell r="Z3278">
            <v>68223</v>
          </cell>
          <cell r="AA3278">
            <v>62915</v>
          </cell>
          <cell r="AB3278">
            <v>61837</v>
          </cell>
          <cell r="AC3278">
            <v>61597</v>
          </cell>
          <cell r="AD3278">
            <v>56275</v>
          </cell>
          <cell r="AE3278">
            <v>55343</v>
          </cell>
          <cell r="AF3278">
            <v>56855</v>
          </cell>
          <cell r="AG3278">
            <v>55287</v>
          </cell>
          <cell r="AH3278">
            <v>55908</v>
          </cell>
          <cell r="AI3278">
            <v>53141</v>
          </cell>
          <cell r="AJ3278">
            <v>49743</v>
          </cell>
        </row>
        <row r="3279">
          <cell r="E3279" t="str">
            <v>WV Industrial Wood and Waste</v>
          </cell>
          <cell r="F3279">
            <v>1411</v>
          </cell>
          <cell r="G3279">
            <v>1479</v>
          </cell>
          <cell r="H3279">
            <v>1336</v>
          </cell>
          <cell r="I3279">
            <v>1390</v>
          </cell>
          <cell r="J3279">
            <v>1574</v>
          </cell>
          <cell r="K3279">
            <v>1835</v>
          </cell>
          <cell r="L3279">
            <v>1772</v>
          </cell>
          <cell r="M3279">
            <v>1823</v>
          </cell>
          <cell r="N3279">
            <v>1470</v>
          </cell>
          <cell r="O3279">
            <v>1517</v>
          </cell>
          <cell r="P3279">
            <v>1433</v>
          </cell>
          <cell r="Q3279">
            <v>2019</v>
          </cell>
          <cell r="R3279">
            <v>1415</v>
          </cell>
          <cell r="S3279">
            <v>1440</v>
          </cell>
          <cell r="T3279">
            <v>1437</v>
          </cell>
          <cell r="U3279">
            <v>1461</v>
          </cell>
          <cell r="V3279">
            <v>1256</v>
          </cell>
          <cell r="W3279">
            <v>1299</v>
          </cell>
          <cell r="X3279">
            <v>1261</v>
          </cell>
          <cell r="Y3279">
            <v>1225</v>
          </cell>
          <cell r="Z3279">
            <v>1692</v>
          </cell>
          <cell r="AA3279">
            <v>1128</v>
          </cell>
          <cell r="AB3279">
            <v>1117</v>
          </cell>
          <cell r="AC3279">
            <v>1128</v>
          </cell>
          <cell r="AD3279">
            <v>1130</v>
          </cell>
          <cell r="AE3279">
            <v>1130</v>
          </cell>
          <cell r="AF3279">
            <v>1131</v>
          </cell>
          <cell r="AG3279">
            <v>993</v>
          </cell>
          <cell r="AH3279">
            <v>1135</v>
          </cell>
          <cell r="AI3279">
            <v>1138</v>
          </cell>
          <cell r="AJ3279">
            <v>1132</v>
          </cell>
        </row>
        <row r="3280">
          <cell r="E3280" t="str">
            <v>WY Industrial Wood and Waste</v>
          </cell>
          <cell r="F3280">
            <v>978</v>
          </cell>
          <cell r="G3280">
            <v>992</v>
          </cell>
          <cell r="H3280">
            <v>332</v>
          </cell>
          <cell r="I3280">
            <v>287</v>
          </cell>
          <cell r="J3280">
            <v>590</v>
          </cell>
          <cell r="K3280">
            <v>377</v>
          </cell>
          <cell r="L3280">
            <v>158</v>
          </cell>
          <cell r="M3280">
            <v>172</v>
          </cell>
          <cell r="N3280">
            <v>143</v>
          </cell>
          <cell r="O3280">
            <v>148</v>
          </cell>
          <cell r="P3280">
            <v>143</v>
          </cell>
          <cell r="Q3280">
            <v>271</v>
          </cell>
          <cell r="R3280">
            <v>171</v>
          </cell>
          <cell r="S3280">
            <v>174</v>
          </cell>
          <cell r="T3280">
            <v>184</v>
          </cell>
          <cell r="U3280">
            <v>186</v>
          </cell>
          <cell r="V3280">
            <v>85</v>
          </cell>
          <cell r="W3280">
            <v>88</v>
          </cell>
          <cell r="X3280">
            <v>85</v>
          </cell>
          <cell r="Y3280">
            <v>74</v>
          </cell>
          <cell r="Z3280">
            <v>126</v>
          </cell>
          <cell r="AA3280">
            <v>112</v>
          </cell>
          <cell r="AB3280">
            <v>112</v>
          </cell>
          <cell r="AC3280">
            <v>112</v>
          </cell>
          <cell r="AD3280">
            <v>115</v>
          </cell>
          <cell r="AE3280">
            <v>115</v>
          </cell>
          <cell r="AF3280">
            <v>115</v>
          </cell>
          <cell r="AG3280">
            <v>88</v>
          </cell>
          <cell r="AH3280">
            <v>87</v>
          </cell>
          <cell r="AI3280">
            <v>87</v>
          </cell>
          <cell r="AJ3280">
            <v>87</v>
          </cell>
        </row>
        <row r="3281">
          <cell r="E3281" t="str">
            <v>AK Industrial Waxes</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row>
        <row r="3282">
          <cell r="E3282" t="str">
            <v>AL Industrial Waxes</v>
          </cell>
          <cell r="F3282">
            <v>0</v>
          </cell>
          <cell r="G3282">
            <v>447</v>
          </cell>
          <cell r="H3282">
            <v>474</v>
          </cell>
          <cell r="I3282">
            <v>509</v>
          </cell>
          <cell r="J3282">
            <v>516</v>
          </cell>
          <cell r="K3282">
            <v>516</v>
          </cell>
          <cell r="L3282">
            <v>574</v>
          </cell>
          <cell r="M3282">
            <v>516</v>
          </cell>
          <cell r="N3282">
            <v>500</v>
          </cell>
          <cell r="O3282">
            <v>442</v>
          </cell>
          <cell r="P3282">
            <v>390</v>
          </cell>
          <cell r="Q3282">
            <v>582</v>
          </cell>
          <cell r="R3282">
            <v>516</v>
          </cell>
          <cell r="S3282">
            <v>497</v>
          </cell>
          <cell r="T3282">
            <v>493</v>
          </cell>
          <cell r="U3282">
            <v>503</v>
          </cell>
          <cell r="V3282">
            <v>420</v>
          </cell>
          <cell r="W3282">
            <v>352</v>
          </cell>
          <cell r="X3282">
            <v>308</v>
          </cell>
          <cell r="Y3282">
            <v>197</v>
          </cell>
          <cell r="Z3282">
            <v>275</v>
          </cell>
          <cell r="AA3282">
            <v>242</v>
          </cell>
          <cell r="AB3282">
            <v>246</v>
          </cell>
          <cell r="AC3282">
            <v>291</v>
          </cell>
          <cell r="AD3282">
            <v>261</v>
          </cell>
          <cell r="AE3282">
            <v>218</v>
          </cell>
          <cell r="AF3282">
            <v>227</v>
          </cell>
          <cell r="AG3282">
            <v>193</v>
          </cell>
          <cell r="AH3282">
            <v>235</v>
          </cell>
          <cell r="AI3282">
            <v>198</v>
          </cell>
          <cell r="AJ3282">
            <v>175</v>
          </cell>
        </row>
        <row r="3283">
          <cell r="E3283" t="str">
            <v>AR Industrial Waxes</v>
          </cell>
          <cell r="F3283">
            <v>884</v>
          </cell>
          <cell r="G3283">
            <v>647</v>
          </cell>
          <cell r="H3283">
            <v>686</v>
          </cell>
          <cell r="I3283">
            <v>737</v>
          </cell>
          <cell r="J3283">
            <v>747</v>
          </cell>
          <cell r="K3283">
            <v>748</v>
          </cell>
          <cell r="L3283">
            <v>1029</v>
          </cell>
          <cell r="M3283">
            <v>925</v>
          </cell>
          <cell r="N3283">
            <v>896</v>
          </cell>
          <cell r="O3283">
            <v>791</v>
          </cell>
          <cell r="P3283">
            <v>699</v>
          </cell>
          <cell r="Q3283">
            <v>613</v>
          </cell>
          <cell r="R3283">
            <v>543</v>
          </cell>
          <cell r="S3283">
            <v>524</v>
          </cell>
          <cell r="T3283">
            <v>519</v>
          </cell>
          <cell r="U3283">
            <v>529</v>
          </cell>
          <cell r="V3283">
            <v>375</v>
          </cell>
          <cell r="W3283">
            <v>314</v>
          </cell>
          <cell r="X3283">
            <v>274</v>
          </cell>
          <cell r="Y3283">
            <v>175</v>
          </cell>
          <cell r="Z3283">
            <v>245</v>
          </cell>
          <cell r="AA3283">
            <v>216</v>
          </cell>
          <cell r="AB3283">
            <v>219</v>
          </cell>
          <cell r="AC3283">
            <v>224</v>
          </cell>
          <cell r="AD3283">
            <v>201</v>
          </cell>
          <cell r="AE3283">
            <v>168</v>
          </cell>
          <cell r="AF3283">
            <v>175</v>
          </cell>
          <cell r="AG3283">
            <v>127</v>
          </cell>
          <cell r="AH3283">
            <v>155</v>
          </cell>
          <cell r="AI3283">
            <v>130</v>
          </cell>
          <cell r="AJ3283">
            <v>115</v>
          </cell>
        </row>
        <row r="3284">
          <cell r="E3284" t="str">
            <v>AZ Industrial Waxes</v>
          </cell>
          <cell r="F3284">
            <v>0</v>
          </cell>
          <cell r="G3284">
            <v>265</v>
          </cell>
          <cell r="H3284">
            <v>281</v>
          </cell>
          <cell r="I3284">
            <v>302</v>
          </cell>
          <cell r="J3284">
            <v>306</v>
          </cell>
          <cell r="K3284">
            <v>306</v>
          </cell>
          <cell r="L3284">
            <v>354</v>
          </cell>
          <cell r="M3284">
            <v>319</v>
          </cell>
          <cell r="N3284">
            <v>309</v>
          </cell>
          <cell r="O3284">
            <v>273</v>
          </cell>
          <cell r="P3284">
            <v>241</v>
          </cell>
          <cell r="Q3284">
            <v>254</v>
          </cell>
          <cell r="R3284">
            <v>225</v>
          </cell>
          <cell r="S3284">
            <v>217</v>
          </cell>
          <cell r="T3284">
            <v>215</v>
          </cell>
          <cell r="U3284">
            <v>220</v>
          </cell>
          <cell r="V3284">
            <v>209</v>
          </cell>
          <cell r="W3284">
            <v>175</v>
          </cell>
          <cell r="X3284">
            <v>153</v>
          </cell>
          <cell r="Y3284">
            <v>97</v>
          </cell>
          <cell r="Z3284">
            <v>136</v>
          </cell>
          <cell r="AA3284">
            <v>120</v>
          </cell>
          <cell r="AB3284">
            <v>122</v>
          </cell>
          <cell r="AC3284">
            <v>163</v>
          </cell>
          <cell r="AD3284">
            <v>146</v>
          </cell>
          <cell r="AE3284">
            <v>122</v>
          </cell>
          <cell r="AF3284">
            <v>127</v>
          </cell>
          <cell r="AG3284">
            <v>90</v>
          </cell>
          <cell r="AH3284">
            <v>110</v>
          </cell>
          <cell r="AI3284">
            <v>92</v>
          </cell>
          <cell r="AJ3284">
            <v>81</v>
          </cell>
        </row>
        <row r="3285">
          <cell r="E3285" t="str">
            <v>CA Industrial Waxes</v>
          </cell>
          <cell r="F3285">
            <v>3248</v>
          </cell>
          <cell r="G3285">
            <v>4016</v>
          </cell>
          <cell r="H3285">
            <v>4260</v>
          </cell>
          <cell r="I3285">
            <v>4576</v>
          </cell>
          <cell r="J3285">
            <v>4640</v>
          </cell>
          <cell r="K3285">
            <v>4641</v>
          </cell>
          <cell r="L3285">
            <v>5389</v>
          </cell>
          <cell r="M3285">
            <v>4844</v>
          </cell>
          <cell r="N3285">
            <v>4692</v>
          </cell>
          <cell r="O3285">
            <v>4145</v>
          </cell>
          <cell r="P3285">
            <v>3663</v>
          </cell>
          <cell r="Q3285">
            <v>4603</v>
          </cell>
          <cell r="R3285">
            <v>4075</v>
          </cell>
          <cell r="S3285">
            <v>3932</v>
          </cell>
          <cell r="T3285">
            <v>3896</v>
          </cell>
          <cell r="U3285">
            <v>3973</v>
          </cell>
          <cell r="V3285">
            <v>3436</v>
          </cell>
          <cell r="W3285">
            <v>2876</v>
          </cell>
          <cell r="X3285">
            <v>2516</v>
          </cell>
          <cell r="Y3285">
            <v>1606</v>
          </cell>
          <cell r="Z3285">
            <v>2245</v>
          </cell>
          <cell r="AA3285">
            <v>1981</v>
          </cell>
          <cell r="AB3285">
            <v>2010</v>
          </cell>
          <cell r="AC3285">
            <v>2225</v>
          </cell>
          <cell r="AD3285">
            <v>1995</v>
          </cell>
          <cell r="AE3285">
            <v>1668</v>
          </cell>
          <cell r="AF3285">
            <v>1734</v>
          </cell>
          <cell r="AG3285">
            <v>1348</v>
          </cell>
          <cell r="AH3285">
            <v>1647</v>
          </cell>
          <cell r="AI3285">
            <v>1383</v>
          </cell>
          <cell r="AJ3285">
            <v>1221</v>
          </cell>
        </row>
        <row r="3286">
          <cell r="E3286" t="str">
            <v>CO Industrial Waxes</v>
          </cell>
          <cell r="F3286">
            <v>0</v>
          </cell>
          <cell r="G3286">
            <v>376</v>
          </cell>
          <cell r="H3286">
            <v>399</v>
          </cell>
          <cell r="I3286">
            <v>428</v>
          </cell>
          <cell r="J3286">
            <v>434</v>
          </cell>
          <cell r="K3286">
            <v>434</v>
          </cell>
          <cell r="L3286">
            <v>601</v>
          </cell>
          <cell r="M3286">
            <v>540</v>
          </cell>
          <cell r="N3286">
            <v>523</v>
          </cell>
          <cell r="O3286">
            <v>462</v>
          </cell>
          <cell r="P3286">
            <v>408</v>
          </cell>
          <cell r="Q3286">
            <v>276</v>
          </cell>
          <cell r="R3286">
            <v>245</v>
          </cell>
          <cell r="S3286">
            <v>236</v>
          </cell>
          <cell r="T3286">
            <v>234</v>
          </cell>
          <cell r="U3286">
            <v>239</v>
          </cell>
          <cell r="V3286">
            <v>200</v>
          </cell>
          <cell r="W3286">
            <v>168</v>
          </cell>
          <cell r="X3286">
            <v>147</v>
          </cell>
          <cell r="Y3286">
            <v>94</v>
          </cell>
          <cell r="Z3286">
            <v>131</v>
          </cell>
          <cell r="AA3286">
            <v>115</v>
          </cell>
          <cell r="AB3286">
            <v>117</v>
          </cell>
          <cell r="AC3286">
            <v>149</v>
          </cell>
          <cell r="AD3286">
            <v>133</v>
          </cell>
          <cell r="AE3286">
            <v>111</v>
          </cell>
          <cell r="AF3286">
            <v>116</v>
          </cell>
          <cell r="AG3286">
            <v>98</v>
          </cell>
          <cell r="AH3286">
            <v>119</v>
          </cell>
          <cell r="AI3286">
            <v>100</v>
          </cell>
          <cell r="AJ3286">
            <v>89</v>
          </cell>
        </row>
        <row r="3287">
          <cell r="E3287" t="str">
            <v>CT Industrial Waxes</v>
          </cell>
          <cell r="F3287">
            <v>236</v>
          </cell>
          <cell r="G3287">
            <v>450</v>
          </cell>
          <cell r="H3287">
            <v>477</v>
          </cell>
          <cell r="I3287">
            <v>513</v>
          </cell>
          <cell r="J3287">
            <v>520</v>
          </cell>
          <cell r="K3287">
            <v>520</v>
          </cell>
          <cell r="L3287">
            <v>690</v>
          </cell>
          <cell r="M3287">
            <v>620</v>
          </cell>
          <cell r="N3287">
            <v>600</v>
          </cell>
          <cell r="O3287">
            <v>531</v>
          </cell>
          <cell r="P3287">
            <v>469</v>
          </cell>
          <cell r="Q3287">
            <v>346</v>
          </cell>
          <cell r="R3287">
            <v>306</v>
          </cell>
          <cell r="S3287">
            <v>295</v>
          </cell>
          <cell r="T3287">
            <v>292</v>
          </cell>
          <cell r="U3287">
            <v>298</v>
          </cell>
          <cell r="V3287">
            <v>260</v>
          </cell>
          <cell r="W3287">
            <v>217</v>
          </cell>
          <cell r="X3287">
            <v>190</v>
          </cell>
          <cell r="Y3287">
            <v>121</v>
          </cell>
          <cell r="Z3287">
            <v>170</v>
          </cell>
          <cell r="AA3287">
            <v>150</v>
          </cell>
          <cell r="AB3287">
            <v>152</v>
          </cell>
          <cell r="AC3287">
            <v>149</v>
          </cell>
          <cell r="AD3287">
            <v>134</v>
          </cell>
          <cell r="AE3287">
            <v>112</v>
          </cell>
          <cell r="AF3287">
            <v>116</v>
          </cell>
          <cell r="AG3287">
            <v>52</v>
          </cell>
          <cell r="AH3287">
            <v>63</v>
          </cell>
          <cell r="AI3287">
            <v>53</v>
          </cell>
          <cell r="AJ3287">
            <v>47</v>
          </cell>
        </row>
        <row r="3288">
          <cell r="E3288" t="str">
            <v>DC Industrial Waxes</v>
          </cell>
          <cell r="F3288">
            <v>0</v>
          </cell>
          <cell r="G3288">
            <v>0</v>
          </cell>
          <cell r="H3288">
            <v>0</v>
          </cell>
          <cell r="I3288">
            <v>0</v>
          </cell>
          <cell r="J3288">
            <v>0</v>
          </cell>
          <cell r="K3288">
            <v>0</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row>
        <row r="3289">
          <cell r="E3289" t="str">
            <v>DE Industrial Waxes</v>
          </cell>
          <cell r="F3289">
            <v>0</v>
          </cell>
          <cell r="G3289">
            <v>50</v>
          </cell>
          <cell r="H3289">
            <v>53</v>
          </cell>
          <cell r="I3289">
            <v>57</v>
          </cell>
          <cell r="J3289">
            <v>58</v>
          </cell>
          <cell r="K3289">
            <v>58</v>
          </cell>
          <cell r="L3289">
            <v>68</v>
          </cell>
          <cell r="M3289">
            <v>61</v>
          </cell>
          <cell r="N3289">
            <v>59</v>
          </cell>
          <cell r="O3289">
            <v>53</v>
          </cell>
          <cell r="P3289">
            <v>46</v>
          </cell>
          <cell r="Q3289">
            <v>138</v>
          </cell>
          <cell r="R3289">
            <v>122</v>
          </cell>
          <cell r="S3289">
            <v>118</v>
          </cell>
          <cell r="T3289">
            <v>117</v>
          </cell>
          <cell r="U3289">
            <v>119</v>
          </cell>
          <cell r="V3289">
            <v>53</v>
          </cell>
          <cell r="W3289">
            <v>44</v>
          </cell>
          <cell r="X3289">
            <v>39</v>
          </cell>
          <cell r="Y3289">
            <v>25</v>
          </cell>
          <cell r="Z3289">
            <v>34</v>
          </cell>
          <cell r="AA3289">
            <v>30</v>
          </cell>
          <cell r="AB3289">
            <v>31</v>
          </cell>
          <cell r="AC3289">
            <v>0</v>
          </cell>
          <cell r="AD3289">
            <v>0</v>
          </cell>
          <cell r="AE3289">
            <v>0</v>
          </cell>
          <cell r="AF3289">
            <v>0</v>
          </cell>
          <cell r="AG3289">
            <v>0</v>
          </cell>
          <cell r="AH3289">
            <v>0</v>
          </cell>
          <cell r="AI3289">
            <v>0</v>
          </cell>
          <cell r="AJ3289">
            <v>0</v>
          </cell>
        </row>
        <row r="3290">
          <cell r="E3290" t="str">
            <v>FL Industrial Waxes</v>
          </cell>
          <cell r="F3290">
            <v>236</v>
          </cell>
          <cell r="G3290">
            <v>920</v>
          </cell>
          <cell r="H3290">
            <v>975</v>
          </cell>
          <cell r="I3290">
            <v>1048</v>
          </cell>
          <cell r="J3290">
            <v>1062</v>
          </cell>
          <cell r="K3290">
            <v>1063</v>
          </cell>
          <cell r="L3290">
            <v>1049</v>
          </cell>
          <cell r="M3290">
            <v>943</v>
          </cell>
          <cell r="N3290">
            <v>913</v>
          </cell>
          <cell r="O3290">
            <v>807</v>
          </cell>
          <cell r="P3290">
            <v>713</v>
          </cell>
          <cell r="Q3290">
            <v>880</v>
          </cell>
          <cell r="R3290">
            <v>779</v>
          </cell>
          <cell r="S3290">
            <v>751</v>
          </cell>
          <cell r="T3290">
            <v>744</v>
          </cell>
          <cell r="U3290">
            <v>759</v>
          </cell>
          <cell r="V3290">
            <v>581</v>
          </cell>
          <cell r="W3290">
            <v>486</v>
          </cell>
          <cell r="X3290">
            <v>425</v>
          </cell>
          <cell r="Y3290">
            <v>271</v>
          </cell>
          <cell r="Z3290">
            <v>379</v>
          </cell>
          <cell r="AA3290">
            <v>335</v>
          </cell>
          <cell r="AB3290">
            <v>340</v>
          </cell>
          <cell r="AC3290">
            <v>305</v>
          </cell>
          <cell r="AD3290">
            <v>274</v>
          </cell>
          <cell r="AE3290">
            <v>229</v>
          </cell>
          <cell r="AF3290">
            <v>238</v>
          </cell>
          <cell r="AG3290">
            <v>156</v>
          </cell>
          <cell r="AH3290">
            <v>191</v>
          </cell>
          <cell r="AI3290">
            <v>160</v>
          </cell>
          <cell r="AJ3290">
            <v>142</v>
          </cell>
        </row>
        <row r="3291">
          <cell r="E3291" t="str">
            <v>GA Industrial Waxes</v>
          </cell>
          <cell r="F3291">
            <v>2491</v>
          </cell>
          <cell r="G3291">
            <v>1440</v>
          </cell>
          <cell r="H3291">
            <v>1528</v>
          </cell>
          <cell r="I3291">
            <v>1641</v>
          </cell>
          <cell r="J3291">
            <v>1664</v>
          </cell>
          <cell r="K3291">
            <v>1664</v>
          </cell>
          <cell r="L3291">
            <v>2053</v>
          </cell>
          <cell r="M3291">
            <v>1845</v>
          </cell>
          <cell r="N3291">
            <v>1787</v>
          </cell>
          <cell r="O3291">
            <v>1579</v>
          </cell>
          <cell r="P3291">
            <v>1396</v>
          </cell>
          <cell r="Q3291">
            <v>1425</v>
          </cell>
          <cell r="R3291">
            <v>1262</v>
          </cell>
          <cell r="S3291">
            <v>1217</v>
          </cell>
          <cell r="T3291">
            <v>1206</v>
          </cell>
          <cell r="U3291">
            <v>1230</v>
          </cell>
          <cell r="V3291">
            <v>1136</v>
          </cell>
          <cell r="W3291">
            <v>951</v>
          </cell>
          <cell r="X3291">
            <v>832</v>
          </cell>
          <cell r="Y3291">
            <v>531</v>
          </cell>
          <cell r="Z3291">
            <v>742</v>
          </cell>
          <cell r="AA3291">
            <v>655</v>
          </cell>
          <cell r="AB3291">
            <v>665</v>
          </cell>
          <cell r="AC3291">
            <v>674</v>
          </cell>
          <cell r="AD3291">
            <v>604</v>
          </cell>
          <cell r="AE3291">
            <v>505</v>
          </cell>
          <cell r="AF3291">
            <v>525</v>
          </cell>
          <cell r="AG3291">
            <v>370</v>
          </cell>
          <cell r="AH3291">
            <v>452</v>
          </cell>
          <cell r="AI3291">
            <v>380</v>
          </cell>
          <cell r="AJ3291">
            <v>336</v>
          </cell>
        </row>
        <row r="3292">
          <cell r="E3292" t="str">
            <v>HI Industrial Waxes</v>
          </cell>
          <cell r="F3292">
            <v>0</v>
          </cell>
          <cell r="G3292">
            <v>50</v>
          </cell>
          <cell r="H3292">
            <v>53</v>
          </cell>
          <cell r="I3292">
            <v>57</v>
          </cell>
          <cell r="J3292">
            <v>58</v>
          </cell>
          <cell r="K3292">
            <v>58</v>
          </cell>
          <cell r="L3292">
            <v>68</v>
          </cell>
          <cell r="M3292">
            <v>61</v>
          </cell>
          <cell r="N3292">
            <v>59</v>
          </cell>
          <cell r="O3292">
            <v>53</v>
          </cell>
          <cell r="P3292">
            <v>46</v>
          </cell>
          <cell r="Q3292">
            <v>0</v>
          </cell>
          <cell r="R3292">
            <v>0</v>
          </cell>
          <cell r="S3292">
            <v>0</v>
          </cell>
          <cell r="T3292">
            <v>0</v>
          </cell>
          <cell r="U3292">
            <v>0</v>
          </cell>
          <cell r="V3292">
            <v>53</v>
          </cell>
          <cell r="W3292">
            <v>44</v>
          </cell>
          <cell r="X3292">
            <v>39</v>
          </cell>
          <cell r="Y3292">
            <v>25</v>
          </cell>
          <cell r="Z3292">
            <v>34</v>
          </cell>
          <cell r="AA3292">
            <v>30</v>
          </cell>
          <cell r="AB3292">
            <v>31</v>
          </cell>
          <cell r="AC3292">
            <v>0</v>
          </cell>
          <cell r="AD3292">
            <v>0</v>
          </cell>
          <cell r="AE3292">
            <v>0</v>
          </cell>
          <cell r="AF3292">
            <v>0</v>
          </cell>
          <cell r="AG3292">
            <v>0</v>
          </cell>
          <cell r="AH3292">
            <v>0</v>
          </cell>
          <cell r="AI3292">
            <v>0</v>
          </cell>
          <cell r="AJ3292">
            <v>0</v>
          </cell>
        </row>
        <row r="3293">
          <cell r="E3293" t="str">
            <v>IA Industrial Waxes</v>
          </cell>
          <cell r="F3293">
            <v>236</v>
          </cell>
          <cell r="G3293">
            <v>492</v>
          </cell>
          <cell r="H3293">
            <v>522</v>
          </cell>
          <cell r="I3293">
            <v>561</v>
          </cell>
          <cell r="J3293">
            <v>569</v>
          </cell>
          <cell r="K3293">
            <v>569</v>
          </cell>
          <cell r="L3293">
            <v>551</v>
          </cell>
          <cell r="M3293">
            <v>496</v>
          </cell>
          <cell r="N3293">
            <v>480</v>
          </cell>
          <cell r="O3293">
            <v>424</v>
          </cell>
          <cell r="P3293">
            <v>375</v>
          </cell>
          <cell r="Q3293">
            <v>484</v>
          </cell>
          <cell r="R3293">
            <v>428</v>
          </cell>
          <cell r="S3293">
            <v>413</v>
          </cell>
          <cell r="T3293">
            <v>410</v>
          </cell>
          <cell r="U3293">
            <v>418</v>
          </cell>
          <cell r="V3293">
            <v>449</v>
          </cell>
          <cell r="W3293">
            <v>376</v>
          </cell>
          <cell r="X3293">
            <v>329</v>
          </cell>
          <cell r="Y3293">
            <v>210</v>
          </cell>
          <cell r="Z3293">
            <v>293</v>
          </cell>
          <cell r="AA3293">
            <v>259</v>
          </cell>
          <cell r="AB3293">
            <v>262</v>
          </cell>
          <cell r="AC3293">
            <v>214</v>
          </cell>
          <cell r="AD3293">
            <v>192</v>
          </cell>
          <cell r="AE3293">
            <v>160</v>
          </cell>
          <cell r="AF3293">
            <v>167</v>
          </cell>
          <cell r="AG3293">
            <v>122</v>
          </cell>
          <cell r="AH3293">
            <v>149</v>
          </cell>
          <cell r="AI3293">
            <v>125</v>
          </cell>
          <cell r="AJ3293">
            <v>110</v>
          </cell>
        </row>
        <row r="3294">
          <cell r="E3294" t="str">
            <v>ID Industrial Waxes</v>
          </cell>
          <cell r="F3294">
            <v>0</v>
          </cell>
          <cell r="G3294">
            <v>100</v>
          </cell>
          <cell r="H3294">
            <v>106</v>
          </cell>
          <cell r="I3294">
            <v>114</v>
          </cell>
          <cell r="J3294">
            <v>116</v>
          </cell>
          <cell r="K3294">
            <v>116</v>
          </cell>
          <cell r="L3294">
            <v>146</v>
          </cell>
          <cell r="M3294">
            <v>132</v>
          </cell>
          <cell r="N3294">
            <v>127</v>
          </cell>
          <cell r="O3294">
            <v>113</v>
          </cell>
          <cell r="P3294">
            <v>100</v>
          </cell>
          <cell r="Q3294">
            <v>138</v>
          </cell>
          <cell r="R3294">
            <v>122</v>
          </cell>
          <cell r="S3294">
            <v>118</v>
          </cell>
          <cell r="T3294">
            <v>117</v>
          </cell>
          <cell r="U3294">
            <v>119</v>
          </cell>
          <cell r="V3294">
            <v>113</v>
          </cell>
          <cell r="W3294">
            <v>95</v>
          </cell>
          <cell r="X3294">
            <v>83</v>
          </cell>
          <cell r="Y3294">
            <v>53</v>
          </cell>
          <cell r="Z3294">
            <v>74</v>
          </cell>
          <cell r="AA3294">
            <v>65</v>
          </cell>
          <cell r="AB3294">
            <v>66</v>
          </cell>
          <cell r="AC3294">
            <v>81</v>
          </cell>
          <cell r="AD3294">
            <v>73</v>
          </cell>
          <cell r="AE3294">
            <v>61</v>
          </cell>
          <cell r="AF3294">
            <v>63</v>
          </cell>
          <cell r="AG3294">
            <v>49</v>
          </cell>
          <cell r="AH3294">
            <v>60</v>
          </cell>
          <cell r="AI3294">
            <v>50</v>
          </cell>
          <cell r="AJ3294">
            <v>44</v>
          </cell>
        </row>
        <row r="3295">
          <cell r="E3295" t="str">
            <v>IL Industrial Waxes</v>
          </cell>
          <cell r="F3295">
            <v>4468</v>
          </cell>
          <cell r="G3295">
            <v>2753</v>
          </cell>
          <cell r="H3295">
            <v>2920</v>
          </cell>
          <cell r="I3295">
            <v>3137</v>
          </cell>
          <cell r="J3295">
            <v>3181</v>
          </cell>
          <cell r="K3295">
            <v>3181</v>
          </cell>
          <cell r="L3295">
            <v>4303</v>
          </cell>
          <cell r="M3295">
            <v>3868</v>
          </cell>
          <cell r="N3295">
            <v>3746</v>
          </cell>
          <cell r="O3295">
            <v>3310</v>
          </cell>
          <cell r="P3295">
            <v>2925</v>
          </cell>
          <cell r="Q3295">
            <v>2523</v>
          </cell>
          <cell r="R3295">
            <v>2234</v>
          </cell>
          <cell r="S3295">
            <v>2155</v>
          </cell>
          <cell r="T3295">
            <v>2136</v>
          </cell>
          <cell r="U3295">
            <v>2178</v>
          </cell>
          <cell r="V3295">
            <v>1631</v>
          </cell>
          <cell r="W3295">
            <v>1365</v>
          </cell>
          <cell r="X3295">
            <v>1194</v>
          </cell>
          <cell r="Y3295">
            <v>762</v>
          </cell>
          <cell r="Z3295">
            <v>1065</v>
          </cell>
          <cell r="AA3295">
            <v>940</v>
          </cell>
          <cell r="AB3295">
            <v>954</v>
          </cell>
          <cell r="AC3295">
            <v>1076</v>
          </cell>
          <cell r="AD3295">
            <v>964</v>
          </cell>
          <cell r="AE3295">
            <v>806</v>
          </cell>
          <cell r="AF3295">
            <v>838</v>
          </cell>
          <cell r="AG3295">
            <v>595</v>
          </cell>
          <cell r="AH3295">
            <v>727</v>
          </cell>
          <cell r="AI3295">
            <v>610</v>
          </cell>
          <cell r="AJ3295">
            <v>539</v>
          </cell>
        </row>
        <row r="3296">
          <cell r="E3296" t="str">
            <v>IN Industrial Waxes</v>
          </cell>
          <cell r="F3296">
            <v>330</v>
          </cell>
          <cell r="G3296">
            <v>1130</v>
          </cell>
          <cell r="H3296">
            <v>1198</v>
          </cell>
          <cell r="I3296">
            <v>1287</v>
          </cell>
          <cell r="J3296">
            <v>1305</v>
          </cell>
          <cell r="K3296">
            <v>1305</v>
          </cell>
          <cell r="L3296">
            <v>1667</v>
          </cell>
          <cell r="M3296">
            <v>1498</v>
          </cell>
          <cell r="N3296">
            <v>1451</v>
          </cell>
          <cell r="O3296">
            <v>1282</v>
          </cell>
          <cell r="P3296">
            <v>1133</v>
          </cell>
          <cell r="Q3296">
            <v>1376</v>
          </cell>
          <cell r="R3296">
            <v>1218</v>
          </cell>
          <cell r="S3296">
            <v>1175</v>
          </cell>
          <cell r="T3296">
            <v>1165</v>
          </cell>
          <cell r="U3296">
            <v>1188</v>
          </cell>
          <cell r="V3296">
            <v>1218</v>
          </cell>
          <cell r="W3296">
            <v>1019</v>
          </cell>
          <cell r="X3296">
            <v>891</v>
          </cell>
          <cell r="Y3296">
            <v>569</v>
          </cell>
          <cell r="Z3296">
            <v>796</v>
          </cell>
          <cell r="AA3296">
            <v>702</v>
          </cell>
          <cell r="AB3296">
            <v>712</v>
          </cell>
          <cell r="AC3296">
            <v>698</v>
          </cell>
          <cell r="AD3296">
            <v>626</v>
          </cell>
          <cell r="AE3296">
            <v>523</v>
          </cell>
          <cell r="AF3296">
            <v>544</v>
          </cell>
          <cell r="AG3296">
            <v>536</v>
          </cell>
          <cell r="AH3296">
            <v>655</v>
          </cell>
          <cell r="AI3296">
            <v>550</v>
          </cell>
          <cell r="AJ3296">
            <v>486</v>
          </cell>
        </row>
        <row r="3297">
          <cell r="E3297" t="str">
            <v>KS Industrial Waxes</v>
          </cell>
          <cell r="F3297">
            <v>1416</v>
          </cell>
          <cell r="G3297">
            <v>274</v>
          </cell>
          <cell r="H3297">
            <v>291</v>
          </cell>
          <cell r="I3297">
            <v>312</v>
          </cell>
          <cell r="J3297">
            <v>317</v>
          </cell>
          <cell r="K3297">
            <v>317</v>
          </cell>
          <cell r="L3297">
            <v>340</v>
          </cell>
          <cell r="M3297">
            <v>306</v>
          </cell>
          <cell r="N3297">
            <v>296</v>
          </cell>
          <cell r="O3297">
            <v>262</v>
          </cell>
          <cell r="P3297">
            <v>231</v>
          </cell>
          <cell r="Q3297">
            <v>300</v>
          </cell>
          <cell r="R3297">
            <v>266</v>
          </cell>
          <cell r="S3297">
            <v>257</v>
          </cell>
          <cell r="T3297">
            <v>254</v>
          </cell>
          <cell r="U3297">
            <v>259</v>
          </cell>
          <cell r="V3297">
            <v>238</v>
          </cell>
          <cell r="W3297">
            <v>199</v>
          </cell>
          <cell r="X3297">
            <v>174</v>
          </cell>
          <cell r="Y3297">
            <v>111</v>
          </cell>
          <cell r="Z3297">
            <v>155</v>
          </cell>
          <cell r="AA3297">
            <v>137</v>
          </cell>
          <cell r="AB3297">
            <v>139</v>
          </cell>
          <cell r="AC3297">
            <v>110</v>
          </cell>
          <cell r="AD3297">
            <v>99</v>
          </cell>
          <cell r="AE3297">
            <v>83</v>
          </cell>
          <cell r="AF3297">
            <v>86</v>
          </cell>
          <cell r="AG3297">
            <v>58</v>
          </cell>
          <cell r="AH3297">
            <v>71</v>
          </cell>
          <cell r="AI3297">
            <v>60</v>
          </cell>
          <cell r="AJ3297">
            <v>53</v>
          </cell>
        </row>
        <row r="3298">
          <cell r="E3298" t="str">
            <v>KY Industrial Waxes</v>
          </cell>
          <cell r="F3298">
            <v>442</v>
          </cell>
          <cell r="G3298">
            <v>555</v>
          </cell>
          <cell r="H3298">
            <v>589</v>
          </cell>
          <cell r="I3298">
            <v>633</v>
          </cell>
          <cell r="J3298">
            <v>641</v>
          </cell>
          <cell r="K3298">
            <v>642</v>
          </cell>
          <cell r="L3298">
            <v>847</v>
          </cell>
          <cell r="M3298">
            <v>762</v>
          </cell>
          <cell r="N3298">
            <v>738</v>
          </cell>
          <cell r="O3298">
            <v>652</v>
          </cell>
          <cell r="P3298">
            <v>576</v>
          </cell>
          <cell r="Q3298">
            <v>637</v>
          </cell>
          <cell r="R3298">
            <v>564</v>
          </cell>
          <cell r="S3298">
            <v>544</v>
          </cell>
          <cell r="T3298">
            <v>539</v>
          </cell>
          <cell r="U3298">
            <v>550</v>
          </cell>
          <cell r="V3298">
            <v>305</v>
          </cell>
          <cell r="W3298">
            <v>255</v>
          </cell>
          <cell r="X3298">
            <v>223</v>
          </cell>
          <cell r="Y3298">
            <v>143</v>
          </cell>
          <cell r="Z3298">
            <v>199</v>
          </cell>
          <cell r="AA3298">
            <v>176</v>
          </cell>
          <cell r="AB3298">
            <v>178</v>
          </cell>
          <cell r="AC3298">
            <v>194</v>
          </cell>
          <cell r="AD3298">
            <v>174</v>
          </cell>
          <cell r="AE3298">
            <v>146</v>
          </cell>
          <cell r="AF3298">
            <v>151</v>
          </cell>
          <cell r="AG3298">
            <v>155</v>
          </cell>
          <cell r="AH3298">
            <v>190</v>
          </cell>
          <cell r="AI3298">
            <v>159</v>
          </cell>
          <cell r="AJ3298">
            <v>141</v>
          </cell>
        </row>
        <row r="3299">
          <cell r="E3299" t="str">
            <v>LA Industrial Waxes</v>
          </cell>
          <cell r="F3299">
            <v>236</v>
          </cell>
          <cell r="G3299">
            <v>422</v>
          </cell>
          <cell r="H3299">
            <v>448</v>
          </cell>
          <cell r="I3299">
            <v>481</v>
          </cell>
          <cell r="J3299">
            <v>488</v>
          </cell>
          <cell r="K3299">
            <v>488</v>
          </cell>
          <cell r="L3299">
            <v>425</v>
          </cell>
          <cell r="M3299">
            <v>382</v>
          </cell>
          <cell r="N3299">
            <v>370</v>
          </cell>
          <cell r="O3299">
            <v>327</v>
          </cell>
          <cell r="P3299">
            <v>289</v>
          </cell>
          <cell r="Q3299">
            <v>335</v>
          </cell>
          <cell r="R3299">
            <v>297</v>
          </cell>
          <cell r="S3299">
            <v>286</v>
          </cell>
          <cell r="T3299">
            <v>284</v>
          </cell>
          <cell r="U3299">
            <v>289</v>
          </cell>
          <cell r="V3299">
            <v>338</v>
          </cell>
          <cell r="W3299">
            <v>283</v>
          </cell>
          <cell r="X3299">
            <v>248</v>
          </cell>
          <cell r="Y3299">
            <v>158</v>
          </cell>
          <cell r="Z3299">
            <v>221</v>
          </cell>
          <cell r="AA3299">
            <v>195</v>
          </cell>
          <cell r="AB3299">
            <v>198</v>
          </cell>
          <cell r="AC3299">
            <v>195</v>
          </cell>
          <cell r="AD3299">
            <v>175</v>
          </cell>
          <cell r="AE3299">
            <v>146</v>
          </cell>
          <cell r="AF3299">
            <v>152</v>
          </cell>
          <cell r="AG3299">
            <v>103</v>
          </cell>
          <cell r="AH3299">
            <v>126</v>
          </cell>
          <cell r="AI3299">
            <v>106</v>
          </cell>
          <cell r="AJ3299">
            <v>93</v>
          </cell>
        </row>
        <row r="3300">
          <cell r="E3300" t="str">
            <v>MA Industrial Waxes</v>
          </cell>
          <cell r="F3300">
            <v>881</v>
          </cell>
          <cell r="G3300">
            <v>769</v>
          </cell>
          <cell r="H3300">
            <v>816</v>
          </cell>
          <cell r="I3300">
            <v>877</v>
          </cell>
          <cell r="J3300">
            <v>889</v>
          </cell>
          <cell r="K3300">
            <v>889</v>
          </cell>
          <cell r="L3300">
            <v>1104</v>
          </cell>
          <cell r="M3300">
            <v>992</v>
          </cell>
          <cell r="N3300">
            <v>961</v>
          </cell>
          <cell r="O3300">
            <v>849</v>
          </cell>
          <cell r="P3300">
            <v>750</v>
          </cell>
          <cell r="Q3300">
            <v>771</v>
          </cell>
          <cell r="R3300">
            <v>682</v>
          </cell>
          <cell r="S3300">
            <v>658</v>
          </cell>
          <cell r="T3300">
            <v>652</v>
          </cell>
          <cell r="U3300">
            <v>665</v>
          </cell>
          <cell r="V3300">
            <v>531</v>
          </cell>
          <cell r="W3300">
            <v>445</v>
          </cell>
          <cell r="X3300">
            <v>389</v>
          </cell>
          <cell r="Y3300">
            <v>248</v>
          </cell>
          <cell r="Z3300">
            <v>347</v>
          </cell>
          <cell r="AA3300">
            <v>306</v>
          </cell>
          <cell r="AB3300">
            <v>311</v>
          </cell>
          <cell r="AC3300">
            <v>308</v>
          </cell>
          <cell r="AD3300">
            <v>277</v>
          </cell>
          <cell r="AE3300">
            <v>231</v>
          </cell>
          <cell r="AF3300">
            <v>240</v>
          </cell>
          <cell r="AG3300">
            <v>183</v>
          </cell>
          <cell r="AH3300">
            <v>224</v>
          </cell>
          <cell r="AI3300">
            <v>188</v>
          </cell>
          <cell r="AJ3300">
            <v>166</v>
          </cell>
        </row>
        <row r="3301">
          <cell r="E3301" t="str">
            <v>MD Industrial Waxes</v>
          </cell>
          <cell r="F3301">
            <v>3538</v>
          </cell>
          <cell r="G3301">
            <v>415</v>
          </cell>
          <cell r="H3301">
            <v>440</v>
          </cell>
          <cell r="I3301">
            <v>473</v>
          </cell>
          <cell r="J3301">
            <v>479</v>
          </cell>
          <cell r="K3301">
            <v>480</v>
          </cell>
          <cell r="L3301">
            <v>507</v>
          </cell>
          <cell r="M3301">
            <v>456</v>
          </cell>
          <cell r="N3301">
            <v>442</v>
          </cell>
          <cell r="O3301">
            <v>390</v>
          </cell>
          <cell r="P3301">
            <v>345</v>
          </cell>
          <cell r="Q3301">
            <v>346</v>
          </cell>
          <cell r="R3301">
            <v>307</v>
          </cell>
          <cell r="S3301">
            <v>296</v>
          </cell>
          <cell r="T3301">
            <v>293</v>
          </cell>
          <cell r="U3301">
            <v>299</v>
          </cell>
          <cell r="V3301">
            <v>184</v>
          </cell>
          <cell r="W3301">
            <v>154</v>
          </cell>
          <cell r="X3301">
            <v>135</v>
          </cell>
          <cell r="Y3301">
            <v>86</v>
          </cell>
          <cell r="Z3301">
            <v>120</v>
          </cell>
          <cell r="AA3301">
            <v>106</v>
          </cell>
          <cell r="AB3301">
            <v>108</v>
          </cell>
          <cell r="AC3301">
            <v>163</v>
          </cell>
          <cell r="AD3301">
            <v>146</v>
          </cell>
          <cell r="AE3301">
            <v>122</v>
          </cell>
          <cell r="AF3301">
            <v>127</v>
          </cell>
          <cell r="AG3301">
            <v>56</v>
          </cell>
          <cell r="AH3301">
            <v>68</v>
          </cell>
          <cell r="AI3301">
            <v>57</v>
          </cell>
          <cell r="AJ3301">
            <v>51</v>
          </cell>
        </row>
        <row r="3302">
          <cell r="E3302" t="str">
            <v>ME Industrial Waxes</v>
          </cell>
          <cell r="F3302">
            <v>0</v>
          </cell>
          <cell r="G3302">
            <v>129</v>
          </cell>
          <cell r="H3302">
            <v>137</v>
          </cell>
          <cell r="I3302">
            <v>147</v>
          </cell>
          <cell r="J3302">
            <v>149</v>
          </cell>
          <cell r="K3302">
            <v>149</v>
          </cell>
          <cell r="L3302">
            <v>156</v>
          </cell>
          <cell r="M3302">
            <v>140</v>
          </cell>
          <cell r="N3302">
            <v>136</v>
          </cell>
          <cell r="O3302">
            <v>120</v>
          </cell>
          <cell r="P3302">
            <v>106</v>
          </cell>
          <cell r="Q3302">
            <v>76</v>
          </cell>
          <cell r="R3302">
            <v>67</v>
          </cell>
          <cell r="S3302">
            <v>65</v>
          </cell>
          <cell r="T3302">
            <v>64</v>
          </cell>
          <cell r="U3302">
            <v>66</v>
          </cell>
          <cell r="V3302">
            <v>53</v>
          </cell>
          <cell r="W3302">
            <v>44</v>
          </cell>
          <cell r="X3302">
            <v>39</v>
          </cell>
          <cell r="Y3302">
            <v>25</v>
          </cell>
          <cell r="Z3302">
            <v>34</v>
          </cell>
          <cell r="AA3302">
            <v>30</v>
          </cell>
          <cell r="AB3302">
            <v>31</v>
          </cell>
          <cell r="AC3302">
            <v>0</v>
          </cell>
          <cell r="AD3302">
            <v>0</v>
          </cell>
          <cell r="AE3302">
            <v>0</v>
          </cell>
          <cell r="AF3302">
            <v>0</v>
          </cell>
          <cell r="AG3302">
            <v>23</v>
          </cell>
          <cell r="AH3302">
            <v>28</v>
          </cell>
          <cell r="AI3302">
            <v>23</v>
          </cell>
          <cell r="AJ3302">
            <v>21</v>
          </cell>
        </row>
        <row r="3303">
          <cell r="E3303" t="str">
            <v>MI Industrial Waxes</v>
          </cell>
          <cell r="F3303">
            <v>442</v>
          </cell>
          <cell r="G3303">
            <v>1283</v>
          </cell>
          <cell r="H3303">
            <v>1361</v>
          </cell>
          <cell r="I3303">
            <v>1462</v>
          </cell>
          <cell r="J3303">
            <v>1482</v>
          </cell>
          <cell r="K3303">
            <v>1482</v>
          </cell>
          <cell r="L3303">
            <v>1983</v>
          </cell>
          <cell r="M3303">
            <v>1782</v>
          </cell>
          <cell r="N3303">
            <v>1726</v>
          </cell>
          <cell r="O3303">
            <v>1525</v>
          </cell>
          <cell r="P3303">
            <v>1348</v>
          </cell>
          <cell r="Q3303">
            <v>1251</v>
          </cell>
          <cell r="R3303">
            <v>1108</v>
          </cell>
          <cell r="S3303">
            <v>1069</v>
          </cell>
          <cell r="T3303">
            <v>1059</v>
          </cell>
          <cell r="U3303">
            <v>1080</v>
          </cell>
          <cell r="V3303">
            <v>886</v>
          </cell>
          <cell r="W3303">
            <v>742</v>
          </cell>
          <cell r="X3303">
            <v>649</v>
          </cell>
          <cell r="Y3303">
            <v>414</v>
          </cell>
          <cell r="Z3303">
            <v>579</v>
          </cell>
          <cell r="AA3303">
            <v>511</v>
          </cell>
          <cell r="AB3303">
            <v>518</v>
          </cell>
          <cell r="AC3303">
            <v>579</v>
          </cell>
          <cell r="AD3303">
            <v>520</v>
          </cell>
          <cell r="AE3303">
            <v>434</v>
          </cell>
          <cell r="AF3303">
            <v>452</v>
          </cell>
          <cell r="AG3303">
            <v>345</v>
          </cell>
          <cell r="AH3303">
            <v>421</v>
          </cell>
          <cell r="AI3303">
            <v>354</v>
          </cell>
          <cell r="AJ3303">
            <v>312</v>
          </cell>
        </row>
        <row r="3304">
          <cell r="E3304" t="str">
            <v>MN Industrial Waxes</v>
          </cell>
          <cell r="F3304">
            <v>0</v>
          </cell>
          <cell r="G3304">
            <v>972</v>
          </cell>
          <cell r="H3304">
            <v>1031</v>
          </cell>
          <cell r="I3304">
            <v>1108</v>
          </cell>
          <cell r="J3304">
            <v>1123</v>
          </cell>
          <cell r="K3304">
            <v>1123</v>
          </cell>
          <cell r="L3304">
            <v>1317</v>
          </cell>
          <cell r="M3304">
            <v>1184</v>
          </cell>
          <cell r="N3304">
            <v>1147</v>
          </cell>
          <cell r="O3304">
            <v>1013</v>
          </cell>
          <cell r="P3304">
            <v>896</v>
          </cell>
          <cell r="Q3304">
            <v>944</v>
          </cell>
          <cell r="R3304">
            <v>835</v>
          </cell>
          <cell r="S3304">
            <v>806</v>
          </cell>
          <cell r="T3304">
            <v>799</v>
          </cell>
          <cell r="U3304">
            <v>815</v>
          </cell>
          <cell r="V3304">
            <v>752</v>
          </cell>
          <cell r="W3304">
            <v>630</v>
          </cell>
          <cell r="X3304">
            <v>551</v>
          </cell>
          <cell r="Y3304">
            <v>352</v>
          </cell>
          <cell r="Z3304">
            <v>492</v>
          </cell>
          <cell r="AA3304">
            <v>434</v>
          </cell>
          <cell r="AB3304">
            <v>440</v>
          </cell>
          <cell r="AC3304">
            <v>482</v>
          </cell>
          <cell r="AD3304">
            <v>432</v>
          </cell>
          <cell r="AE3304">
            <v>361</v>
          </cell>
          <cell r="AF3304">
            <v>376</v>
          </cell>
          <cell r="AG3304">
            <v>273</v>
          </cell>
          <cell r="AH3304">
            <v>333</v>
          </cell>
          <cell r="AI3304">
            <v>280</v>
          </cell>
          <cell r="AJ3304">
            <v>247</v>
          </cell>
        </row>
        <row r="3305">
          <cell r="E3305" t="str">
            <v>MO Industrial Waxes</v>
          </cell>
          <cell r="F3305">
            <v>3281</v>
          </cell>
          <cell r="G3305">
            <v>861</v>
          </cell>
          <cell r="H3305">
            <v>913</v>
          </cell>
          <cell r="I3305">
            <v>981</v>
          </cell>
          <cell r="J3305">
            <v>995</v>
          </cell>
          <cell r="K3305">
            <v>995</v>
          </cell>
          <cell r="L3305">
            <v>976</v>
          </cell>
          <cell r="M3305">
            <v>877</v>
          </cell>
          <cell r="N3305">
            <v>849</v>
          </cell>
          <cell r="O3305">
            <v>751</v>
          </cell>
          <cell r="P3305">
            <v>663</v>
          </cell>
          <cell r="Q3305">
            <v>1007</v>
          </cell>
          <cell r="R3305">
            <v>891</v>
          </cell>
          <cell r="S3305">
            <v>860</v>
          </cell>
          <cell r="T3305">
            <v>852</v>
          </cell>
          <cell r="U3305">
            <v>869</v>
          </cell>
          <cell r="V3305">
            <v>797</v>
          </cell>
          <cell r="W3305">
            <v>667</v>
          </cell>
          <cell r="X3305">
            <v>583</v>
          </cell>
          <cell r="Y3305">
            <v>372</v>
          </cell>
          <cell r="Z3305">
            <v>520</v>
          </cell>
          <cell r="AA3305">
            <v>459</v>
          </cell>
          <cell r="AB3305">
            <v>466</v>
          </cell>
          <cell r="AC3305">
            <v>389</v>
          </cell>
          <cell r="AD3305">
            <v>349</v>
          </cell>
          <cell r="AE3305">
            <v>292</v>
          </cell>
          <cell r="AF3305">
            <v>303</v>
          </cell>
          <cell r="AG3305">
            <v>345</v>
          </cell>
          <cell r="AH3305">
            <v>422</v>
          </cell>
          <cell r="AI3305">
            <v>354</v>
          </cell>
          <cell r="AJ3305">
            <v>313</v>
          </cell>
        </row>
        <row r="3306">
          <cell r="E3306" t="str">
            <v>MS Industrial Waxes</v>
          </cell>
          <cell r="F3306">
            <v>0</v>
          </cell>
          <cell r="G3306">
            <v>543</v>
          </cell>
          <cell r="H3306">
            <v>576</v>
          </cell>
          <cell r="I3306">
            <v>618</v>
          </cell>
          <cell r="J3306">
            <v>627</v>
          </cell>
          <cell r="K3306">
            <v>627</v>
          </cell>
          <cell r="L3306">
            <v>723</v>
          </cell>
          <cell r="M3306">
            <v>649</v>
          </cell>
          <cell r="N3306">
            <v>629</v>
          </cell>
          <cell r="O3306">
            <v>556</v>
          </cell>
          <cell r="P3306">
            <v>491</v>
          </cell>
          <cell r="Q3306">
            <v>478</v>
          </cell>
          <cell r="R3306">
            <v>423</v>
          </cell>
          <cell r="S3306">
            <v>408</v>
          </cell>
          <cell r="T3306">
            <v>405</v>
          </cell>
          <cell r="U3306">
            <v>413</v>
          </cell>
          <cell r="V3306">
            <v>385</v>
          </cell>
          <cell r="W3306">
            <v>322</v>
          </cell>
          <cell r="X3306">
            <v>282</v>
          </cell>
          <cell r="Y3306">
            <v>180</v>
          </cell>
          <cell r="Z3306">
            <v>252</v>
          </cell>
          <cell r="AA3306">
            <v>222</v>
          </cell>
          <cell r="AB3306">
            <v>225</v>
          </cell>
          <cell r="AC3306">
            <v>207</v>
          </cell>
          <cell r="AD3306">
            <v>186</v>
          </cell>
          <cell r="AE3306">
            <v>155</v>
          </cell>
          <cell r="AF3306">
            <v>161</v>
          </cell>
          <cell r="AG3306">
            <v>135</v>
          </cell>
          <cell r="AH3306">
            <v>164</v>
          </cell>
          <cell r="AI3306">
            <v>138</v>
          </cell>
          <cell r="AJ3306">
            <v>122</v>
          </cell>
        </row>
        <row r="3307">
          <cell r="E3307" t="str">
            <v>MT Industrial Waxes</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row>
        <row r="3308">
          <cell r="E3308" t="str">
            <v>NC Industrial Waxes</v>
          </cell>
          <cell r="F3308">
            <v>720</v>
          </cell>
          <cell r="G3308">
            <v>1232</v>
          </cell>
          <cell r="H3308">
            <v>1307</v>
          </cell>
          <cell r="I3308">
            <v>1404</v>
          </cell>
          <cell r="J3308">
            <v>1423</v>
          </cell>
          <cell r="K3308">
            <v>1423</v>
          </cell>
          <cell r="L3308">
            <v>2051</v>
          </cell>
          <cell r="M3308">
            <v>1844</v>
          </cell>
          <cell r="N3308">
            <v>1786</v>
          </cell>
          <cell r="O3308">
            <v>1578</v>
          </cell>
          <cell r="P3308">
            <v>1394</v>
          </cell>
          <cell r="Q3308">
            <v>1595</v>
          </cell>
          <cell r="R3308">
            <v>1412</v>
          </cell>
          <cell r="S3308">
            <v>1363</v>
          </cell>
          <cell r="T3308">
            <v>1350</v>
          </cell>
          <cell r="U3308">
            <v>1377</v>
          </cell>
          <cell r="V3308">
            <v>1162</v>
          </cell>
          <cell r="W3308">
            <v>973</v>
          </cell>
          <cell r="X3308">
            <v>851</v>
          </cell>
          <cell r="Y3308">
            <v>543</v>
          </cell>
          <cell r="Z3308">
            <v>759</v>
          </cell>
          <cell r="AA3308">
            <v>670</v>
          </cell>
          <cell r="AB3308">
            <v>680</v>
          </cell>
          <cell r="AC3308">
            <v>765</v>
          </cell>
          <cell r="AD3308">
            <v>686</v>
          </cell>
          <cell r="AE3308">
            <v>573</v>
          </cell>
          <cell r="AF3308">
            <v>596</v>
          </cell>
          <cell r="AG3308">
            <v>480</v>
          </cell>
          <cell r="AH3308">
            <v>587</v>
          </cell>
          <cell r="AI3308">
            <v>493</v>
          </cell>
          <cell r="AJ3308">
            <v>435</v>
          </cell>
        </row>
        <row r="3309">
          <cell r="E3309" t="str">
            <v>ND Industrial Waxes</v>
          </cell>
          <cell r="F3309">
            <v>0</v>
          </cell>
          <cell r="G3309">
            <v>0</v>
          </cell>
          <cell r="H3309">
            <v>0</v>
          </cell>
          <cell r="I3309">
            <v>0</v>
          </cell>
          <cell r="J3309">
            <v>0</v>
          </cell>
          <cell r="K3309">
            <v>0</v>
          </cell>
          <cell r="L3309">
            <v>0</v>
          </cell>
          <cell r="M3309">
            <v>0</v>
          </cell>
          <cell r="N3309">
            <v>0</v>
          </cell>
          <cell r="O3309">
            <v>0</v>
          </cell>
          <cell r="P3309">
            <v>0</v>
          </cell>
          <cell r="Q3309">
            <v>65</v>
          </cell>
          <cell r="R3309">
            <v>57</v>
          </cell>
          <cell r="S3309">
            <v>55</v>
          </cell>
          <cell r="T3309">
            <v>55</v>
          </cell>
          <cell r="U3309">
            <v>56</v>
          </cell>
          <cell r="V3309">
            <v>53</v>
          </cell>
          <cell r="W3309">
            <v>44</v>
          </cell>
          <cell r="X3309">
            <v>39</v>
          </cell>
          <cell r="Y3309">
            <v>25</v>
          </cell>
          <cell r="Z3309">
            <v>34</v>
          </cell>
          <cell r="AA3309">
            <v>30</v>
          </cell>
          <cell r="AB3309">
            <v>31</v>
          </cell>
          <cell r="AC3309">
            <v>0</v>
          </cell>
          <cell r="AD3309">
            <v>0</v>
          </cell>
          <cell r="AE3309">
            <v>0</v>
          </cell>
          <cell r="AF3309">
            <v>0</v>
          </cell>
          <cell r="AG3309">
            <v>0</v>
          </cell>
          <cell r="AH3309">
            <v>0</v>
          </cell>
          <cell r="AI3309">
            <v>0</v>
          </cell>
          <cell r="AJ3309">
            <v>0</v>
          </cell>
        </row>
        <row r="3310">
          <cell r="E3310" t="str">
            <v>NE Industrial Waxes</v>
          </cell>
          <cell r="F3310">
            <v>442</v>
          </cell>
          <cell r="G3310">
            <v>146</v>
          </cell>
          <cell r="H3310">
            <v>155</v>
          </cell>
          <cell r="I3310">
            <v>167</v>
          </cell>
          <cell r="J3310">
            <v>169</v>
          </cell>
          <cell r="K3310">
            <v>169</v>
          </cell>
          <cell r="L3310">
            <v>156</v>
          </cell>
          <cell r="M3310">
            <v>140</v>
          </cell>
          <cell r="N3310">
            <v>136</v>
          </cell>
          <cell r="O3310">
            <v>120</v>
          </cell>
          <cell r="P3310">
            <v>106</v>
          </cell>
          <cell r="Q3310">
            <v>170</v>
          </cell>
          <cell r="R3310">
            <v>150</v>
          </cell>
          <cell r="S3310">
            <v>145</v>
          </cell>
          <cell r="T3310">
            <v>144</v>
          </cell>
          <cell r="U3310">
            <v>147</v>
          </cell>
          <cell r="V3310">
            <v>137</v>
          </cell>
          <cell r="W3310">
            <v>115</v>
          </cell>
          <cell r="X3310">
            <v>100</v>
          </cell>
          <cell r="Y3310">
            <v>64</v>
          </cell>
          <cell r="Z3310">
            <v>89</v>
          </cell>
          <cell r="AA3310">
            <v>79</v>
          </cell>
          <cell r="AB3310">
            <v>80</v>
          </cell>
          <cell r="AC3310">
            <v>83</v>
          </cell>
          <cell r="AD3310">
            <v>74</v>
          </cell>
          <cell r="AE3310">
            <v>62</v>
          </cell>
          <cell r="AF3310">
            <v>64</v>
          </cell>
          <cell r="AG3310">
            <v>62</v>
          </cell>
          <cell r="AH3310">
            <v>76</v>
          </cell>
          <cell r="AI3310">
            <v>64</v>
          </cell>
          <cell r="AJ3310">
            <v>56</v>
          </cell>
        </row>
        <row r="3311">
          <cell r="E3311" t="str">
            <v>NH Industrial Waxes</v>
          </cell>
          <cell r="F3311">
            <v>442</v>
          </cell>
          <cell r="G3311">
            <v>50</v>
          </cell>
          <cell r="H3311">
            <v>53</v>
          </cell>
          <cell r="I3311">
            <v>57</v>
          </cell>
          <cell r="J3311">
            <v>58</v>
          </cell>
          <cell r="K3311">
            <v>58</v>
          </cell>
          <cell r="L3311">
            <v>68</v>
          </cell>
          <cell r="M3311">
            <v>61</v>
          </cell>
          <cell r="N3311">
            <v>59</v>
          </cell>
          <cell r="O3311">
            <v>53</v>
          </cell>
          <cell r="P3311">
            <v>46</v>
          </cell>
          <cell r="Q3311">
            <v>31</v>
          </cell>
          <cell r="R3311">
            <v>28</v>
          </cell>
          <cell r="S3311">
            <v>27</v>
          </cell>
          <cell r="T3311">
            <v>26</v>
          </cell>
          <cell r="U3311">
            <v>27</v>
          </cell>
          <cell r="V3311">
            <v>32</v>
          </cell>
          <cell r="W3311">
            <v>26</v>
          </cell>
          <cell r="X3311">
            <v>23</v>
          </cell>
          <cell r="Y3311">
            <v>15</v>
          </cell>
          <cell r="Z3311">
            <v>21</v>
          </cell>
          <cell r="AA3311">
            <v>18</v>
          </cell>
          <cell r="AB3311">
            <v>18</v>
          </cell>
          <cell r="AC3311">
            <v>13</v>
          </cell>
          <cell r="AD3311">
            <v>12</v>
          </cell>
          <cell r="AE3311">
            <v>10</v>
          </cell>
          <cell r="AF3311">
            <v>10</v>
          </cell>
          <cell r="AG3311">
            <v>8</v>
          </cell>
          <cell r="AH3311">
            <v>10</v>
          </cell>
          <cell r="AI3311">
            <v>8</v>
          </cell>
          <cell r="AJ3311">
            <v>7</v>
          </cell>
        </row>
        <row r="3312">
          <cell r="E3312" t="str">
            <v>NJ Industrial Waxes</v>
          </cell>
          <cell r="F3312">
            <v>442</v>
          </cell>
          <cell r="G3312">
            <v>1545</v>
          </cell>
          <cell r="H3312">
            <v>1638</v>
          </cell>
          <cell r="I3312">
            <v>1760</v>
          </cell>
          <cell r="J3312">
            <v>1785</v>
          </cell>
          <cell r="K3312">
            <v>1785</v>
          </cell>
          <cell r="L3312">
            <v>1933</v>
          </cell>
          <cell r="M3312">
            <v>1737</v>
          </cell>
          <cell r="N3312">
            <v>1683</v>
          </cell>
          <cell r="O3312">
            <v>1487</v>
          </cell>
          <cell r="P3312">
            <v>1314</v>
          </cell>
          <cell r="Q3312">
            <v>1112</v>
          </cell>
          <cell r="R3312">
            <v>984</v>
          </cell>
          <cell r="S3312">
            <v>950</v>
          </cell>
          <cell r="T3312">
            <v>941</v>
          </cell>
          <cell r="U3312">
            <v>960</v>
          </cell>
          <cell r="V3312">
            <v>660</v>
          </cell>
          <cell r="W3312">
            <v>552</v>
          </cell>
          <cell r="X3312">
            <v>483</v>
          </cell>
          <cell r="Y3312">
            <v>308</v>
          </cell>
          <cell r="Z3312">
            <v>431</v>
          </cell>
          <cell r="AA3312">
            <v>380</v>
          </cell>
          <cell r="AB3312">
            <v>386</v>
          </cell>
          <cell r="AC3312">
            <v>461</v>
          </cell>
          <cell r="AD3312">
            <v>413</v>
          </cell>
          <cell r="AE3312">
            <v>345</v>
          </cell>
          <cell r="AF3312">
            <v>359</v>
          </cell>
          <cell r="AG3312">
            <v>251</v>
          </cell>
          <cell r="AH3312">
            <v>306</v>
          </cell>
          <cell r="AI3312">
            <v>257</v>
          </cell>
          <cell r="AJ3312">
            <v>227</v>
          </cell>
        </row>
        <row r="3313">
          <cell r="E3313" t="str">
            <v>NM Industrial Waxes</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53</v>
          </cell>
          <cell r="W3313">
            <v>44</v>
          </cell>
          <cell r="X3313">
            <v>39</v>
          </cell>
          <cell r="Y3313">
            <v>25</v>
          </cell>
          <cell r="Z3313">
            <v>34</v>
          </cell>
          <cell r="AA3313">
            <v>30</v>
          </cell>
          <cell r="AB3313">
            <v>31</v>
          </cell>
          <cell r="AC3313">
            <v>18</v>
          </cell>
          <cell r="AD3313">
            <v>16</v>
          </cell>
          <cell r="AE3313">
            <v>13</v>
          </cell>
          <cell r="AF3313">
            <v>14</v>
          </cell>
          <cell r="AG3313">
            <v>8</v>
          </cell>
          <cell r="AH3313">
            <v>10</v>
          </cell>
          <cell r="AI3313">
            <v>8</v>
          </cell>
          <cell r="AJ3313">
            <v>7</v>
          </cell>
        </row>
        <row r="3314">
          <cell r="E3314" t="str">
            <v>NV Industrial Waxes</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row>
        <row r="3315">
          <cell r="E3315" t="str">
            <v>NY Industrial Waxes</v>
          </cell>
          <cell r="F3315">
            <v>1077</v>
          </cell>
          <cell r="G3315">
            <v>1482</v>
          </cell>
          <cell r="H3315">
            <v>1571</v>
          </cell>
          <cell r="I3315">
            <v>1688</v>
          </cell>
          <cell r="J3315">
            <v>1712</v>
          </cell>
          <cell r="K3315">
            <v>1712</v>
          </cell>
          <cell r="L3315">
            <v>1717</v>
          </cell>
          <cell r="M3315">
            <v>1543</v>
          </cell>
          <cell r="N3315">
            <v>1495</v>
          </cell>
          <cell r="O3315">
            <v>1321</v>
          </cell>
          <cell r="P3315">
            <v>1167</v>
          </cell>
          <cell r="Q3315">
            <v>1192</v>
          </cell>
          <cell r="R3315">
            <v>1055</v>
          </cell>
          <cell r="S3315">
            <v>1018</v>
          </cell>
          <cell r="T3315">
            <v>1009</v>
          </cell>
          <cell r="U3315">
            <v>1029</v>
          </cell>
          <cell r="V3315">
            <v>686</v>
          </cell>
          <cell r="W3315">
            <v>575</v>
          </cell>
          <cell r="X3315">
            <v>503</v>
          </cell>
          <cell r="Y3315">
            <v>321</v>
          </cell>
          <cell r="Z3315">
            <v>448</v>
          </cell>
          <cell r="AA3315">
            <v>396</v>
          </cell>
          <cell r="AB3315">
            <v>402</v>
          </cell>
          <cell r="AC3315">
            <v>403</v>
          </cell>
          <cell r="AD3315">
            <v>361</v>
          </cell>
          <cell r="AE3315">
            <v>302</v>
          </cell>
          <cell r="AF3315">
            <v>314</v>
          </cell>
          <cell r="AG3315">
            <v>267</v>
          </cell>
          <cell r="AH3315">
            <v>326</v>
          </cell>
          <cell r="AI3315">
            <v>273</v>
          </cell>
          <cell r="AJ3315">
            <v>242</v>
          </cell>
        </row>
        <row r="3316">
          <cell r="E3316" t="str">
            <v>OH Industrial Waxes</v>
          </cell>
          <cell r="F3316">
            <v>766</v>
          </cell>
          <cell r="G3316">
            <v>2063</v>
          </cell>
          <cell r="H3316">
            <v>2188</v>
          </cell>
          <cell r="I3316">
            <v>2351</v>
          </cell>
          <cell r="J3316">
            <v>2383</v>
          </cell>
          <cell r="K3316">
            <v>2384</v>
          </cell>
          <cell r="L3316">
            <v>3145</v>
          </cell>
          <cell r="M3316">
            <v>2827</v>
          </cell>
          <cell r="N3316">
            <v>2738</v>
          </cell>
          <cell r="O3316">
            <v>2419</v>
          </cell>
          <cell r="P3316">
            <v>2138</v>
          </cell>
          <cell r="Q3316">
            <v>2412</v>
          </cell>
          <cell r="R3316">
            <v>2135</v>
          </cell>
          <cell r="S3316">
            <v>2060</v>
          </cell>
          <cell r="T3316">
            <v>2041</v>
          </cell>
          <cell r="U3316">
            <v>2082</v>
          </cell>
          <cell r="V3316">
            <v>1456</v>
          </cell>
          <cell r="W3316">
            <v>1219</v>
          </cell>
          <cell r="X3316">
            <v>1066</v>
          </cell>
          <cell r="Y3316">
            <v>681</v>
          </cell>
          <cell r="Z3316">
            <v>951</v>
          </cell>
          <cell r="AA3316">
            <v>840</v>
          </cell>
          <cell r="AB3316">
            <v>852</v>
          </cell>
          <cell r="AC3316">
            <v>1011</v>
          </cell>
          <cell r="AD3316">
            <v>907</v>
          </cell>
          <cell r="AE3316">
            <v>758</v>
          </cell>
          <cell r="AF3316">
            <v>788</v>
          </cell>
          <cell r="AG3316">
            <v>633</v>
          </cell>
          <cell r="AH3316">
            <v>773</v>
          </cell>
          <cell r="AI3316">
            <v>650</v>
          </cell>
          <cell r="AJ3316">
            <v>574</v>
          </cell>
        </row>
        <row r="3317">
          <cell r="E3317" t="str">
            <v>OK Industrial Waxes</v>
          </cell>
          <cell r="F3317">
            <v>0</v>
          </cell>
          <cell r="G3317">
            <v>250</v>
          </cell>
          <cell r="H3317">
            <v>266</v>
          </cell>
          <cell r="I3317">
            <v>285</v>
          </cell>
          <cell r="J3317">
            <v>289</v>
          </cell>
          <cell r="K3317">
            <v>289</v>
          </cell>
          <cell r="L3317">
            <v>293</v>
          </cell>
          <cell r="M3317">
            <v>263</v>
          </cell>
          <cell r="N3317">
            <v>255</v>
          </cell>
          <cell r="O3317">
            <v>225</v>
          </cell>
          <cell r="P3317">
            <v>199</v>
          </cell>
          <cell r="Q3317">
            <v>116</v>
          </cell>
          <cell r="R3317">
            <v>103</v>
          </cell>
          <cell r="S3317">
            <v>99</v>
          </cell>
          <cell r="T3317">
            <v>98</v>
          </cell>
          <cell r="U3317">
            <v>100</v>
          </cell>
          <cell r="V3317">
            <v>160</v>
          </cell>
          <cell r="W3317">
            <v>134</v>
          </cell>
          <cell r="X3317">
            <v>117</v>
          </cell>
          <cell r="Y3317">
            <v>75</v>
          </cell>
          <cell r="Z3317">
            <v>104</v>
          </cell>
          <cell r="AA3317">
            <v>92</v>
          </cell>
          <cell r="AB3317">
            <v>93</v>
          </cell>
          <cell r="AC3317">
            <v>123</v>
          </cell>
          <cell r="AD3317">
            <v>110</v>
          </cell>
          <cell r="AE3317">
            <v>92</v>
          </cell>
          <cell r="AF3317">
            <v>95</v>
          </cell>
          <cell r="AG3317">
            <v>60</v>
          </cell>
          <cell r="AH3317">
            <v>73</v>
          </cell>
          <cell r="AI3317">
            <v>61</v>
          </cell>
          <cell r="AJ3317">
            <v>54</v>
          </cell>
        </row>
        <row r="3318">
          <cell r="E3318" t="str">
            <v>OR Industrial Waxes</v>
          </cell>
          <cell r="F3318">
            <v>0</v>
          </cell>
          <cell r="G3318">
            <v>275</v>
          </cell>
          <cell r="H3318">
            <v>292</v>
          </cell>
          <cell r="I3318">
            <v>314</v>
          </cell>
          <cell r="J3318">
            <v>318</v>
          </cell>
          <cell r="K3318">
            <v>318</v>
          </cell>
          <cell r="L3318">
            <v>427</v>
          </cell>
          <cell r="M3318">
            <v>384</v>
          </cell>
          <cell r="N3318">
            <v>372</v>
          </cell>
          <cell r="O3318">
            <v>328</v>
          </cell>
          <cell r="P3318">
            <v>290</v>
          </cell>
          <cell r="Q3318">
            <v>311</v>
          </cell>
          <cell r="R3318">
            <v>276</v>
          </cell>
          <cell r="S3318">
            <v>266</v>
          </cell>
          <cell r="T3318">
            <v>264</v>
          </cell>
          <cell r="U3318">
            <v>269</v>
          </cell>
          <cell r="V3318">
            <v>292</v>
          </cell>
          <cell r="W3318">
            <v>245</v>
          </cell>
          <cell r="X3318">
            <v>214</v>
          </cell>
          <cell r="Y3318">
            <v>137</v>
          </cell>
          <cell r="Z3318">
            <v>191</v>
          </cell>
          <cell r="AA3318">
            <v>169</v>
          </cell>
          <cell r="AB3318">
            <v>171</v>
          </cell>
          <cell r="AC3318">
            <v>173</v>
          </cell>
          <cell r="AD3318">
            <v>156</v>
          </cell>
          <cell r="AE3318">
            <v>130</v>
          </cell>
          <cell r="AF3318">
            <v>135</v>
          </cell>
          <cell r="AG3318">
            <v>82</v>
          </cell>
          <cell r="AH3318">
            <v>100</v>
          </cell>
          <cell r="AI3318">
            <v>84</v>
          </cell>
          <cell r="AJ3318">
            <v>74</v>
          </cell>
        </row>
        <row r="3319">
          <cell r="E3319" t="str">
            <v>PA Industrial Waxes</v>
          </cell>
          <cell r="F3319">
            <v>2230</v>
          </cell>
          <cell r="G3319">
            <v>1983</v>
          </cell>
          <cell r="H3319">
            <v>2103</v>
          </cell>
          <cell r="I3319">
            <v>2260</v>
          </cell>
          <cell r="J3319">
            <v>2291</v>
          </cell>
          <cell r="K3319">
            <v>2292</v>
          </cell>
          <cell r="L3319">
            <v>2675</v>
          </cell>
          <cell r="M3319">
            <v>2404</v>
          </cell>
          <cell r="N3319">
            <v>2329</v>
          </cell>
          <cell r="O3319">
            <v>2058</v>
          </cell>
          <cell r="P3319">
            <v>1818</v>
          </cell>
          <cell r="Q3319">
            <v>2167</v>
          </cell>
          <cell r="R3319">
            <v>1918</v>
          </cell>
          <cell r="S3319">
            <v>1851</v>
          </cell>
          <cell r="T3319">
            <v>1834</v>
          </cell>
          <cell r="U3319">
            <v>1871</v>
          </cell>
          <cell r="V3319">
            <v>1368</v>
          </cell>
          <cell r="W3319">
            <v>1146</v>
          </cell>
          <cell r="X3319">
            <v>1002</v>
          </cell>
          <cell r="Y3319">
            <v>640</v>
          </cell>
          <cell r="Z3319">
            <v>894</v>
          </cell>
          <cell r="AA3319">
            <v>789</v>
          </cell>
          <cell r="AB3319">
            <v>800</v>
          </cell>
          <cell r="AC3319">
            <v>964</v>
          </cell>
          <cell r="AD3319">
            <v>864</v>
          </cell>
          <cell r="AE3319">
            <v>722</v>
          </cell>
          <cell r="AF3319">
            <v>751</v>
          </cell>
          <cell r="AG3319">
            <v>625</v>
          </cell>
          <cell r="AH3319">
            <v>764</v>
          </cell>
          <cell r="AI3319">
            <v>641</v>
          </cell>
          <cell r="AJ3319">
            <v>566</v>
          </cell>
        </row>
        <row r="3320">
          <cell r="E3320" t="str">
            <v>RI Industrial Waxes</v>
          </cell>
          <cell r="F3320">
            <v>0</v>
          </cell>
          <cell r="G3320">
            <v>72</v>
          </cell>
          <cell r="H3320">
            <v>76</v>
          </cell>
          <cell r="I3320">
            <v>82</v>
          </cell>
          <cell r="J3320">
            <v>83</v>
          </cell>
          <cell r="K3320">
            <v>83</v>
          </cell>
          <cell r="L3320">
            <v>105</v>
          </cell>
          <cell r="M3320">
            <v>95</v>
          </cell>
          <cell r="N3320">
            <v>92</v>
          </cell>
          <cell r="O3320">
            <v>81</v>
          </cell>
          <cell r="P3320">
            <v>72</v>
          </cell>
          <cell r="Q3320">
            <v>90</v>
          </cell>
          <cell r="R3320">
            <v>80</v>
          </cell>
          <cell r="S3320">
            <v>77</v>
          </cell>
          <cell r="T3320">
            <v>76</v>
          </cell>
          <cell r="U3320">
            <v>78</v>
          </cell>
          <cell r="V3320">
            <v>75</v>
          </cell>
          <cell r="W3320">
            <v>63</v>
          </cell>
          <cell r="X3320">
            <v>55</v>
          </cell>
          <cell r="Y3320">
            <v>35</v>
          </cell>
          <cell r="Z3320">
            <v>49</v>
          </cell>
          <cell r="AA3320">
            <v>43</v>
          </cell>
          <cell r="AB3320">
            <v>44</v>
          </cell>
          <cell r="AC3320">
            <v>0</v>
          </cell>
          <cell r="AD3320">
            <v>0</v>
          </cell>
          <cell r="AE3320">
            <v>0</v>
          </cell>
          <cell r="AF3320">
            <v>0</v>
          </cell>
          <cell r="AG3320">
            <v>23</v>
          </cell>
          <cell r="AH3320">
            <v>28</v>
          </cell>
          <cell r="AI3320">
            <v>23</v>
          </cell>
          <cell r="AJ3320">
            <v>21</v>
          </cell>
        </row>
        <row r="3321">
          <cell r="E3321" t="str">
            <v>SC Industrial Waxes</v>
          </cell>
          <cell r="F3321">
            <v>884</v>
          </cell>
          <cell r="G3321">
            <v>617</v>
          </cell>
          <cell r="H3321">
            <v>655</v>
          </cell>
          <cell r="I3321">
            <v>703</v>
          </cell>
          <cell r="J3321">
            <v>713</v>
          </cell>
          <cell r="K3321">
            <v>713</v>
          </cell>
          <cell r="L3321">
            <v>952</v>
          </cell>
          <cell r="M3321">
            <v>856</v>
          </cell>
          <cell r="N3321">
            <v>829</v>
          </cell>
          <cell r="O3321">
            <v>733</v>
          </cell>
          <cell r="P3321">
            <v>647</v>
          </cell>
          <cell r="Q3321">
            <v>685</v>
          </cell>
          <cell r="R3321">
            <v>607</v>
          </cell>
          <cell r="S3321">
            <v>585</v>
          </cell>
          <cell r="T3321">
            <v>580</v>
          </cell>
          <cell r="U3321">
            <v>591</v>
          </cell>
          <cell r="V3321">
            <v>530</v>
          </cell>
          <cell r="W3321">
            <v>443</v>
          </cell>
          <cell r="X3321">
            <v>388</v>
          </cell>
          <cell r="Y3321">
            <v>248</v>
          </cell>
          <cell r="Z3321">
            <v>346</v>
          </cell>
          <cell r="AA3321">
            <v>305</v>
          </cell>
          <cell r="AB3321">
            <v>310</v>
          </cell>
          <cell r="AC3321">
            <v>361</v>
          </cell>
          <cell r="AD3321">
            <v>323</v>
          </cell>
          <cell r="AE3321">
            <v>270</v>
          </cell>
          <cell r="AF3321">
            <v>281</v>
          </cell>
          <cell r="AG3321">
            <v>186</v>
          </cell>
          <cell r="AH3321">
            <v>227</v>
          </cell>
          <cell r="AI3321">
            <v>191</v>
          </cell>
          <cell r="AJ3321">
            <v>168</v>
          </cell>
        </row>
        <row r="3322">
          <cell r="E3322" t="str">
            <v>SD Industrial Waxes</v>
          </cell>
          <cell r="F3322">
            <v>0</v>
          </cell>
          <cell r="G3322">
            <v>100</v>
          </cell>
          <cell r="H3322">
            <v>106</v>
          </cell>
          <cell r="I3322">
            <v>114</v>
          </cell>
          <cell r="J3322">
            <v>116</v>
          </cell>
          <cell r="K3322">
            <v>116</v>
          </cell>
          <cell r="L3322">
            <v>68</v>
          </cell>
          <cell r="M3322">
            <v>61</v>
          </cell>
          <cell r="N3322">
            <v>59</v>
          </cell>
          <cell r="O3322">
            <v>53</v>
          </cell>
          <cell r="P3322">
            <v>46</v>
          </cell>
          <cell r="Q3322">
            <v>138</v>
          </cell>
          <cell r="R3322">
            <v>122</v>
          </cell>
          <cell r="S3322">
            <v>118</v>
          </cell>
          <cell r="T3322">
            <v>117</v>
          </cell>
          <cell r="U3322">
            <v>119</v>
          </cell>
          <cell r="V3322">
            <v>53</v>
          </cell>
          <cell r="W3322">
            <v>44</v>
          </cell>
          <cell r="X3322">
            <v>39</v>
          </cell>
          <cell r="Y3322">
            <v>25</v>
          </cell>
          <cell r="Z3322">
            <v>34</v>
          </cell>
          <cell r="AA3322">
            <v>30</v>
          </cell>
          <cell r="AB3322">
            <v>31</v>
          </cell>
          <cell r="AC3322">
            <v>34</v>
          </cell>
          <cell r="AD3322">
            <v>31</v>
          </cell>
          <cell r="AE3322">
            <v>26</v>
          </cell>
          <cell r="AF3322">
            <v>27</v>
          </cell>
          <cell r="AG3322">
            <v>23</v>
          </cell>
          <cell r="AH3322">
            <v>28</v>
          </cell>
          <cell r="AI3322">
            <v>23</v>
          </cell>
          <cell r="AJ3322">
            <v>21</v>
          </cell>
        </row>
        <row r="3323">
          <cell r="E3323" t="str">
            <v>TN Industrial Waxes</v>
          </cell>
          <cell r="F3323">
            <v>0</v>
          </cell>
          <cell r="G3323">
            <v>962</v>
          </cell>
          <cell r="H3323">
            <v>1020</v>
          </cell>
          <cell r="I3323">
            <v>1096</v>
          </cell>
          <cell r="J3323">
            <v>1111</v>
          </cell>
          <cell r="K3323">
            <v>1111</v>
          </cell>
          <cell r="L3323">
            <v>1384</v>
          </cell>
          <cell r="M3323">
            <v>1244</v>
          </cell>
          <cell r="N3323">
            <v>1205</v>
          </cell>
          <cell r="O3323">
            <v>1065</v>
          </cell>
          <cell r="P3323">
            <v>941</v>
          </cell>
          <cell r="Q3323">
            <v>1098</v>
          </cell>
          <cell r="R3323">
            <v>972</v>
          </cell>
          <cell r="S3323">
            <v>938</v>
          </cell>
          <cell r="T3323">
            <v>929</v>
          </cell>
          <cell r="U3323">
            <v>947</v>
          </cell>
          <cell r="V3323">
            <v>816</v>
          </cell>
          <cell r="W3323">
            <v>683</v>
          </cell>
          <cell r="X3323">
            <v>598</v>
          </cell>
          <cell r="Y3323">
            <v>382</v>
          </cell>
          <cell r="Z3323">
            <v>533</v>
          </cell>
          <cell r="AA3323">
            <v>471</v>
          </cell>
          <cell r="AB3323">
            <v>477</v>
          </cell>
          <cell r="AC3323">
            <v>633</v>
          </cell>
          <cell r="AD3323">
            <v>568</v>
          </cell>
          <cell r="AE3323">
            <v>475</v>
          </cell>
          <cell r="AF3323">
            <v>494</v>
          </cell>
          <cell r="AG3323">
            <v>371</v>
          </cell>
          <cell r="AH3323">
            <v>453</v>
          </cell>
          <cell r="AI3323">
            <v>380</v>
          </cell>
          <cell r="AJ3323">
            <v>336</v>
          </cell>
        </row>
        <row r="3324">
          <cell r="E3324" t="str">
            <v>TX Industrial Waxes</v>
          </cell>
          <cell r="F3324">
            <v>2367</v>
          </cell>
          <cell r="G3324">
            <v>1923</v>
          </cell>
          <cell r="H3324">
            <v>2040</v>
          </cell>
          <cell r="I3324">
            <v>2191</v>
          </cell>
          <cell r="J3324">
            <v>2222</v>
          </cell>
          <cell r="K3324">
            <v>2222</v>
          </cell>
          <cell r="L3324">
            <v>2789</v>
          </cell>
          <cell r="M3324">
            <v>2507</v>
          </cell>
          <cell r="N3324">
            <v>2429</v>
          </cell>
          <cell r="O3324">
            <v>2146</v>
          </cell>
          <cell r="P3324">
            <v>1896</v>
          </cell>
          <cell r="Q3324">
            <v>2203</v>
          </cell>
          <cell r="R3324">
            <v>1950</v>
          </cell>
          <cell r="S3324">
            <v>1881</v>
          </cell>
          <cell r="T3324">
            <v>1864</v>
          </cell>
          <cell r="U3324">
            <v>1901</v>
          </cell>
          <cell r="V3324">
            <v>1720</v>
          </cell>
          <cell r="W3324">
            <v>1440</v>
          </cell>
          <cell r="X3324">
            <v>1259</v>
          </cell>
          <cell r="Y3324">
            <v>804</v>
          </cell>
          <cell r="Z3324">
            <v>1124</v>
          </cell>
          <cell r="AA3324">
            <v>992</v>
          </cell>
          <cell r="AB3324">
            <v>1006</v>
          </cell>
          <cell r="AC3324">
            <v>1100</v>
          </cell>
          <cell r="AD3324">
            <v>987</v>
          </cell>
          <cell r="AE3324">
            <v>825</v>
          </cell>
          <cell r="AF3324">
            <v>858</v>
          </cell>
          <cell r="AG3324">
            <v>705</v>
          </cell>
          <cell r="AH3324">
            <v>862</v>
          </cell>
          <cell r="AI3324">
            <v>724</v>
          </cell>
          <cell r="AJ3324">
            <v>639</v>
          </cell>
        </row>
        <row r="3325">
          <cell r="E3325" t="str">
            <v>US Industrial Waxes</v>
          </cell>
          <cell r="F3325">
            <v>33300</v>
          </cell>
          <cell r="G3325">
            <v>35127</v>
          </cell>
          <cell r="H3325">
            <v>37258</v>
          </cell>
          <cell r="I3325">
            <v>40027</v>
          </cell>
          <cell r="J3325">
            <v>40586</v>
          </cell>
          <cell r="K3325">
            <v>40592</v>
          </cell>
          <cell r="L3325">
            <v>48665</v>
          </cell>
          <cell r="M3325">
            <v>43742</v>
          </cell>
          <cell r="N3325">
            <v>42369</v>
          </cell>
          <cell r="O3325">
            <v>37436</v>
          </cell>
          <cell r="P3325">
            <v>33084</v>
          </cell>
          <cell r="Q3325">
            <v>36339</v>
          </cell>
          <cell r="R3325">
            <v>32170</v>
          </cell>
          <cell r="S3325">
            <v>31040</v>
          </cell>
          <cell r="T3325">
            <v>30758</v>
          </cell>
          <cell r="U3325">
            <v>31367</v>
          </cell>
          <cell r="V3325">
            <v>26146</v>
          </cell>
          <cell r="W3325">
            <v>21888</v>
          </cell>
          <cell r="X3325">
            <v>19141</v>
          </cell>
          <cell r="Y3325">
            <v>12220</v>
          </cell>
          <cell r="Z3325">
            <v>17082</v>
          </cell>
          <cell r="AA3325">
            <v>15077</v>
          </cell>
          <cell r="AB3325">
            <v>15293</v>
          </cell>
          <cell r="AC3325">
            <v>16489</v>
          </cell>
          <cell r="AD3325">
            <v>14784</v>
          </cell>
          <cell r="AE3325">
            <v>12359</v>
          </cell>
          <cell r="AF3325">
            <v>12851</v>
          </cell>
          <cell r="AG3325">
            <v>10160</v>
          </cell>
          <cell r="AH3325">
            <v>12414</v>
          </cell>
          <cell r="AI3325">
            <v>10426</v>
          </cell>
          <cell r="AJ3325">
            <v>9208</v>
          </cell>
        </row>
        <row r="3326">
          <cell r="E3326" t="str">
            <v>UT Industrial Waxes</v>
          </cell>
          <cell r="F3326">
            <v>0</v>
          </cell>
          <cell r="G3326">
            <v>107</v>
          </cell>
          <cell r="H3326">
            <v>113</v>
          </cell>
          <cell r="I3326">
            <v>122</v>
          </cell>
          <cell r="J3326">
            <v>123</v>
          </cell>
          <cell r="K3326">
            <v>123</v>
          </cell>
          <cell r="L3326">
            <v>156</v>
          </cell>
          <cell r="M3326">
            <v>140</v>
          </cell>
          <cell r="N3326">
            <v>136</v>
          </cell>
          <cell r="O3326">
            <v>120</v>
          </cell>
          <cell r="P3326">
            <v>106</v>
          </cell>
          <cell r="Q3326">
            <v>219</v>
          </cell>
          <cell r="R3326">
            <v>194</v>
          </cell>
          <cell r="S3326">
            <v>187</v>
          </cell>
          <cell r="T3326">
            <v>185</v>
          </cell>
          <cell r="U3326">
            <v>189</v>
          </cell>
          <cell r="V3326">
            <v>121</v>
          </cell>
          <cell r="W3326">
            <v>101</v>
          </cell>
          <cell r="X3326">
            <v>89</v>
          </cell>
          <cell r="Y3326">
            <v>57</v>
          </cell>
          <cell r="Z3326">
            <v>79</v>
          </cell>
          <cell r="AA3326">
            <v>70</v>
          </cell>
          <cell r="AB3326">
            <v>71</v>
          </cell>
          <cell r="AC3326">
            <v>123</v>
          </cell>
          <cell r="AD3326">
            <v>110</v>
          </cell>
          <cell r="AE3326">
            <v>92</v>
          </cell>
          <cell r="AF3326">
            <v>96</v>
          </cell>
          <cell r="AG3326">
            <v>81</v>
          </cell>
          <cell r="AH3326">
            <v>99</v>
          </cell>
          <cell r="AI3326">
            <v>83</v>
          </cell>
          <cell r="AJ3326">
            <v>74</v>
          </cell>
        </row>
        <row r="3327">
          <cell r="E3327" t="str">
            <v>VA Industrial Waxes</v>
          </cell>
          <cell r="F3327">
            <v>0</v>
          </cell>
          <cell r="G3327">
            <v>858</v>
          </cell>
          <cell r="H3327">
            <v>910</v>
          </cell>
          <cell r="I3327">
            <v>978</v>
          </cell>
          <cell r="J3327">
            <v>991</v>
          </cell>
          <cell r="K3327">
            <v>992</v>
          </cell>
          <cell r="L3327">
            <v>1099</v>
          </cell>
          <cell r="M3327">
            <v>988</v>
          </cell>
          <cell r="N3327">
            <v>957</v>
          </cell>
          <cell r="O3327">
            <v>845</v>
          </cell>
          <cell r="P3327">
            <v>747</v>
          </cell>
          <cell r="Q3327">
            <v>796</v>
          </cell>
          <cell r="R3327">
            <v>704</v>
          </cell>
          <cell r="S3327">
            <v>680</v>
          </cell>
          <cell r="T3327">
            <v>673</v>
          </cell>
          <cell r="U3327">
            <v>687</v>
          </cell>
          <cell r="V3327">
            <v>384</v>
          </cell>
          <cell r="W3327">
            <v>321</v>
          </cell>
          <cell r="X3327">
            <v>281</v>
          </cell>
          <cell r="Y3327">
            <v>179</v>
          </cell>
          <cell r="Z3327">
            <v>251</v>
          </cell>
          <cell r="AA3327">
            <v>221</v>
          </cell>
          <cell r="AB3327">
            <v>225</v>
          </cell>
          <cell r="AC3327">
            <v>168</v>
          </cell>
          <cell r="AD3327">
            <v>151</v>
          </cell>
          <cell r="AE3327">
            <v>126</v>
          </cell>
          <cell r="AF3327">
            <v>131</v>
          </cell>
          <cell r="AG3327">
            <v>108</v>
          </cell>
          <cell r="AH3327">
            <v>132</v>
          </cell>
          <cell r="AI3327">
            <v>111</v>
          </cell>
          <cell r="AJ3327">
            <v>98</v>
          </cell>
        </row>
        <row r="3328">
          <cell r="E3328" t="str">
            <v>VT Industrial Waxes</v>
          </cell>
          <cell r="F3328">
            <v>442</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row>
        <row r="3329">
          <cell r="E3329" t="str">
            <v>WA Industrial Waxes</v>
          </cell>
          <cell r="F3329">
            <v>236</v>
          </cell>
          <cell r="G3329">
            <v>540</v>
          </cell>
          <cell r="H3329">
            <v>573</v>
          </cell>
          <cell r="I3329">
            <v>615</v>
          </cell>
          <cell r="J3329">
            <v>624</v>
          </cell>
          <cell r="K3329">
            <v>624</v>
          </cell>
          <cell r="L3329">
            <v>857</v>
          </cell>
          <cell r="M3329">
            <v>770</v>
          </cell>
          <cell r="N3329">
            <v>746</v>
          </cell>
          <cell r="O3329">
            <v>659</v>
          </cell>
          <cell r="P3329">
            <v>582</v>
          </cell>
          <cell r="Q3329">
            <v>719</v>
          </cell>
          <cell r="R3329">
            <v>636</v>
          </cell>
          <cell r="S3329">
            <v>614</v>
          </cell>
          <cell r="T3329">
            <v>608</v>
          </cell>
          <cell r="U3329">
            <v>621</v>
          </cell>
          <cell r="V3329">
            <v>634</v>
          </cell>
          <cell r="W3329">
            <v>531</v>
          </cell>
          <cell r="X3329">
            <v>464</v>
          </cell>
          <cell r="Y3329">
            <v>296</v>
          </cell>
          <cell r="Z3329">
            <v>414</v>
          </cell>
          <cell r="AA3329">
            <v>366</v>
          </cell>
          <cell r="AB3329">
            <v>371</v>
          </cell>
          <cell r="AC3329">
            <v>422</v>
          </cell>
          <cell r="AD3329">
            <v>378</v>
          </cell>
          <cell r="AE3329">
            <v>316</v>
          </cell>
          <cell r="AF3329">
            <v>329</v>
          </cell>
          <cell r="AG3329">
            <v>235</v>
          </cell>
          <cell r="AH3329">
            <v>287</v>
          </cell>
          <cell r="AI3329">
            <v>241</v>
          </cell>
          <cell r="AJ3329">
            <v>213</v>
          </cell>
        </row>
        <row r="3330">
          <cell r="E3330" t="str">
            <v>WI Industrial Waxes</v>
          </cell>
          <cell r="F3330">
            <v>884</v>
          </cell>
          <cell r="G3330">
            <v>1517</v>
          </cell>
          <cell r="H3330">
            <v>1609</v>
          </cell>
          <cell r="I3330">
            <v>1729</v>
          </cell>
          <cell r="J3330">
            <v>1753</v>
          </cell>
          <cell r="K3330">
            <v>1753</v>
          </cell>
          <cell r="L3330">
            <v>1791</v>
          </cell>
          <cell r="M3330">
            <v>1609</v>
          </cell>
          <cell r="N3330">
            <v>1559</v>
          </cell>
          <cell r="O3330">
            <v>1377</v>
          </cell>
          <cell r="P3330">
            <v>1217</v>
          </cell>
          <cell r="Q3330">
            <v>1372</v>
          </cell>
          <cell r="R3330">
            <v>1215</v>
          </cell>
          <cell r="S3330">
            <v>1172</v>
          </cell>
          <cell r="T3330">
            <v>1161</v>
          </cell>
          <cell r="U3330">
            <v>1184</v>
          </cell>
          <cell r="V3330">
            <v>1153</v>
          </cell>
          <cell r="W3330">
            <v>965</v>
          </cell>
          <cell r="X3330">
            <v>844</v>
          </cell>
          <cell r="Y3330">
            <v>539</v>
          </cell>
          <cell r="Z3330">
            <v>753</v>
          </cell>
          <cell r="AA3330">
            <v>665</v>
          </cell>
          <cell r="AB3330">
            <v>674</v>
          </cell>
          <cell r="AC3330">
            <v>759</v>
          </cell>
          <cell r="AD3330">
            <v>680</v>
          </cell>
          <cell r="AE3330">
            <v>569</v>
          </cell>
          <cell r="AF3330">
            <v>591</v>
          </cell>
          <cell r="AG3330">
            <v>544</v>
          </cell>
          <cell r="AH3330">
            <v>665</v>
          </cell>
          <cell r="AI3330">
            <v>558</v>
          </cell>
          <cell r="AJ3330">
            <v>493</v>
          </cell>
        </row>
        <row r="3331">
          <cell r="E3331" t="str">
            <v>WV Industrial Waxes</v>
          </cell>
          <cell r="F3331">
            <v>0</v>
          </cell>
          <cell r="G3331">
            <v>45</v>
          </cell>
          <cell r="H3331">
            <v>48</v>
          </cell>
          <cell r="I3331">
            <v>52</v>
          </cell>
          <cell r="J3331">
            <v>52</v>
          </cell>
          <cell r="K3331">
            <v>52</v>
          </cell>
          <cell r="L3331">
            <v>78</v>
          </cell>
          <cell r="M3331">
            <v>70</v>
          </cell>
          <cell r="N3331">
            <v>68</v>
          </cell>
          <cell r="O3331">
            <v>60</v>
          </cell>
          <cell r="P3331">
            <v>53</v>
          </cell>
          <cell r="Q3331">
            <v>65</v>
          </cell>
          <cell r="R3331">
            <v>57</v>
          </cell>
          <cell r="S3331">
            <v>55</v>
          </cell>
          <cell r="T3331">
            <v>55</v>
          </cell>
          <cell r="U3331">
            <v>56</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row>
        <row r="3332">
          <cell r="E3332" t="str">
            <v>WY Industrial Waxes</v>
          </cell>
          <cell r="F3332">
            <v>0</v>
          </cell>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row>
        <row r="3333">
          <cell r="E3333" t="str">
            <v>AK Bunker Fuels Distillate Fuel</v>
          </cell>
          <cell r="F3333">
            <v>9936.7963807917749</v>
          </cell>
          <cell r="G3333">
            <v>10114.667626478309</v>
          </cell>
          <cell r="H3333">
            <v>10082.181911021285</v>
          </cell>
          <cell r="I3333">
            <v>9426.5913357120953</v>
          </cell>
          <cell r="J3333">
            <v>7483.7266915007849</v>
          </cell>
          <cell r="K3333">
            <v>7930.5499926793382</v>
          </cell>
          <cell r="L3333">
            <v>6587.3576306349432</v>
          </cell>
          <cell r="M3333">
            <v>6867.2875778423922</v>
          </cell>
          <cell r="N3333">
            <v>7134.8650551423934</v>
          </cell>
          <cell r="O3333">
            <v>6015.6710200676007</v>
          </cell>
          <cell r="P3333">
            <v>4805.5593001157877</v>
          </cell>
          <cell r="Q3333">
            <v>3652.4790112019427</v>
          </cell>
          <cell r="R3333">
            <v>4058.0265786706827</v>
          </cell>
          <cell r="S3333">
            <v>4916.4714235484053</v>
          </cell>
          <cell r="T3333">
            <v>8932.0925643822102</v>
          </cell>
          <cell r="U3333">
            <v>7671.1183205282832</v>
          </cell>
          <cell r="V3333">
            <v>7889.594768892317</v>
          </cell>
          <cell r="W3333">
            <v>7384.4598868006842</v>
          </cell>
          <cell r="X3333">
            <v>7361.4601240418451</v>
          </cell>
          <cell r="Y3333">
            <v>6042.7567624879985</v>
          </cell>
          <cell r="Z3333">
            <v>7369.5187544321752</v>
          </cell>
          <cell r="AA3333">
            <v>5986.461539423035</v>
          </cell>
          <cell r="AB3333">
            <v>7085.2552721308803</v>
          </cell>
          <cell r="AC3333">
            <v>5498.8302538741673</v>
          </cell>
          <cell r="AD3333">
            <v>6154.7724673183166</v>
          </cell>
          <cell r="AE3333">
            <v>6240.1870289129756</v>
          </cell>
          <cell r="AF3333">
            <v>5728.8709171985947</v>
          </cell>
          <cell r="AG3333">
            <v>6200.3118153239811</v>
          </cell>
          <cell r="AH3333">
            <v>8575.1590752058055</v>
          </cell>
          <cell r="AI3333">
            <v>10684.369763917566</v>
          </cell>
          <cell r="AJ3333">
            <v>7771.0204748686092</v>
          </cell>
        </row>
        <row r="3334">
          <cell r="E3334" t="str">
            <v>AL Bunker Fuels Distillate Fuel</v>
          </cell>
          <cell r="F3334">
            <v>5348.6815441030549</v>
          </cell>
          <cell r="G3334">
            <v>5496.2738719181953</v>
          </cell>
          <cell r="H3334">
            <v>4814.9433935621637</v>
          </cell>
          <cell r="I3334">
            <v>4807.7174196359265</v>
          </cell>
          <cell r="J3334">
            <v>4089.4248834422074</v>
          </cell>
          <cell r="K3334">
            <v>3385.5985541075815</v>
          </cell>
          <cell r="L3334">
            <v>3010.720654481258</v>
          </cell>
          <cell r="M3334">
            <v>3374.5678830442507</v>
          </cell>
          <cell r="N3334">
            <v>1765.2359621744538</v>
          </cell>
          <cell r="O3334">
            <v>3425.4267712273549</v>
          </cell>
          <cell r="P3334">
            <v>3156.7793571095517</v>
          </cell>
          <cell r="Q3334">
            <v>2365.4355552410398</v>
          </cell>
          <cell r="R3334">
            <v>2612.3506390366128</v>
          </cell>
          <cell r="S3334">
            <v>3360.5940038460744</v>
          </cell>
          <cell r="T3334">
            <v>7810.162907608461</v>
          </cell>
          <cell r="U3334">
            <v>6079.611810293979</v>
          </cell>
          <cell r="V3334">
            <v>4533.219421354358</v>
          </cell>
          <cell r="W3334">
            <v>2102.4884850174435</v>
          </cell>
          <cell r="X3334">
            <v>3888.3989103217846</v>
          </cell>
          <cell r="Y3334">
            <v>3589.4646032058063</v>
          </cell>
          <cell r="Z3334">
            <v>4161.8011175022521</v>
          </cell>
          <cell r="AA3334">
            <v>2081.3652950227824</v>
          </cell>
          <cell r="AB3334">
            <v>1324.0435039308093</v>
          </cell>
          <cell r="AC3334">
            <v>1109.8696921099029</v>
          </cell>
          <cell r="AD3334">
            <v>1041.2687200102987</v>
          </cell>
          <cell r="AE3334">
            <v>1639.609118370236</v>
          </cell>
          <cell r="AF3334">
            <v>1884.8138154471492</v>
          </cell>
          <cell r="AG3334">
            <v>1786.7797967629392</v>
          </cell>
          <cell r="AH3334">
            <v>1930.4027597217553</v>
          </cell>
          <cell r="AI3334">
            <v>2386.3749898336823</v>
          </cell>
          <cell r="AJ3334">
            <v>2013.1321338117382</v>
          </cell>
        </row>
        <row r="3335">
          <cell r="E3335" t="str">
            <v>AR Bunker Fuels Distillate Fuel</v>
          </cell>
          <cell r="F3335">
            <v>124.95024478949814</v>
          </cell>
          <cell r="G3335">
            <v>145.80253320710258</v>
          </cell>
          <cell r="H3335">
            <v>117.21784624554674</v>
          </cell>
          <cell r="I3335">
            <v>140.59483904665132</v>
          </cell>
          <cell r="J3335">
            <v>134.00963254529142</v>
          </cell>
          <cell r="K3335">
            <v>167.01949330134889</v>
          </cell>
          <cell r="L3335">
            <v>152.774495259585</v>
          </cell>
          <cell r="M3335">
            <v>148.579682383039</v>
          </cell>
          <cell r="N3335">
            <v>339.56024384185679</v>
          </cell>
          <cell r="O3335">
            <v>223.00955541844755</v>
          </cell>
          <cell r="P3335">
            <v>4.5939708730456754</v>
          </cell>
          <cell r="Q3335">
            <v>9.0671782906596725</v>
          </cell>
          <cell r="R3335">
            <v>31.926700419320781</v>
          </cell>
          <cell r="S3335">
            <v>427.99399036599448</v>
          </cell>
          <cell r="T3335">
            <v>2722.3954245522432</v>
          </cell>
          <cell r="U3335">
            <v>1271.7500442146595</v>
          </cell>
          <cell r="V3335">
            <v>26.016955605892115</v>
          </cell>
          <cell r="W3335">
            <v>24.303549394708163</v>
          </cell>
          <cell r="X3335">
            <v>3043.1805354569101</v>
          </cell>
          <cell r="Y3335">
            <v>2759.8811377911547</v>
          </cell>
          <cell r="Z3335">
            <v>3057.7399385078529</v>
          </cell>
          <cell r="AA3335">
            <v>2781.5647956851553</v>
          </cell>
          <cell r="AB3335">
            <v>22.031105205958575</v>
          </cell>
          <cell r="AC3335">
            <v>5.4480418963609836</v>
          </cell>
          <cell r="AD3335">
            <v>13.336395929317939</v>
          </cell>
          <cell r="AE3335">
            <v>9.7662856993416138</v>
          </cell>
          <cell r="AF3335">
            <v>18.738221214387099</v>
          </cell>
          <cell r="AG3335">
            <v>12.265206867047976</v>
          </cell>
          <cell r="AH3335">
            <v>16.466969306071821</v>
          </cell>
          <cell r="AI3335">
            <v>10.476507840833511</v>
          </cell>
          <cell r="AJ3335">
            <v>56.209181766495107</v>
          </cell>
        </row>
        <row r="3336">
          <cell r="E3336" t="str">
            <v>AZ Bunker Fuels Distillate Fuel</v>
          </cell>
          <cell r="F3336">
            <v>0</v>
          </cell>
          <cell r="G3336">
            <v>0</v>
          </cell>
          <cell r="H3336">
            <v>1.5129127180962822</v>
          </cell>
          <cell r="I3336">
            <v>1.6332411118681662</v>
          </cell>
          <cell r="J3336">
            <v>0.94100113724492118</v>
          </cell>
          <cell r="K3336">
            <v>1.0751174335458571</v>
          </cell>
          <cell r="L3336">
            <v>0.77899412699848392</v>
          </cell>
          <cell r="M3336">
            <v>1.3165905560689377</v>
          </cell>
          <cell r="N3336">
            <v>0</v>
          </cell>
          <cell r="O3336">
            <v>1.5493295429071094</v>
          </cell>
          <cell r="P3336">
            <v>1.3288345500545342</v>
          </cell>
          <cell r="Q3336">
            <v>0</v>
          </cell>
          <cell r="R3336">
            <v>0</v>
          </cell>
          <cell r="S3336">
            <v>0</v>
          </cell>
          <cell r="T3336">
            <v>0</v>
          </cell>
          <cell r="U3336">
            <v>0</v>
          </cell>
          <cell r="V3336">
            <v>1.441903563700045</v>
          </cell>
          <cell r="W3336">
            <v>5.78655937969242E-2</v>
          </cell>
          <cell r="X3336">
            <v>6.162280365010752E-2</v>
          </cell>
          <cell r="Y3336">
            <v>0</v>
          </cell>
          <cell r="Z3336">
            <v>6.4010968169897903E-2</v>
          </cell>
          <cell r="AA3336">
            <v>0.10069741866144719</v>
          </cell>
          <cell r="AB3336">
            <v>5.183789460225547E-2</v>
          </cell>
          <cell r="AC3336">
            <v>1.9360810044919197</v>
          </cell>
          <cell r="AD3336">
            <v>2.3686263040487461</v>
          </cell>
          <cell r="AE3336">
            <v>3.0989175776757043</v>
          </cell>
          <cell r="AF3336">
            <v>3.2975082025318083</v>
          </cell>
          <cell r="AG3336">
            <v>2.4419416386882844</v>
          </cell>
          <cell r="AH3336">
            <v>6.076372437664878E-2</v>
          </cell>
          <cell r="AI3336">
            <v>1.2678576367887691</v>
          </cell>
          <cell r="AJ3336">
            <v>6.874504244823143</v>
          </cell>
        </row>
        <row r="3337">
          <cell r="E3337" t="str">
            <v>CA Bunker Fuels Distillate Fuel</v>
          </cell>
          <cell r="F3337">
            <v>11751.138208378168</v>
          </cell>
          <cell r="G3337">
            <v>12461.300289311541</v>
          </cell>
          <cell r="H3337">
            <v>7359.5968065862799</v>
          </cell>
          <cell r="I3337">
            <v>5664.82874480174</v>
          </cell>
          <cell r="J3337">
            <v>7051.1429334084869</v>
          </cell>
          <cell r="K3337">
            <v>5594.2122978408352</v>
          </cell>
          <cell r="L3337">
            <v>4592.6744336794145</v>
          </cell>
          <cell r="M3337">
            <v>7993.8014677055253</v>
          </cell>
          <cell r="N3337">
            <v>7303.8802639171645</v>
          </cell>
          <cell r="O3337">
            <v>6120.6967833246681</v>
          </cell>
          <cell r="P3337">
            <v>6020.2279789699232</v>
          </cell>
          <cell r="Q3337">
            <v>2806.6104489459494</v>
          </cell>
          <cell r="R3337">
            <v>2738.2704985262476</v>
          </cell>
          <cell r="S3337">
            <v>2902.3269249246837</v>
          </cell>
          <cell r="T3337">
            <v>3094.3143341567461</v>
          </cell>
          <cell r="U3337">
            <v>7809.2323619451581</v>
          </cell>
          <cell r="V3337">
            <v>6938.753405821074</v>
          </cell>
          <cell r="W3337">
            <v>6051.7573960637228</v>
          </cell>
          <cell r="X3337">
            <v>5428.2295279306727</v>
          </cell>
          <cell r="Y3337">
            <v>9484.8172382259345</v>
          </cell>
          <cell r="Z3337">
            <v>6146.013108832748</v>
          </cell>
          <cell r="AA3337">
            <v>5828.9707766365318</v>
          </cell>
          <cell r="AB3337">
            <v>6585.3824544813297</v>
          </cell>
          <cell r="AC3337">
            <v>5742.8214855797878</v>
          </cell>
          <cell r="AD3337">
            <v>6132.5794686869031</v>
          </cell>
          <cell r="AE3337">
            <v>10652.294406777073</v>
          </cell>
          <cell r="AF3337">
            <v>8766.1900201306289</v>
          </cell>
          <cell r="AG3337">
            <v>9112.7712088486132</v>
          </cell>
          <cell r="AH3337">
            <v>10367.445889419439</v>
          </cell>
          <cell r="AI3337">
            <v>9907.3732206139648</v>
          </cell>
          <cell r="AJ3337">
            <v>6402.5897475461661</v>
          </cell>
        </row>
        <row r="3338">
          <cell r="E3338" t="str">
            <v>CO Bunker Fuels Distillate Fuel</v>
          </cell>
          <cell r="F3338">
            <v>0</v>
          </cell>
          <cell r="G3338">
            <v>0</v>
          </cell>
          <cell r="H3338">
            <v>0</v>
          </cell>
          <cell r="I3338">
            <v>0</v>
          </cell>
          <cell r="J3338">
            <v>0</v>
          </cell>
          <cell r="K3338">
            <v>0</v>
          </cell>
          <cell r="L3338">
            <v>0</v>
          </cell>
          <cell r="M3338">
            <v>0</v>
          </cell>
          <cell r="N3338">
            <v>0</v>
          </cell>
          <cell r="O3338">
            <v>0</v>
          </cell>
          <cell r="P3338">
            <v>0</v>
          </cell>
          <cell r="Q3338">
            <v>0</v>
          </cell>
          <cell r="R3338">
            <v>0.43680809031409024</v>
          </cell>
          <cell r="S3338">
            <v>24.227843317553834</v>
          </cell>
          <cell r="T3338">
            <v>0</v>
          </cell>
          <cell r="U3338">
            <v>0</v>
          </cell>
          <cell r="V3338">
            <v>6.2691459291306303E-2</v>
          </cell>
          <cell r="W3338">
            <v>0.1157311875938484</v>
          </cell>
          <cell r="X3338">
            <v>0.12324560730021504</v>
          </cell>
          <cell r="Y3338">
            <v>5.8033121050342855E-2</v>
          </cell>
          <cell r="Z3338">
            <v>6.4010968169897903E-2</v>
          </cell>
          <cell r="AA3338">
            <v>0.10069741866144719</v>
          </cell>
          <cell r="AB3338">
            <v>0.10367578920451094</v>
          </cell>
          <cell r="AC3338">
            <v>9.005027927869394E-2</v>
          </cell>
          <cell r="AD3338">
            <v>0.10298375234994547</v>
          </cell>
          <cell r="AE3338">
            <v>9.3906593262900115E-2</v>
          </cell>
          <cell r="AF3338">
            <v>1.6225834012458105</v>
          </cell>
          <cell r="AG3338">
            <v>0.11099734721310386</v>
          </cell>
          <cell r="AH3338">
            <v>0.12152744875329756</v>
          </cell>
          <cell r="AI3338">
            <v>0.13345869860934409</v>
          </cell>
          <cell r="AJ3338">
            <v>0.11553788646761584</v>
          </cell>
        </row>
        <row r="3339">
          <cell r="E3339" t="str">
            <v>CT Bunker Fuels Distillate Fuel</v>
          </cell>
          <cell r="F3339">
            <v>198.40537950959506</v>
          </cell>
          <cell r="G3339">
            <v>174.62735834063892</v>
          </cell>
          <cell r="H3339">
            <v>374.08411425276341</v>
          </cell>
          <cell r="I3339">
            <v>255.60223400736803</v>
          </cell>
          <cell r="J3339">
            <v>179.89727623799962</v>
          </cell>
          <cell r="K3339">
            <v>180.51221709234937</v>
          </cell>
          <cell r="L3339">
            <v>115.52024671548105</v>
          </cell>
          <cell r="M3339">
            <v>159.30745728434147</v>
          </cell>
          <cell r="N3339">
            <v>174.21661816863696</v>
          </cell>
          <cell r="O3339">
            <v>214.746464522943</v>
          </cell>
          <cell r="P3339">
            <v>115.00113863186242</v>
          </cell>
          <cell r="Q3339">
            <v>100.51817183160996</v>
          </cell>
          <cell r="R3339">
            <v>102.80874052937996</v>
          </cell>
          <cell r="S3339">
            <v>290.452945613537</v>
          </cell>
          <cell r="T3339">
            <v>490.21099649476741</v>
          </cell>
          <cell r="U3339">
            <v>438.25742780334042</v>
          </cell>
          <cell r="V3339">
            <v>443.91822324173995</v>
          </cell>
          <cell r="W3339">
            <v>385.03766112473357</v>
          </cell>
          <cell r="X3339">
            <v>350.2023931435611</v>
          </cell>
          <cell r="Y3339">
            <v>227.14163579104192</v>
          </cell>
          <cell r="Z3339">
            <v>121.49281758646623</v>
          </cell>
          <cell r="AA3339">
            <v>75.623761414746838</v>
          </cell>
          <cell r="AB3339">
            <v>147.11594488120102</v>
          </cell>
          <cell r="AC3339">
            <v>155.38175689538642</v>
          </cell>
          <cell r="AD3339">
            <v>172.65226081468361</v>
          </cell>
          <cell r="AE3339">
            <v>181.75621126034318</v>
          </cell>
          <cell r="AF3339">
            <v>210.51711096163385</v>
          </cell>
          <cell r="AG3339">
            <v>328.10815836193495</v>
          </cell>
          <cell r="AH3339">
            <v>296.52697495804603</v>
          </cell>
          <cell r="AI3339">
            <v>364.47570590211876</v>
          </cell>
          <cell r="AJ3339">
            <v>307.67739166326101</v>
          </cell>
        </row>
        <row r="3340">
          <cell r="E3340" t="str">
            <v>DC Bunker Fuels Distillate Fuel</v>
          </cell>
          <cell r="F3340">
            <v>1.3772837760018168</v>
          </cell>
          <cell r="G3340">
            <v>0.43784544506637418</v>
          </cell>
          <cell r="H3340">
            <v>0.460451696811912</v>
          </cell>
          <cell r="I3340">
            <v>0.13610342598901387</v>
          </cell>
          <cell r="J3340">
            <v>3.5979455247599925</v>
          </cell>
          <cell r="K3340">
            <v>0.69882633180480713</v>
          </cell>
          <cell r="L3340">
            <v>9.1646367882174562E-2</v>
          </cell>
          <cell r="M3340">
            <v>0</v>
          </cell>
          <cell r="N3340">
            <v>0.18357915507759423</v>
          </cell>
          <cell r="O3340">
            <v>0.14084814026428266</v>
          </cell>
          <cell r="P3340">
            <v>0.11390010429038866</v>
          </cell>
          <cell r="Q3340">
            <v>0.35418665197889343</v>
          </cell>
          <cell r="R3340">
            <v>11.357010348166346</v>
          </cell>
          <cell r="S3340">
            <v>0.18744946473929464</v>
          </cell>
          <cell r="T3340">
            <v>2.6167846787976905</v>
          </cell>
          <cell r="U3340">
            <v>0.37960799290025155</v>
          </cell>
          <cell r="V3340">
            <v>0.43884021503914417</v>
          </cell>
          <cell r="W3340">
            <v>0.63652153176616622</v>
          </cell>
          <cell r="X3340">
            <v>0.43135962555075269</v>
          </cell>
          <cell r="Y3340">
            <v>0.29016560525171425</v>
          </cell>
          <cell r="Z3340">
            <v>0.83214258620867276</v>
          </cell>
          <cell r="AA3340">
            <v>0.75523063996085393</v>
          </cell>
          <cell r="AB3340">
            <v>0.88124420823834304</v>
          </cell>
          <cell r="AC3340">
            <v>0</v>
          </cell>
          <cell r="AD3340">
            <v>0</v>
          </cell>
          <cell r="AE3340">
            <v>1.596412085469302</v>
          </cell>
          <cell r="AF3340">
            <v>2.4077044018486218</v>
          </cell>
          <cell r="AG3340">
            <v>1.8869549026227654</v>
          </cell>
          <cell r="AH3340">
            <v>0.42534607063654151</v>
          </cell>
          <cell r="AI3340">
            <v>7.6071458207326135</v>
          </cell>
          <cell r="AJ3340">
            <v>2.3107577293523169</v>
          </cell>
        </row>
        <row r="3341">
          <cell r="E3341" t="str">
            <v>DE Bunker Fuels Distillate Fuel</v>
          </cell>
          <cell r="F3341">
            <v>287.01063576571192</v>
          </cell>
          <cell r="G3341">
            <v>506.73312842348361</v>
          </cell>
          <cell r="H3341">
            <v>257.58983495934962</v>
          </cell>
          <cell r="I3341">
            <v>851.59913641325977</v>
          </cell>
          <cell r="J3341">
            <v>114.47002069544101</v>
          </cell>
          <cell r="K3341">
            <v>72.731694379377217</v>
          </cell>
          <cell r="L3341">
            <v>298.17145790465497</v>
          </cell>
          <cell r="M3341">
            <v>104.88838096682537</v>
          </cell>
          <cell r="N3341">
            <v>161.79442867505307</v>
          </cell>
          <cell r="O3341">
            <v>170.98964228083915</v>
          </cell>
          <cell r="P3341">
            <v>1362.7008477302099</v>
          </cell>
          <cell r="Q3341">
            <v>43.139934211029221</v>
          </cell>
          <cell r="R3341">
            <v>25.176029932648472</v>
          </cell>
          <cell r="S3341">
            <v>33.787766019257859</v>
          </cell>
          <cell r="T3341">
            <v>45.625989271344352</v>
          </cell>
          <cell r="U3341">
            <v>48.336751095965361</v>
          </cell>
          <cell r="V3341">
            <v>30.405357756283561</v>
          </cell>
          <cell r="W3341">
            <v>35.587340185108374</v>
          </cell>
          <cell r="X3341">
            <v>56.631356554448814</v>
          </cell>
          <cell r="Y3341">
            <v>33.77527645129954</v>
          </cell>
          <cell r="Z3341">
            <v>31.045319562400486</v>
          </cell>
          <cell r="AA3341">
            <v>83.478160070339712</v>
          </cell>
          <cell r="AB3341">
            <v>31.880305180387111</v>
          </cell>
          <cell r="AC3341">
            <v>11.301310049476092</v>
          </cell>
          <cell r="AD3341">
            <v>29.453353172084412</v>
          </cell>
          <cell r="AE3341">
            <v>64.795549351401078</v>
          </cell>
          <cell r="AF3341">
            <v>91.963839870609306</v>
          </cell>
          <cell r="AG3341">
            <v>41.513007857700842</v>
          </cell>
          <cell r="AH3341">
            <v>58.758521472219378</v>
          </cell>
          <cell r="AI3341">
            <v>84.946461664847519</v>
          </cell>
          <cell r="AJ3341">
            <v>84.053812405190527</v>
          </cell>
        </row>
        <row r="3342">
          <cell r="E3342" t="str">
            <v>FL Bunker Fuels Distillate Fuel</v>
          </cell>
          <cell r="F3342">
            <v>8534.3389179952592</v>
          </cell>
          <cell r="G3342">
            <v>8511.5695036086254</v>
          </cell>
          <cell r="H3342">
            <v>10235.775441314974</v>
          </cell>
          <cell r="I3342">
            <v>11327.888145065624</v>
          </cell>
          <cell r="J3342">
            <v>8325.092414213892</v>
          </cell>
          <cell r="K3342">
            <v>8983.8425423242134</v>
          </cell>
          <cell r="L3342">
            <v>7759.1939135603689</v>
          </cell>
          <cell r="M3342">
            <v>7264.5078248697091</v>
          </cell>
          <cell r="N3342">
            <v>9896.9358293881814</v>
          </cell>
          <cell r="O3342">
            <v>6894.6573140769005</v>
          </cell>
          <cell r="P3342">
            <v>5208.5758357966133</v>
          </cell>
          <cell r="Q3342">
            <v>5158.7640047377818</v>
          </cell>
          <cell r="R3342">
            <v>6088.1120333186127</v>
          </cell>
          <cell r="S3342">
            <v>7415.2196508893876</v>
          </cell>
          <cell r="T3342">
            <v>9967.6683267556346</v>
          </cell>
          <cell r="U3342">
            <v>8782.42071974377</v>
          </cell>
          <cell r="V3342">
            <v>8463.4096957856436</v>
          </cell>
          <cell r="W3342">
            <v>8406.076945285382</v>
          </cell>
          <cell r="X3342">
            <v>11123.77877809551</v>
          </cell>
          <cell r="Y3342">
            <v>4916.449949142946</v>
          </cell>
          <cell r="Z3342">
            <v>7616.7291135043215</v>
          </cell>
          <cell r="AA3342">
            <v>7159.4857694102338</v>
          </cell>
          <cell r="AB3342">
            <v>6826.2731506980117</v>
          </cell>
          <cell r="AC3342">
            <v>5694.0592593503761</v>
          </cell>
          <cell r="AD3342">
            <v>6402.6543592246353</v>
          </cell>
          <cell r="AE3342">
            <v>8870.7924259865977</v>
          </cell>
          <cell r="AF3342">
            <v>11047.28057528204</v>
          </cell>
          <cell r="AG3342">
            <v>11630.968025072299</v>
          </cell>
          <cell r="AH3342">
            <v>16113.932067443489</v>
          </cell>
          <cell r="AI3342">
            <v>17612.010620680707</v>
          </cell>
          <cell r="AJ3342">
            <v>10287.320104246815</v>
          </cell>
        </row>
        <row r="3343">
          <cell r="E3343" t="str">
            <v>GA Bunker Fuels Distillate Fuel</v>
          </cell>
          <cell r="F3343">
            <v>2009.6100607173178</v>
          </cell>
          <cell r="G3343">
            <v>1629.952643500422</v>
          </cell>
          <cell r="H3343">
            <v>2320.5449943043759</v>
          </cell>
          <cell r="I3343">
            <v>2373.7118009613964</v>
          </cell>
          <cell r="J3343">
            <v>350.7166591519894</v>
          </cell>
          <cell r="K3343">
            <v>825.04511850309075</v>
          </cell>
          <cell r="L3343">
            <v>485.95486569523069</v>
          </cell>
          <cell r="M3343">
            <v>588.46721594962753</v>
          </cell>
          <cell r="N3343">
            <v>644.24044821897076</v>
          </cell>
          <cell r="O3343">
            <v>872.69507707749551</v>
          </cell>
          <cell r="P3343">
            <v>973.542158071382</v>
          </cell>
          <cell r="Q3343">
            <v>870.59079056412008</v>
          </cell>
          <cell r="R3343">
            <v>946.72197101620236</v>
          </cell>
          <cell r="S3343">
            <v>836.16519983580861</v>
          </cell>
          <cell r="T3343">
            <v>1701.8493998211441</v>
          </cell>
          <cell r="U3343">
            <v>1227.9053210346804</v>
          </cell>
          <cell r="V3343">
            <v>1258.4683538136828</v>
          </cell>
          <cell r="W3343">
            <v>811.04416265768953</v>
          </cell>
          <cell r="X3343">
            <v>667.43658633431471</v>
          </cell>
          <cell r="Y3343">
            <v>624.72654810694075</v>
          </cell>
          <cell r="Z3343">
            <v>825.99753326436257</v>
          </cell>
          <cell r="AA3343">
            <v>623.66946247967314</v>
          </cell>
          <cell r="AB3343">
            <v>585.76820900548671</v>
          </cell>
          <cell r="AC3343">
            <v>372.042728839924</v>
          </cell>
          <cell r="AD3343">
            <v>541.43707797983848</v>
          </cell>
          <cell r="AE3343">
            <v>1182.6596355529641</v>
          </cell>
          <cell r="AF3343">
            <v>1195.21586991768</v>
          </cell>
          <cell r="AG3343">
            <v>1643.149229469183</v>
          </cell>
          <cell r="AH3343">
            <v>1839.5002280542888</v>
          </cell>
          <cell r="AI3343">
            <v>1610.5128454682599</v>
          </cell>
          <cell r="AJ3343">
            <v>1782.5185124223774</v>
          </cell>
        </row>
        <row r="3344">
          <cell r="E3344" t="str">
            <v>HI Bunker Fuels Distillate Fuel</v>
          </cell>
          <cell r="F3344">
            <v>6967.3725597318562</v>
          </cell>
          <cell r="G3344">
            <v>6373.059375663609</v>
          </cell>
          <cell r="H3344">
            <v>5900.1622641340109</v>
          </cell>
          <cell r="I3344">
            <v>5878.0347616135305</v>
          </cell>
          <cell r="J3344">
            <v>3736.8262220157285</v>
          </cell>
          <cell r="K3344">
            <v>4451.7387570833298</v>
          </cell>
          <cell r="L3344">
            <v>1087.0175694504726</v>
          </cell>
          <cell r="M3344">
            <v>966.67004383372682</v>
          </cell>
          <cell r="N3344">
            <v>1414.2938107177861</v>
          </cell>
          <cell r="O3344">
            <v>1314.2539968060216</v>
          </cell>
          <cell r="P3344">
            <v>804.43846990158499</v>
          </cell>
          <cell r="Q3344">
            <v>1109.7376179802689</v>
          </cell>
          <cell r="R3344">
            <v>3691.4254614179845</v>
          </cell>
          <cell r="S3344">
            <v>6266.6699180655442</v>
          </cell>
          <cell r="T3344">
            <v>7767.757576403329</v>
          </cell>
          <cell r="U3344">
            <v>7241.9714845545486</v>
          </cell>
          <cell r="V3344">
            <v>4572.4015834114252</v>
          </cell>
          <cell r="W3344">
            <v>7507.6557359943363</v>
          </cell>
          <cell r="X3344">
            <v>3622.5581353752209</v>
          </cell>
          <cell r="Y3344">
            <v>4149.1360226153129</v>
          </cell>
          <cell r="Z3344">
            <v>4081.1472976081805</v>
          </cell>
          <cell r="AA3344">
            <v>4463.513779587307</v>
          </cell>
          <cell r="AB3344">
            <v>4492.4274599152659</v>
          </cell>
          <cell r="AC3344">
            <v>3034.5143111334287</v>
          </cell>
          <cell r="AD3344">
            <v>994.4626045672486</v>
          </cell>
          <cell r="AE3344">
            <v>1558.3329619011961</v>
          </cell>
          <cell r="AF3344">
            <v>1652.6797062689182</v>
          </cell>
          <cell r="AG3344">
            <v>1453.8987524708407</v>
          </cell>
          <cell r="AH3344">
            <v>1943.770779084618</v>
          </cell>
          <cell r="AI3344">
            <v>1654.2205692628202</v>
          </cell>
          <cell r="AJ3344">
            <v>1056.94058540575</v>
          </cell>
        </row>
        <row r="3345">
          <cell r="E3345" t="str">
            <v>IA Bunker Fuels Distillate Fuel</v>
          </cell>
          <cell r="F3345">
            <v>423.89733994722582</v>
          </cell>
          <cell r="G3345">
            <v>336.92206997857494</v>
          </cell>
          <cell r="H3345">
            <v>300.08294869370604</v>
          </cell>
          <cell r="I3345">
            <v>234.4381512660764</v>
          </cell>
          <cell r="J3345">
            <v>252.29901079778531</v>
          </cell>
          <cell r="K3345">
            <v>341.77983212422799</v>
          </cell>
          <cell r="L3345">
            <v>327.77323473059732</v>
          </cell>
          <cell r="M3345">
            <v>297.79327873751868</v>
          </cell>
          <cell r="N3345">
            <v>464.76122760477614</v>
          </cell>
          <cell r="O3345">
            <v>387.70798076748207</v>
          </cell>
          <cell r="P3345">
            <v>211.51249366725173</v>
          </cell>
          <cell r="Q3345">
            <v>198.55703709936765</v>
          </cell>
          <cell r="R3345">
            <v>141.92291952568715</v>
          </cell>
          <cell r="S3345">
            <v>328.17715039232007</v>
          </cell>
          <cell r="T3345">
            <v>446.1282392134832</v>
          </cell>
          <cell r="U3345">
            <v>373.40772901621409</v>
          </cell>
          <cell r="V3345">
            <v>151.96409732212649</v>
          </cell>
          <cell r="W3345">
            <v>281.63184500963007</v>
          </cell>
          <cell r="X3345">
            <v>255.79625795159637</v>
          </cell>
          <cell r="Y3345">
            <v>262.48380651070073</v>
          </cell>
          <cell r="Z3345">
            <v>344.44301972222064</v>
          </cell>
          <cell r="AA3345">
            <v>259.9503862745259</v>
          </cell>
          <cell r="AB3345">
            <v>290.75875082405094</v>
          </cell>
          <cell r="AC3345">
            <v>236.02178198945683</v>
          </cell>
          <cell r="AD3345">
            <v>32.233914485532935</v>
          </cell>
          <cell r="AE3345">
            <v>342.10171925674513</v>
          </cell>
          <cell r="AF3345">
            <v>498.39481118266468</v>
          </cell>
          <cell r="AG3345">
            <v>509.64431972896642</v>
          </cell>
          <cell r="AH3345">
            <v>58.697757747842729</v>
          </cell>
          <cell r="AI3345">
            <v>45.509416225786339</v>
          </cell>
          <cell r="AJ3345">
            <v>506.22924955785885</v>
          </cell>
        </row>
        <row r="3346">
          <cell r="E3346" t="str">
            <v>ID Bunker Fuels Distillate Fuel</v>
          </cell>
          <cell r="F3346">
            <v>13.390258933350996</v>
          </cell>
          <cell r="G3346">
            <v>12.18669822101408</v>
          </cell>
          <cell r="H3346">
            <v>6.051650872385129</v>
          </cell>
          <cell r="I3346">
            <v>6.328809308489145</v>
          </cell>
          <cell r="J3346">
            <v>2.0480612987095346</v>
          </cell>
          <cell r="K3346">
            <v>1.773943765350664</v>
          </cell>
          <cell r="L3346">
            <v>11.043387329802034</v>
          </cell>
          <cell r="M3346">
            <v>8.6797451474174423</v>
          </cell>
          <cell r="N3346">
            <v>10.402818787730341</v>
          </cell>
          <cell r="O3346">
            <v>11.080053700790238</v>
          </cell>
          <cell r="P3346">
            <v>4.7078709773360643</v>
          </cell>
          <cell r="Q3346">
            <v>1.5230026035092419</v>
          </cell>
          <cell r="R3346">
            <v>0.47651791670628024</v>
          </cell>
          <cell r="S3346">
            <v>9.3724732369647318E-2</v>
          </cell>
          <cell r="T3346">
            <v>0.26838817218437849</v>
          </cell>
          <cell r="U3346">
            <v>0.18980399645012577</v>
          </cell>
          <cell r="V3346">
            <v>0.12538291858261261</v>
          </cell>
          <cell r="W3346">
            <v>1.4466398449231048</v>
          </cell>
          <cell r="X3346">
            <v>1.5405700912526881</v>
          </cell>
          <cell r="Y3346">
            <v>1.0445961789061715</v>
          </cell>
          <cell r="Z3346">
            <v>0.32005484084948949</v>
          </cell>
          <cell r="AA3346">
            <v>0</v>
          </cell>
          <cell r="AB3346">
            <v>0.777568419033832</v>
          </cell>
          <cell r="AC3346">
            <v>1.6209050270164911</v>
          </cell>
          <cell r="AD3346">
            <v>2.0081831708239366</v>
          </cell>
          <cell r="AE3346">
            <v>1.6903186787322022</v>
          </cell>
          <cell r="AF3346">
            <v>2.4600458018888087</v>
          </cell>
          <cell r="AG3346">
            <v>0</v>
          </cell>
          <cell r="AH3346">
            <v>0.12152744875329756</v>
          </cell>
          <cell r="AI3346">
            <v>0</v>
          </cell>
          <cell r="AJ3346">
            <v>0</v>
          </cell>
        </row>
        <row r="3347">
          <cell r="E3347" t="str">
            <v>IL Bunker Fuels Distillate Fuel</v>
          </cell>
          <cell r="F3347">
            <v>3510.3137662019635</v>
          </cell>
          <cell r="G3347">
            <v>4004.9722860221245</v>
          </cell>
          <cell r="H3347">
            <v>3824.4460149059109</v>
          </cell>
          <cell r="I3347">
            <v>3670.0288817937594</v>
          </cell>
          <cell r="J3347">
            <v>3676.9896202885661</v>
          </cell>
          <cell r="K3347">
            <v>2641.6172900938482</v>
          </cell>
          <cell r="L3347">
            <v>2193.2808761562019</v>
          </cell>
          <cell r="M3347">
            <v>2131.4625850492348</v>
          </cell>
          <cell r="N3347">
            <v>2734.3503218290739</v>
          </cell>
          <cell r="O3347">
            <v>2069.1061298624004</v>
          </cell>
          <cell r="P3347">
            <v>1916.5590881929397</v>
          </cell>
          <cell r="Q3347">
            <v>1905.2054196596657</v>
          </cell>
          <cell r="R3347">
            <v>2063.5211284701541</v>
          </cell>
          <cell r="S3347">
            <v>2828.84673474688</v>
          </cell>
          <cell r="T3347">
            <v>7186.7642806671956</v>
          </cell>
          <cell r="U3347">
            <v>6559.1832413246302</v>
          </cell>
          <cell r="V3347">
            <v>4973.0626997421641</v>
          </cell>
          <cell r="W3347">
            <v>4155.0389625881417</v>
          </cell>
          <cell r="X3347">
            <v>6276.3441745671016</v>
          </cell>
          <cell r="Y3347">
            <v>4939.6051644420322</v>
          </cell>
          <cell r="Z3347">
            <v>3621.4205242119738</v>
          </cell>
          <cell r="AA3347">
            <v>2819.5277225205209</v>
          </cell>
          <cell r="AB3347">
            <v>3084.7694319910188</v>
          </cell>
          <cell r="AC3347">
            <v>2367.2867668179456</v>
          </cell>
          <cell r="AD3347">
            <v>2521.454192536065</v>
          </cell>
          <cell r="AE3347">
            <v>2777.5692155300599</v>
          </cell>
          <cell r="AF3347">
            <v>3552.0444309272398</v>
          </cell>
          <cell r="AG3347">
            <v>3463.3392277432663</v>
          </cell>
          <cell r="AH3347">
            <v>2789.5410586831922</v>
          </cell>
          <cell r="AI3347">
            <v>380.62420843384939</v>
          </cell>
          <cell r="AJ3347">
            <v>1404.3630100138707</v>
          </cell>
        </row>
        <row r="3348">
          <cell r="E3348" t="str">
            <v>IN Bunker Fuels Distillate Fuel</v>
          </cell>
          <cell r="F3348">
            <v>709.68372346760282</v>
          </cell>
          <cell r="G3348">
            <v>720.76657682009613</v>
          </cell>
          <cell r="H3348">
            <v>893.14473418744865</v>
          </cell>
          <cell r="I3348">
            <v>903.04623143710694</v>
          </cell>
          <cell r="J3348">
            <v>736.25036038204098</v>
          </cell>
          <cell r="K3348">
            <v>826.17399180831387</v>
          </cell>
          <cell r="L3348">
            <v>791.73297213410615</v>
          </cell>
          <cell r="M3348">
            <v>1971.3749259538895</v>
          </cell>
          <cell r="N3348">
            <v>1673.5687707390416</v>
          </cell>
          <cell r="O3348">
            <v>2120.0931566380714</v>
          </cell>
          <cell r="P3348">
            <v>1762.8319141023451</v>
          </cell>
          <cell r="Q3348">
            <v>676.39024928409276</v>
          </cell>
          <cell r="R3348">
            <v>373.2723680865862</v>
          </cell>
          <cell r="S3348">
            <v>406.06240299149704</v>
          </cell>
          <cell r="T3348">
            <v>489.07034676298372</v>
          </cell>
          <cell r="U3348">
            <v>843.86856821725917</v>
          </cell>
          <cell r="V3348">
            <v>1639.8205006826988</v>
          </cell>
          <cell r="W3348">
            <v>1724.6840231173255</v>
          </cell>
          <cell r="X3348">
            <v>1492.8740412275049</v>
          </cell>
          <cell r="Y3348">
            <v>996.1385228291349</v>
          </cell>
          <cell r="Z3348">
            <v>1270.5537072043037</v>
          </cell>
          <cell r="AA3348">
            <v>1123.7328435524198</v>
          </cell>
          <cell r="AB3348">
            <v>421.9086241677573</v>
          </cell>
          <cell r="AC3348">
            <v>557.72640471259092</v>
          </cell>
          <cell r="AD3348">
            <v>677.58159858646627</v>
          </cell>
          <cell r="AE3348">
            <v>635.55982320330804</v>
          </cell>
          <cell r="AF3348">
            <v>698.2866179361406</v>
          </cell>
          <cell r="AG3348">
            <v>939.70354150613707</v>
          </cell>
          <cell r="AH3348">
            <v>832.34149651133498</v>
          </cell>
          <cell r="AI3348">
            <v>834.45051305492416</v>
          </cell>
          <cell r="AJ3348">
            <v>412.35471680292096</v>
          </cell>
        </row>
        <row r="3349">
          <cell r="E3349" t="str">
            <v>KS Bunker Fuels Distillate Fuel</v>
          </cell>
          <cell r="F3349">
            <v>0</v>
          </cell>
          <cell r="G3349">
            <v>0</v>
          </cell>
          <cell r="H3349">
            <v>0</v>
          </cell>
          <cell r="I3349">
            <v>0</v>
          </cell>
          <cell r="J3349">
            <v>0</v>
          </cell>
          <cell r="K3349">
            <v>0</v>
          </cell>
          <cell r="L3349">
            <v>0</v>
          </cell>
          <cell r="M3349">
            <v>0</v>
          </cell>
          <cell r="N3349">
            <v>0</v>
          </cell>
          <cell r="O3349">
            <v>0</v>
          </cell>
          <cell r="P3349">
            <v>38.49823525015136</v>
          </cell>
          <cell r="Q3349">
            <v>27.839070845541023</v>
          </cell>
          <cell r="R3349">
            <v>56.705632088047352</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6.076372437664878E-2</v>
          </cell>
          <cell r="AI3349">
            <v>0.13345869860934409</v>
          </cell>
          <cell r="AJ3349">
            <v>5.7768943233807921E-2</v>
          </cell>
        </row>
        <row r="3350">
          <cell r="E3350" t="str">
            <v>KY Bunker Fuels Distillate Fuel</v>
          </cell>
          <cell r="F3350">
            <v>7640.634778900745</v>
          </cell>
          <cell r="G3350">
            <v>10181.074185646708</v>
          </cell>
          <cell r="H3350">
            <v>9182.7224107061302</v>
          </cell>
          <cell r="I3350">
            <v>7764.2240906822799</v>
          </cell>
          <cell r="J3350">
            <v>6619.7215884857278</v>
          </cell>
          <cell r="K3350">
            <v>7867.2793317151636</v>
          </cell>
          <cell r="L3350">
            <v>6841.3555392203907</v>
          </cell>
          <cell r="M3350">
            <v>5341.6516990376194</v>
          </cell>
          <cell r="N3350">
            <v>5850.7900584263143</v>
          </cell>
          <cell r="O3350">
            <v>4454.9797271791731</v>
          </cell>
          <cell r="P3350">
            <v>3259.9348848952136</v>
          </cell>
          <cell r="Q3350">
            <v>3198.6242353561884</v>
          </cell>
          <cell r="R3350">
            <v>2488.019172602666</v>
          </cell>
          <cell r="S3350">
            <v>4017.3700659263777</v>
          </cell>
          <cell r="T3350">
            <v>5996.7311252016607</v>
          </cell>
          <cell r="U3350">
            <v>6228.5446795085109</v>
          </cell>
          <cell r="V3350">
            <v>5311.5338884559269</v>
          </cell>
          <cell r="W3350">
            <v>5295.6276819193145</v>
          </cell>
          <cell r="X3350">
            <v>6432.6196046237737</v>
          </cell>
          <cell r="Y3350">
            <v>5937.0784490553251</v>
          </cell>
          <cell r="Z3350">
            <v>6291.8941052919454</v>
          </cell>
          <cell r="AA3350">
            <v>5244.3215638881693</v>
          </cell>
          <cell r="AB3350">
            <v>5011.1174333054341</v>
          </cell>
          <cell r="AC3350">
            <v>4501.3433103040743</v>
          </cell>
          <cell r="AD3350">
            <v>3106.5048896361054</v>
          </cell>
          <cell r="AE3350">
            <v>3720.0627388131566</v>
          </cell>
          <cell r="AF3350">
            <v>3769.5752894942584</v>
          </cell>
          <cell r="AG3350">
            <v>4158.7376080333615</v>
          </cell>
          <cell r="AH3350">
            <v>4810.6640588992841</v>
          </cell>
          <cell r="AI3350">
            <v>3101.9805317769851</v>
          </cell>
          <cell r="AJ3350">
            <v>3050.9511990070978</v>
          </cell>
        </row>
        <row r="3351">
          <cell r="E3351" t="str">
            <v>LA Bunker Fuels Distillate Fuel</v>
          </cell>
          <cell r="F3351">
            <v>26527.021136152325</v>
          </cell>
          <cell r="G3351">
            <v>23631.24841264066</v>
          </cell>
          <cell r="H3351">
            <v>21295.693641109436</v>
          </cell>
          <cell r="I3351">
            <v>25023.567592062122</v>
          </cell>
          <cell r="J3351">
            <v>25035.390609409202</v>
          </cell>
          <cell r="K3351">
            <v>30338.040030898734</v>
          </cell>
          <cell r="L3351">
            <v>32881.708686077531</v>
          </cell>
          <cell r="M3351">
            <v>37948.577223706867</v>
          </cell>
          <cell r="N3351">
            <v>40611.809037627245</v>
          </cell>
          <cell r="O3351">
            <v>22641.667193144054</v>
          </cell>
          <cell r="P3351">
            <v>20604.376999325588</v>
          </cell>
          <cell r="Q3351">
            <v>21167.044370223422</v>
          </cell>
          <cell r="R3351">
            <v>21693.359028574232</v>
          </cell>
          <cell r="S3351">
            <v>22045.088025397115</v>
          </cell>
          <cell r="T3351">
            <v>28126.812056750685</v>
          </cell>
          <cell r="U3351">
            <v>24247.397278504748</v>
          </cell>
          <cell r="V3351">
            <v>23791.847641265784</v>
          </cell>
          <cell r="W3351">
            <v>20352.833843816959</v>
          </cell>
          <cell r="X3351">
            <v>24608.881769259489</v>
          </cell>
          <cell r="Y3351">
            <v>21973.777020743917</v>
          </cell>
          <cell r="Z3351">
            <v>30818.272658301859</v>
          </cell>
          <cell r="AA3351">
            <v>28429.398723593076</v>
          </cell>
          <cell r="AB3351">
            <v>19826.024845367832</v>
          </cell>
          <cell r="AC3351">
            <v>16725.803797805696</v>
          </cell>
          <cell r="AD3351">
            <v>17188.91512097705</v>
          </cell>
          <cell r="AE3351">
            <v>23221.316288643204</v>
          </cell>
          <cell r="AF3351">
            <v>23806.491321678488</v>
          </cell>
          <cell r="AG3351">
            <v>24283.05614583155</v>
          </cell>
          <cell r="AH3351">
            <v>22637.890098866763</v>
          </cell>
          <cell r="AI3351">
            <v>24094.833634978902</v>
          </cell>
          <cell r="AJ3351">
            <v>27003.572594154408</v>
          </cell>
        </row>
        <row r="3352">
          <cell r="E3352" t="str">
            <v>MA Bunker Fuels Distillate Fuel</v>
          </cell>
          <cell r="F3352">
            <v>3503.7334103832886</v>
          </cell>
          <cell r="G3352">
            <v>3517.2854344590282</v>
          </cell>
          <cell r="H3352">
            <v>3924.429811927926</v>
          </cell>
          <cell r="I3352">
            <v>4077.5225392048665</v>
          </cell>
          <cell r="J3352">
            <v>2295.3231857726551</v>
          </cell>
          <cell r="K3352">
            <v>2569.4231544312438</v>
          </cell>
          <cell r="L3352">
            <v>2162.7626356514374</v>
          </cell>
          <cell r="M3352">
            <v>1637.2047377783181</v>
          </cell>
          <cell r="N3352">
            <v>1210.826913840119</v>
          </cell>
          <cell r="O3352">
            <v>1077.1596273611458</v>
          </cell>
          <cell r="P3352">
            <v>875.55010168021761</v>
          </cell>
          <cell r="Q3352">
            <v>834.32207740148135</v>
          </cell>
          <cell r="R3352">
            <v>1531.7271334259458</v>
          </cell>
          <cell r="S3352">
            <v>795.39494125501199</v>
          </cell>
          <cell r="T3352">
            <v>1079.8598107838468</v>
          </cell>
          <cell r="U3352">
            <v>1400.5636898054781</v>
          </cell>
          <cell r="V3352">
            <v>1459.7079381387762</v>
          </cell>
          <cell r="W3352">
            <v>1234.6203092511748</v>
          </cell>
          <cell r="X3352">
            <v>2963.6871187482716</v>
          </cell>
          <cell r="Y3352">
            <v>1113.8296923192304</v>
          </cell>
          <cell r="Z3352">
            <v>1122.0482610501404</v>
          </cell>
          <cell r="AA3352">
            <v>862.57408825395657</v>
          </cell>
          <cell r="AB3352">
            <v>705.61742132590155</v>
          </cell>
          <cell r="AC3352">
            <v>428.05400255127171</v>
          </cell>
          <cell r="AD3352">
            <v>581.96118452954192</v>
          </cell>
          <cell r="AE3352">
            <v>894.22553434596625</v>
          </cell>
          <cell r="AF3352">
            <v>802.23663841595271</v>
          </cell>
          <cell r="AG3352">
            <v>928.21531606958092</v>
          </cell>
          <cell r="AH3352">
            <v>828.33109070247622</v>
          </cell>
          <cell r="AI3352">
            <v>637.93257935266479</v>
          </cell>
          <cell r="AJ3352">
            <v>898.65368094511609</v>
          </cell>
        </row>
        <row r="3353">
          <cell r="E3353" t="str">
            <v>MD Bunker Fuels Distillate Fuel</v>
          </cell>
          <cell r="F3353">
            <v>822.39144580375148</v>
          </cell>
          <cell r="G3353">
            <v>662.24123566289086</v>
          </cell>
          <cell r="H3353">
            <v>781.91276000045684</v>
          </cell>
          <cell r="I3353">
            <v>940.74688043606386</v>
          </cell>
          <cell r="J3353">
            <v>803.00608811835707</v>
          </cell>
          <cell r="K3353">
            <v>1120.9174362149106</v>
          </cell>
          <cell r="L3353">
            <v>946.01963246374692</v>
          </cell>
          <cell r="M3353">
            <v>577.25181491644764</v>
          </cell>
          <cell r="N3353">
            <v>1265.0439576397018</v>
          </cell>
          <cell r="O3353">
            <v>1480.6895492183157</v>
          </cell>
          <cell r="P3353">
            <v>1103.6920105738661</v>
          </cell>
          <cell r="Q3353">
            <v>866.80099338794594</v>
          </cell>
          <cell r="R3353">
            <v>477.31211323412401</v>
          </cell>
          <cell r="S3353">
            <v>570.03382227219504</v>
          </cell>
          <cell r="T3353">
            <v>966.06322577767048</v>
          </cell>
          <cell r="U3353">
            <v>1273.6480841791606</v>
          </cell>
          <cell r="V3353">
            <v>1410.8085998915572</v>
          </cell>
          <cell r="W3353">
            <v>1237.1663953782393</v>
          </cell>
          <cell r="X3353">
            <v>1017.2076198523248</v>
          </cell>
          <cell r="Y3353">
            <v>478.19291745482514</v>
          </cell>
          <cell r="Z3353">
            <v>533.53141969609896</v>
          </cell>
          <cell r="AA3353">
            <v>134.02826423838619</v>
          </cell>
          <cell r="AB3353">
            <v>378.41663059646498</v>
          </cell>
          <cell r="AC3353">
            <v>60.558812814921673</v>
          </cell>
          <cell r="AD3353">
            <v>156.63828732426708</v>
          </cell>
          <cell r="AE3353">
            <v>174.66626346899423</v>
          </cell>
          <cell r="AF3353">
            <v>161.63024332409879</v>
          </cell>
          <cell r="AG3353">
            <v>198.9072462058821</v>
          </cell>
          <cell r="AH3353">
            <v>422.91552166147557</v>
          </cell>
          <cell r="AI3353">
            <v>534.70227597833718</v>
          </cell>
          <cell r="AJ3353">
            <v>297.91444025674747</v>
          </cell>
        </row>
        <row r="3354">
          <cell r="E3354" t="str">
            <v>ME Bunker Fuels Distillate Fuel</v>
          </cell>
          <cell r="F3354">
            <v>1116.365016214806</v>
          </cell>
          <cell r="G3354">
            <v>1166.5662141385096</v>
          </cell>
          <cell r="H3354">
            <v>910.83923510779221</v>
          </cell>
          <cell r="I3354">
            <v>1343.5449696505505</v>
          </cell>
          <cell r="J3354">
            <v>1364.8391200616484</v>
          </cell>
          <cell r="K3354">
            <v>1055.3352727686131</v>
          </cell>
          <cell r="L3354">
            <v>583.14583883427679</v>
          </cell>
          <cell r="M3354">
            <v>612.65347209074571</v>
          </cell>
          <cell r="N3354">
            <v>768.89069451665716</v>
          </cell>
          <cell r="O3354">
            <v>320.00697468045018</v>
          </cell>
          <cell r="P3354">
            <v>298.22843973366764</v>
          </cell>
          <cell r="Q3354">
            <v>384.15084273630777</v>
          </cell>
          <cell r="R3354">
            <v>367.59386291250303</v>
          </cell>
          <cell r="S3354">
            <v>808.00091775872966</v>
          </cell>
          <cell r="T3354">
            <v>941.43861097975366</v>
          </cell>
          <cell r="U3354">
            <v>601.61540074808192</v>
          </cell>
          <cell r="V3354">
            <v>545.91722750869531</v>
          </cell>
          <cell r="W3354">
            <v>480.16869732687695</v>
          </cell>
          <cell r="X3354">
            <v>419.95940687548284</v>
          </cell>
          <cell r="Y3354">
            <v>905.95505271690217</v>
          </cell>
          <cell r="Z3354">
            <v>269.29414309076049</v>
          </cell>
          <cell r="AA3354">
            <v>207.83947211722699</v>
          </cell>
          <cell r="AB3354">
            <v>691.98405504550817</v>
          </cell>
          <cell r="AC3354">
            <v>233.90560042640755</v>
          </cell>
          <cell r="AD3354">
            <v>381.65778620889796</v>
          </cell>
          <cell r="AE3354">
            <v>470.98851851007555</v>
          </cell>
          <cell r="AF3354">
            <v>473.42796336349528</v>
          </cell>
          <cell r="AG3354">
            <v>493.32770968864003</v>
          </cell>
          <cell r="AH3354">
            <v>611.89070447285326</v>
          </cell>
          <cell r="AI3354">
            <v>686.51154564646606</v>
          </cell>
          <cell r="AJ3354">
            <v>547.88065762943438</v>
          </cell>
        </row>
        <row r="3355">
          <cell r="E3355" t="str">
            <v>MI Bunker Fuels Distillate Fuel</v>
          </cell>
          <cell r="F3355">
            <v>279.51209076303542</v>
          </cell>
          <cell r="G3355">
            <v>328.60300652231382</v>
          </cell>
          <cell r="H3355">
            <v>610.82206522791637</v>
          </cell>
          <cell r="I3355">
            <v>588.03485198553437</v>
          </cell>
          <cell r="J3355">
            <v>443.32224165850431</v>
          </cell>
          <cell r="K3355">
            <v>197.39156079901935</v>
          </cell>
          <cell r="L3355">
            <v>222.24244211427333</v>
          </cell>
          <cell r="M3355">
            <v>283.6521209130745</v>
          </cell>
          <cell r="N3355">
            <v>504.29193899815141</v>
          </cell>
          <cell r="O3355">
            <v>214.65256576276678</v>
          </cell>
          <cell r="P3355">
            <v>199.09738229959939</v>
          </cell>
          <cell r="Q3355">
            <v>147.76667120559435</v>
          </cell>
          <cell r="R3355">
            <v>218.99969255292797</v>
          </cell>
          <cell r="S3355">
            <v>442.98994754513802</v>
          </cell>
          <cell r="T3355">
            <v>589.91720246126397</v>
          </cell>
          <cell r="U3355">
            <v>587.25356501668909</v>
          </cell>
          <cell r="V3355">
            <v>465.04524502291019</v>
          </cell>
          <cell r="W3355">
            <v>515.00378479262531</v>
          </cell>
          <cell r="X3355">
            <v>467.40896568606559</v>
          </cell>
          <cell r="Y3355">
            <v>440.18122316685054</v>
          </cell>
          <cell r="Z3355">
            <v>1144.1960560369248</v>
          </cell>
          <cell r="AA3355">
            <v>998.16316248159524</v>
          </cell>
          <cell r="AB3355">
            <v>1077.8135045700958</v>
          </cell>
          <cell r="AC3355">
            <v>920.53897992644886</v>
          </cell>
          <cell r="AD3355">
            <v>1091.2158399000223</v>
          </cell>
          <cell r="AE3355">
            <v>1151.7643663694701</v>
          </cell>
          <cell r="AF3355">
            <v>1453.5206791160049</v>
          </cell>
          <cell r="AG3355">
            <v>1479.0396516146086</v>
          </cell>
          <cell r="AH3355">
            <v>2698.1524172207123</v>
          </cell>
          <cell r="AI3355">
            <v>3008.4927134011396</v>
          </cell>
          <cell r="AJ3355">
            <v>1546.8212240284408</v>
          </cell>
        </row>
        <row r="3356">
          <cell r="E3356" t="str">
            <v>MN Bunker Fuels Distillate Fuel</v>
          </cell>
          <cell r="F3356">
            <v>326.03367608576337</v>
          </cell>
          <cell r="G3356">
            <v>241.03391750903896</v>
          </cell>
          <cell r="H3356">
            <v>320.34282335343022</v>
          </cell>
          <cell r="I3356">
            <v>257.16742340624171</v>
          </cell>
          <cell r="J3356">
            <v>136.22375286822063</v>
          </cell>
          <cell r="K3356">
            <v>277.48780959818572</v>
          </cell>
          <cell r="L3356">
            <v>226.0457663813836</v>
          </cell>
          <cell r="M3356">
            <v>145.8977386577134</v>
          </cell>
          <cell r="N3356">
            <v>246.48561221751655</v>
          </cell>
          <cell r="O3356">
            <v>322.16664616450259</v>
          </cell>
          <cell r="P3356">
            <v>172.40679119421827</v>
          </cell>
          <cell r="Q3356">
            <v>157.08178015263923</v>
          </cell>
          <cell r="R3356">
            <v>166.02678414574652</v>
          </cell>
          <cell r="S3356">
            <v>183.55988834595431</v>
          </cell>
          <cell r="T3356">
            <v>360.10983002838987</v>
          </cell>
          <cell r="U3356">
            <v>268.63592297574468</v>
          </cell>
          <cell r="V3356">
            <v>745.6522168107972</v>
          </cell>
          <cell r="W3356">
            <v>436.94309876057457</v>
          </cell>
          <cell r="X3356">
            <v>1170.0321729045918</v>
          </cell>
          <cell r="Y3356">
            <v>569.36295062491376</v>
          </cell>
          <cell r="Z3356">
            <v>488.91577488168019</v>
          </cell>
          <cell r="AA3356">
            <v>206.98354405860468</v>
          </cell>
          <cell r="AB3356">
            <v>85.480688199119271</v>
          </cell>
          <cell r="AC3356">
            <v>164.43180996289516</v>
          </cell>
          <cell r="AD3356">
            <v>180.27305848857958</v>
          </cell>
          <cell r="AE3356">
            <v>157.81002997830365</v>
          </cell>
          <cell r="AF3356">
            <v>156.71015172032119</v>
          </cell>
          <cell r="AG3356">
            <v>225.87960157866632</v>
          </cell>
          <cell r="AH3356">
            <v>741.86431091450504</v>
          </cell>
          <cell r="AI3356">
            <v>753.57454169766152</v>
          </cell>
          <cell r="AJ3356">
            <v>538.11770622292079</v>
          </cell>
        </row>
        <row r="3357">
          <cell r="E3357" t="str">
            <v>MO Bunker Fuels Distillate Fuel</v>
          </cell>
          <cell r="F3357">
            <v>5894.5450139917757</v>
          </cell>
          <cell r="G3357">
            <v>2922.910242781425</v>
          </cell>
          <cell r="H3357">
            <v>4567.8123900018281</v>
          </cell>
          <cell r="I3357">
            <v>3895.7564137965383</v>
          </cell>
          <cell r="J3357">
            <v>3255.4211108028412</v>
          </cell>
          <cell r="K3357">
            <v>4643.593463099588</v>
          </cell>
          <cell r="L3357">
            <v>7640.3743976011301</v>
          </cell>
          <cell r="M3357">
            <v>8701.9321364178631</v>
          </cell>
          <cell r="N3357">
            <v>22223.847741486788</v>
          </cell>
          <cell r="O3357">
            <v>18913.369970968408</v>
          </cell>
          <cell r="P3357">
            <v>2499.6516887568696</v>
          </cell>
          <cell r="Q3357">
            <v>2287.4790731404855</v>
          </cell>
          <cell r="R3357">
            <v>1334.3295864303691</v>
          </cell>
          <cell r="S3357">
            <v>4452.3934112200959</v>
          </cell>
          <cell r="T3357">
            <v>4416.2602762509023</v>
          </cell>
          <cell r="U3357">
            <v>2482.8260775640952</v>
          </cell>
          <cell r="V3357">
            <v>1230.0691227547209</v>
          </cell>
          <cell r="W3357">
            <v>1976.5729529153364</v>
          </cell>
          <cell r="X3357">
            <v>2634.9910840785979</v>
          </cell>
          <cell r="Y3357">
            <v>2609.5753542707671</v>
          </cell>
          <cell r="Z3357">
            <v>3195.5555529776434</v>
          </cell>
          <cell r="AA3357">
            <v>2134.1810911107113</v>
          </cell>
          <cell r="AB3357">
            <v>2117.9926976589536</v>
          </cell>
          <cell r="AC3357">
            <v>1954.0910603476586</v>
          </cell>
          <cell r="AD3357">
            <v>991.63055137762501</v>
          </cell>
          <cell r="AE3357">
            <v>2273.1029965217604</v>
          </cell>
          <cell r="AF3357">
            <v>2568.9682553724392</v>
          </cell>
          <cell r="AG3357">
            <v>2381.1705910891105</v>
          </cell>
          <cell r="AH3357">
            <v>1052.9745797229468</v>
          </cell>
          <cell r="AI3357">
            <v>1023.0276541899273</v>
          </cell>
          <cell r="AJ3357">
            <v>2390.2477952420368</v>
          </cell>
        </row>
        <row r="3358">
          <cell r="E3358" t="str">
            <v>MS Bunker Fuels Distillate Fuel</v>
          </cell>
          <cell r="F3358">
            <v>3596.5470337327438</v>
          </cell>
          <cell r="G3358">
            <v>3780.1386499805408</v>
          </cell>
          <cell r="H3358">
            <v>3594.6148393829367</v>
          </cell>
          <cell r="I3358">
            <v>3275.8053084165804</v>
          </cell>
          <cell r="J3358">
            <v>2096.1077097170983</v>
          </cell>
          <cell r="K3358">
            <v>1364.3777790413699</v>
          </cell>
          <cell r="L3358">
            <v>1245.9781945421043</v>
          </cell>
          <cell r="M3358">
            <v>1978.1041665737973</v>
          </cell>
          <cell r="N3358">
            <v>1553.8139685767578</v>
          </cell>
          <cell r="O3358">
            <v>647.38500203473131</v>
          </cell>
          <cell r="P3358">
            <v>1219.0728162200296</v>
          </cell>
          <cell r="Q3358">
            <v>656.66205276886842</v>
          </cell>
          <cell r="R3358">
            <v>2443.941265307335</v>
          </cell>
          <cell r="S3358">
            <v>3379.7138492494823</v>
          </cell>
          <cell r="T3358">
            <v>4724.7724801768454</v>
          </cell>
          <cell r="U3358">
            <v>4525.5599553591655</v>
          </cell>
          <cell r="V3358">
            <v>4489.5861656876095</v>
          </cell>
          <cell r="W3358">
            <v>5415.1201331099628</v>
          </cell>
          <cell r="X3358">
            <v>6581.2538070278333</v>
          </cell>
          <cell r="Y3358">
            <v>8200.1960706555456</v>
          </cell>
          <cell r="Z3358">
            <v>5977.6002515777463</v>
          </cell>
          <cell r="AA3358">
            <v>2934.5745233412244</v>
          </cell>
          <cell r="AB3358">
            <v>3032.7760237049561</v>
          </cell>
          <cell r="AC3358">
            <v>2317.7591132146645</v>
          </cell>
          <cell r="AD3358">
            <v>2209.4134229157307</v>
          </cell>
          <cell r="AE3358">
            <v>2974.9139212720443</v>
          </cell>
          <cell r="AF3358">
            <v>3017.9527849171668</v>
          </cell>
          <cell r="AG3358">
            <v>3454.5149386398248</v>
          </cell>
          <cell r="AH3358">
            <v>2962.5353819835113</v>
          </cell>
          <cell r="AI3358">
            <v>3023.9071930905184</v>
          </cell>
          <cell r="AJ3358">
            <v>2729.235954138022</v>
          </cell>
        </row>
        <row r="3359">
          <cell r="E3359" t="str">
            <v>MT Bunker Fuels Distillate Fuel</v>
          </cell>
          <cell r="F3359">
            <v>0</v>
          </cell>
          <cell r="G3359">
            <v>0</v>
          </cell>
          <cell r="H3359">
            <v>0</v>
          </cell>
          <cell r="I3359">
            <v>0</v>
          </cell>
          <cell r="J3359">
            <v>5.535300807323066E-2</v>
          </cell>
          <cell r="K3359">
            <v>0.2150234867091714</v>
          </cell>
          <cell r="L3359">
            <v>0.13746955182326187</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row>
        <row r="3360">
          <cell r="E3360" t="str">
            <v>NC Bunker Fuels Distillate Fuel</v>
          </cell>
          <cell r="F3360">
            <v>903.95725164919236</v>
          </cell>
          <cell r="G3360">
            <v>1092.5703339222923</v>
          </cell>
          <cell r="H3360">
            <v>706.72757579245456</v>
          </cell>
          <cell r="I3360">
            <v>1185.7330472162887</v>
          </cell>
          <cell r="J3360">
            <v>915.98157759582091</v>
          </cell>
          <cell r="K3360">
            <v>975.23902396944698</v>
          </cell>
          <cell r="L3360">
            <v>903.40407139853585</v>
          </cell>
          <cell r="M3360">
            <v>1376.3735198371053</v>
          </cell>
          <cell r="N3360">
            <v>2214.148189390864</v>
          </cell>
          <cell r="O3360">
            <v>556.2562552837403</v>
          </cell>
          <cell r="P3360">
            <v>362.96166567203852</v>
          </cell>
          <cell r="Q3360">
            <v>488.24629975290458</v>
          </cell>
          <cell r="R3360">
            <v>426.44382562572861</v>
          </cell>
          <cell r="S3360">
            <v>178.17071623469954</v>
          </cell>
          <cell r="T3360">
            <v>562.54160889845741</v>
          </cell>
          <cell r="U3360">
            <v>723.65937046551289</v>
          </cell>
          <cell r="V3360">
            <v>613.24785478755825</v>
          </cell>
          <cell r="W3360">
            <v>463.44554071956583</v>
          </cell>
          <cell r="X3360">
            <v>510.23681422289025</v>
          </cell>
          <cell r="Y3360">
            <v>345.7033020968924</v>
          </cell>
          <cell r="Z3360">
            <v>526.87427900642956</v>
          </cell>
          <cell r="AA3360">
            <v>282.60730547335157</v>
          </cell>
          <cell r="AB3360">
            <v>216.52688575362112</v>
          </cell>
          <cell r="AC3360">
            <v>305.49557245296916</v>
          </cell>
          <cell r="AD3360">
            <v>202.36307336764287</v>
          </cell>
          <cell r="AE3360">
            <v>197.01603266556447</v>
          </cell>
          <cell r="AF3360">
            <v>374.97378988790274</v>
          </cell>
          <cell r="AG3360">
            <v>529.84583692175124</v>
          </cell>
          <cell r="AH3360">
            <v>662.87146922486147</v>
          </cell>
          <cell r="AI3360">
            <v>569.26807891815736</v>
          </cell>
          <cell r="AJ3360">
            <v>661.45440002710075</v>
          </cell>
        </row>
        <row r="3361">
          <cell r="E3361" t="str">
            <v>ND Bunker Fuels Distillate Fuel</v>
          </cell>
          <cell r="F3361">
            <v>0</v>
          </cell>
          <cell r="G3361">
            <v>0</v>
          </cell>
          <cell r="H3361">
            <v>0</v>
          </cell>
          <cell r="I3361">
            <v>0</v>
          </cell>
          <cell r="J3361">
            <v>0</v>
          </cell>
          <cell r="K3361">
            <v>0</v>
          </cell>
          <cell r="L3361">
            <v>0</v>
          </cell>
          <cell r="M3361">
            <v>0</v>
          </cell>
          <cell r="N3361">
            <v>33.289020120737092</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row>
        <row r="3362">
          <cell r="E3362" t="str">
            <v>NE Bunker Fuels Distillate Fuel</v>
          </cell>
          <cell r="F3362">
            <v>0</v>
          </cell>
          <cell r="G3362">
            <v>0</v>
          </cell>
          <cell r="H3362">
            <v>0</v>
          </cell>
          <cell r="I3362">
            <v>0</v>
          </cell>
          <cell r="J3362">
            <v>0</v>
          </cell>
          <cell r="K3362">
            <v>0</v>
          </cell>
          <cell r="L3362">
            <v>2.2911591970543643</v>
          </cell>
          <cell r="M3362">
            <v>3.5596707627049056</v>
          </cell>
          <cell r="N3362">
            <v>2.3865290160087254</v>
          </cell>
          <cell r="O3362">
            <v>3.0986590858142189</v>
          </cell>
          <cell r="P3362">
            <v>0.8732341328929798</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row>
        <row r="3363">
          <cell r="E3363" t="str">
            <v>NH Bunker Fuels Distillate Fuel</v>
          </cell>
          <cell r="F3363">
            <v>68.787673034757404</v>
          </cell>
          <cell r="G3363">
            <v>13.208337592835619</v>
          </cell>
          <cell r="H3363">
            <v>24.338161117201061</v>
          </cell>
          <cell r="I3363">
            <v>79.484400777584085</v>
          </cell>
          <cell r="J3363">
            <v>27.122973955883023</v>
          </cell>
          <cell r="K3363">
            <v>17.846949396861227</v>
          </cell>
          <cell r="L3363">
            <v>34.459034323697637</v>
          </cell>
          <cell r="M3363">
            <v>18.822368690467037</v>
          </cell>
          <cell r="N3363">
            <v>32.799475707196841</v>
          </cell>
          <cell r="O3363">
            <v>28.498273713473196</v>
          </cell>
          <cell r="P3363">
            <v>29.803860622651701</v>
          </cell>
          <cell r="Q3363">
            <v>12.92781279722961</v>
          </cell>
          <cell r="R3363">
            <v>14.414666980364977</v>
          </cell>
          <cell r="S3363">
            <v>151.17799331224114</v>
          </cell>
          <cell r="T3363">
            <v>256.31070443608144</v>
          </cell>
          <cell r="U3363">
            <v>219.16034790107858</v>
          </cell>
          <cell r="V3363">
            <v>194.59428964021478</v>
          </cell>
          <cell r="W3363">
            <v>158.55172700357232</v>
          </cell>
          <cell r="X3363">
            <v>157.26139491507439</v>
          </cell>
          <cell r="Y3363">
            <v>135.0430726841478</v>
          </cell>
          <cell r="Z3363">
            <v>71.052174668586673</v>
          </cell>
          <cell r="AA3363">
            <v>70.2364495163594</v>
          </cell>
          <cell r="AB3363">
            <v>94.085778703093681</v>
          </cell>
          <cell r="AC3363">
            <v>73.345952472496208</v>
          </cell>
          <cell r="AD3363">
            <v>59.936543867668263</v>
          </cell>
          <cell r="AE3363">
            <v>63.011324079405973</v>
          </cell>
          <cell r="AF3363">
            <v>89.399111268640127</v>
          </cell>
          <cell r="AG3363">
            <v>83.137013062614784</v>
          </cell>
          <cell r="AH3363">
            <v>89.018856211790464</v>
          </cell>
          <cell r="AI3363">
            <v>120.11282874840968</v>
          </cell>
          <cell r="AJ3363">
            <v>108.77892010926033</v>
          </cell>
        </row>
        <row r="3364">
          <cell r="E3364" t="str">
            <v>NJ Bunker Fuels Distillate Fuel</v>
          </cell>
          <cell r="F3364">
            <v>8241.5130840642032</v>
          </cell>
          <cell r="G3364">
            <v>6793.3180286864845</v>
          </cell>
          <cell r="H3364">
            <v>6226.0962866630134</v>
          </cell>
          <cell r="I3364">
            <v>5708.9262548221814</v>
          </cell>
          <cell r="J3364">
            <v>5080.1330219368892</v>
          </cell>
          <cell r="K3364">
            <v>5833.1571474464017</v>
          </cell>
          <cell r="L3364">
            <v>3788.6608482490965</v>
          </cell>
          <cell r="M3364">
            <v>5129.7293821237081</v>
          </cell>
          <cell r="N3364">
            <v>5668.3735713308779</v>
          </cell>
          <cell r="O3364">
            <v>4131.1698527115868</v>
          </cell>
          <cell r="P3364">
            <v>3824.8794021755416</v>
          </cell>
          <cell r="Q3364">
            <v>3076.4652590886685</v>
          </cell>
          <cell r="R3364">
            <v>3384.6670525383161</v>
          </cell>
          <cell r="S3364">
            <v>3905.3690107446491</v>
          </cell>
          <cell r="T3364">
            <v>5589.5862679979591</v>
          </cell>
          <cell r="U3364">
            <v>6180.2079284125457</v>
          </cell>
          <cell r="V3364">
            <v>2345.2874920877689</v>
          </cell>
          <cell r="W3364">
            <v>5066.0748713269168</v>
          </cell>
          <cell r="X3364">
            <v>4604.7640027542848</v>
          </cell>
          <cell r="Y3364">
            <v>3964.8808632804744</v>
          </cell>
          <cell r="Z3364">
            <v>2386.0728495011144</v>
          </cell>
          <cell r="AA3364">
            <v>3121.1164914115552</v>
          </cell>
          <cell r="AB3364">
            <v>2894.7317103791502</v>
          </cell>
          <cell r="AC3364">
            <v>2871.2081296615174</v>
          </cell>
          <cell r="AD3364">
            <v>3833.9306243599458</v>
          </cell>
          <cell r="AE3364">
            <v>4931.2699787180427</v>
          </cell>
          <cell r="AF3364">
            <v>5049.4272032769213</v>
          </cell>
          <cell r="AG3364">
            <v>5343.4677935124264</v>
          </cell>
          <cell r="AH3364">
            <v>7012.0122656165167</v>
          </cell>
          <cell r="AI3364">
            <v>6864.8485390674423</v>
          </cell>
          <cell r="AJ3364">
            <v>6278.5598264231812</v>
          </cell>
        </row>
        <row r="3365">
          <cell r="E3365" t="str">
            <v>NM Bunker Fuels Distillate Fuel</v>
          </cell>
          <cell r="F3365">
            <v>0</v>
          </cell>
          <cell r="G3365">
            <v>0</v>
          </cell>
          <cell r="H3365">
            <v>0</v>
          </cell>
          <cell r="I3365">
            <v>0</v>
          </cell>
          <cell r="J3365">
            <v>0</v>
          </cell>
          <cell r="K3365">
            <v>0</v>
          </cell>
          <cell r="L3365">
            <v>0</v>
          </cell>
          <cell r="M3365">
            <v>0</v>
          </cell>
          <cell r="N3365">
            <v>0</v>
          </cell>
          <cell r="O3365">
            <v>0</v>
          </cell>
          <cell r="P3365">
            <v>0</v>
          </cell>
          <cell r="Q3365">
            <v>3.5418665197889346E-2</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2.2482578019360049</v>
          </cell>
          <cell r="AI3365">
            <v>4.4708664034130274</v>
          </cell>
          <cell r="AJ3365">
            <v>0</v>
          </cell>
        </row>
        <row r="3366">
          <cell r="E3366" t="str">
            <v>NV Bunker Fuels Distillate Fuel</v>
          </cell>
          <cell r="F3366">
            <v>0</v>
          </cell>
          <cell r="G3366">
            <v>0</v>
          </cell>
          <cell r="H3366">
            <v>0</v>
          </cell>
          <cell r="I3366">
            <v>0</v>
          </cell>
          <cell r="J3366">
            <v>0</v>
          </cell>
          <cell r="K3366">
            <v>0</v>
          </cell>
          <cell r="L3366">
            <v>0</v>
          </cell>
          <cell r="M3366">
            <v>0</v>
          </cell>
          <cell r="N3366">
            <v>0</v>
          </cell>
          <cell r="O3366">
            <v>0</v>
          </cell>
          <cell r="P3366">
            <v>0</v>
          </cell>
          <cell r="Q3366">
            <v>0</v>
          </cell>
          <cell r="R3366">
            <v>0.11912947917657006</v>
          </cell>
          <cell r="S3366">
            <v>0.46862366184823656</v>
          </cell>
          <cell r="T3366">
            <v>0.60387338741485175</v>
          </cell>
          <cell r="U3366">
            <v>0.82248398461721173</v>
          </cell>
          <cell r="V3366">
            <v>1.5045950229913514</v>
          </cell>
          <cell r="W3366">
            <v>1.4466398449231048</v>
          </cell>
          <cell r="X3366">
            <v>1.3557016803023654</v>
          </cell>
          <cell r="Y3366">
            <v>0.40623184735239998</v>
          </cell>
          <cell r="Z3366">
            <v>0.38406580901938747</v>
          </cell>
          <cell r="AA3366">
            <v>0.30209225598434153</v>
          </cell>
          <cell r="AB3366">
            <v>0.3628652622157883</v>
          </cell>
          <cell r="AC3366">
            <v>0.13507541891804092</v>
          </cell>
          <cell r="AD3366">
            <v>0.41193500939978189</v>
          </cell>
          <cell r="AE3366">
            <v>0.18781318652580023</v>
          </cell>
          <cell r="AF3366">
            <v>0.99448660076356099</v>
          </cell>
          <cell r="AG3366">
            <v>0.77698143049172697</v>
          </cell>
          <cell r="AH3366">
            <v>0.91145586564973169</v>
          </cell>
          <cell r="AI3366">
            <v>1.6015043833121292</v>
          </cell>
          <cell r="AJ3366">
            <v>0</v>
          </cell>
        </row>
        <row r="3367">
          <cell r="E3367" t="str">
            <v>NY Bunker Fuels Distillate Fuel</v>
          </cell>
          <cell r="F3367">
            <v>741.66731337697831</v>
          </cell>
          <cell r="G3367">
            <v>1002.7390434428412</v>
          </cell>
          <cell r="H3367">
            <v>1294.2639409244543</v>
          </cell>
          <cell r="I3367">
            <v>1191.0410808298604</v>
          </cell>
          <cell r="J3367">
            <v>828.80058988048256</v>
          </cell>
          <cell r="K3367">
            <v>637.81341745107966</v>
          </cell>
          <cell r="L3367">
            <v>648.71881505397278</v>
          </cell>
          <cell r="M3367">
            <v>252.93167460479927</v>
          </cell>
          <cell r="N3367">
            <v>299.78476024171141</v>
          </cell>
          <cell r="O3367">
            <v>722.87960521638684</v>
          </cell>
          <cell r="P3367">
            <v>602.64545180044638</v>
          </cell>
          <cell r="Q3367">
            <v>560.07535277422414</v>
          </cell>
          <cell r="R3367">
            <v>379.90390909408194</v>
          </cell>
          <cell r="S3367">
            <v>487.7435072516447</v>
          </cell>
          <cell r="T3367">
            <v>892.1222843408741</v>
          </cell>
          <cell r="U3367">
            <v>554.16440163555058</v>
          </cell>
          <cell r="V3367">
            <v>708.91502166609166</v>
          </cell>
          <cell r="W3367">
            <v>714.0035618602476</v>
          </cell>
          <cell r="X3367">
            <v>666.3889986722628</v>
          </cell>
          <cell r="Y3367">
            <v>493.10742956476321</v>
          </cell>
          <cell r="Z3367">
            <v>439.69134035902874</v>
          </cell>
          <cell r="AA3367">
            <v>224.20280264971214</v>
          </cell>
          <cell r="AB3367">
            <v>367.47883483538902</v>
          </cell>
          <cell r="AC3367">
            <v>476.27592710501233</v>
          </cell>
          <cell r="AD3367">
            <v>573.00159807509669</v>
          </cell>
          <cell r="AE3367">
            <v>1571.1042585849505</v>
          </cell>
          <cell r="AF3367">
            <v>1433.5262643006531</v>
          </cell>
          <cell r="AG3367">
            <v>1424.0404660705158</v>
          </cell>
          <cell r="AH3367">
            <v>1568.4332536100585</v>
          </cell>
          <cell r="AI3367">
            <v>1835.7243993715283</v>
          </cell>
          <cell r="AJ3367">
            <v>1427.9327388532643</v>
          </cell>
        </row>
        <row r="3368">
          <cell r="E3368" t="str">
            <v>OH Bunker Fuels Distillate Fuel</v>
          </cell>
          <cell r="F3368">
            <v>949.48413202258587</v>
          </cell>
          <cell r="G3368">
            <v>1068.707757166175</v>
          </cell>
          <cell r="H3368">
            <v>946.35979457613973</v>
          </cell>
          <cell r="I3368">
            <v>592.18600647819937</v>
          </cell>
          <cell r="J3368">
            <v>527.62487295403457</v>
          </cell>
          <cell r="K3368">
            <v>406.0180987785929</v>
          </cell>
          <cell r="L3368">
            <v>394.95002238823128</v>
          </cell>
          <cell r="M3368">
            <v>280.33626321630828</v>
          </cell>
          <cell r="N3368">
            <v>562.42533810605619</v>
          </cell>
          <cell r="O3368">
            <v>159.11144911855132</v>
          </cell>
          <cell r="P3368">
            <v>144.61516574736348</v>
          </cell>
          <cell r="Q3368">
            <v>129.17187197670245</v>
          </cell>
          <cell r="R3368">
            <v>225.94891217156123</v>
          </cell>
          <cell r="S3368">
            <v>395.51837059991175</v>
          </cell>
          <cell r="T3368">
            <v>208.26922161507773</v>
          </cell>
          <cell r="U3368">
            <v>74.782774601349558</v>
          </cell>
          <cell r="V3368">
            <v>264.3698838314387</v>
          </cell>
          <cell r="W3368">
            <v>701.44672800631508</v>
          </cell>
          <cell r="X3368">
            <v>1092.7571771273567</v>
          </cell>
          <cell r="Y3368">
            <v>1426.8023141437293</v>
          </cell>
          <cell r="Z3368">
            <v>1771.0554673247352</v>
          </cell>
          <cell r="AA3368">
            <v>1544.8997971039228</v>
          </cell>
          <cell r="AB3368">
            <v>1219.8493357802759</v>
          </cell>
          <cell r="AC3368">
            <v>925.26661958858028</v>
          </cell>
          <cell r="AD3368">
            <v>686.79864442178655</v>
          </cell>
          <cell r="AE3368">
            <v>1483.0668274009818</v>
          </cell>
          <cell r="AF3368">
            <v>1143.9212978782962</v>
          </cell>
          <cell r="AG3368">
            <v>1292.1756175813487</v>
          </cell>
          <cell r="AH3368">
            <v>457.73313572929533</v>
          </cell>
          <cell r="AI3368">
            <v>546.31318275735009</v>
          </cell>
          <cell r="AJ3368">
            <v>814.77317536962698</v>
          </cell>
        </row>
        <row r="3369">
          <cell r="E3369" t="str">
            <v>OK Bunker Fuels Distillate Fuel</v>
          </cell>
          <cell r="F3369">
            <v>9.5644706666792825</v>
          </cell>
          <cell r="G3369">
            <v>0</v>
          </cell>
          <cell r="H3369">
            <v>16.576261085228829</v>
          </cell>
          <cell r="I3369">
            <v>0.20415513898352078</v>
          </cell>
          <cell r="J3369">
            <v>10.627777550060287</v>
          </cell>
          <cell r="K3369">
            <v>27.523006298773939</v>
          </cell>
          <cell r="L3369">
            <v>6.873477591163093</v>
          </cell>
          <cell r="M3369">
            <v>8.0945937891645823</v>
          </cell>
          <cell r="N3369">
            <v>33.533792327507214</v>
          </cell>
          <cell r="O3369">
            <v>33.427958622723089</v>
          </cell>
          <cell r="P3369">
            <v>7.6692736888861699</v>
          </cell>
          <cell r="Q3369">
            <v>5.6315677664644053</v>
          </cell>
          <cell r="R3369">
            <v>7.5448670145161048</v>
          </cell>
          <cell r="S3369">
            <v>0.32803656329376563</v>
          </cell>
          <cell r="T3369">
            <v>0.40258225827656779</v>
          </cell>
          <cell r="U3369">
            <v>1.5184319716010062</v>
          </cell>
          <cell r="V3369">
            <v>553.62827700152593</v>
          </cell>
          <cell r="W3369">
            <v>622.86525163009196</v>
          </cell>
          <cell r="X3369">
            <v>0.61622803650107527</v>
          </cell>
          <cell r="Y3369">
            <v>0.46426496840274284</v>
          </cell>
          <cell r="Z3369">
            <v>0.57609871352908115</v>
          </cell>
          <cell r="AA3369">
            <v>0.30209225598434153</v>
          </cell>
          <cell r="AB3369">
            <v>0.3628652622157883</v>
          </cell>
          <cell r="AC3369">
            <v>0.22512569819673486</v>
          </cell>
          <cell r="AD3369">
            <v>0.2574593808748637</v>
          </cell>
          <cell r="AE3369">
            <v>0.18781318652580023</v>
          </cell>
          <cell r="AF3369">
            <v>5.2341400040187426E-2</v>
          </cell>
          <cell r="AG3369">
            <v>0.22199469442620773</v>
          </cell>
          <cell r="AH3369">
            <v>4.3142244307420636</v>
          </cell>
          <cell r="AI3369">
            <v>4.4041370541083555</v>
          </cell>
          <cell r="AJ3369">
            <v>2.2529887861185087</v>
          </cell>
        </row>
        <row r="3370">
          <cell r="E3370" t="str">
            <v>OR Bunker Fuels Distillate Fuel</v>
          </cell>
          <cell r="F3370">
            <v>2863.1434230117766</v>
          </cell>
          <cell r="G3370">
            <v>3977.6799199463203</v>
          </cell>
          <cell r="H3370">
            <v>3305.2538373435646</v>
          </cell>
          <cell r="I3370">
            <v>2676.8141306389302</v>
          </cell>
          <cell r="J3370">
            <v>2270.5250381558481</v>
          </cell>
          <cell r="K3370">
            <v>1183.6505384623115</v>
          </cell>
          <cell r="L3370">
            <v>1082.6643669760695</v>
          </cell>
          <cell r="M3370">
            <v>697.6954694901616</v>
          </cell>
          <cell r="N3370">
            <v>1071.61272123961</v>
          </cell>
          <cell r="O3370">
            <v>837.62389015168901</v>
          </cell>
          <cell r="P3370">
            <v>571.6266567320306</v>
          </cell>
          <cell r="Q3370">
            <v>457.78624768271976</v>
          </cell>
          <cell r="R3370">
            <v>628.84481074672112</v>
          </cell>
          <cell r="S3370">
            <v>608.64841200848957</v>
          </cell>
          <cell r="T3370">
            <v>778.72828159297421</v>
          </cell>
          <cell r="U3370">
            <v>749.21964198746321</v>
          </cell>
          <cell r="V3370">
            <v>929.7770327493638</v>
          </cell>
          <cell r="W3370">
            <v>1186.36040402454</v>
          </cell>
          <cell r="X3370">
            <v>1479.1321560135309</v>
          </cell>
          <cell r="Y3370">
            <v>1401.0936415184274</v>
          </cell>
          <cell r="Z3370">
            <v>1448.3121658121102</v>
          </cell>
          <cell r="AA3370">
            <v>1093.9767563379621</v>
          </cell>
          <cell r="AB3370">
            <v>1163.7607338206353</v>
          </cell>
          <cell r="AC3370">
            <v>1061.5577172768835</v>
          </cell>
          <cell r="AD3370">
            <v>1401.2484263495332</v>
          </cell>
          <cell r="AE3370">
            <v>1897.4296701735284</v>
          </cell>
          <cell r="AF3370">
            <v>1561.7103529990723</v>
          </cell>
          <cell r="AG3370">
            <v>2389.606389477306</v>
          </cell>
          <cell r="AH3370">
            <v>2336.122147384639</v>
          </cell>
          <cell r="AI3370">
            <v>2067.1417827601308</v>
          </cell>
          <cell r="AJ3370">
            <v>1555.5443344567459</v>
          </cell>
        </row>
        <row r="3371">
          <cell r="E3371" t="str">
            <v>PA Bunker Fuels Distillate Fuel</v>
          </cell>
          <cell r="F3371">
            <v>3033.8500954706683</v>
          </cell>
          <cell r="G3371">
            <v>2287.8883989534938</v>
          </cell>
          <cell r="H3371">
            <v>2031.1839922650042</v>
          </cell>
          <cell r="I3371">
            <v>1596.0848765731657</v>
          </cell>
          <cell r="J3371">
            <v>1184.7757847994289</v>
          </cell>
          <cell r="K3371">
            <v>912.66718933707807</v>
          </cell>
          <cell r="L3371">
            <v>769.50872792267876</v>
          </cell>
          <cell r="M3371">
            <v>964.23191317433987</v>
          </cell>
          <cell r="N3371">
            <v>2123.8272450926879</v>
          </cell>
          <cell r="O3371">
            <v>1741.5403049877671</v>
          </cell>
          <cell r="P3371">
            <v>873.99346692158235</v>
          </cell>
          <cell r="Q3371">
            <v>837.47433860409365</v>
          </cell>
          <cell r="R3371">
            <v>932.02933525109199</v>
          </cell>
          <cell r="S3371">
            <v>982.89126836049161</v>
          </cell>
          <cell r="T3371">
            <v>1540.816496510517</v>
          </cell>
          <cell r="U3371">
            <v>1580.5611464390142</v>
          </cell>
          <cell r="V3371">
            <v>1617.3142667971201</v>
          </cell>
          <cell r="W3371">
            <v>1489.1710563638442</v>
          </cell>
          <cell r="X3371">
            <v>1652.4771026812834</v>
          </cell>
          <cell r="Y3371">
            <v>1093.46006683056</v>
          </cell>
          <cell r="Z3371">
            <v>944.0337585696542</v>
          </cell>
          <cell r="AA3371">
            <v>285.42683319587201</v>
          </cell>
          <cell r="AB3371">
            <v>170.54667324142051</v>
          </cell>
          <cell r="AC3371">
            <v>144.57572338194313</v>
          </cell>
          <cell r="AD3371">
            <v>218.89196561980916</v>
          </cell>
          <cell r="AE3371">
            <v>255.42593367508832</v>
          </cell>
          <cell r="AF3371">
            <v>285.05126461886073</v>
          </cell>
          <cell r="AG3371">
            <v>143.13107923129741</v>
          </cell>
          <cell r="AH3371">
            <v>422.55093931521566</v>
          </cell>
          <cell r="AI3371">
            <v>386.42966182335584</v>
          </cell>
          <cell r="AJ3371">
            <v>754.52016757676529</v>
          </cell>
        </row>
        <row r="3372">
          <cell r="E3372" t="str">
            <v>RI Bunker Fuels Distillate Fuel</v>
          </cell>
          <cell r="F3372">
            <v>476.84624955796232</v>
          </cell>
          <cell r="G3372">
            <v>651.00320257285398</v>
          </cell>
          <cell r="H3372">
            <v>563.13242520096844</v>
          </cell>
          <cell r="I3372">
            <v>641.31934326023327</v>
          </cell>
          <cell r="J3372">
            <v>552.64443260313487</v>
          </cell>
          <cell r="K3372">
            <v>497.40308062999077</v>
          </cell>
          <cell r="L3372">
            <v>443.06436552637297</v>
          </cell>
          <cell r="M3372">
            <v>551.89525605882375</v>
          </cell>
          <cell r="N3372">
            <v>712.34831475275826</v>
          </cell>
          <cell r="O3372">
            <v>521.65456215881488</v>
          </cell>
          <cell r="P3372">
            <v>221.61163624766618</v>
          </cell>
          <cell r="Q3372">
            <v>160.16320402485559</v>
          </cell>
          <cell r="R3372">
            <v>357.46785718249458</v>
          </cell>
          <cell r="S3372">
            <v>215.14512315452541</v>
          </cell>
          <cell r="T3372">
            <v>301.73540257828756</v>
          </cell>
          <cell r="U3372">
            <v>267.93997498876087</v>
          </cell>
          <cell r="V3372">
            <v>423.91964772781319</v>
          </cell>
          <cell r="W3372">
            <v>230.71012246833678</v>
          </cell>
          <cell r="X3372">
            <v>367.14866414734064</v>
          </cell>
          <cell r="Y3372">
            <v>237.99382942745601</v>
          </cell>
          <cell r="Z3372">
            <v>372.79987862148545</v>
          </cell>
          <cell r="AA3372">
            <v>415.72929294378469</v>
          </cell>
          <cell r="AB3372">
            <v>375.46187060413632</v>
          </cell>
          <cell r="AC3372">
            <v>225.39584903457097</v>
          </cell>
          <cell r="AD3372">
            <v>254.11240892349045</v>
          </cell>
          <cell r="AE3372">
            <v>173.16375797678782</v>
          </cell>
          <cell r="AF3372">
            <v>197.95517495198885</v>
          </cell>
          <cell r="AG3372">
            <v>198.4632568170297</v>
          </cell>
          <cell r="AH3372">
            <v>272.88988617552968</v>
          </cell>
          <cell r="AI3372">
            <v>269.92021793739843</v>
          </cell>
          <cell r="AJ3372">
            <v>349.32879973483654</v>
          </cell>
        </row>
        <row r="3373">
          <cell r="E3373" t="str">
            <v>SC Bunker Fuels Distillate Fuel</v>
          </cell>
          <cell r="F3373">
            <v>429.71253811256685</v>
          </cell>
          <cell r="G3373">
            <v>396.76094747097937</v>
          </cell>
          <cell r="H3373">
            <v>556.02831330729884</v>
          </cell>
          <cell r="I3373">
            <v>1003.8308183819718</v>
          </cell>
          <cell r="J3373">
            <v>165.67155316317934</v>
          </cell>
          <cell r="K3373">
            <v>219.21644470000027</v>
          </cell>
          <cell r="L3373">
            <v>508.31657945848127</v>
          </cell>
          <cell r="M3373">
            <v>760.35542743640553</v>
          </cell>
          <cell r="N3373">
            <v>852.84756143881032</v>
          </cell>
          <cell r="O3373">
            <v>627.85405991808409</v>
          </cell>
          <cell r="P3373">
            <v>527.47138296878984</v>
          </cell>
          <cell r="Q3373">
            <v>554.72713432934279</v>
          </cell>
          <cell r="R3373">
            <v>838.79066288222987</v>
          </cell>
          <cell r="S3373">
            <v>1869.4335118449853</v>
          </cell>
          <cell r="T3373">
            <v>2291.4311170671776</v>
          </cell>
          <cell r="U3373">
            <v>1509.3846477702168</v>
          </cell>
          <cell r="V3373">
            <v>1483.468001210181</v>
          </cell>
          <cell r="W3373">
            <v>1087.5838354131902</v>
          </cell>
          <cell r="X3373">
            <v>979.30959560750875</v>
          </cell>
          <cell r="Y3373">
            <v>469.72008178147502</v>
          </cell>
          <cell r="Z3373">
            <v>514.8402169904889</v>
          </cell>
          <cell r="AA3373">
            <v>295.29518022469387</v>
          </cell>
          <cell r="AB3373">
            <v>257.42698459480067</v>
          </cell>
          <cell r="AC3373">
            <v>336.60794394375796</v>
          </cell>
          <cell r="AD3373">
            <v>405.70449238261023</v>
          </cell>
          <cell r="AE3373">
            <v>767.12296036463101</v>
          </cell>
          <cell r="AF3373">
            <v>1019.8721797830522</v>
          </cell>
          <cell r="AG3373">
            <v>1088.7174801397293</v>
          </cell>
          <cell r="AH3373">
            <v>1760.3858589158917</v>
          </cell>
          <cell r="AI3373">
            <v>1625.5936784111159</v>
          </cell>
          <cell r="AJ3373">
            <v>1742.0802521587118</v>
          </cell>
        </row>
        <row r="3374">
          <cell r="E3374" t="str">
            <v>SD Bunker Fuels Distillate Fuel</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row>
        <row r="3375">
          <cell r="E3375" t="str">
            <v>TN Bunker Fuels Distillate Fuel</v>
          </cell>
          <cell r="F3375">
            <v>14127.564848103968</v>
          </cell>
          <cell r="G3375">
            <v>10267.694609529008</v>
          </cell>
          <cell r="H3375">
            <v>8109.0148325545815</v>
          </cell>
          <cell r="I3375">
            <v>7036.0707616410546</v>
          </cell>
          <cell r="J3375">
            <v>5258.7018259811321</v>
          </cell>
          <cell r="K3375">
            <v>4962.3657821459346</v>
          </cell>
          <cell r="L3375">
            <v>3569.6718521946405</v>
          </cell>
          <cell r="M3375">
            <v>2719.3934122537976</v>
          </cell>
          <cell r="N3375">
            <v>3712.0929017723406</v>
          </cell>
          <cell r="O3375">
            <v>2388.7375095021462</v>
          </cell>
          <cell r="P3375">
            <v>1778.3982616886983</v>
          </cell>
          <cell r="Q3375">
            <v>2208.7787990707757</v>
          </cell>
          <cell r="R3375">
            <v>4977.2296399970974</v>
          </cell>
          <cell r="S3375">
            <v>8186.8553724886933</v>
          </cell>
          <cell r="T3375">
            <v>8580.4369617776265</v>
          </cell>
          <cell r="U3375">
            <v>6823.2006003867546</v>
          </cell>
          <cell r="V3375">
            <v>6072.4828213338023</v>
          </cell>
          <cell r="W3375">
            <v>6637.3572052885957</v>
          </cell>
          <cell r="X3375">
            <v>6552.1062209013326</v>
          </cell>
          <cell r="Y3375">
            <v>5125.0209861978783</v>
          </cell>
          <cell r="Z3375">
            <v>5491.2449154228616</v>
          </cell>
          <cell r="AA3375">
            <v>5189.7939116829957</v>
          </cell>
          <cell r="AB3375">
            <v>4968.9732249938006</v>
          </cell>
          <cell r="AC3375">
            <v>3722.7235705208468</v>
          </cell>
          <cell r="AD3375">
            <v>4572.3756205852296</v>
          </cell>
          <cell r="AE3375">
            <v>3895.7619748080424</v>
          </cell>
          <cell r="AF3375">
            <v>4300.2647445017183</v>
          </cell>
          <cell r="AG3375">
            <v>5580.4471298124026</v>
          </cell>
          <cell r="AH3375">
            <v>6187.2662346522629</v>
          </cell>
          <cell r="AI3375">
            <v>1277.399933739337</v>
          </cell>
          <cell r="AJ3375">
            <v>1792.6858464315276</v>
          </cell>
        </row>
        <row r="3376">
          <cell r="E3376" t="str">
            <v>TX Bunker Fuels Distillate Fuel</v>
          </cell>
          <cell r="F3376">
            <v>12122.775280602656</v>
          </cell>
          <cell r="G3376">
            <v>12933.881473019848</v>
          </cell>
          <cell r="H3376">
            <v>16627.634338830278</v>
          </cell>
          <cell r="I3376">
            <v>18807.792178856853</v>
          </cell>
          <cell r="J3376">
            <v>13964.733641754996</v>
          </cell>
          <cell r="K3376">
            <v>15833.576979059901</v>
          </cell>
          <cell r="L3376">
            <v>13823.067490852332</v>
          </cell>
          <cell r="M3376">
            <v>14941.596119920874</v>
          </cell>
          <cell r="N3376">
            <v>22977.868524442161</v>
          </cell>
          <cell r="O3376">
            <v>13271.322117641859</v>
          </cell>
          <cell r="P3376">
            <v>13062.139893424632</v>
          </cell>
          <cell r="Q3376">
            <v>10879.303458179285</v>
          </cell>
          <cell r="R3376">
            <v>10683.650822033978</v>
          </cell>
          <cell r="S3376">
            <v>12312.477504302013</v>
          </cell>
          <cell r="T3376">
            <v>13596.343511731478</v>
          </cell>
          <cell r="U3376">
            <v>9450.4042512505785</v>
          </cell>
          <cell r="V3376">
            <v>9029.1374244303915</v>
          </cell>
          <cell r="W3376">
            <v>7626.8588592160004</v>
          </cell>
          <cell r="X3376">
            <v>6362.2463628553505</v>
          </cell>
          <cell r="Y3376">
            <v>11526.828668624348</v>
          </cell>
          <cell r="Z3376">
            <v>20685.33639700702</v>
          </cell>
          <cell r="AA3376">
            <v>15451.364360377771</v>
          </cell>
          <cell r="AB3376">
            <v>10907.107727471368</v>
          </cell>
          <cell r="AC3376">
            <v>9408.5432293172234</v>
          </cell>
          <cell r="AD3376">
            <v>14501.451119652873</v>
          </cell>
          <cell r="AE3376">
            <v>21807.364713883719</v>
          </cell>
          <cell r="AF3376">
            <v>20280.512907971264</v>
          </cell>
          <cell r="AG3376">
            <v>18683.794965666526</v>
          </cell>
          <cell r="AH3376">
            <v>21057.79021017639</v>
          </cell>
          <cell r="AI3376">
            <v>27623.615084908568</v>
          </cell>
          <cell r="AJ3376">
            <v>13283.333038238559</v>
          </cell>
        </row>
        <row r="3377">
          <cell r="E3377" t="str">
            <v>US Bunker Fuels Distillate Fuel</v>
          </cell>
          <cell r="F3377">
            <v>157992.96592261907</v>
          </cell>
          <cell r="G3377">
            <v>149309.96711904762</v>
          </cell>
          <cell r="H3377">
            <v>145936.35013333336</v>
          </cell>
          <cell r="I3377">
            <v>146634.90493690479</v>
          </cell>
          <cell r="J3377">
            <v>121186.88681309525</v>
          </cell>
          <cell r="K3377">
            <v>125735.52141190476</v>
          </cell>
          <cell r="L3377">
            <v>114136.06579817263</v>
          </cell>
          <cell r="M3377">
            <v>125505.21382260119</v>
          </cell>
          <cell r="N3377">
            <v>158800.61981404765</v>
          </cell>
          <cell r="O3377">
            <v>113586.32542480953</v>
          </cell>
          <cell r="P3377">
            <v>85858.733881526437</v>
          </cell>
          <cell r="Q3377">
            <v>72397.487179080519</v>
          </cell>
          <cell r="R3377">
            <v>82553.591993078066</v>
          </cell>
          <cell r="S3377">
            <v>103890.16370482545</v>
          </cell>
          <cell r="T3377">
            <v>143563.71847427505</v>
          </cell>
          <cell r="U3377">
            <v>126888.02077883335</v>
          </cell>
          <cell r="V3377">
            <v>119310.4984527381</v>
          </cell>
          <cell r="W3377">
            <v>111332.30301900001</v>
          </cell>
          <cell r="X3377">
            <v>122224.02446130358</v>
          </cell>
          <cell r="Y3377">
            <v>111016.43203936906</v>
          </cell>
          <cell r="Z3377">
            <v>128203.34342358931</v>
          </cell>
          <cell r="AA3377">
            <v>107413.68474261905</v>
          </cell>
          <cell r="AB3377">
            <v>91666.193134638801</v>
          </cell>
          <cell r="AC3377">
            <v>75440.566993658285</v>
          </cell>
          <cell r="AD3377">
            <v>82047.05251344922</v>
          </cell>
          <cell r="AE3377">
            <v>113500.34480709412</v>
          </cell>
          <cell r="AF3377">
            <v>117523.08765543356</v>
          </cell>
          <cell r="AG3377">
            <v>121300.00998407694</v>
          </cell>
          <cell r="AH3377">
            <v>134448.4293959213</v>
          </cell>
          <cell r="AI3377">
            <v>136255.32563870293</v>
          </cell>
          <cell r="AJ3377">
            <v>104958.3132795492</v>
          </cell>
        </row>
        <row r="3378">
          <cell r="E3378" t="str">
            <v>UT Bunker Fuels Distillate Fuel</v>
          </cell>
          <cell r="F3378">
            <v>0</v>
          </cell>
          <cell r="G3378">
            <v>0</v>
          </cell>
          <cell r="H3378">
            <v>1.3155762766054628</v>
          </cell>
          <cell r="I3378">
            <v>1.7693445378571802</v>
          </cell>
          <cell r="J3378">
            <v>1.2731191856843049</v>
          </cell>
          <cell r="K3378">
            <v>0.96760569019127129</v>
          </cell>
          <cell r="L3378">
            <v>0.7331709430573965</v>
          </cell>
          <cell r="M3378">
            <v>0.82896442419155347</v>
          </cell>
          <cell r="N3378">
            <v>0</v>
          </cell>
          <cell r="O3378">
            <v>1.5493295429071094</v>
          </cell>
          <cell r="P3378">
            <v>0.75933402860259092</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row>
        <row r="3379">
          <cell r="E3379" t="str">
            <v>VA Bunker Fuels Distillate Fuel</v>
          </cell>
          <cell r="F3379">
            <v>2983.5027218812688</v>
          </cell>
          <cell r="G3379">
            <v>2989.462750431514</v>
          </cell>
          <cell r="H3379">
            <v>2760.9341528980544</v>
          </cell>
          <cell r="I3379">
            <v>2487.2220582362338</v>
          </cell>
          <cell r="J3379">
            <v>2479.2612316000009</v>
          </cell>
          <cell r="K3379">
            <v>1683.5263891894576</v>
          </cell>
          <cell r="L3379">
            <v>1219.3549246723326</v>
          </cell>
          <cell r="M3379">
            <v>1332.7309810340794</v>
          </cell>
          <cell r="N3379">
            <v>1820.6156739561945</v>
          </cell>
          <cell r="O3379">
            <v>1452.0034779844902</v>
          </cell>
          <cell r="P3379">
            <v>1600.3723986828209</v>
          </cell>
          <cell r="Q3379">
            <v>1038.9711249148859</v>
          </cell>
          <cell r="R3379">
            <v>1197.251265724529</v>
          </cell>
          <cell r="S3379">
            <v>1457.4664507142008</v>
          </cell>
          <cell r="T3379">
            <v>1489.8227437954849</v>
          </cell>
          <cell r="U3379">
            <v>1255.7432405140321</v>
          </cell>
          <cell r="V3379">
            <v>7471.7561927157594</v>
          </cell>
          <cell r="W3379">
            <v>2544.4080248445539</v>
          </cell>
          <cell r="X3379">
            <v>1143.5959901386957</v>
          </cell>
          <cell r="Y3379">
            <v>971.76461198799097</v>
          </cell>
          <cell r="Z3379">
            <v>814.92363577097024</v>
          </cell>
          <cell r="AA3379">
            <v>1085.6188705890622</v>
          </cell>
          <cell r="AB3379">
            <v>936.34789020054052</v>
          </cell>
          <cell r="AC3379">
            <v>943.59185142179456</v>
          </cell>
          <cell r="AD3379">
            <v>1097.9097838027687</v>
          </cell>
          <cell r="AE3379">
            <v>1560.4928135462428</v>
          </cell>
          <cell r="AF3379">
            <v>1476.3938709335669</v>
          </cell>
          <cell r="AG3379">
            <v>1790.3872105473652</v>
          </cell>
          <cell r="AH3379">
            <v>2083.5881088752867</v>
          </cell>
          <cell r="AI3379">
            <v>1841.7967701582534</v>
          </cell>
          <cell r="AJ3379">
            <v>1992.8552347366719</v>
          </cell>
        </row>
        <row r="3380">
          <cell r="E3380" t="str">
            <v>VT Bunker Fuels Distillate Fuel</v>
          </cell>
          <cell r="F3380">
            <v>30.912369194707445</v>
          </cell>
          <cell r="G3380">
            <v>29.773490264513441</v>
          </cell>
          <cell r="H3380">
            <v>25.851073835297349</v>
          </cell>
          <cell r="I3380">
            <v>27.356788623791786</v>
          </cell>
          <cell r="J3380">
            <v>22.362615261585187</v>
          </cell>
          <cell r="K3380">
            <v>24.781456843232004</v>
          </cell>
          <cell r="L3380">
            <v>21.766012372016462</v>
          </cell>
          <cell r="M3380">
            <v>22.772140358673852</v>
          </cell>
          <cell r="N3380">
            <v>30.535332794573176</v>
          </cell>
          <cell r="O3380">
            <v>21.36196794008287</v>
          </cell>
          <cell r="P3380">
            <v>23.501388185250192</v>
          </cell>
          <cell r="Q3380">
            <v>22.809620387440738</v>
          </cell>
          <cell r="R3380">
            <v>33.872481912538092</v>
          </cell>
          <cell r="S3380">
            <v>29.898189625917492</v>
          </cell>
          <cell r="T3380">
            <v>42.069845989901339</v>
          </cell>
          <cell r="U3380">
            <v>19.866151628446499</v>
          </cell>
          <cell r="V3380">
            <v>0</v>
          </cell>
          <cell r="W3380">
            <v>0</v>
          </cell>
          <cell r="X3380">
            <v>0</v>
          </cell>
          <cell r="Y3380">
            <v>0</v>
          </cell>
          <cell r="Z3380">
            <v>1.3442303315678559</v>
          </cell>
          <cell r="AA3380">
            <v>0</v>
          </cell>
          <cell r="AB3380">
            <v>1.8143263110789414</v>
          </cell>
          <cell r="AC3380">
            <v>0</v>
          </cell>
          <cell r="AD3380">
            <v>0</v>
          </cell>
          <cell r="AE3380">
            <v>0</v>
          </cell>
          <cell r="AF3380">
            <v>0</v>
          </cell>
          <cell r="AG3380">
            <v>0</v>
          </cell>
          <cell r="AH3380">
            <v>0</v>
          </cell>
          <cell r="AI3380">
            <v>0</v>
          </cell>
          <cell r="AJ3380">
            <v>0</v>
          </cell>
        </row>
        <row r="3381">
          <cell r="E3381" t="str">
            <v>WA Bunker Fuels Distillate Fuel</v>
          </cell>
          <cell r="F3381">
            <v>5016.0675121986169</v>
          </cell>
          <cell r="G3381">
            <v>4940.2101566838992</v>
          </cell>
          <cell r="H3381">
            <v>7223.2373255161237</v>
          </cell>
          <cell r="I3381">
            <v>6852.8755502598433</v>
          </cell>
          <cell r="J3381">
            <v>5674.6796816514607</v>
          </cell>
          <cell r="K3381">
            <v>3997.0178385651107</v>
          </cell>
          <cell r="L3381">
            <v>3350.0871547489505</v>
          </cell>
          <cell r="M3381">
            <v>3962.1086093433114</v>
          </cell>
          <cell r="N3381">
            <v>4552.212308459104</v>
          </cell>
          <cell r="O3381">
            <v>4345.0242790128559</v>
          </cell>
          <cell r="P3381">
            <v>3088.5152279381791</v>
          </cell>
          <cell r="Q3381">
            <v>768.93922144617761</v>
          </cell>
          <cell r="R3381">
            <v>2424.0863521112401</v>
          </cell>
          <cell r="S3381">
            <v>2838.3597950823996</v>
          </cell>
          <cell r="T3381">
            <v>4732.488640127146</v>
          </cell>
          <cell r="U3381">
            <v>3254.3793231338568</v>
          </cell>
          <cell r="V3381">
            <v>3491.0366020956831</v>
          </cell>
          <cell r="W3381">
            <v>4330.5453085742129</v>
          </cell>
          <cell r="X3381">
            <v>4986.2091573484504</v>
          </cell>
          <cell r="Y3381">
            <v>3484.6567865888865</v>
          </cell>
          <cell r="Z3381">
            <v>4135.9406863616132</v>
          </cell>
          <cell r="AA3381">
            <v>3800.57232382967</v>
          </cell>
          <cell r="AB3381">
            <v>4174.4019765304283</v>
          </cell>
          <cell r="AC3381">
            <v>2740.8603504056073</v>
          </cell>
          <cell r="AD3381">
            <v>3541.3537839337505</v>
          </cell>
          <cell r="AE3381">
            <v>5571.1495052114442</v>
          </cell>
          <cell r="AF3381">
            <v>8612.986742213001</v>
          </cell>
          <cell r="AG3381">
            <v>7858.8896760557864</v>
          </cell>
          <cell r="AH3381">
            <v>8764.681131536574</v>
          </cell>
          <cell r="AI3381">
            <v>8485.3040575820978</v>
          </cell>
          <cell r="AJ3381">
            <v>2957.712124627732</v>
          </cell>
        </row>
        <row r="3382">
          <cell r="E3382" t="str">
            <v>WI Bunker Fuels Distillate Fuel</v>
          </cell>
          <cell r="F3382">
            <v>228.32304375496784</v>
          </cell>
          <cell r="G3382">
            <v>224.61471331904994</v>
          </cell>
          <cell r="H3382">
            <v>203.84854406001648</v>
          </cell>
          <cell r="I3382">
            <v>148.28468261503062</v>
          </cell>
          <cell r="J3382">
            <v>162.07360763841936</v>
          </cell>
          <cell r="K3382">
            <v>169.22348404011788</v>
          </cell>
          <cell r="L3382">
            <v>98.336552737573314</v>
          </cell>
          <cell r="M3382">
            <v>102.84035121294038</v>
          </cell>
          <cell r="N3382">
            <v>165.71078398337505</v>
          </cell>
          <cell r="O3382">
            <v>132.49115060860191</v>
          </cell>
          <cell r="P3382">
            <v>134.516023166949</v>
          </cell>
          <cell r="Q3382">
            <v>353.30118534894615</v>
          </cell>
          <cell r="R3382">
            <v>385.34415530981198</v>
          </cell>
          <cell r="S3382">
            <v>70.902760037638203</v>
          </cell>
          <cell r="T3382">
            <v>130.77213689683842</v>
          </cell>
          <cell r="U3382">
            <v>51.500151036800794</v>
          </cell>
          <cell r="V3382">
            <v>213.58980180548059</v>
          </cell>
          <cell r="W3382">
            <v>26.676038740382054</v>
          </cell>
          <cell r="X3382">
            <v>42.889471340474842</v>
          </cell>
          <cell r="Y3382">
            <v>77.706349086409077</v>
          </cell>
          <cell r="Z3382">
            <v>101.84145035830758</v>
          </cell>
          <cell r="AA3382">
            <v>88.613728422073521</v>
          </cell>
          <cell r="AB3382">
            <v>89.316692399686175</v>
          </cell>
          <cell r="AC3382">
            <v>97.749578157022285</v>
          </cell>
          <cell r="AD3382">
            <v>87.124254488053893</v>
          </cell>
          <cell r="AE3382">
            <v>122.9706838777677</v>
          </cell>
          <cell r="AF3382">
            <v>128.81218549890127</v>
          </cell>
          <cell r="AG3382">
            <v>149.56892536965742</v>
          </cell>
          <cell r="AH3382">
            <v>163.2721274000553</v>
          </cell>
          <cell r="AI3382">
            <v>194.44932387381436</v>
          </cell>
          <cell r="AJ3382">
            <v>125.01199315796036</v>
          </cell>
        </row>
        <row r="3383">
          <cell r="E3383" t="str">
            <v>WV Bunker Fuels Distillate Fuel</v>
          </cell>
          <cell r="F3383">
            <v>6241.5440097788996</v>
          </cell>
          <cell r="G3383">
            <v>3719.9349012839143</v>
          </cell>
          <cell r="H3383">
            <v>3637.4368471864441</v>
          </cell>
          <cell r="I3383">
            <v>3889.4276044880489</v>
          </cell>
          <cell r="J3383">
            <v>3873.0499748839493</v>
          </cell>
          <cell r="K3383">
            <v>3515.1502048498569</v>
          </cell>
          <cell r="L3383">
            <v>3306.2343677173299</v>
          </cell>
          <cell r="M3383">
            <v>3273.1904102269427</v>
          </cell>
          <cell r="N3383">
            <v>3980.118468185628</v>
          </cell>
          <cell r="O3383">
            <v>2690.5750740885037</v>
          </cell>
          <cell r="P3383">
            <v>2383.4735823806732</v>
          </cell>
          <cell r="Q3383">
            <v>2216.5354867491128</v>
          </cell>
          <cell r="R3383">
            <v>1992.1228606169971</v>
          </cell>
          <cell r="S3383">
            <v>3467.4870611136575</v>
          </cell>
          <cell r="T3383">
            <v>4710.4137129649816</v>
          </cell>
          <cell r="U3383">
            <v>4207.7647973028379</v>
          </cell>
          <cell r="V3383">
            <v>3522.8838634156668</v>
          </cell>
          <cell r="W3383">
            <v>2628.7760606004695</v>
          </cell>
          <cell r="X3383">
            <v>1760.4402546762719</v>
          </cell>
          <cell r="Y3383">
            <v>5.7452789839839413</v>
          </cell>
          <cell r="Z3383">
            <v>6.7211516578392807</v>
          </cell>
          <cell r="AA3383">
            <v>23.210755001463575</v>
          </cell>
          <cell r="AB3383">
            <v>0.93308210284059845</v>
          </cell>
          <cell r="AC3383">
            <v>11.481410608033476</v>
          </cell>
          <cell r="AD3383">
            <v>3.5529394560731191</v>
          </cell>
          <cell r="AE3383">
            <v>2.7232912046241036</v>
          </cell>
          <cell r="AF3383">
            <v>2.0936560016074974</v>
          </cell>
          <cell r="AG3383">
            <v>13.708172380818326</v>
          </cell>
          <cell r="AH3383">
            <v>11.788162529069863</v>
          </cell>
          <cell r="AI3383">
            <v>87.34871823981571</v>
          </cell>
          <cell r="AJ3383">
            <v>14.095622149049134</v>
          </cell>
        </row>
        <row r="3384">
          <cell r="E3384" t="str">
            <v>WY Bunker Fuels Distillate Fuel</v>
          </cell>
          <cell r="F3384">
            <v>0</v>
          </cell>
          <cell r="G3384">
            <v>0</v>
          </cell>
          <cell r="H3384">
            <v>0</v>
          </cell>
          <cell r="I3384">
            <v>0</v>
          </cell>
          <cell r="J3384">
            <v>0</v>
          </cell>
          <cell r="K3384">
            <v>0</v>
          </cell>
          <cell r="L3384">
            <v>0</v>
          </cell>
          <cell r="M3384">
            <v>0</v>
          </cell>
          <cell r="N3384">
            <v>0</v>
          </cell>
          <cell r="O3384">
            <v>6.2912169318046258</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row>
        <row r="3385">
          <cell r="E3385" t="str">
            <v>AK Bunker Fuels Residual Fuel</v>
          </cell>
          <cell r="F3385">
            <v>621.65260554708652</v>
          </cell>
          <cell r="G3385">
            <v>363.64532331240952</v>
          </cell>
          <cell r="H3385">
            <v>1248.8053309367156</v>
          </cell>
          <cell r="I3385">
            <v>442.46020014982815</v>
          </cell>
          <cell r="J3385">
            <v>378.47551416857209</v>
          </cell>
          <cell r="K3385">
            <v>415.44658774350813</v>
          </cell>
          <cell r="L3385">
            <v>14.018459013840866</v>
          </cell>
          <cell r="M3385">
            <v>11.021693117894218</v>
          </cell>
          <cell r="N3385">
            <v>39.685997952843174</v>
          </cell>
          <cell r="O3385">
            <v>1068.5233003316089</v>
          </cell>
          <cell r="P3385">
            <v>372.72575245406023</v>
          </cell>
          <cell r="Q3385">
            <v>248.01185391765191</v>
          </cell>
          <cell r="R3385">
            <v>211.04885496499568</v>
          </cell>
          <cell r="S3385">
            <v>65.160295697595586</v>
          </cell>
          <cell r="T3385">
            <v>0</v>
          </cell>
          <cell r="U3385">
            <v>51.609371194637113</v>
          </cell>
          <cell r="V3385">
            <v>113.8607770606793</v>
          </cell>
          <cell r="W3385">
            <v>1013.4392153209617</v>
          </cell>
          <cell r="X3385">
            <v>858.69326957799854</v>
          </cell>
          <cell r="Y3385">
            <v>0</v>
          </cell>
          <cell r="Z3385">
            <v>147.52232901679216</v>
          </cell>
          <cell r="AA3385">
            <v>291.80633859652698</v>
          </cell>
          <cell r="AB3385">
            <v>245.95826684957879</v>
          </cell>
          <cell r="AC3385">
            <v>0</v>
          </cell>
          <cell r="AD3385">
            <v>0</v>
          </cell>
          <cell r="AE3385">
            <v>0</v>
          </cell>
          <cell r="AF3385">
            <v>0</v>
          </cell>
          <cell r="AG3385">
            <v>0</v>
          </cell>
          <cell r="AH3385">
            <v>0</v>
          </cell>
          <cell r="AI3385">
            <v>0</v>
          </cell>
          <cell r="AJ3385">
            <v>0</v>
          </cell>
        </row>
        <row r="3386">
          <cell r="E3386" t="str">
            <v>AL Bunker Fuels Residual Fuel</v>
          </cell>
          <cell r="F3386">
            <v>12432.260196794536</v>
          </cell>
          <cell r="G3386">
            <v>15887.620391344219</v>
          </cell>
          <cell r="H3386">
            <v>13954.858655576905</v>
          </cell>
          <cell r="I3386">
            <v>12233.210779376654</v>
          </cell>
          <cell r="J3386">
            <v>8750.0189362604997</v>
          </cell>
          <cell r="K3386">
            <v>9486.6526122945288</v>
          </cell>
          <cell r="L3386">
            <v>9794.3868370327236</v>
          </cell>
          <cell r="M3386">
            <v>9950.8667459088083</v>
          </cell>
          <cell r="N3386">
            <v>4613.4178900221132</v>
          </cell>
          <cell r="O3386">
            <v>4031.9180743004226</v>
          </cell>
          <cell r="P3386">
            <v>9135.1063693471133</v>
          </cell>
          <cell r="Q3386">
            <v>3309.8438110159796</v>
          </cell>
          <cell r="R3386">
            <v>8841.4560679806909</v>
          </cell>
          <cell r="S3386">
            <v>5263.3685580777446</v>
          </cell>
          <cell r="T3386">
            <v>5902.9971249427927</v>
          </cell>
          <cell r="U3386">
            <v>4358.9723688131326</v>
          </cell>
          <cell r="V3386">
            <v>6187.54672925267</v>
          </cell>
          <cell r="W3386">
            <v>5190.2030535638905</v>
          </cell>
          <cell r="X3386">
            <v>5023.5486058000097</v>
          </cell>
          <cell r="Y3386">
            <v>3890.1053029557597</v>
          </cell>
          <cell r="Z3386">
            <v>4062.7697621136003</v>
          </cell>
          <cell r="AA3386">
            <v>4458.2597559085289</v>
          </cell>
          <cell r="AB3386">
            <v>4522.9627955083015</v>
          </cell>
          <cell r="AC3386">
            <v>3292.7445060660639</v>
          </cell>
          <cell r="AD3386">
            <v>4574.8365099087378</v>
          </cell>
          <cell r="AE3386">
            <v>2971.640556920303</v>
          </cell>
          <cell r="AF3386">
            <v>4295.1756780213773</v>
          </cell>
          <cell r="AG3386">
            <v>4291.8806059595991</v>
          </cell>
          <cell r="AH3386">
            <v>2992.1689359973416</v>
          </cell>
          <cell r="AI3386">
            <v>2256.8876092844171</v>
          </cell>
          <cell r="AJ3386">
            <v>1927.3820347633493</v>
          </cell>
        </row>
        <row r="3387">
          <cell r="E3387" t="str">
            <v>AR Bunker Fuels Residual Fuel</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4.7121599786407797</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row>
        <row r="3388">
          <cell r="E3388" t="str">
            <v>AZ Bunker Fuels Residual Fuel</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row>
        <row r="3389">
          <cell r="E3389" t="str">
            <v>CA Bunker Fuels Residual Fuel</v>
          </cell>
          <cell r="F3389">
            <v>243929.58145053688</v>
          </cell>
          <cell r="G3389">
            <v>209283.14950084666</v>
          </cell>
          <cell r="H3389">
            <v>127315.47895714722</v>
          </cell>
          <cell r="I3389">
            <v>122199.37984247644</v>
          </cell>
          <cell r="J3389">
            <v>142524.12220508422</v>
          </cell>
          <cell r="K3389">
            <v>159797.52128039551</v>
          </cell>
          <cell r="L3389">
            <v>155253.116407642</v>
          </cell>
          <cell r="M3389">
            <v>108588.59083007663</v>
          </cell>
          <cell r="N3389">
            <v>95274.0165413988</v>
          </cell>
          <cell r="O3389">
            <v>107834.45209316109</v>
          </cell>
          <cell r="P3389">
            <v>105973.82932896809</v>
          </cell>
          <cell r="Q3389">
            <v>113013.85887249028</v>
          </cell>
          <cell r="R3389">
            <v>127432.29877162639</v>
          </cell>
          <cell r="S3389">
            <v>121535.40020086733</v>
          </cell>
          <cell r="T3389">
            <v>131432.75036465697</v>
          </cell>
          <cell r="U3389">
            <v>148763.00271997464</v>
          </cell>
          <cell r="V3389">
            <v>156785.97749441161</v>
          </cell>
          <cell r="W3389">
            <v>152688.43566787214</v>
          </cell>
          <cell r="X3389">
            <v>178958.42541183846</v>
          </cell>
          <cell r="Y3389">
            <v>185790.4171406785</v>
          </cell>
          <cell r="Z3389">
            <v>174587.49382589338</v>
          </cell>
          <cell r="AA3389">
            <v>125150.2480723737</v>
          </cell>
          <cell r="AB3389">
            <v>114712.64767476589</v>
          </cell>
          <cell r="AC3389">
            <v>81296.511859283055</v>
          </cell>
          <cell r="AD3389">
            <v>69912.932901572771</v>
          </cell>
          <cell r="AE3389">
            <v>102166.59200377831</v>
          </cell>
          <cell r="AF3389">
            <v>105218.95904261095</v>
          </cell>
          <cell r="AG3389">
            <v>110475.00944482685</v>
          </cell>
          <cell r="AH3389">
            <v>116717.58486898578</v>
          </cell>
          <cell r="AI3389">
            <v>117136.69042708447</v>
          </cell>
          <cell r="AJ3389">
            <v>94643.741631864657</v>
          </cell>
        </row>
        <row r="3390">
          <cell r="E3390" t="str">
            <v>CO Bunker Fuels Residual Fuel</v>
          </cell>
          <cell r="F3390">
            <v>0</v>
          </cell>
          <cell r="G3390">
            <v>0</v>
          </cell>
          <cell r="H3390">
            <v>0</v>
          </cell>
          <cell r="I3390">
            <v>0</v>
          </cell>
          <cell r="J3390">
            <v>4.7711088742629366</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row>
        <row r="3391">
          <cell r="E3391" t="str">
            <v>CT Bunker Fuels Residual Fuel</v>
          </cell>
          <cell r="F3391">
            <v>105.7771039465925</v>
          </cell>
          <cell r="G3391">
            <v>20.708731395923092</v>
          </cell>
          <cell r="H3391">
            <v>69.502813858115672</v>
          </cell>
          <cell r="I3391">
            <v>0</v>
          </cell>
          <cell r="J3391">
            <v>0</v>
          </cell>
          <cell r="K3391">
            <v>0</v>
          </cell>
          <cell r="L3391">
            <v>16.37054945240477</v>
          </cell>
          <cell r="M3391">
            <v>27.324614188112754</v>
          </cell>
          <cell r="N3391">
            <v>27.515625247304602</v>
          </cell>
          <cell r="O3391">
            <v>2.0132327844213074</v>
          </cell>
          <cell r="P3391">
            <v>29.651788485192892</v>
          </cell>
          <cell r="Q3391">
            <v>6.4582318263726437</v>
          </cell>
          <cell r="R3391">
            <v>0</v>
          </cell>
          <cell r="S3391">
            <v>11.32692990631101</v>
          </cell>
          <cell r="T3391">
            <v>104.71366681214568</v>
          </cell>
          <cell r="U3391">
            <v>26.590045593758685</v>
          </cell>
          <cell r="V3391">
            <v>0</v>
          </cell>
          <cell r="W3391">
            <v>0</v>
          </cell>
          <cell r="X3391">
            <v>0</v>
          </cell>
          <cell r="Y3391">
            <v>16.605233016207933</v>
          </cell>
          <cell r="Z3391">
            <v>175.24302809674492</v>
          </cell>
          <cell r="AA3391">
            <v>209.16387339992588</v>
          </cell>
          <cell r="AB3391">
            <v>95.332661569604184</v>
          </cell>
          <cell r="AC3391">
            <v>0</v>
          </cell>
          <cell r="AD3391">
            <v>0</v>
          </cell>
          <cell r="AE3391">
            <v>0</v>
          </cell>
          <cell r="AF3391">
            <v>0</v>
          </cell>
          <cell r="AG3391">
            <v>0</v>
          </cell>
          <cell r="AH3391">
            <v>0</v>
          </cell>
          <cell r="AI3391">
            <v>0</v>
          </cell>
          <cell r="AJ3391">
            <v>0</v>
          </cell>
        </row>
        <row r="3392">
          <cell r="E3392" t="str">
            <v>DC Bunker Fuels Residual Fuel</v>
          </cell>
          <cell r="F3392">
            <v>0</v>
          </cell>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row>
        <row r="3393">
          <cell r="E3393" t="str">
            <v>DE Bunker Fuels Residual Fuel</v>
          </cell>
          <cell r="F3393">
            <v>3944.863758949391</v>
          </cell>
          <cell r="G3393">
            <v>6238.5349169238261</v>
          </cell>
          <cell r="H3393">
            <v>3921.8570163374607</v>
          </cell>
          <cell r="I3393">
            <v>4260.6379976959006</v>
          </cell>
          <cell r="J3393">
            <v>4621.4518469212599</v>
          </cell>
          <cell r="K3393">
            <v>3596.4484024984654</v>
          </cell>
          <cell r="L3393">
            <v>7913.7494059745686</v>
          </cell>
          <cell r="M3393">
            <v>8412.8813187493197</v>
          </cell>
          <cell r="N3393">
            <v>7645.1106456357093</v>
          </cell>
          <cell r="O3393">
            <v>8087.7432879158487</v>
          </cell>
          <cell r="P3393">
            <v>5131.9763640867968</v>
          </cell>
          <cell r="Q3393">
            <v>5929.5231647819173</v>
          </cell>
          <cell r="R3393">
            <v>4870.4223032795162</v>
          </cell>
          <cell r="S3393">
            <v>5181.7659447742135</v>
          </cell>
          <cell r="T3393">
            <v>4675.5595597990723</v>
          </cell>
          <cell r="U3393">
            <v>4781.2716583275114</v>
          </cell>
          <cell r="V3393">
            <v>4795.2783985884626</v>
          </cell>
          <cell r="W3393">
            <v>4792.3748681294819</v>
          </cell>
          <cell r="X3393">
            <v>5562.7686363266612</v>
          </cell>
          <cell r="Y3393">
            <v>4884.4424704739258</v>
          </cell>
          <cell r="Z3393">
            <v>1366.7509894202801</v>
          </cell>
          <cell r="AA3393">
            <v>22.394175575970326</v>
          </cell>
          <cell r="AB3393">
            <v>1005.1875835899066</v>
          </cell>
          <cell r="AC3393">
            <v>331.86261830918068</v>
          </cell>
          <cell r="AD3393">
            <v>605.89666744061276</v>
          </cell>
          <cell r="AE3393">
            <v>357.79395598897719</v>
          </cell>
          <cell r="AF3393">
            <v>713.32436585312598</v>
          </cell>
          <cell r="AG3393">
            <v>105.6569159632854</v>
          </cell>
          <cell r="AH3393">
            <v>81.264182039082414</v>
          </cell>
          <cell r="AI3393">
            <v>358.76757096212305</v>
          </cell>
          <cell r="AJ3393">
            <v>558.43623981049086</v>
          </cell>
        </row>
        <row r="3394">
          <cell r="E3394" t="str">
            <v>FL Bunker Fuels Residual Fuel</v>
          </cell>
          <cell r="F3394">
            <v>43853.37720677795</v>
          </cell>
          <cell r="G3394">
            <v>41050.03072907852</v>
          </cell>
          <cell r="H3394">
            <v>40736.303415774077</v>
          </cell>
          <cell r="I3394">
            <v>43641.617562002284</v>
          </cell>
          <cell r="J3394">
            <v>37830.901220581727</v>
          </cell>
          <cell r="K3394">
            <v>30537.368544787154</v>
          </cell>
          <cell r="L3394">
            <v>32362.506427818291</v>
          </cell>
          <cell r="M3394">
            <v>43207.907254728125</v>
          </cell>
          <cell r="N3394">
            <v>42751.661922704407</v>
          </cell>
          <cell r="O3394">
            <v>35359.07847038623</v>
          </cell>
          <cell r="P3394">
            <v>31523.661553140155</v>
          </cell>
          <cell r="Q3394">
            <v>38972.278715170425</v>
          </cell>
          <cell r="R3394">
            <v>43560.613313040551</v>
          </cell>
          <cell r="S3394">
            <v>23570.12318558092</v>
          </cell>
          <cell r="T3394">
            <v>60283.940993662567</v>
          </cell>
          <cell r="U3394">
            <v>58906.150921562366</v>
          </cell>
          <cell r="V3394">
            <v>58495.062703671218</v>
          </cell>
          <cell r="W3394">
            <v>51112.903809136376</v>
          </cell>
          <cell r="X3394">
            <v>18914.907392687812</v>
          </cell>
          <cell r="Y3394">
            <v>14964.477849130242</v>
          </cell>
          <cell r="Z3394">
            <v>62325.411939686688</v>
          </cell>
          <cell r="AA3394">
            <v>56845.398017246698</v>
          </cell>
          <cell r="AB3394">
            <v>45660.722250700761</v>
          </cell>
          <cell r="AC3394">
            <v>37559.9947080907</v>
          </cell>
          <cell r="AD3394">
            <v>46051.313432807685</v>
          </cell>
          <cell r="AE3394">
            <v>44929.373238036082</v>
          </cell>
          <cell r="AF3394">
            <v>37558.058502115375</v>
          </cell>
          <cell r="AG3394">
            <v>38798.876905106059</v>
          </cell>
          <cell r="AH3394">
            <v>60006.217845715408</v>
          </cell>
          <cell r="AI3394">
            <v>33140.693621601764</v>
          </cell>
          <cell r="AJ3394">
            <v>4872.1392357300538</v>
          </cell>
        </row>
        <row r="3395">
          <cell r="E3395" t="str">
            <v>GA Bunker Fuels Residual Fuel</v>
          </cell>
          <cell r="F3395">
            <v>5366.4627837546122</v>
          </cell>
          <cell r="G3395">
            <v>5791.2263187718872</v>
          </cell>
          <cell r="H3395">
            <v>13321.678835935569</v>
          </cell>
          <cell r="I3395">
            <v>9566.0158100019162</v>
          </cell>
          <cell r="J3395">
            <v>6972.8295653819878</v>
          </cell>
          <cell r="K3395">
            <v>5041.2674619273757</v>
          </cell>
          <cell r="L3395">
            <v>4949.1746172086241</v>
          </cell>
          <cell r="M3395">
            <v>5663.542932351269</v>
          </cell>
          <cell r="N3395">
            <v>5091.8722813415907</v>
          </cell>
          <cell r="O3395">
            <v>3509.1486279456899</v>
          </cell>
          <cell r="P3395">
            <v>2599.1732443901442</v>
          </cell>
          <cell r="Q3395">
            <v>2984.5694519559916</v>
          </cell>
          <cell r="R3395">
            <v>7489.4098711887045</v>
          </cell>
          <cell r="S3395">
            <v>10372.544715495384</v>
          </cell>
          <cell r="T3395">
            <v>18041.645940230475</v>
          </cell>
          <cell r="U3395">
            <v>19527.639728628212</v>
          </cell>
          <cell r="V3395">
            <v>33223.283004645142</v>
          </cell>
          <cell r="W3395">
            <v>21789.231201946248</v>
          </cell>
          <cell r="X3395">
            <v>31552.526695067798</v>
          </cell>
          <cell r="Y3395">
            <v>32337.37342342874</v>
          </cell>
          <cell r="Z3395">
            <v>37245.77233338177</v>
          </cell>
          <cell r="AA3395">
            <v>44977.621722163953</v>
          </cell>
          <cell r="AB3395">
            <v>26823.655653177961</v>
          </cell>
          <cell r="AC3395">
            <v>17623.979173581927</v>
          </cell>
          <cell r="AD3395">
            <v>9909.5868160579284</v>
          </cell>
          <cell r="AE3395">
            <v>8372.7178261788995</v>
          </cell>
          <cell r="AF3395">
            <v>5371.7001361279499</v>
          </cell>
          <cell r="AG3395">
            <v>3931.5767111632322</v>
          </cell>
          <cell r="AH3395">
            <v>6710.7433233000565</v>
          </cell>
          <cell r="AI3395">
            <v>2626.7130848309894</v>
          </cell>
          <cell r="AJ3395">
            <v>818.17871925975066</v>
          </cell>
        </row>
        <row r="3396">
          <cell r="E3396" t="str">
            <v>HI Bunker Fuels Residual Fuel</v>
          </cell>
          <cell r="F3396">
            <v>11346.319639807005</v>
          </cell>
          <cell r="G3396">
            <v>12527.717474061681</v>
          </cell>
          <cell r="H3396">
            <v>14168.776273560179</v>
          </cell>
          <cell r="I3396">
            <v>9965.3116269066068</v>
          </cell>
          <cell r="J3396">
            <v>11078.417436469676</v>
          </cell>
          <cell r="K3396">
            <v>9745.3067779628236</v>
          </cell>
          <cell r="L3396">
            <v>2488.5116840006099</v>
          </cell>
          <cell r="M3396">
            <v>2244.4070704345218</v>
          </cell>
          <cell r="N3396">
            <v>2045.6809078092228</v>
          </cell>
          <cell r="O3396">
            <v>7645.0837294412131</v>
          </cell>
          <cell r="P3396">
            <v>7033.570500398886</v>
          </cell>
          <cell r="Q3396">
            <v>12189.440018730094</v>
          </cell>
          <cell r="R3396">
            <v>5997.6213654269168</v>
          </cell>
          <cell r="S3396">
            <v>4759.8682545004367</v>
          </cell>
          <cell r="T3396">
            <v>6950.8413178400069</v>
          </cell>
          <cell r="U3396">
            <v>4918.485269134123</v>
          </cell>
          <cell r="V3396">
            <v>9903.0749409848286</v>
          </cell>
          <cell r="W3396">
            <v>17210.030017539764</v>
          </cell>
          <cell r="X3396">
            <v>4352.8540076824693</v>
          </cell>
          <cell r="Y3396">
            <v>5858.3525656308821</v>
          </cell>
          <cell r="Z3396">
            <v>4703.8410595321602</v>
          </cell>
          <cell r="AA3396">
            <v>4219.9948218616564</v>
          </cell>
          <cell r="AB3396">
            <v>3913.5010900938209</v>
          </cell>
          <cell r="AC3396">
            <v>3620.9999220023187</v>
          </cell>
          <cell r="AD3396">
            <v>4409.5919642431163</v>
          </cell>
          <cell r="AE3396">
            <v>3857.9469531476539</v>
          </cell>
          <cell r="AF3396">
            <v>3681.8428665794086</v>
          </cell>
          <cell r="AG3396">
            <v>4835.3576834962378</v>
          </cell>
          <cell r="AH3396">
            <v>4454.1473084748304</v>
          </cell>
          <cell r="AI3396">
            <v>5273.5454127253506</v>
          </cell>
          <cell r="AJ3396">
            <v>3601.6816536530609</v>
          </cell>
        </row>
        <row r="3397">
          <cell r="E3397" t="str">
            <v>IA Bunker Fuels Residual Fuel</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row>
        <row r="3398">
          <cell r="E3398" t="str">
            <v>ID Bunker Fuels Residual Fuel</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row>
        <row r="3399">
          <cell r="E3399" t="str">
            <v>IL Bunker Fuels Residual Fuel</v>
          </cell>
          <cell r="F3399">
            <v>230.10762505600979</v>
          </cell>
          <cell r="G3399">
            <v>66.622947290884014</v>
          </cell>
          <cell r="H3399">
            <v>124.61517726983735</v>
          </cell>
          <cell r="I3399">
            <v>139.09646685084843</v>
          </cell>
          <cell r="J3399">
            <v>188.79959402440474</v>
          </cell>
          <cell r="K3399">
            <v>101.59508981404147</v>
          </cell>
          <cell r="L3399">
            <v>118.82760895624841</v>
          </cell>
          <cell r="M3399">
            <v>241.78839277380445</v>
          </cell>
          <cell r="N3399">
            <v>155.88659995876799</v>
          </cell>
          <cell r="O3399">
            <v>115.08980750941808</v>
          </cell>
          <cell r="P3399">
            <v>60.134935526045396</v>
          </cell>
          <cell r="Q3399">
            <v>64.031005790743407</v>
          </cell>
          <cell r="R3399">
            <v>89.364697253716912</v>
          </cell>
          <cell r="S3399">
            <v>58.09618887430485</v>
          </cell>
          <cell r="T3399">
            <v>74.879705434360929</v>
          </cell>
          <cell r="U3399">
            <v>101.19924525557104</v>
          </cell>
          <cell r="V3399">
            <v>194.59463087772087</v>
          </cell>
          <cell r="W3399">
            <v>142.69193423980946</v>
          </cell>
          <cell r="X3399">
            <v>153.13799065984315</v>
          </cell>
          <cell r="Y3399">
            <v>116.10484354983483</v>
          </cell>
          <cell r="Z3399">
            <v>0</v>
          </cell>
          <cell r="AA3399">
            <v>0</v>
          </cell>
          <cell r="AB3399">
            <v>92.663347045655271</v>
          </cell>
          <cell r="AC3399">
            <v>89.007718551946013</v>
          </cell>
          <cell r="AD3399">
            <v>6.8132187817997316</v>
          </cell>
          <cell r="AE3399">
            <v>9.0872152723241744</v>
          </cell>
          <cell r="AF3399">
            <v>4.4611616583438973</v>
          </cell>
          <cell r="AG3399">
            <v>0</v>
          </cell>
          <cell r="AH3399">
            <v>90.431651905824012</v>
          </cell>
          <cell r="AI3399">
            <v>0</v>
          </cell>
          <cell r="AJ3399">
            <v>0</v>
          </cell>
        </row>
        <row r="3400">
          <cell r="E3400" t="str">
            <v>IN Bunker Fuels Residual Fuel</v>
          </cell>
          <cell r="F3400">
            <v>876.19643857364599</v>
          </cell>
          <cell r="G3400">
            <v>445.17855720835814</v>
          </cell>
          <cell r="H3400">
            <v>820.66391517343334</v>
          </cell>
          <cell r="I3400">
            <v>1267.2335090423226</v>
          </cell>
          <cell r="J3400">
            <v>842.34414022956457</v>
          </cell>
          <cell r="K3400">
            <v>855.60309234467468</v>
          </cell>
          <cell r="L3400">
            <v>1171.0587875521962</v>
          </cell>
          <cell r="M3400">
            <v>2021.6770220104092</v>
          </cell>
          <cell r="N3400">
            <v>1689.5652195123766</v>
          </cell>
          <cell r="O3400">
            <v>1141.3352193681797</v>
          </cell>
          <cell r="P3400">
            <v>953.77610298049206</v>
          </cell>
          <cell r="Q3400">
            <v>784.67516690427624</v>
          </cell>
          <cell r="R3400">
            <v>1025.8882032918921</v>
          </cell>
          <cell r="S3400">
            <v>400.70536980390563</v>
          </cell>
          <cell r="T3400">
            <v>761.76834189916781</v>
          </cell>
          <cell r="U3400">
            <v>841.68152761340787</v>
          </cell>
          <cell r="V3400">
            <v>738.79289196188256</v>
          </cell>
          <cell r="W3400">
            <v>1106.1985749950236</v>
          </cell>
          <cell r="X3400">
            <v>1646.9181629661832</v>
          </cell>
          <cell r="Y3400">
            <v>480.23388183382303</v>
          </cell>
          <cell r="Z3400">
            <v>557.06552672844236</v>
          </cell>
          <cell r="AA3400">
            <v>892.01571443979253</v>
          </cell>
          <cell r="AB3400">
            <v>628.62357038997004</v>
          </cell>
          <cell r="AC3400">
            <v>416.54169401361571</v>
          </cell>
          <cell r="AD3400">
            <v>500.91552170414928</v>
          </cell>
          <cell r="AE3400">
            <v>560.13594938606218</v>
          </cell>
          <cell r="AF3400">
            <v>874.08001871413887</v>
          </cell>
          <cell r="AG3400">
            <v>1900.2707091632064</v>
          </cell>
          <cell r="AH3400">
            <v>570.24770188036791</v>
          </cell>
          <cell r="AI3400">
            <v>842.39731452364947</v>
          </cell>
          <cell r="AJ3400">
            <v>922.72153538618159</v>
          </cell>
        </row>
        <row r="3401">
          <cell r="E3401" t="str">
            <v>KS Bunker Fuels Residual Fuel</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row>
        <row r="3402">
          <cell r="E3402" t="str">
            <v>KY Bunker Fuels Residual Fuel</v>
          </cell>
          <cell r="F3402">
            <v>0</v>
          </cell>
          <cell r="G3402">
            <v>0</v>
          </cell>
          <cell r="H3402">
            <v>0</v>
          </cell>
          <cell r="I3402">
            <v>0</v>
          </cell>
          <cell r="J3402">
            <v>0</v>
          </cell>
          <cell r="K3402">
            <v>0</v>
          </cell>
          <cell r="L3402">
            <v>0</v>
          </cell>
          <cell r="M3402">
            <v>0</v>
          </cell>
          <cell r="N3402">
            <v>0</v>
          </cell>
          <cell r="O3402">
            <v>0</v>
          </cell>
          <cell r="P3402">
            <v>0</v>
          </cell>
          <cell r="Q3402">
            <v>3.071598063762599</v>
          </cell>
          <cell r="R3402">
            <v>6.4824132722903451</v>
          </cell>
          <cell r="S3402">
            <v>16.320522660706185</v>
          </cell>
          <cell r="T3402">
            <v>28.772674214148136</v>
          </cell>
          <cell r="U3402">
            <v>12.116982802219148</v>
          </cell>
          <cell r="V3402">
            <v>0</v>
          </cell>
          <cell r="W3402">
            <v>0</v>
          </cell>
          <cell r="X3402">
            <v>0</v>
          </cell>
          <cell r="Y3402">
            <v>0</v>
          </cell>
          <cell r="Z3402">
            <v>25.430728286391457</v>
          </cell>
          <cell r="AA3402">
            <v>0</v>
          </cell>
          <cell r="AB3402">
            <v>0</v>
          </cell>
          <cell r="AC3402">
            <v>0</v>
          </cell>
          <cell r="AD3402">
            <v>0</v>
          </cell>
          <cell r="AE3402">
            <v>0</v>
          </cell>
          <cell r="AF3402">
            <v>0</v>
          </cell>
          <cell r="AG3402">
            <v>0</v>
          </cell>
          <cell r="AH3402">
            <v>0</v>
          </cell>
          <cell r="AI3402">
            <v>0</v>
          </cell>
          <cell r="AJ3402">
            <v>0</v>
          </cell>
        </row>
        <row r="3403">
          <cell r="E3403" t="str">
            <v>LA Bunker Fuels Residual Fuel</v>
          </cell>
          <cell r="F3403">
            <v>97819.384942627526</v>
          </cell>
          <cell r="G3403">
            <v>123418.35901051875</v>
          </cell>
          <cell r="H3403">
            <v>115340.58298710255</v>
          </cell>
          <cell r="I3403">
            <v>100265.60572593327</v>
          </cell>
          <cell r="J3403">
            <v>89195.685665207871</v>
          </cell>
          <cell r="K3403">
            <v>82426.060715637432</v>
          </cell>
          <cell r="L3403">
            <v>101794.33450187388</v>
          </cell>
          <cell r="M3403">
            <v>99819.226624545423</v>
          </cell>
          <cell r="N3403">
            <v>113099.5910405536</v>
          </cell>
          <cell r="O3403">
            <v>94507.857676684245</v>
          </cell>
          <cell r="P3403">
            <v>85845.04525921715</v>
          </cell>
          <cell r="Q3403">
            <v>47029.237954269156</v>
          </cell>
          <cell r="R3403">
            <v>43404.201941370578</v>
          </cell>
          <cell r="S3403">
            <v>50371.709857981667</v>
          </cell>
          <cell r="T3403">
            <v>51468.653970904954</v>
          </cell>
          <cell r="U3403">
            <v>45869.623757797024</v>
          </cell>
          <cell r="V3403">
            <v>55807.094148779441</v>
          </cell>
          <cell r="W3403">
            <v>56979.981320611725</v>
          </cell>
          <cell r="X3403">
            <v>64993.257265214612</v>
          </cell>
          <cell r="Y3403">
            <v>68427.661296084087</v>
          </cell>
          <cell r="Z3403">
            <v>61282.872604723249</v>
          </cell>
          <cell r="AA3403">
            <v>55865.738092811618</v>
          </cell>
          <cell r="AB3403">
            <v>55810.218732047106</v>
          </cell>
          <cell r="AC3403">
            <v>46335.145740648157</v>
          </cell>
          <cell r="AD3403">
            <v>33446.090999854881</v>
          </cell>
          <cell r="AE3403">
            <v>22348.006774921399</v>
          </cell>
          <cell r="AF3403">
            <v>23606.46766486768</v>
          </cell>
          <cell r="AG3403">
            <v>52609.029974797384</v>
          </cell>
          <cell r="AH3403">
            <v>15188.632999048459</v>
          </cell>
          <cell r="AI3403">
            <v>9714.5227594465632</v>
          </cell>
          <cell r="AJ3403">
            <v>16714.135913402755</v>
          </cell>
        </row>
        <row r="3404">
          <cell r="E3404" t="str">
            <v>MA Bunker Fuels Residual Fuel</v>
          </cell>
          <cell r="F3404">
            <v>5933.4733131453304</v>
          </cell>
          <cell r="G3404">
            <v>1948.8691277683281</v>
          </cell>
          <cell r="H3404">
            <v>1415.9794999522712</v>
          </cell>
          <cell r="I3404">
            <v>1086.9944099180038</v>
          </cell>
          <cell r="J3404">
            <v>1234.9382418832004</v>
          </cell>
          <cell r="K3404">
            <v>528.06336709118136</v>
          </cell>
          <cell r="L3404">
            <v>7718.7140668088496</v>
          </cell>
          <cell r="M3404">
            <v>7027.3626463873679</v>
          </cell>
          <cell r="N3404">
            <v>99.162080218170814</v>
          </cell>
          <cell r="O3404">
            <v>81.619812468413841</v>
          </cell>
          <cell r="P3404">
            <v>1686.1337106369735</v>
          </cell>
          <cell r="Q3404">
            <v>1318.6606764506973</v>
          </cell>
          <cell r="R3404">
            <v>1293.6118714374834</v>
          </cell>
          <cell r="S3404">
            <v>38.974382473328205</v>
          </cell>
          <cell r="T3404">
            <v>11.202475616164234</v>
          </cell>
          <cell r="U3404">
            <v>2353.162937905041</v>
          </cell>
          <cell r="V3404">
            <v>1376.8507689030175</v>
          </cell>
          <cell r="W3404">
            <v>960.62591529949793</v>
          </cell>
          <cell r="X3404">
            <v>1350.3533712980968</v>
          </cell>
          <cell r="Y3404">
            <v>1919.0905014446023</v>
          </cell>
          <cell r="Z3404">
            <v>1243.8157152396202</v>
          </cell>
          <cell r="AA3404">
            <v>883.03530900577402</v>
          </cell>
          <cell r="AB3404">
            <v>708.89367143157676</v>
          </cell>
          <cell r="AC3404">
            <v>811.5303538489992</v>
          </cell>
          <cell r="AD3404">
            <v>490.74367394540599</v>
          </cell>
          <cell r="AE3404">
            <v>475.92775452919142</v>
          </cell>
          <cell r="AF3404">
            <v>909.30781249899223</v>
          </cell>
          <cell r="AG3404">
            <v>1389.4229733211125</v>
          </cell>
          <cell r="AH3404">
            <v>478.26224152255378</v>
          </cell>
          <cell r="AI3404">
            <v>844.70104464540952</v>
          </cell>
          <cell r="AJ3404">
            <v>59.133291747189674</v>
          </cell>
        </row>
        <row r="3405">
          <cell r="E3405" t="str">
            <v>MD Bunker Fuels Residual Fuel</v>
          </cell>
          <cell r="F3405">
            <v>5978.2730277580058</v>
          </cell>
          <cell r="G3405">
            <v>3858.2141624724372</v>
          </cell>
          <cell r="H3405">
            <v>4968.6857413634416</v>
          </cell>
          <cell r="I3405">
            <v>3266.5430449261021</v>
          </cell>
          <cell r="J3405">
            <v>2253.6186713227685</v>
          </cell>
          <cell r="K3405">
            <v>2541.5660526182869</v>
          </cell>
          <cell r="L3405">
            <v>2400.2612507456925</v>
          </cell>
          <cell r="M3405">
            <v>3028.0953748381253</v>
          </cell>
          <cell r="N3405">
            <v>5756.6921190476187</v>
          </cell>
          <cell r="O3405">
            <v>4153.5508883592101</v>
          </cell>
          <cell r="P3405">
            <v>2134.7902111746116</v>
          </cell>
          <cell r="Q3405">
            <v>2436.801130584995</v>
          </cell>
          <cell r="R3405">
            <v>2896.6200677709958</v>
          </cell>
          <cell r="S3405">
            <v>2106.1999878477022</v>
          </cell>
          <cell r="T3405">
            <v>4955.8572917950978</v>
          </cell>
          <cell r="U3405">
            <v>4159.6031240025459</v>
          </cell>
          <cell r="V3405">
            <v>4563.2857631683955</v>
          </cell>
          <cell r="W3405">
            <v>2177.9244687033097</v>
          </cell>
          <cell r="X3405">
            <v>2606.3338995716722</v>
          </cell>
          <cell r="Y3405">
            <v>1195.7085647305917</v>
          </cell>
          <cell r="Z3405">
            <v>2311.4242041536277</v>
          </cell>
          <cell r="AA3405">
            <v>389.56771420736197</v>
          </cell>
          <cell r="AB3405">
            <v>230.13304502902452</v>
          </cell>
          <cell r="AC3405">
            <v>323.02497249551232</v>
          </cell>
          <cell r="AD3405">
            <v>154.9767370789657</v>
          </cell>
          <cell r="AE3405">
            <v>282.91530214502598</v>
          </cell>
          <cell r="AF3405">
            <v>122.75886218477346</v>
          </cell>
          <cell r="AG3405">
            <v>243.42524756247124</v>
          </cell>
          <cell r="AH3405">
            <v>601.01310922977189</v>
          </cell>
          <cell r="AI3405">
            <v>250.18509122315857</v>
          </cell>
          <cell r="AJ3405">
            <v>1590.9479141402601</v>
          </cell>
        </row>
        <row r="3406">
          <cell r="E3406" t="str">
            <v>ME Bunker Fuels Residual Fuel</v>
          </cell>
          <cell r="F3406">
            <v>295.27084631080902</v>
          </cell>
          <cell r="G3406">
            <v>228.50605900301423</v>
          </cell>
          <cell r="H3406">
            <v>7.2462551893189611</v>
          </cell>
          <cell r="I3406">
            <v>428.71229354247691</v>
          </cell>
          <cell r="J3406">
            <v>444.68682099507816</v>
          </cell>
          <cell r="K3406">
            <v>334.91714647358555</v>
          </cell>
          <cell r="L3406">
            <v>189.95482381842086</v>
          </cell>
          <cell r="M3406">
            <v>1.1480930331139811</v>
          </cell>
          <cell r="N3406">
            <v>981.67284536152874</v>
          </cell>
          <cell r="O3406">
            <v>427.64419729082601</v>
          </cell>
          <cell r="P3406">
            <v>2107.5632184767592</v>
          </cell>
          <cell r="Q3406">
            <v>2363.0827770546925</v>
          </cell>
          <cell r="R3406">
            <v>3470.4988541764715</v>
          </cell>
          <cell r="S3406">
            <v>13.032059139519118</v>
          </cell>
          <cell r="T3406">
            <v>129.24119237174736</v>
          </cell>
          <cell r="U3406">
            <v>4169.47622110065</v>
          </cell>
          <cell r="V3406">
            <v>3407.9061855105788</v>
          </cell>
          <cell r="W3406">
            <v>764.35248758336695</v>
          </cell>
          <cell r="X3406">
            <v>261.20610114174877</v>
          </cell>
          <cell r="Y3406">
            <v>3849.7783084878261</v>
          </cell>
          <cell r="Z3406">
            <v>1915.9824055391707</v>
          </cell>
          <cell r="AA3406">
            <v>2269.4280263891956</v>
          </cell>
          <cell r="AB3406">
            <v>2115.4317602295173</v>
          </cell>
          <cell r="AC3406">
            <v>2686.9148675331626</v>
          </cell>
          <cell r="AD3406">
            <v>1668.1830324338948</v>
          </cell>
          <cell r="AE3406">
            <v>881.58104428574268</v>
          </cell>
          <cell r="AF3406">
            <v>905.00048400128105</v>
          </cell>
          <cell r="AG3406">
            <v>253.78376873534239</v>
          </cell>
          <cell r="AH3406">
            <v>288.54222953456218</v>
          </cell>
          <cell r="AI3406">
            <v>231.44808623284223</v>
          </cell>
          <cell r="AJ3406">
            <v>88.599027566608413</v>
          </cell>
        </row>
        <row r="3407">
          <cell r="E3407" t="str">
            <v>MI Bunker Fuels Residual Fuel</v>
          </cell>
          <cell r="F3407">
            <v>413.26605424267643</v>
          </cell>
          <cell r="G3407">
            <v>247.32142067131008</v>
          </cell>
          <cell r="H3407">
            <v>387.31744286571063</v>
          </cell>
          <cell r="I3407">
            <v>276.47444537577798</v>
          </cell>
          <cell r="J3407">
            <v>366.40168762962099</v>
          </cell>
          <cell r="K3407">
            <v>342.47233687970407</v>
          </cell>
          <cell r="L3407">
            <v>480.10870031966402</v>
          </cell>
          <cell r="M3407">
            <v>264.75025343608405</v>
          </cell>
          <cell r="N3407">
            <v>457.81767238399885</v>
          </cell>
          <cell r="O3407">
            <v>167.18220580631939</v>
          </cell>
          <cell r="P3407">
            <v>151.37653700968801</v>
          </cell>
          <cell r="Q3407">
            <v>324.80180551171685</v>
          </cell>
          <cell r="R3407">
            <v>197.2505752854062</v>
          </cell>
          <cell r="S3407">
            <v>1029.6544669672396</v>
          </cell>
          <cell r="T3407">
            <v>1185.8115241699741</v>
          </cell>
          <cell r="U3407">
            <v>863.44721894332008</v>
          </cell>
          <cell r="V3407">
            <v>966.4102733686384</v>
          </cell>
          <cell r="W3407">
            <v>1108.4071311777393</v>
          </cell>
          <cell r="X3407">
            <v>972.6129943371501</v>
          </cell>
          <cell r="Y3407">
            <v>644.57297366883324</v>
          </cell>
          <cell r="Z3407">
            <v>1075.0810251877338</v>
          </cell>
          <cell r="AA3407">
            <v>1382.5277327662493</v>
          </cell>
          <cell r="AB3407">
            <v>971.91648470211464</v>
          </cell>
          <cell r="AC3407">
            <v>988.01272994439785</v>
          </cell>
          <cell r="AD3407">
            <v>941.95148679079102</v>
          </cell>
          <cell r="AE3407">
            <v>885.45825613526767</v>
          </cell>
          <cell r="AF3407">
            <v>2083.3624944466001</v>
          </cell>
          <cell r="AG3407">
            <v>2853.9452251455409</v>
          </cell>
          <cell r="AH3407">
            <v>3394.4499442175797</v>
          </cell>
          <cell r="AI3407">
            <v>3548.3587155431896</v>
          </cell>
          <cell r="AJ3407">
            <v>2953.0318254091444</v>
          </cell>
        </row>
        <row r="3408">
          <cell r="E3408" t="str">
            <v>MN Bunker Fuels Residual Fuel</v>
          </cell>
          <cell r="F3408">
            <v>0</v>
          </cell>
          <cell r="G3408">
            <v>5.4434379669283555</v>
          </cell>
          <cell r="H3408">
            <v>10.205993224392904</v>
          </cell>
          <cell r="I3408">
            <v>1.8195758745023778</v>
          </cell>
          <cell r="J3408">
            <v>8.5685220599007828</v>
          </cell>
          <cell r="K3408">
            <v>0</v>
          </cell>
          <cell r="L3408">
            <v>0</v>
          </cell>
          <cell r="M3408">
            <v>48.793953907344196</v>
          </cell>
          <cell r="N3408">
            <v>0</v>
          </cell>
          <cell r="O3408">
            <v>5.8719289545621463</v>
          </cell>
          <cell r="P3408">
            <v>701.04310205996933</v>
          </cell>
          <cell r="Q3408">
            <v>822.24317399183406</v>
          </cell>
          <cell r="R3408">
            <v>1091.6383950536942</v>
          </cell>
          <cell r="S3408">
            <v>365.75022052313938</v>
          </cell>
          <cell r="T3408">
            <v>1399.2481648568923</v>
          </cell>
          <cell r="U3408">
            <v>1025.6801553508096</v>
          </cell>
          <cell r="V3408">
            <v>828.58977194935335</v>
          </cell>
          <cell r="W3408">
            <v>1548.1978840837469</v>
          </cell>
          <cell r="X3408">
            <v>2832.9283247756675</v>
          </cell>
          <cell r="Y3408">
            <v>769.24400885401349</v>
          </cell>
          <cell r="Z3408">
            <v>894.29385727499823</v>
          </cell>
          <cell r="AA3408">
            <v>576.56476406762181</v>
          </cell>
          <cell r="AB3408">
            <v>306.49450694627745</v>
          </cell>
          <cell r="AC3408">
            <v>311.12120466485692</v>
          </cell>
          <cell r="AD3408">
            <v>253.52850734528016</v>
          </cell>
          <cell r="AE3408">
            <v>449.02959732311189</v>
          </cell>
          <cell r="AF3408">
            <v>511.95675858512038</v>
          </cell>
          <cell r="AG3408">
            <v>0</v>
          </cell>
          <cell r="AH3408">
            <v>0</v>
          </cell>
          <cell r="AI3408">
            <v>0</v>
          </cell>
          <cell r="AJ3408">
            <v>0</v>
          </cell>
        </row>
        <row r="3409">
          <cell r="E3409" t="str">
            <v>MO Bunker Fuels Residual Fuel</v>
          </cell>
          <cell r="F3409">
            <v>94.577175293423892</v>
          </cell>
          <cell r="G3409">
            <v>0</v>
          </cell>
          <cell r="H3409">
            <v>68.482214535676377</v>
          </cell>
          <cell r="I3409">
            <v>14.15225680168516</v>
          </cell>
          <cell r="J3409">
            <v>26.484522730602421</v>
          </cell>
          <cell r="K3409">
            <v>76.885172956383087</v>
          </cell>
          <cell r="L3409">
            <v>22.862319062841145</v>
          </cell>
          <cell r="M3409">
            <v>31.916986320568675</v>
          </cell>
          <cell r="N3409">
            <v>22.435817509340673</v>
          </cell>
          <cell r="O3409">
            <v>22.397214726687046</v>
          </cell>
          <cell r="P3409">
            <v>18.428447983788107</v>
          </cell>
          <cell r="Q3409">
            <v>19.138418704982346</v>
          </cell>
          <cell r="R3409">
            <v>42.506109885446698</v>
          </cell>
          <cell r="S3409">
            <v>66.743629985574557</v>
          </cell>
          <cell r="T3409">
            <v>85.138814682848164</v>
          </cell>
          <cell r="U3409">
            <v>59.687359729449881</v>
          </cell>
          <cell r="V3409">
            <v>38.752249832179963</v>
          </cell>
          <cell r="W3409">
            <v>10.466635822435551</v>
          </cell>
          <cell r="X3409">
            <v>0</v>
          </cell>
          <cell r="Y3409">
            <v>25.566787342415385</v>
          </cell>
          <cell r="Z3409">
            <v>0</v>
          </cell>
          <cell r="AA3409">
            <v>0</v>
          </cell>
          <cell r="AB3409">
            <v>0</v>
          </cell>
          <cell r="AC3409">
            <v>0</v>
          </cell>
          <cell r="AD3409">
            <v>0</v>
          </cell>
          <cell r="AE3409">
            <v>0</v>
          </cell>
          <cell r="AF3409">
            <v>1.8459979275905782</v>
          </cell>
          <cell r="AG3409">
            <v>2.0717042345742236</v>
          </cell>
          <cell r="AH3409">
            <v>0</v>
          </cell>
          <cell r="AI3409">
            <v>0</v>
          </cell>
          <cell r="AJ3409">
            <v>0</v>
          </cell>
        </row>
        <row r="3410">
          <cell r="E3410" t="str">
            <v>MS Bunker Fuels Residual Fuel</v>
          </cell>
          <cell r="F3410">
            <v>6895.7621325781811</v>
          </cell>
          <cell r="G3410">
            <v>19569.159491107439</v>
          </cell>
          <cell r="H3410">
            <v>10331.016641391716</v>
          </cell>
          <cell r="I3410">
            <v>12064.091310596516</v>
          </cell>
          <cell r="J3410">
            <v>13356.475869576934</v>
          </cell>
          <cell r="K3410">
            <v>9179.6452280270751</v>
          </cell>
          <cell r="L3410">
            <v>6700.5411577633067</v>
          </cell>
          <cell r="M3410">
            <v>6409.1145480554887</v>
          </cell>
          <cell r="N3410">
            <v>5805.5852685255222</v>
          </cell>
          <cell r="O3410">
            <v>4255.0513745737844</v>
          </cell>
          <cell r="P3410">
            <v>4316.4136209847156</v>
          </cell>
          <cell r="Q3410">
            <v>5925.7427363957477</v>
          </cell>
          <cell r="R3410">
            <v>5109.901170738699</v>
          </cell>
          <cell r="S3410">
            <v>4276.8295017216251</v>
          </cell>
          <cell r="T3410">
            <v>7955.5264994159998</v>
          </cell>
          <cell r="U3410">
            <v>2630.8437937892295</v>
          </cell>
          <cell r="V3410">
            <v>2931.1076707743214</v>
          </cell>
          <cell r="W3410">
            <v>2637.0160821626159</v>
          </cell>
          <cell r="X3410">
            <v>2913.7304027742352</v>
          </cell>
          <cell r="Y3410">
            <v>3444.9269130450421</v>
          </cell>
          <cell r="Z3410">
            <v>3398.9192815380356</v>
          </cell>
          <cell r="AA3410">
            <v>3671.1670062231556</v>
          </cell>
          <cell r="AB3410">
            <v>4579.3997311575067</v>
          </cell>
          <cell r="AC3410">
            <v>2847.3451930690412</v>
          </cell>
          <cell r="AD3410">
            <v>749.45406599797036</v>
          </cell>
          <cell r="AE3410">
            <v>2692.6024666248018</v>
          </cell>
          <cell r="AF3410">
            <v>2628.8548820496158</v>
          </cell>
          <cell r="AG3410">
            <v>2647.1200857272142</v>
          </cell>
          <cell r="AH3410">
            <v>929.64359682567886</v>
          </cell>
          <cell r="AI3410">
            <v>980.77470383737909</v>
          </cell>
          <cell r="AJ3410">
            <v>829.68246543582507</v>
          </cell>
        </row>
        <row r="3411">
          <cell r="E3411" t="str">
            <v>MT Bunker Fuels Residual Fuel</v>
          </cell>
          <cell r="F3411">
            <v>0</v>
          </cell>
          <cell r="G3411">
            <v>0</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row>
        <row r="3412">
          <cell r="E3412" t="str">
            <v>NC Bunker Fuels Residual Fuel</v>
          </cell>
          <cell r="F3412">
            <v>1852.060929101247</v>
          </cell>
          <cell r="G3412">
            <v>2608.8268134544032</v>
          </cell>
          <cell r="H3412">
            <v>1503.8531016142942</v>
          </cell>
          <cell r="I3412">
            <v>866.52246645746561</v>
          </cell>
          <cell r="J3412">
            <v>124.53567857514889</v>
          </cell>
          <cell r="K3412">
            <v>529.75217435843138</v>
          </cell>
          <cell r="L3412">
            <v>699.69986366399007</v>
          </cell>
          <cell r="M3412">
            <v>1013.7661482396454</v>
          </cell>
          <cell r="N3412">
            <v>756.04471833363095</v>
          </cell>
          <cell r="O3412">
            <v>611.35168886927033</v>
          </cell>
          <cell r="P3412">
            <v>403.9016982912957</v>
          </cell>
          <cell r="Q3412">
            <v>479.64185149523655</v>
          </cell>
          <cell r="R3412">
            <v>3329.9230920716604</v>
          </cell>
          <cell r="S3412">
            <v>4071.726813955735</v>
          </cell>
          <cell r="T3412">
            <v>1898.9964981337769</v>
          </cell>
          <cell r="U3412">
            <v>1763.4697748637091</v>
          </cell>
          <cell r="V3412">
            <v>802.75493872790003</v>
          </cell>
          <cell r="W3412">
            <v>2214.8937787183345</v>
          </cell>
          <cell r="X3412">
            <v>3249.6379627744441</v>
          </cell>
          <cell r="Y3412">
            <v>3325.5273804046901</v>
          </cell>
          <cell r="Z3412">
            <v>1623.5892926349734</v>
          </cell>
          <cell r="AA3412">
            <v>1227.1326159522825</v>
          </cell>
          <cell r="AB3412">
            <v>14.776562543288648</v>
          </cell>
          <cell r="AC3412">
            <v>0</v>
          </cell>
          <cell r="AD3412">
            <v>2.4949815257294792</v>
          </cell>
          <cell r="AE3412">
            <v>50.888405525015386</v>
          </cell>
          <cell r="AF3412">
            <v>95.83805907407752</v>
          </cell>
          <cell r="AG3412">
            <v>117.22393127299148</v>
          </cell>
          <cell r="AH3412">
            <v>117.77868066084982</v>
          </cell>
          <cell r="AI3412">
            <v>169.861700977786</v>
          </cell>
          <cell r="AJ3412">
            <v>4.8436826004523965</v>
          </cell>
        </row>
        <row r="3413">
          <cell r="E3413" t="str">
            <v>ND Bunker Fuels Residual Fuel</v>
          </cell>
          <cell r="F3413">
            <v>0</v>
          </cell>
          <cell r="G3413">
            <v>0</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row>
        <row r="3414">
          <cell r="E3414" t="str">
            <v>NE Bunker Fuels Residual Fuel</v>
          </cell>
          <cell r="F3414">
            <v>0</v>
          </cell>
          <cell r="G3414">
            <v>0</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row>
        <row r="3415">
          <cell r="E3415" t="str">
            <v>NH Bunker Fuels Residual Fuel</v>
          </cell>
          <cell r="F3415">
            <v>0</v>
          </cell>
          <cell r="G3415">
            <v>0</v>
          </cell>
          <cell r="H3415">
            <v>14.288390514150064</v>
          </cell>
          <cell r="I3415">
            <v>4.9532898805898062</v>
          </cell>
          <cell r="J3415">
            <v>36.0267404791283</v>
          </cell>
          <cell r="K3415">
            <v>0</v>
          </cell>
          <cell r="L3415">
            <v>19.663476066394235</v>
          </cell>
          <cell r="M3415">
            <v>14.925209430481754</v>
          </cell>
          <cell r="N3415">
            <v>33.547896936136766</v>
          </cell>
          <cell r="O3415">
            <v>0.6710775948071025</v>
          </cell>
          <cell r="P3415">
            <v>0</v>
          </cell>
          <cell r="Q3415">
            <v>0</v>
          </cell>
          <cell r="R3415">
            <v>0</v>
          </cell>
          <cell r="S3415">
            <v>0</v>
          </cell>
          <cell r="T3415">
            <v>0</v>
          </cell>
          <cell r="U3415">
            <v>0</v>
          </cell>
          <cell r="V3415">
            <v>0</v>
          </cell>
          <cell r="W3415">
            <v>0</v>
          </cell>
          <cell r="X3415">
            <v>0</v>
          </cell>
          <cell r="Y3415">
            <v>0</v>
          </cell>
          <cell r="Z3415">
            <v>0</v>
          </cell>
          <cell r="AA3415">
            <v>0</v>
          </cell>
          <cell r="AB3415">
            <v>7.3406149408595223</v>
          </cell>
          <cell r="AC3415">
            <v>3.1563020763101428</v>
          </cell>
          <cell r="AD3415">
            <v>10.843573554131966</v>
          </cell>
          <cell r="AE3415">
            <v>0</v>
          </cell>
          <cell r="AF3415">
            <v>0</v>
          </cell>
          <cell r="AG3415">
            <v>0</v>
          </cell>
          <cell r="AH3415">
            <v>0</v>
          </cell>
          <cell r="AI3415">
            <v>0</v>
          </cell>
          <cell r="AJ3415">
            <v>0</v>
          </cell>
        </row>
        <row r="3416">
          <cell r="E3416" t="str">
            <v>NJ Bunker Fuels Residual Fuel</v>
          </cell>
          <cell r="F3416">
            <v>31558.005026855477</v>
          </cell>
          <cell r="G3416">
            <v>49292.934173911752</v>
          </cell>
          <cell r="H3416">
            <v>37430.99045012219</v>
          </cell>
          <cell r="I3416">
            <v>23409.95558850751</v>
          </cell>
          <cell r="J3416">
            <v>23029.363579516295</v>
          </cell>
          <cell r="K3416">
            <v>29091.12733187003</v>
          </cell>
          <cell r="L3416">
            <v>23642.084085033846</v>
          </cell>
          <cell r="M3416">
            <v>33340.736490933326</v>
          </cell>
          <cell r="N3416">
            <v>36825.431220402235</v>
          </cell>
          <cell r="O3416">
            <v>30039.865799847081</v>
          </cell>
          <cell r="P3416">
            <v>38586.67600238532</v>
          </cell>
          <cell r="Q3416">
            <v>47702.54800163085</v>
          </cell>
          <cell r="R3416">
            <v>60243.011263375862</v>
          </cell>
          <cell r="S3416">
            <v>62164.627224739401</v>
          </cell>
          <cell r="T3416">
            <v>58342.610929779286</v>
          </cell>
          <cell r="U3416">
            <v>75429.676469521874</v>
          </cell>
          <cell r="V3416">
            <v>66672.933318121824</v>
          </cell>
          <cell r="W3416">
            <v>72486.350303640924</v>
          </cell>
          <cell r="X3416">
            <v>117464.80699171127</v>
          </cell>
          <cell r="Y3416">
            <v>49806.342131606725</v>
          </cell>
          <cell r="Z3416">
            <v>34077.175903764553</v>
          </cell>
          <cell r="AA3416">
            <v>27679.65571597193</v>
          </cell>
          <cell r="AB3416">
            <v>27606.432137325981</v>
          </cell>
          <cell r="AC3416">
            <v>22750.445005924863</v>
          </cell>
          <cell r="AD3416">
            <v>9521.7131496349066</v>
          </cell>
          <cell r="AE3416">
            <v>20386.137579061757</v>
          </cell>
          <cell r="AF3416">
            <v>18022.785433388082</v>
          </cell>
          <cell r="AG3416">
            <v>13682.743259265006</v>
          </cell>
          <cell r="AH3416">
            <v>33353.74146872916</v>
          </cell>
          <cell r="AI3416">
            <v>3024.490485854918</v>
          </cell>
          <cell r="AJ3416">
            <v>27105.44965223996</v>
          </cell>
        </row>
        <row r="3417">
          <cell r="E3417" t="str">
            <v>NM Bunker Fuels Residual Fuel</v>
          </cell>
          <cell r="F3417">
            <v>0</v>
          </cell>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row>
        <row r="3418">
          <cell r="E3418" t="str">
            <v>NV Bunker Fuels Residual Fuel</v>
          </cell>
          <cell r="F3418">
            <v>0</v>
          </cell>
          <cell r="G3418">
            <v>0</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row>
        <row r="3419">
          <cell r="E3419" t="str">
            <v>NY Bunker Fuels Residual Fuel</v>
          </cell>
          <cell r="F3419">
            <v>4911.6778020804923</v>
          </cell>
          <cell r="G3419">
            <v>18721.166524346383</v>
          </cell>
          <cell r="H3419">
            <v>13911.483184373235</v>
          </cell>
          <cell r="I3419">
            <v>11677.128174619009</v>
          </cell>
          <cell r="J3419">
            <v>11117.560003152405</v>
          </cell>
          <cell r="K3419">
            <v>8157.9168313408045</v>
          </cell>
          <cell r="L3419">
            <v>25685.392090823083</v>
          </cell>
          <cell r="M3419">
            <v>26176.865582908704</v>
          </cell>
          <cell r="N3419">
            <v>22425.446235208998</v>
          </cell>
          <cell r="O3419">
            <v>28863.382891450881</v>
          </cell>
          <cell r="P3419">
            <v>25458.069531047611</v>
          </cell>
          <cell r="Q3419">
            <v>14567.723268254176</v>
          </cell>
          <cell r="R3419">
            <v>15967.758190017248</v>
          </cell>
          <cell r="S3419">
            <v>23876.802857667921</v>
          </cell>
          <cell r="T3419">
            <v>27559.269223723612</v>
          </cell>
          <cell r="U3419">
            <v>24934.170138407277</v>
          </cell>
          <cell r="V3419">
            <v>27225.122270540069</v>
          </cell>
          <cell r="W3419">
            <v>27227.560741429159</v>
          </cell>
          <cell r="X3419">
            <v>46023.444300265823</v>
          </cell>
          <cell r="Y3419">
            <v>56199.093267719538</v>
          </cell>
          <cell r="Z3419">
            <v>52933.518566620085</v>
          </cell>
          <cell r="AA3419">
            <v>21166.360903909132</v>
          </cell>
          <cell r="AB3419">
            <v>21286.639336553781</v>
          </cell>
          <cell r="AC3419">
            <v>25723.411021631047</v>
          </cell>
          <cell r="AD3419">
            <v>40410.256163961247</v>
          </cell>
          <cell r="AE3419">
            <v>27030.951711925791</v>
          </cell>
          <cell r="AF3419">
            <v>22577.169987075304</v>
          </cell>
          <cell r="AG3419">
            <v>15743.39840458817</v>
          </cell>
          <cell r="AH3419">
            <v>14326.113927348753</v>
          </cell>
          <cell r="AI3419">
            <v>5716.3223421276634</v>
          </cell>
          <cell r="AJ3419">
            <v>9062.5301454464334</v>
          </cell>
        </row>
        <row r="3420">
          <cell r="E3420" t="str">
            <v>OH Bunker Fuels Residual Fuel</v>
          </cell>
          <cell r="F3420">
            <v>22.96551026861848</v>
          </cell>
          <cell r="G3420">
            <v>38.814079416358709</v>
          </cell>
          <cell r="H3420">
            <v>215.65263683142206</v>
          </cell>
          <cell r="I3420">
            <v>61.157966892996591</v>
          </cell>
          <cell r="J3420">
            <v>238.06859586883428</v>
          </cell>
          <cell r="K3420">
            <v>204.96787148834613</v>
          </cell>
          <cell r="L3420">
            <v>329.85716310420185</v>
          </cell>
          <cell r="M3420">
            <v>299.88190024937188</v>
          </cell>
          <cell r="N3420">
            <v>321.1920100983441</v>
          </cell>
          <cell r="O3420">
            <v>33.553879740355121</v>
          </cell>
          <cell r="P3420">
            <v>38.727452717810344</v>
          </cell>
          <cell r="Q3420">
            <v>312.98796680493763</v>
          </cell>
          <cell r="R3420">
            <v>427.56145825949318</v>
          </cell>
          <cell r="S3420">
            <v>85.256461660405449</v>
          </cell>
          <cell r="T3420">
            <v>5.3064358181830578</v>
          </cell>
          <cell r="U3420">
            <v>0</v>
          </cell>
          <cell r="V3420">
            <v>2.3959724358605894</v>
          </cell>
          <cell r="W3420">
            <v>12.771216187008518</v>
          </cell>
          <cell r="X3420">
            <v>0</v>
          </cell>
          <cell r="Y3420">
            <v>0</v>
          </cell>
          <cell r="Z3420">
            <v>0</v>
          </cell>
          <cell r="AA3420">
            <v>0</v>
          </cell>
          <cell r="AB3420">
            <v>0</v>
          </cell>
          <cell r="AC3420">
            <v>0</v>
          </cell>
          <cell r="AD3420">
            <v>2.3030598699041342</v>
          </cell>
          <cell r="AE3420">
            <v>35.74304673780842</v>
          </cell>
          <cell r="AF3420">
            <v>5.2303274615066382</v>
          </cell>
          <cell r="AG3420">
            <v>0</v>
          </cell>
          <cell r="AH3420">
            <v>31.542311575399097</v>
          </cell>
          <cell r="AI3420">
            <v>96.142337081459345</v>
          </cell>
          <cell r="AJ3420">
            <v>53.280508604976362</v>
          </cell>
        </row>
        <row r="3421">
          <cell r="E3421" t="str">
            <v>OK Bunker Fuels Residual Fuel</v>
          </cell>
          <cell r="F3421">
            <v>0</v>
          </cell>
          <cell r="G3421">
            <v>0</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row>
        <row r="3422">
          <cell r="E3422" t="str">
            <v>OR Bunker Fuels Residual Fuel</v>
          </cell>
          <cell r="F3422">
            <v>16646.03537401243</v>
          </cell>
          <cell r="G3422">
            <v>28460.305396437048</v>
          </cell>
          <cell r="H3422">
            <v>22978.997864585108</v>
          </cell>
          <cell r="I3422">
            <v>14174.192799727773</v>
          </cell>
          <cell r="J3422">
            <v>14597.353655160749</v>
          </cell>
          <cell r="K3422">
            <v>11498.999798112463</v>
          </cell>
          <cell r="L3422">
            <v>12133.305569140668</v>
          </cell>
          <cell r="M3422">
            <v>16575.363546976481</v>
          </cell>
          <cell r="N3422">
            <v>20438.923921681482</v>
          </cell>
          <cell r="O3422">
            <v>11103.81765307702</v>
          </cell>
          <cell r="P3422">
            <v>4006.5247193625937</v>
          </cell>
          <cell r="Q3422">
            <v>5400.5782264170557</v>
          </cell>
          <cell r="R3422">
            <v>5090.7317486334978</v>
          </cell>
          <cell r="S3422">
            <v>7937.9855553098923</v>
          </cell>
          <cell r="T3422">
            <v>8102.4558111816905</v>
          </cell>
          <cell r="U3422">
            <v>8207.124157084565</v>
          </cell>
          <cell r="V3422">
            <v>6511.1071808084525</v>
          </cell>
          <cell r="W3422">
            <v>8397.8908485038864</v>
          </cell>
          <cell r="X3422">
            <v>6614.1916697594861</v>
          </cell>
          <cell r="Y3422">
            <v>3726.425148938853</v>
          </cell>
          <cell r="Z3422">
            <v>6885.098502788619</v>
          </cell>
          <cell r="AA3422">
            <v>3882.604399986124</v>
          </cell>
          <cell r="AB3422">
            <v>3471.9202017034149</v>
          </cell>
          <cell r="AC3422">
            <v>2503.2180866919125</v>
          </cell>
          <cell r="AD3422">
            <v>590.35101331875978</v>
          </cell>
          <cell r="AE3422">
            <v>1387.7995163893479</v>
          </cell>
          <cell r="AF3422">
            <v>0</v>
          </cell>
          <cell r="AG3422">
            <v>0</v>
          </cell>
          <cell r="AH3422">
            <v>0</v>
          </cell>
          <cell r="AI3422">
            <v>1371.9480785122623</v>
          </cell>
          <cell r="AJ3422">
            <v>2717.7095790704989</v>
          </cell>
        </row>
        <row r="3423">
          <cell r="E3423" t="str">
            <v>PA Bunker Fuels Residual Fuel</v>
          </cell>
          <cell r="F3423">
            <v>24849.36089419993</v>
          </cell>
          <cell r="G3423">
            <v>28093.465011709264</v>
          </cell>
          <cell r="H3423">
            <v>27356.45041845947</v>
          </cell>
          <cell r="I3423">
            <v>22338.831923717109</v>
          </cell>
          <cell r="J3423">
            <v>22070.662804496031</v>
          </cell>
          <cell r="K3423">
            <v>17215.079090195748</v>
          </cell>
          <cell r="L3423">
            <v>13185.724914971701</v>
          </cell>
          <cell r="M3423">
            <v>23441.993168727888</v>
          </cell>
          <cell r="N3423">
            <v>30564.250695378079</v>
          </cell>
          <cell r="O3423">
            <v>23048.914955944092</v>
          </cell>
          <cell r="P3423">
            <v>14829.358236578362</v>
          </cell>
          <cell r="Q3423">
            <v>11150.13724823237</v>
          </cell>
          <cell r="R3423">
            <v>11997.74309025886</v>
          </cell>
          <cell r="S3423">
            <v>15318.515646305965</v>
          </cell>
          <cell r="T3423">
            <v>18668.159129163956</v>
          </cell>
          <cell r="U3423">
            <v>20005.475189319433</v>
          </cell>
          <cell r="V3423">
            <v>17270.065144968525</v>
          </cell>
          <cell r="W3423">
            <v>13095.297800776591</v>
          </cell>
          <cell r="X3423">
            <v>15655.433737830341</v>
          </cell>
          <cell r="Y3423">
            <v>11565.017645534341</v>
          </cell>
          <cell r="Z3423">
            <v>3491.7233610665735</v>
          </cell>
          <cell r="AA3423">
            <v>1887.1355773435703</v>
          </cell>
          <cell r="AB3423">
            <v>5146.2477368503733</v>
          </cell>
          <cell r="AC3423">
            <v>4136.1986009154571</v>
          </cell>
          <cell r="AD3423">
            <v>2957.032912128996</v>
          </cell>
          <cell r="AE3423">
            <v>1821.0779405737649</v>
          </cell>
          <cell r="AF3423">
            <v>1912.9153524657368</v>
          </cell>
          <cell r="AG3423">
            <v>827.99112575149798</v>
          </cell>
          <cell r="AH3423">
            <v>879.14482213600047</v>
          </cell>
          <cell r="AI3423">
            <v>1076.3027128863691</v>
          </cell>
          <cell r="AJ3423">
            <v>508.58667304750168</v>
          </cell>
        </row>
        <row r="3424">
          <cell r="E3424" t="str">
            <v>RI Bunker Fuels Residual Fuel</v>
          </cell>
          <cell r="F3424">
            <v>0</v>
          </cell>
          <cell r="G3424">
            <v>31.832278545733214</v>
          </cell>
          <cell r="H3424">
            <v>0</v>
          </cell>
          <cell r="I3424">
            <v>20.824035008193878</v>
          </cell>
          <cell r="J3424">
            <v>36.31884918571582</v>
          </cell>
          <cell r="K3424">
            <v>3.6442683135395453</v>
          </cell>
          <cell r="L3424">
            <v>8.5616091963726095</v>
          </cell>
          <cell r="M3424">
            <v>6.8885581986838869</v>
          </cell>
          <cell r="N3424">
            <v>6.8789063118261504</v>
          </cell>
          <cell r="O3424">
            <v>15.35089998121247</v>
          </cell>
          <cell r="P3424">
            <v>17.319969909575288</v>
          </cell>
          <cell r="Q3424">
            <v>0</v>
          </cell>
          <cell r="R3424">
            <v>0</v>
          </cell>
          <cell r="S3424">
            <v>0</v>
          </cell>
          <cell r="T3424">
            <v>0</v>
          </cell>
          <cell r="U3424">
            <v>0</v>
          </cell>
          <cell r="V3424">
            <v>17.709361482447832</v>
          </cell>
          <cell r="W3424">
            <v>6.1455476388612418</v>
          </cell>
          <cell r="X3424">
            <v>11.578726123061314</v>
          </cell>
          <cell r="Y3424">
            <v>813.52463023056794</v>
          </cell>
          <cell r="Z3424">
            <v>356.6328199025229</v>
          </cell>
          <cell r="AA3424">
            <v>171.87813944602604</v>
          </cell>
          <cell r="AB3424">
            <v>4.2899697706321884</v>
          </cell>
          <cell r="AC3424">
            <v>23.446815424018205</v>
          </cell>
          <cell r="AD3424">
            <v>16.505262400979628</v>
          </cell>
          <cell r="AE3424">
            <v>0.72697722178593394</v>
          </cell>
          <cell r="AF3424">
            <v>8.1531575135250538</v>
          </cell>
          <cell r="AG3424">
            <v>45.059567101989359</v>
          </cell>
          <cell r="AH3424">
            <v>8.856708176343588</v>
          </cell>
          <cell r="AI3424">
            <v>27.491179453005149</v>
          </cell>
          <cell r="AJ3424">
            <v>0</v>
          </cell>
        </row>
        <row r="3425">
          <cell r="E3425" t="str">
            <v>SC Bunker Fuels Residual Fuel</v>
          </cell>
          <cell r="F3425">
            <v>2240.2119918186363</v>
          </cell>
          <cell r="G3425">
            <v>1450.4395469704534</v>
          </cell>
          <cell r="H3425">
            <v>1605.8109739259794</v>
          </cell>
          <cell r="I3425">
            <v>1715.1524368156581</v>
          </cell>
          <cell r="J3425">
            <v>152.48074483868893</v>
          </cell>
          <cell r="K3425">
            <v>1445.6190207660284</v>
          </cell>
          <cell r="L3425">
            <v>2377.6811825354789</v>
          </cell>
          <cell r="M3425">
            <v>2246.1292099841926</v>
          </cell>
          <cell r="N3425">
            <v>1842.5944276185398</v>
          </cell>
          <cell r="O3425">
            <v>1754.2807175251169</v>
          </cell>
          <cell r="P3425">
            <v>1178.6585922864174</v>
          </cell>
          <cell r="Q3425">
            <v>1283.2191603303595</v>
          </cell>
          <cell r="R3425">
            <v>2152.2538123042846</v>
          </cell>
          <cell r="S3425">
            <v>3092.0082745324476</v>
          </cell>
          <cell r="T3425">
            <v>9434.2532807496791</v>
          </cell>
          <cell r="U3425">
            <v>6852.3781632253394</v>
          </cell>
          <cell r="V3425">
            <v>7150.7276484686272</v>
          </cell>
          <cell r="W3425">
            <v>6025.325363176019</v>
          </cell>
          <cell r="X3425">
            <v>6337.1737598260297</v>
          </cell>
          <cell r="Y3425">
            <v>8835.0382651315849</v>
          </cell>
          <cell r="Z3425">
            <v>9559.9049144468445</v>
          </cell>
          <cell r="AA3425">
            <v>11229.144425104065</v>
          </cell>
          <cell r="AB3425">
            <v>9452.2333946262552</v>
          </cell>
          <cell r="AC3425">
            <v>6362.2031852480168</v>
          </cell>
          <cell r="AD3425">
            <v>5000.8066250130905</v>
          </cell>
          <cell r="AE3425">
            <v>9107.9341231450744</v>
          </cell>
          <cell r="AF3425">
            <v>6820.1931766440239</v>
          </cell>
          <cell r="AG3425">
            <v>10000.288982309325</v>
          </cell>
          <cell r="AH3425">
            <v>10380.217363519885</v>
          </cell>
          <cell r="AI3425">
            <v>531.85449411037337</v>
          </cell>
          <cell r="AJ3425">
            <v>151.76872148084175</v>
          </cell>
        </row>
        <row r="3426">
          <cell r="E3426" t="str">
            <v>SD Bunker Fuels Residual Fuel</v>
          </cell>
          <cell r="F3426">
            <v>0</v>
          </cell>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row>
        <row r="3427">
          <cell r="E3427" t="str">
            <v>TN Bunker Fuels Residual Fuel</v>
          </cell>
          <cell r="F3427">
            <v>3.2807871812312115</v>
          </cell>
          <cell r="G3427">
            <v>250.63481769465776</v>
          </cell>
          <cell r="H3427">
            <v>174.82866393385044</v>
          </cell>
          <cell r="I3427">
            <v>57.518815143991837</v>
          </cell>
          <cell r="J3427">
            <v>9.4448481796633637</v>
          </cell>
          <cell r="K3427">
            <v>6.8441136620132923</v>
          </cell>
          <cell r="L3427">
            <v>8.3734419612874973</v>
          </cell>
          <cell r="M3427">
            <v>20.550865292740262</v>
          </cell>
          <cell r="N3427">
            <v>0</v>
          </cell>
          <cell r="O3427">
            <v>0</v>
          </cell>
          <cell r="P3427">
            <v>0</v>
          </cell>
          <cell r="Q3427">
            <v>19.374695479117928</v>
          </cell>
          <cell r="R3427">
            <v>11.668343890122621</v>
          </cell>
          <cell r="S3427">
            <v>42.75002577543188</v>
          </cell>
          <cell r="T3427">
            <v>199.28614517176371</v>
          </cell>
          <cell r="U3427">
            <v>256.47613598030529</v>
          </cell>
          <cell r="V3427">
            <v>51.044630155290811</v>
          </cell>
          <cell r="W3427">
            <v>18.244594552869312</v>
          </cell>
          <cell r="X3427">
            <v>198.83038299493458</v>
          </cell>
          <cell r="Y3427">
            <v>0</v>
          </cell>
          <cell r="Z3427">
            <v>0</v>
          </cell>
          <cell r="AA3427">
            <v>0</v>
          </cell>
          <cell r="AB3427">
            <v>223.93642202700022</v>
          </cell>
          <cell r="AC3427">
            <v>211.74277929074901</v>
          </cell>
          <cell r="AD3427">
            <v>24.853854429382118</v>
          </cell>
          <cell r="AE3427">
            <v>64.943298479543444</v>
          </cell>
          <cell r="AF3427">
            <v>0</v>
          </cell>
          <cell r="AG3427">
            <v>61.97848501767885</v>
          </cell>
          <cell r="AH3427">
            <v>0</v>
          </cell>
          <cell r="AI3427">
            <v>52.52504677613274</v>
          </cell>
          <cell r="AJ3427">
            <v>0</v>
          </cell>
        </row>
        <row r="3428">
          <cell r="E3428" t="str">
            <v>TX Bunker Fuels Residual Fuel</v>
          </cell>
          <cell r="F3428">
            <v>116395.88074631337</v>
          </cell>
          <cell r="G3428">
            <v>135067.55293096139</v>
          </cell>
          <cell r="H3428">
            <v>118088.85284256705</v>
          </cell>
          <cell r="I3428">
            <v>74757.476979027371</v>
          </cell>
          <cell r="J3428">
            <v>71085.43270462552</v>
          </cell>
          <cell r="K3428">
            <v>72965.806827467823</v>
          </cell>
          <cell r="L3428">
            <v>71203.140341529288</v>
          </cell>
          <cell r="M3428">
            <v>103606.90035009176</v>
          </cell>
          <cell r="N3428">
            <v>137442.55886751608</v>
          </cell>
          <cell r="O3428">
            <v>81191.664962926909</v>
          </cell>
          <cell r="P3428">
            <v>65609.916574221425</v>
          </cell>
          <cell r="Q3428">
            <v>73878.234147467447</v>
          </cell>
          <cell r="R3428">
            <v>67141.317650035591</v>
          </cell>
          <cell r="S3428">
            <v>86727.013829102216</v>
          </cell>
          <cell r="T3428">
            <v>95770.671567363781</v>
          </cell>
          <cell r="U3428">
            <v>98386.310136892906</v>
          </cell>
          <cell r="V3428">
            <v>99926.426410001732</v>
          </cell>
          <cell r="W3428">
            <v>113640.29813982079</v>
          </cell>
          <cell r="X3428">
            <v>111717.52575200421</v>
          </cell>
          <cell r="Y3428">
            <v>105477.75799458899</v>
          </cell>
          <cell r="Z3428">
            <v>121804.26965819807</v>
          </cell>
          <cell r="AA3428">
            <v>111839.69575490407</v>
          </cell>
          <cell r="AB3428">
            <v>82571.145493912263</v>
          </cell>
          <cell r="AC3428">
            <v>77449.430528557597</v>
          </cell>
          <cell r="AD3428">
            <v>100616.27151802766</v>
          </cell>
          <cell r="AE3428">
            <v>106055.43548885189</v>
          </cell>
          <cell r="AF3428">
            <v>129234.93058108247</v>
          </cell>
          <cell r="AG3428">
            <v>119643.68181897418</v>
          </cell>
          <cell r="AH3428">
            <v>100032.16818813526</v>
          </cell>
          <cell r="AI3428">
            <v>97411.999542565449</v>
          </cell>
          <cell r="AJ3428">
            <v>95086.736769697702</v>
          </cell>
        </row>
        <row r="3429">
          <cell r="E3429" t="str">
            <v>US Bunker Fuels Residual Fuel</v>
          </cell>
          <cell r="F3429">
            <v>715700.55592900002</v>
          </cell>
          <cell r="G3429">
            <v>801507.663222</v>
          </cell>
          <cell r="H3429">
            <v>669841.78850199992</v>
          </cell>
          <cell r="I3429">
            <v>533931.18914899998</v>
          </cell>
          <cell r="J3429">
            <v>524472.127308</v>
          </cell>
          <cell r="K3429">
            <v>523211.06827400002</v>
          </cell>
          <cell r="L3429">
            <v>536392.62509300001</v>
          </cell>
          <cell r="M3429">
            <v>575201.38333899993</v>
          </cell>
          <cell r="N3429">
            <v>594804.95348299993</v>
          </cell>
          <cell r="O3429">
            <v>489729.61205199995</v>
          </cell>
          <cell r="P3429">
            <v>444074.53713799996</v>
          </cell>
          <cell r="Q3429">
            <v>426036.79463999998</v>
          </cell>
          <cell r="R3429">
            <v>448926.01071049995</v>
          </cell>
          <cell r="S3429">
            <v>471815.22678099998</v>
          </cell>
          <cell r="T3429">
            <v>553102.0690919999</v>
          </cell>
          <cell r="U3429">
            <v>581004.83759499993</v>
          </cell>
          <cell r="V3429">
            <v>599367.29735599994</v>
          </cell>
          <cell r="W3429">
            <v>607538.37294199993</v>
          </cell>
          <cell r="X3429">
            <v>654610.12900099996</v>
          </cell>
          <cell r="Y3429">
            <v>604779.58704599994</v>
          </cell>
          <cell r="Z3429">
            <v>619807.47230299993</v>
          </cell>
          <cell r="AA3429">
            <v>518370.600095</v>
          </cell>
          <cell r="AB3429">
            <v>459456.52509599994</v>
          </cell>
          <cell r="AC3429">
            <v>379793.77073972992</v>
          </cell>
          <cell r="AD3429">
            <v>369176.94659499999</v>
          </cell>
          <cell r="AE3429">
            <v>406849.53077499993</v>
          </cell>
          <cell r="AF3429">
            <v>450681.01104299998</v>
          </cell>
          <cell r="AG3429">
            <v>445324.04695299995</v>
          </cell>
          <cell r="AH3429">
            <v>417566.28810499999</v>
          </cell>
          <cell r="AI3429">
            <v>336226.33963074</v>
          </cell>
          <cell r="AJ3429">
            <v>293988.32453499996</v>
          </cell>
        </row>
        <row r="3430">
          <cell r="E3430" t="str">
            <v>UT Bunker Fuels Residual Fuel</v>
          </cell>
          <cell r="F3430">
            <v>0</v>
          </cell>
          <cell r="G3430">
            <v>0</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row>
        <row r="3431">
          <cell r="E3431" t="str">
            <v>VA Bunker Fuels Residual Fuel</v>
          </cell>
          <cell r="F3431">
            <v>13562.208554247549</v>
          </cell>
          <cell r="G3431">
            <v>17685.966625766181</v>
          </cell>
          <cell r="H3431">
            <v>10330.608401662741</v>
          </cell>
          <cell r="I3431">
            <v>8039.5938263915896</v>
          </cell>
          <cell r="J3431">
            <v>6953.2582820406233</v>
          </cell>
          <cell r="K3431">
            <v>6692.2987771468161</v>
          </cell>
          <cell r="L3431">
            <v>4522.1290771829608</v>
          </cell>
          <cell r="M3431">
            <v>7026.0997440509418</v>
          </cell>
          <cell r="N3431">
            <v>6642.8010813387018</v>
          </cell>
          <cell r="O3431">
            <v>5256.2991460259809</v>
          </cell>
          <cell r="P3431">
            <v>13184.307494566901</v>
          </cell>
          <cell r="Q3431">
            <v>4692.1416986338609</v>
          </cell>
          <cell r="R3431">
            <v>3446.7917427806665</v>
          </cell>
          <cell r="S3431">
            <v>7793.2931603776624</v>
          </cell>
          <cell r="T3431">
            <v>6821.6001254682596</v>
          </cell>
          <cell r="U3431">
            <v>7205.3413844825745</v>
          </cell>
          <cell r="V3431">
            <v>6988.2182136885176</v>
          </cell>
          <cell r="W3431">
            <v>4577.1846765874816</v>
          </cell>
          <cell r="X3431">
            <v>4309.9006688388536</v>
          </cell>
          <cell r="Y3431">
            <v>2699.4046656427545</v>
          </cell>
          <cell r="Z3431">
            <v>3456.0480265984602</v>
          </cell>
          <cell r="AA3431">
            <v>4472.2419061412411</v>
          </cell>
          <cell r="AB3431">
            <v>4585.0243581901132</v>
          </cell>
          <cell r="AC3431">
            <v>2667.435974719363</v>
          </cell>
          <cell r="AD3431">
            <v>2588.1594896326837</v>
          </cell>
          <cell r="AE3431">
            <v>1420.7558171103103</v>
          </cell>
          <cell r="AF3431">
            <v>2096.8998125822645</v>
          </cell>
          <cell r="AG3431">
            <v>3217.8746023524127</v>
          </cell>
          <cell r="AH3431">
            <v>1122.7819874080485</v>
          </cell>
          <cell r="AI3431">
            <v>850.38357894575142</v>
          </cell>
          <cell r="AJ3431">
            <v>1735.6529318287755</v>
          </cell>
        </row>
        <row r="3432">
          <cell r="E3432" t="str">
            <v>VT Bunker Fuels Residual Fuel</v>
          </cell>
          <cell r="F3432">
            <v>0</v>
          </cell>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21.844308809821843</v>
          </cell>
          <cell r="AG3432">
            <v>30.730279479517648</v>
          </cell>
          <cell r="AH3432">
            <v>0</v>
          </cell>
          <cell r="AI3432">
            <v>0</v>
          </cell>
          <cell r="AJ3432">
            <v>0</v>
          </cell>
        </row>
        <row r="3433">
          <cell r="E3433" t="str">
            <v>WA Bunker Fuels Residual Fuel</v>
          </cell>
          <cell r="F3433">
            <v>63514.682261526781</v>
          </cell>
          <cell r="G3433">
            <v>78854.115731356069</v>
          </cell>
          <cell r="H3433">
            <v>87986.071707355717</v>
          </cell>
          <cell r="I3433">
            <v>55648.493320100555</v>
          </cell>
          <cell r="J3433">
            <v>54899.981381317259</v>
          </cell>
          <cell r="K3433">
            <v>60312.462819893452</v>
          </cell>
          <cell r="L3433">
            <v>49046.542493874862</v>
          </cell>
          <cell r="M3433">
            <v>64368.754375961849</v>
          </cell>
          <cell r="N3433">
            <v>51871.821740251391</v>
          </cell>
          <cell r="O3433">
            <v>35364.782629942092</v>
          </cell>
          <cell r="P3433">
            <v>20965.546456022334</v>
          </cell>
          <cell r="Q3433">
            <v>28792.215142614055</v>
          </cell>
          <cell r="R3433">
            <v>22069.283379608591</v>
          </cell>
          <cell r="S3433">
            <v>31188.518804609517</v>
          </cell>
          <cell r="T3433">
            <v>30835.344777073871</v>
          </cell>
          <cell r="U3433">
            <v>34097.189605444684</v>
          </cell>
          <cell r="V3433">
            <v>25845.979701915789</v>
          </cell>
          <cell r="W3433">
            <v>38467.19122781523</v>
          </cell>
          <cell r="X3433">
            <v>20044.268948196303</v>
          </cell>
          <cell r="Y3433">
            <v>33716.793851846589</v>
          </cell>
          <cell r="Z3433">
            <v>28299.700116387965</v>
          </cell>
          <cell r="AA3433">
            <v>32710.046871240149</v>
          </cell>
          <cell r="AB3433">
            <v>42662.891374982988</v>
          </cell>
          <cell r="AC3433">
            <v>39428.345177147654</v>
          </cell>
          <cell r="AD3433">
            <v>33758.443494710627</v>
          </cell>
          <cell r="AE3433">
            <v>48246.691463915595</v>
          </cell>
          <cell r="AF3433">
            <v>81397.740285500229</v>
          </cell>
          <cell r="AG3433">
            <v>57615.475899665536</v>
          </cell>
          <cell r="AH3433">
            <v>44796.608432565074</v>
          </cell>
          <cell r="AI3433">
            <v>48665.377330135685</v>
          </cell>
          <cell r="AJ3433">
            <v>27940.581260601299</v>
          </cell>
        </row>
        <row r="3434">
          <cell r="E3434" t="str">
            <v>WI Bunker Fuels Residual Fuel</v>
          </cell>
          <cell r="F3434">
            <v>7.353488509656164</v>
          </cell>
          <cell r="G3434">
            <v>1.4200272957204407</v>
          </cell>
          <cell r="H3434">
            <v>32.046818724593713</v>
          </cell>
          <cell r="I3434">
            <v>40.030669239052315</v>
          </cell>
          <cell r="J3434">
            <v>42.745240730641413</v>
          </cell>
          <cell r="K3434">
            <v>79.818364525817358</v>
          </cell>
          <cell r="L3434">
            <v>126.16613112456778</v>
          </cell>
          <cell r="M3434">
            <v>61.997023788154976</v>
          </cell>
          <cell r="N3434">
            <v>76.40877472520738</v>
          </cell>
          <cell r="O3434">
            <v>30.282376465670499</v>
          </cell>
          <cell r="P3434">
            <v>21.199643169320154</v>
          </cell>
          <cell r="Q3434">
            <v>12.601427953897842</v>
          </cell>
          <cell r="R3434">
            <v>17.132092219624482</v>
          </cell>
          <cell r="S3434">
            <v>12.910264194289967</v>
          </cell>
          <cell r="T3434">
            <v>15.565545066670301</v>
          </cell>
          <cell r="U3434">
            <v>442.71864942182179</v>
          </cell>
          <cell r="V3434">
            <v>545.23998823018792</v>
          </cell>
          <cell r="W3434">
            <v>136.64241078280543</v>
          </cell>
          <cell r="X3434">
            <v>28.884564091937897</v>
          </cell>
          <cell r="Y3434">
            <v>0</v>
          </cell>
          <cell r="Z3434">
            <v>0</v>
          </cell>
          <cell r="AA3434">
            <v>0</v>
          </cell>
          <cell r="AB3434">
            <v>0</v>
          </cell>
          <cell r="AC3434">
            <v>0</v>
          </cell>
          <cell r="AD3434">
            <v>0</v>
          </cell>
          <cell r="AE3434">
            <v>0</v>
          </cell>
          <cell r="AF3434">
            <v>0</v>
          </cell>
          <cell r="AG3434">
            <v>0</v>
          </cell>
          <cell r="AH3434">
            <v>14.295037758308951</v>
          </cell>
          <cell r="AI3434">
            <v>25.341031339362289</v>
          </cell>
          <cell r="AJ3434">
            <v>41.978582537254098</v>
          </cell>
        </row>
        <row r="3435">
          <cell r="E3435" t="str">
            <v>WV Bunker Fuels Residual Fuel</v>
          </cell>
          <cell r="F3435">
            <v>0</v>
          </cell>
          <cell r="G3435">
            <v>0</v>
          </cell>
          <cell r="H3435">
            <v>0</v>
          </cell>
          <cell r="I3435">
            <v>0</v>
          </cell>
          <cell r="J3435">
            <v>0</v>
          </cell>
          <cell r="K3435">
            <v>0</v>
          </cell>
          <cell r="L3435">
            <v>16.088298599777101</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row>
        <row r="3436">
          <cell r="E3436" t="str">
            <v>WY Bunker Fuels Residual Fuel</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row>
        <row r="3437">
          <cell r="E3437" t="str">
            <v>AK Bunker Fuels Jet Fuel, Kerosene</v>
          </cell>
          <cell r="F3437">
            <v>16956.378956080098</v>
          </cell>
          <cell r="G3437">
            <v>20774.619156456607</v>
          </cell>
          <cell r="H3437">
            <v>18220.378072766132</v>
          </cell>
          <cell r="I3437">
            <v>18185.935214797093</v>
          </cell>
          <cell r="J3437">
            <v>19721.790388587207</v>
          </cell>
          <cell r="K3437">
            <v>21592.673987660797</v>
          </cell>
          <cell r="L3437">
            <v>23248.530487902568</v>
          </cell>
          <cell r="M3437">
            <v>27343.72127608705</v>
          </cell>
          <cell r="N3437">
            <v>27758.512368115989</v>
          </cell>
          <cell r="O3437">
            <v>30929.449930799612</v>
          </cell>
          <cell r="P3437">
            <v>36115.73559281959</v>
          </cell>
          <cell r="Q3437">
            <v>32178.106987079304</v>
          </cell>
          <cell r="R3437">
            <v>33268.257495824029</v>
          </cell>
          <cell r="S3437">
            <v>37266.877897060185</v>
          </cell>
          <cell r="T3437">
            <v>41463.400153949224</v>
          </cell>
          <cell r="U3437">
            <v>44530.228624533789</v>
          </cell>
          <cell r="V3437">
            <v>45631.841692626534</v>
          </cell>
          <cell r="W3437">
            <v>42871.954668987077</v>
          </cell>
          <cell r="X3437">
            <v>33746.9765128043</v>
          </cell>
          <cell r="Y3437">
            <v>27653.076270929367</v>
          </cell>
          <cell r="Z3437">
            <v>32912.265312880256</v>
          </cell>
          <cell r="AA3437">
            <v>32286.576270079513</v>
          </cell>
          <cell r="AB3437">
            <v>29505.472487159408</v>
          </cell>
          <cell r="AC3437">
            <v>27326.497369659271</v>
          </cell>
          <cell r="AD3437">
            <v>28361.706378844257</v>
          </cell>
          <cell r="AE3437">
            <v>29807.532126359743</v>
          </cell>
          <cell r="AF3437">
            <v>28538.30049532199</v>
          </cell>
          <cell r="AG3437">
            <v>29282.045210383185</v>
          </cell>
          <cell r="AH3437">
            <v>30676.197503427684</v>
          </cell>
          <cell r="AI3437">
            <v>29578.295505324779</v>
          </cell>
          <cell r="AJ3437">
            <v>26320.556672565697</v>
          </cell>
        </row>
        <row r="3438">
          <cell r="E3438" t="str">
            <v>AL Bunker Fuels Jet Fuel, Kerosene</v>
          </cell>
          <cell r="F3438">
            <v>1826.7348155527079</v>
          </cell>
          <cell r="G3438">
            <v>2732.2682282345927</v>
          </cell>
          <cell r="H3438">
            <v>2569.7940371562941</v>
          </cell>
          <cell r="I3438">
            <v>2397.6867602368743</v>
          </cell>
          <cell r="J3438">
            <v>4242.1385499837425</v>
          </cell>
          <cell r="K3438">
            <v>4898.8414281309551</v>
          </cell>
          <cell r="L3438">
            <v>4371.6989331974546</v>
          </cell>
          <cell r="M3438">
            <v>2828.2747800524867</v>
          </cell>
          <cell r="N3438">
            <v>4466.6532715786607</v>
          </cell>
          <cell r="O3438">
            <v>2566.5191458194627</v>
          </cell>
          <cell r="P3438">
            <v>3277.2953428922983</v>
          </cell>
          <cell r="Q3438">
            <v>3106.263045853012</v>
          </cell>
          <cell r="R3438">
            <v>2973.7080813465491</v>
          </cell>
          <cell r="S3438">
            <v>3498.0781506128242</v>
          </cell>
          <cell r="T3438">
            <v>3421.1451325273133</v>
          </cell>
          <cell r="U3438">
            <v>3437.9992083281691</v>
          </cell>
          <cell r="V3438">
            <v>3324.2242635701168</v>
          </cell>
          <cell r="W3438">
            <v>3425.4465881140754</v>
          </cell>
          <cell r="X3438">
            <v>3073.4728246421914</v>
          </cell>
          <cell r="Y3438">
            <v>2572.2158308309058</v>
          </cell>
          <cell r="Z3438">
            <v>3533.4473755456133</v>
          </cell>
          <cell r="AA3438">
            <v>4239.7397167187464</v>
          </cell>
          <cell r="AB3438">
            <v>4102.4868697795646</v>
          </cell>
          <cell r="AC3438">
            <v>3590.7393863020602</v>
          </cell>
          <cell r="AD3438">
            <v>3779.8489918239211</v>
          </cell>
          <cell r="AE3438">
            <v>3545.7480254448587</v>
          </cell>
          <cell r="AF3438">
            <v>3278.856539460548</v>
          </cell>
          <cell r="AG3438">
            <v>3657.6389740921868</v>
          </cell>
          <cell r="AH3438">
            <v>3718.0611728166414</v>
          </cell>
          <cell r="AI3438">
            <v>3833.0754727340236</v>
          </cell>
          <cell r="AJ3438">
            <v>2137.4885971939793</v>
          </cell>
        </row>
        <row r="3439">
          <cell r="E3439" t="str">
            <v>AR Bunker Fuels Jet Fuel, Kerosene</v>
          </cell>
          <cell r="F3439">
            <v>1600.7951952042783</v>
          </cell>
          <cell r="G3439">
            <v>2104.5879074693644</v>
          </cell>
          <cell r="H3439">
            <v>1363.2323391635441</v>
          </cell>
          <cell r="I3439">
            <v>1234.5629049748131</v>
          </cell>
          <cell r="J3439">
            <v>1962.053983568062</v>
          </cell>
          <cell r="K3439">
            <v>1500.9637753424256</v>
          </cell>
          <cell r="L3439">
            <v>1911.4916134039961</v>
          </cell>
          <cell r="M3439">
            <v>1993.8891675836537</v>
          </cell>
          <cell r="N3439">
            <v>1936.6300024132649</v>
          </cell>
          <cell r="O3439">
            <v>5982.3949287180048</v>
          </cell>
          <cell r="P3439">
            <v>6794.8731568379981</v>
          </cell>
          <cell r="Q3439">
            <v>1374.1174175587064</v>
          </cell>
          <cell r="R3439">
            <v>1045.689330785299</v>
          </cell>
          <cell r="S3439">
            <v>1119.2697186113539</v>
          </cell>
          <cell r="T3439">
            <v>967.68251245299871</v>
          </cell>
          <cell r="U3439">
            <v>1744.3260180145926</v>
          </cell>
          <cell r="V3439">
            <v>1700.0112797606346</v>
          </cell>
          <cell r="W3439">
            <v>1809.0168085382875</v>
          </cell>
          <cell r="X3439">
            <v>1537.3611527115022</v>
          </cell>
          <cell r="Y3439">
            <v>1180.3523034772752</v>
          </cell>
          <cell r="Z3439">
            <v>2297.9251408621558</v>
          </cell>
          <cell r="AA3439">
            <v>2431.0921008544838</v>
          </cell>
          <cell r="AB3439">
            <v>2546.5891680493273</v>
          </cell>
          <cell r="AC3439">
            <v>2392.0462275120453</v>
          </cell>
          <cell r="AD3439">
            <v>2551.8612464364605</v>
          </cell>
          <cell r="AE3439">
            <v>2356.1676062084271</v>
          </cell>
          <cell r="AF3439">
            <v>2242.436368941409</v>
          </cell>
          <cell r="AG3439">
            <v>2410.197586205908</v>
          </cell>
          <cell r="AH3439">
            <v>2129.8041982512805</v>
          </cell>
          <cell r="AI3439">
            <v>2220.3034835841772</v>
          </cell>
          <cell r="AJ3439">
            <v>1307.322443874632</v>
          </cell>
        </row>
        <row r="3440">
          <cell r="E3440" t="str">
            <v>AZ Bunker Fuels Jet Fuel, Kerosene</v>
          </cell>
          <cell r="F3440">
            <v>8190.2679541784109</v>
          </cell>
          <cell r="G3440">
            <v>11613.166650962461</v>
          </cell>
          <cell r="H3440">
            <v>10201.390164088763</v>
          </cell>
          <cell r="I3440">
            <v>9664.3707710795989</v>
          </cell>
          <cell r="J3440">
            <v>9072.0928098974018</v>
          </cell>
          <cell r="K3440">
            <v>9682.6569880555544</v>
          </cell>
          <cell r="L3440">
            <v>9873.3653066360275</v>
          </cell>
          <cell r="M3440">
            <v>10334.318188168194</v>
          </cell>
          <cell r="N3440">
            <v>10995.543707873674</v>
          </cell>
          <cell r="O3440">
            <v>12588.835217179694</v>
          </cell>
          <cell r="P3440">
            <v>14563.678132822777</v>
          </cell>
          <cell r="Q3440">
            <v>13145.084097752288</v>
          </cell>
          <cell r="R3440">
            <v>13628.585235828225</v>
          </cell>
          <cell r="S3440">
            <v>14504.390508047736</v>
          </cell>
          <cell r="T3440">
            <v>11058.891212872282</v>
          </cell>
          <cell r="U3440">
            <v>11178.784008598452</v>
          </cell>
          <cell r="V3440">
            <v>11097.478941664413</v>
          </cell>
          <cell r="W3440">
            <v>9756.8752916271605</v>
          </cell>
          <cell r="X3440">
            <v>9583.0177965183138</v>
          </cell>
          <cell r="Y3440">
            <v>6912.2284221044138</v>
          </cell>
          <cell r="Z3440">
            <v>21160.621165427143</v>
          </cell>
          <cell r="AA3440">
            <v>23196.202224241886</v>
          </cell>
          <cell r="AB3440">
            <v>22996.433564703631</v>
          </cell>
          <cell r="AC3440">
            <v>23090.863576911743</v>
          </cell>
          <cell r="AD3440">
            <v>24336.454859818768</v>
          </cell>
          <cell r="AE3440">
            <v>24131.077911077169</v>
          </cell>
          <cell r="AF3440">
            <v>23661.158426233596</v>
          </cell>
          <cell r="AG3440">
            <v>24973.567251306853</v>
          </cell>
          <cell r="AH3440">
            <v>24747.116291974948</v>
          </cell>
          <cell r="AI3440">
            <v>25100.174819504802</v>
          </cell>
          <cell r="AJ3440">
            <v>14012.397211589667</v>
          </cell>
        </row>
        <row r="3441">
          <cell r="E3441" t="str">
            <v>CA Bunker Fuels Jet Fuel, Kerosene</v>
          </cell>
          <cell r="F3441">
            <v>92568.760960316955</v>
          </cell>
          <cell r="G3441">
            <v>109824.17094468973</v>
          </cell>
          <cell r="H3441">
            <v>107570.54564359038</v>
          </cell>
          <cell r="I3441">
            <v>110266.93786978013</v>
          </cell>
          <cell r="J3441">
            <v>121184.58003107626</v>
          </cell>
          <cell r="K3441">
            <v>121632.76499250975</v>
          </cell>
          <cell r="L3441">
            <v>129348.95571816947</v>
          </cell>
          <cell r="M3441">
            <v>133673.96709463029</v>
          </cell>
          <cell r="N3441">
            <v>133671.72322369681</v>
          </cell>
          <cell r="O3441">
            <v>129024.03020447798</v>
          </cell>
          <cell r="P3441">
            <v>143780.00838080485</v>
          </cell>
          <cell r="Q3441">
            <v>128903.25160603129</v>
          </cell>
          <cell r="R3441">
            <v>135387.48903543424</v>
          </cell>
          <cell r="S3441">
            <v>135805.8467291405</v>
          </cell>
          <cell r="T3441">
            <v>141198.72285283727</v>
          </cell>
          <cell r="U3441">
            <v>145847.68662719475</v>
          </cell>
          <cell r="V3441">
            <v>152941.94827893667</v>
          </cell>
          <cell r="W3441">
            <v>163490.77242465146</v>
          </cell>
          <cell r="X3441">
            <v>142875.37842817316</v>
          </cell>
          <cell r="Y3441">
            <v>144539.17368401744</v>
          </cell>
          <cell r="Z3441">
            <v>127266.97824874433</v>
          </cell>
          <cell r="AA3441">
            <v>135231.21498298325</v>
          </cell>
          <cell r="AB3441">
            <v>137599.2683443217</v>
          </cell>
          <cell r="AC3441">
            <v>140164.48524385059</v>
          </cell>
          <cell r="AD3441">
            <v>148218.57591931024</v>
          </cell>
          <cell r="AE3441">
            <v>157006.09301321817</v>
          </cell>
          <cell r="AF3441">
            <v>167164.83743646857</v>
          </cell>
          <cell r="AG3441">
            <v>179436.81563692036</v>
          </cell>
          <cell r="AH3441">
            <v>187261.96208215071</v>
          </cell>
          <cell r="AI3441">
            <v>186639.01602644104</v>
          </cell>
          <cell r="AJ3441">
            <v>85044.844979466943</v>
          </cell>
        </row>
        <row r="3442">
          <cell r="E3442" t="str">
            <v>CO Bunker Fuels Jet Fuel, Kerosene</v>
          </cell>
          <cell r="F3442">
            <v>5981.9462242594655</v>
          </cell>
          <cell r="G3442">
            <v>7961.4245644168186</v>
          </cell>
          <cell r="H3442">
            <v>9150.1807007492425</v>
          </cell>
          <cell r="I3442">
            <v>11075.89279002178</v>
          </cell>
          <cell r="J3442">
            <v>9707.504933586828</v>
          </cell>
          <cell r="K3442">
            <v>9454.6311475603743</v>
          </cell>
          <cell r="L3442">
            <v>9674.8515715119556</v>
          </cell>
          <cell r="M3442">
            <v>9297.0480127551309</v>
          </cell>
          <cell r="N3442">
            <v>8615.2656322012845</v>
          </cell>
          <cell r="O3442">
            <v>10199.428723349571</v>
          </cell>
          <cell r="P3442">
            <v>10584.492088113626</v>
          </cell>
          <cell r="Q3442">
            <v>10234.087907525809</v>
          </cell>
          <cell r="R3442">
            <v>9395.6348248093327</v>
          </cell>
          <cell r="S3442">
            <v>7696.7807152147725</v>
          </cell>
          <cell r="T3442">
            <v>16548.174215031813</v>
          </cell>
          <cell r="U3442">
            <v>17175.734565880368</v>
          </cell>
          <cell r="V3442">
            <v>18667.421802525183</v>
          </cell>
          <cell r="W3442">
            <v>19964.768584865153</v>
          </cell>
          <cell r="X3442">
            <v>18650.249926717297</v>
          </cell>
          <cell r="Y3442">
            <v>15993.162332810671</v>
          </cell>
          <cell r="Z3442">
            <v>18949.255688817364</v>
          </cell>
          <cell r="AA3442">
            <v>19718.754098469042</v>
          </cell>
          <cell r="AB3442">
            <v>20021.198057047197</v>
          </cell>
          <cell r="AC3442">
            <v>19607.240114914555</v>
          </cell>
          <cell r="AD3442">
            <v>20539.378935621757</v>
          </cell>
          <cell r="AE3442">
            <v>19684.442271493797</v>
          </cell>
          <cell r="AF3442">
            <v>21133.235410321915</v>
          </cell>
          <cell r="AG3442">
            <v>22823.134347704265</v>
          </cell>
          <cell r="AH3442">
            <v>24394.964408066407</v>
          </cell>
          <cell r="AI3442">
            <v>24744.430318054241</v>
          </cell>
          <cell r="AJ3442">
            <v>10865.335733109758</v>
          </cell>
        </row>
        <row r="3443">
          <cell r="E3443" t="str">
            <v>CT Bunker Fuels Jet Fuel, Kerosene</v>
          </cell>
          <cell r="F3443">
            <v>2296.1005709278757</v>
          </cell>
          <cell r="G3443">
            <v>2741.3462494026858</v>
          </cell>
          <cell r="H3443">
            <v>2849.0764844607529</v>
          </cell>
          <cell r="I3443">
            <v>2859.0912648036419</v>
          </cell>
          <cell r="J3443">
            <v>3006.1462235834406</v>
          </cell>
          <cell r="K3443">
            <v>3175.704400499541</v>
          </cell>
          <cell r="L3443">
            <v>3388.1436165362147</v>
          </cell>
          <cell r="M3443">
            <v>3072.284592242167</v>
          </cell>
          <cell r="N3443">
            <v>2806.2696261166707</v>
          </cell>
          <cell r="O3443">
            <v>3211.5505099004258</v>
          </cell>
          <cell r="P3443">
            <v>3628.6099803853353</v>
          </cell>
          <cell r="Q3443">
            <v>3123.3342799377265</v>
          </cell>
          <cell r="R3443">
            <v>2900.5098281915784</v>
          </cell>
          <cell r="S3443">
            <v>2871.1910335365078</v>
          </cell>
          <cell r="T3443">
            <v>3190.564533856872</v>
          </cell>
          <cell r="U3443">
            <v>3431.3602454741531</v>
          </cell>
          <cell r="V3443">
            <v>3232.7085952143775</v>
          </cell>
          <cell r="W3443">
            <v>3033.5059589012053</v>
          </cell>
          <cell r="X3443">
            <v>2703.3766173655767</v>
          </cell>
          <cell r="Y3443">
            <v>2076.3481891232386</v>
          </cell>
          <cell r="Z3443">
            <v>3213.2351040714393</v>
          </cell>
          <cell r="AA3443">
            <v>3530.827266662181</v>
          </cell>
          <cell r="AB3443">
            <v>3804.3943194480703</v>
          </cell>
          <cell r="AC3443">
            <v>2757.3712127512449</v>
          </cell>
          <cell r="AD3443">
            <v>3291.6442290997375</v>
          </cell>
          <cell r="AE3443">
            <v>2845.4124927239204</v>
          </cell>
          <cell r="AF3443">
            <v>2950.0286853594753</v>
          </cell>
          <cell r="AG3443">
            <v>3869.8277075007609</v>
          </cell>
          <cell r="AH3443">
            <v>4611.1105536880214</v>
          </cell>
          <cell r="AI3443">
            <v>3568.5719649530906</v>
          </cell>
          <cell r="AJ3443">
            <v>1506.1585924508161</v>
          </cell>
        </row>
        <row r="3444">
          <cell r="E3444" t="str">
            <v>DC Bunker Fuels Jet Fuel, Kerosene</v>
          </cell>
          <cell r="F3444">
            <v>5.1940142608834465</v>
          </cell>
          <cell r="G3444">
            <v>0</v>
          </cell>
          <cell r="H3444">
            <v>0</v>
          </cell>
          <cell r="I3444">
            <v>125.61912411263803</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row>
        <row r="3445">
          <cell r="E3445" t="str">
            <v>DE Bunker Fuels Jet Fuel, Kerosene</v>
          </cell>
          <cell r="F3445">
            <v>1215.2262032380304</v>
          </cell>
          <cell r="G3445">
            <v>2780.4681977699393</v>
          </cell>
          <cell r="H3445">
            <v>1713.4890039969885</v>
          </cell>
          <cell r="I3445">
            <v>1690.9426445770757</v>
          </cell>
          <cell r="J3445">
            <v>659.42667790444955</v>
          </cell>
          <cell r="K3445">
            <v>96.567705402204652</v>
          </cell>
          <cell r="L3445">
            <v>77.382984234411353</v>
          </cell>
          <cell r="M3445">
            <v>94.816546871458272</v>
          </cell>
          <cell r="N3445">
            <v>109.73864179860509</v>
          </cell>
          <cell r="O3445">
            <v>137.90802850211506</v>
          </cell>
          <cell r="P3445">
            <v>145.74510539304691</v>
          </cell>
          <cell r="Q3445">
            <v>171.64775093398407</v>
          </cell>
          <cell r="R3445">
            <v>163.59228641618901</v>
          </cell>
          <cell r="S3445">
            <v>194.07080099527343</v>
          </cell>
          <cell r="T3445">
            <v>223.0205790419021</v>
          </cell>
          <cell r="U3445">
            <v>233.34724994302911</v>
          </cell>
          <cell r="V3445">
            <v>207.62141934446166</v>
          </cell>
          <cell r="W3445">
            <v>166.5617547783778</v>
          </cell>
          <cell r="X3445">
            <v>166.1809438480411</v>
          </cell>
          <cell r="Y3445">
            <v>117.59295595585814</v>
          </cell>
          <cell r="Z3445">
            <v>4849.6806485184525</v>
          </cell>
          <cell r="AA3445">
            <v>4206.9630512603844</v>
          </cell>
          <cell r="AB3445">
            <v>3360.2585472150386</v>
          </cell>
          <cell r="AC3445">
            <v>2313.5154912181501</v>
          </cell>
          <cell r="AD3445">
            <v>2370.8159382890772</v>
          </cell>
          <cell r="AE3445">
            <v>2399.9186176004782</v>
          </cell>
          <cell r="AF3445">
            <v>2383.7663921940193</v>
          </cell>
          <cell r="AG3445">
            <v>3268.1505366845213</v>
          </cell>
          <cell r="AH3445">
            <v>3595.5876855163465</v>
          </cell>
          <cell r="AI3445">
            <v>3243.6650118856473</v>
          </cell>
          <cell r="AJ3445">
            <v>2100.1437368014981</v>
          </cell>
        </row>
        <row r="3446">
          <cell r="E3446" t="str">
            <v>FL Bunker Fuels Jet Fuel, Kerosene</v>
          </cell>
          <cell r="F3446">
            <v>31086.521619004816</v>
          </cell>
          <cell r="G3446">
            <v>30431.25610233406</v>
          </cell>
          <cell r="H3446">
            <v>30216.33924168221</v>
          </cell>
          <cell r="I3446">
            <v>32840.989935840349</v>
          </cell>
          <cell r="J3446">
            <v>35080.504066774469</v>
          </cell>
          <cell r="K3446">
            <v>35787.901582238483</v>
          </cell>
          <cell r="L3446">
            <v>36576.43049413956</v>
          </cell>
          <cell r="M3446">
            <v>39536.90073014966</v>
          </cell>
          <cell r="N3446">
            <v>36127.2571817758</v>
          </cell>
          <cell r="O3446">
            <v>37890.115523239976</v>
          </cell>
          <cell r="P3446">
            <v>49042.981773703876</v>
          </cell>
          <cell r="Q3446">
            <v>40650.583848575552</v>
          </cell>
          <cell r="R3446">
            <v>35620.593739277268</v>
          </cell>
          <cell r="S3446">
            <v>34936.106792037746</v>
          </cell>
          <cell r="T3446">
            <v>39176.257965702767</v>
          </cell>
          <cell r="U3446">
            <v>38884.651323488535</v>
          </cell>
          <cell r="V3446">
            <v>39716.532536358325</v>
          </cell>
          <cell r="W3446">
            <v>45983.015944956969</v>
          </cell>
          <cell r="X3446">
            <v>54722.010380301035</v>
          </cell>
          <cell r="Y3446">
            <v>46431.786788296173</v>
          </cell>
          <cell r="Z3446">
            <v>70522.731861837296</v>
          </cell>
          <cell r="AA3446">
            <v>76419.263754248255</v>
          </cell>
          <cell r="AB3446">
            <v>77000.814581280982</v>
          </cell>
          <cell r="AC3446">
            <v>79016.370367136566</v>
          </cell>
          <cell r="AD3446">
            <v>85516.442518779775</v>
          </cell>
          <cell r="AE3446">
            <v>88612.084941757857</v>
          </cell>
          <cell r="AF3446">
            <v>89824.023645147041</v>
          </cell>
          <cell r="AG3446">
            <v>94589.867843007698</v>
          </cell>
          <cell r="AH3446">
            <v>100460.09619567257</v>
          </cell>
          <cell r="AI3446">
            <v>101364.92901251387</v>
          </cell>
          <cell r="AJ3446">
            <v>47947.268122016954</v>
          </cell>
        </row>
        <row r="3447">
          <cell r="E3447" t="str">
            <v>GA Bunker Fuels Jet Fuel, Kerosene</v>
          </cell>
          <cell r="F3447">
            <v>18035.868253300374</v>
          </cell>
          <cell r="G3447">
            <v>17613.954786432518</v>
          </cell>
          <cell r="H3447">
            <v>15373.279198081727</v>
          </cell>
          <cell r="I3447">
            <v>18746.524210402364</v>
          </cell>
          <cell r="J3447">
            <v>20745.545979087161</v>
          </cell>
          <cell r="K3447">
            <v>23546.312950797706</v>
          </cell>
          <cell r="L3447">
            <v>21554.458679634459</v>
          </cell>
          <cell r="M3447">
            <v>19741.718953065287</v>
          </cell>
          <cell r="N3447">
            <v>19195.992804070458</v>
          </cell>
          <cell r="O3447">
            <v>20026.644139002798</v>
          </cell>
          <cell r="P3447">
            <v>18210.260060325832</v>
          </cell>
          <cell r="Q3447">
            <v>13130.819093928076</v>
          </cell>
          <cell r="R3447">
            <v>9789.5111394051291</v>
          </cell>
          <cell r="S3447">
            <v>11970.181323269109</v>
          </cell>
          <cell r="T3447">
            <v>12292.828166617892</v>
          </cell>
          <cell r="U3447">
            <v>13350.462524401228</v>
          </cell>
          <cell r="V3447">
            <v>9417.2411304127727</v>
          </cell>
          <cell r="W3447">
            <v>9925.5190683402689</v>
          </cell>
          <cell r="X3447">
            <v>8974.2707601065431</v>
          </cell>
          <cell r="Y3447">
            <v>26585.894179489256</v>
          </cell>
          <cell r="Z3447">
            <v>41552.73287931626</v>
          </cell>
          <cell r="AA3447">
            <v>43955.069173256277</v>
          </cell>
          <cell r="AB3447">
            <v>42679.076880069995</v>
          </cell>
          <cell r="AC3447">
            <v>43545.607397910018</v>
          </cell>
          <cell r="AD3447">
            <v>45528.50700685873</v>
          </cell>
          <cell r="AE3447">
            <v>46910.345375274395</v>
          </cell>
          <cell r="AF3447">
            <v>46517.677920082329</v>
          </cell>
          <cell r="AG3447">
            <v>46981.884175802406</v>
          </cell>
          <cell r="AH3447">
            <v>47482.028922575824</v>
          </cell>
          <cell r="AI3447">
            <v>48541.162370850121</v>
          </cell>
          <cell r="AJ3447">
            <v>20968.886780240457</v>
          </cell>
        </row>
        <row r="3448">
          <cell r="E3448" t="str">
            <v>HI Bunker Fuels Jet Fuel, Kerosene</v>
          </cell>
          <cell r="F3448">
            <v>12301.330241667658</v>
          </cell>
          <cell r="G3448">
            <v>13521.280243150972</v>
          </cell>
          <cell r="H3448">
            <v>12415.214441502159</v>
          </cell>
          <cell r="I3448">
            <v>11012.755525902559</v>
          </cell>
          <cell r="J3448">
            <v>11618.933640701594</v>
          </cell>
          <cell r="K3448">
            <v>12686.160235565148</v>
          </cell>
          <cell r="L3448">
            <v>12573.415909951484</v>
          </cell>
          <cell r="M3448">
            <v>13241.187889000876</v>
          </cell>
          <cell r="N3448">
            <v>12671.348873262556</v>
          </cell>
          <cell r="O3448">
            <v>12388.661021962576</v>
          </cell>
          <cell r="P3448">
            <v>13173.929619404278</v>
          </cell>
          <cell r="Q3448">
            <v>11794.81963740784</v>
          </cell>
          <cell r="R3448">
            <v>13425.256754842194</v>
          </cell>
          <cell r="S3448">
            <v>17306.888164004235</v>
          </cell>
          <cell r="T3448">
            <v>17922.207782518784</v>
          </cell>
          <cell r="U3448">
            <v>22825.983729674746</v>
          </cell>
          <cell r="V3448">
            <v>22041.079737367789</v>
          </cell>
          <cell r="W3448">
            <v>18823.820564633261</v>
          </cell>
          <cell r="X3448">
            <v>15163.448859782382</v>
          </cell>
          <cell r="Y3448">
            <v>13722.993895485853</v>
          </cell>
          <cell r="Z3448">
            <v>22276.246567869126</v>
          </cell>
          <cell r="AA3448">
            <v>24658.665821122126</v>
          </cell>
          <cell r="AB3448">
            <v>26377.239318463264</v>
          </cell>
          <cell r="AC3448">
            <v>27526.27956279094</v>
          </cell>
          <cell r="AD3448">
            <v>28992.602147451209</v>
          </cell>
          <cell r="AE3448">
            <v>29459.759488360152</v>
          </cell>
          <cell r="AF3448">
            <v>28733.021860692254</v>
          </cell>
          <cell r="AG3448">
            <v>30923.098284607338</v>
          </cell>
          <cell r="AH3448">
            <v>32134.833996738886</v>
          </cell>
          <cell r="AI3448">
            <v>32049.432243282943</v>
          </cell>
          <cell r="AJ3448">
            <v>12959.171216466579</v>
          </cell>
        </row>
        <row r="3449">
          <cell r="E3449" t="str">
            <v>IA Bunker Fuels Jet Fuel, Kerosene</v>
          </cell>
          <cell r="F3449">
            <v>868.78545203710439</v>
          </cell>
          <cell r="G3449">
            <v>1083.7428127812871</v>
          </cell>
          <cell r="H3449">
            <v>992.54037330782205</v>
          </cell>
          <cell r="I3449">
            <v>885.014037878777</v>
          </cell>
          <cell r="J3449">
            <v>1092.7703904512384</v>
          </cell>
          <cell r="K3449">
            <v>1335.2905091978507</v>
          </cell>
          <cell r="L3449">
            <v>1020.2682665679064</v>
          </cell>
          <cell r="M3449">
            <v>1027.4458103155371</v>
          </cell>
          <cell r="N3449">
            <v>1502.3689412835506</v>
          </cell>
          <cell r="O3449">
            <v>1156.7670083053665</v>
          </cell>
          <cell r="P3449">
            <v>1076.5934896685712</v>
          </cell>
          <cell r="Q3449">
            <v>1029.8865056039044</v>
          </cell>
          <cell r="R3449">
            <v>1030.1201785269402</v>
          </cell>
          <cell r="S3449">
            <v>1079.3987372187607</v>
          </cell>
          <cell r="T3449">
            <v>1218.5806638751387</v>
          </cell>
          <cell r="U3449">
            <v>1380.4124986092363</v>
          </cell>
          <cell r="V3449">
            <v>1484.5311742138799</v>
          </cell>
          <cell r="W3449">
            <v>1327.2889833901979</v>
          </cell>
          <cell r="X3449">
            <v>1114.2869603284439</v>
          </cell>
          <cell r="Y3449">
            <v>774.76066999235741</v>
          </cell>
          <cell r="Z3449">
            <v>1641.7093078137113</v>
          </cell>
          <cell r="AA3449">
            <v>1801.1558066166374</v>
          </cell>
          <cell r="AB3449">
            <v>1907.0968782077448</v>
          </cell>
          <cell r="AC3449">
            <v>1735.2151491499064</v>
          </cell>
          <cell r="AD3449">
            <v>1756.8220655953473</v>
          </cell>
          <cell r="AE3449">
            <v>1902.3706194339388</v>
          </cell>
          <cell r="AF3449">
            <v>1861.4734395960409</v>
          </cell>
          <cell r="AG3449">
            <v>2048.3031993311952</v>
          </cell>
          <cell r="AH3449">
            <v>2104.7897194127586</v>
          </cell>
          <cell r="AI3449">
            <v>2047.3588823427974</v>
          </cell>
          <cell r="AJ3449">
            <v>1136.7472707305958</v>
          </cell>
        </row>
        <row r="3450">
          <cell r="E3450" t="str">
            <v>ID Bunker Fuels Jet Fuel, Kerosene</v>
          </cell>
          <cell r="F3450">
            <v>1086.587783376817</v>
          </cell>
          <cell r="G3450">
            <v>1136.0495061783895</v>
          </cell>
          <cell r="H3450">
            <v>1174.7002071515644</v>
          </cell>
          <cell r="I3450">
            <v>1292.2384680456594</v>
          </cell>
          <cell r="J3450">
            <v>1430.9212754790121</v>
          </cell>
          <cell r="K3450">
            <v>1938.1070944358555</v>
          </cell>
          <cell r="L3450">
            <v>1080.7237230010403</v>
          </cell>
          <cell r="M3450">
            <v>984.26429860781252</v>
          </cell>
          <cell r="N3450">
            <v>910.09317597539689</v>
          </cell>
          <cell r="O3450">
            <v>1119.4073082763655</v>
          </cell>
          <cell r="P3450">
            <v>1228.2471804153902</v>
          </cell>
          <cell r="Q3450">
            <v>959.49689656966848</v>
          </cell>
          <cell r="R3450">
            <v>1044.295078344252</v>
          </cell>
          <cell r="S3450">
            <v>934.32600974209606</v>
          </cell>
          <cell r="T3450">
            <v>1101.1641090193916</v>
          </cell>
          <cell r="U3450">
            <v>1141.163948351526</v>
          </cell>
          <cell r="V3450">
            <v>1410.2539143018807</v>
          </cell>
          <cell r="W3450">
            <v>1332.4940382270224</v>
          </cell>
          <cell r="X3450">
            <v>1193.0042495196212</v>
          </cell>
          <cell r="Y3450">
            <v>849.94731661015169</v>
          </cell>
          <cell r="Z3450">
            <v>2069.2438657089106</v>
          </cell>
          <cell r="AA3450">
            <v>1874.2009467809862</v>
          </cell>
          <cell r="AB3450">
            <v>1899.8263281996597</v>
          </cell>
          <cell r="AC3450">
            <v>1981.8016611127368</v>
          </cell>
          <cell r="AD3450">
            <v>2426.7222093866535</v>
          </cell>
          <cell r="AE3450">
            <v>2341.7968360431546</v>
          </cell>
          <cell r="AF3450">
            <v>2083.8326761801472</v>
          </cell>
          <cell r="AG3450">
            <v>2427.3249279160168</v>
          </cell>
          <cell r="AH3450">
            <v>2712.6090688526829</v>
          </cell>
          <cell r="AI3450">
            <v>2467.9576092588723</v>
          </cell>
          <cell r="AJ3450">
            <v>1310.3504055280764</v>
          </cell>
        </row>
        <row r="3451">
          <cell r="E3451" t="str">
            <v>IL Bunker Fuels Jet Fuel, Kerosene</v>
          </cell>
          <cell r="F3451">
            <v>3853.612313958125</v>
          </cell>
          <cell r="G3451">
            <v>7855.2981740945988</v>
          </cell>
          <cell r="H3451">
            <v>9187.5355520802877</v>
          </cell>
          <cell r="I3451">
            <v>11328.878782582538</v>
          </cell>
          <cell r="J3451">
            <v>11777.516237454864</v>
          </cell>
          <cell r="K3451">
            <v>13221.897155978315</v>
          </cell>
          <cell r="L3451">
            <v>15052.529299756759</v>
          </cell>
          <cell r="M3451">
            <v>16195.808573679667</v>
          </cell>
          <cell r="N3451">
            <v>16682.285055987133</v>
          </cell>
          <cell r="O3451">
            <v>23857.166469136795</v>
          </cell>
          <cell r="P3451">
            <v>31685.281341716083</v>
          </cell>
          <cell r="Q3451">
            <v>24747.910814837509</v>
          </cell>
          <cell r="R3451">
            <v>17896.159582466451</v>
          </cell>
          <cell r="S3451">
            <v>18201.343192353736</v>
          </cell>
          <cell r="T3451">
            <v>28863.209939308541</v>
          </cell>
          <cell r="U3451">
            <v>55105.358788442951</v>
          </cell>
          <cell r="V3451">
            <v>41077.859791400762</v>
          </cell>
          <cell r="W3451">
            <v>43639.700257418663</v>
          </cell>
          <cell r="X3451">
            <v>39663.76780226305</v>
          </cell>
          <cell r="Y3451">
            <v>36833.131677695761</v>
          </cell>
          <cell r="Z3451">
            <v>46652.442287752914</v>
          </cell>
          <cell r="AA3451">
            <v>49567.682934602402</v>
          </cell>
          <cell r="AB3451">
            <v>47653.39752907995</v>
          </cell>
          <cell r="AC3451">
            <v>48480.164743673209</v>
          </cell>
          <cell r="AD3451">
            <v>52069.865761735033</v>
          </cell>
          <cell r="AE3451">
            <v>54917.419160916019</v>
          </cell>
          <cell r="AF3451">
            <v>55202.878949032718</v>
          </cell>
          <cell r="AG3451">
            <v>56087.286505687814</v>
          </cell>
          <cell r="AH3451">
            <v>56523.301137574512</v>
          </cell>
          <cell r="AI3451">
            <v>56311.588737654878</v>
          </cell>
          <cell r="AJ3451">
            <v>26263.277731288039</v>
          </cell>
        </row>
        <row r="3452">
          <cell r="E3452" t="str">
            <v>IN Bunker Fuels Jet Fuel, Kerosene</v>
          </cell>
          <cell r="F3452">
            <v>17532.222003803377</v>
          </cell>
          <cell r="G3452">
            <v>21068.357984252732</v>
          </cell>
          <cell r="H3452">
            <v>19893.655677977345</v>
          </cell>
          <cell r="I3452">
            <v>20243.467233741139</v>
          </cell>
          <cell r="J3452">
            <v>21199.875383155188</v>
          </cell>
          <cell r="K3452">
            <v>22135.163894465724</v>
          </cell>
          <cell r="L3452">
            <v>15675.110582006342</v>
          </cell>
          <cell r="M3452">
            <v>14244.643970589901</v>
          </cell>
          <cell r="N3452">
            <v>12236.417311266454</v>
          </cell>
          <cell r="O3452">
            <v>14642.235026181086</v>
          </cell>
          <cell r="P3452">
            <v>19550.770362462896</v>
          </cell>
          <cell r="Q3452">
            <v>15596.560082821708</v>
          </cell>
          <cell r="R3452">
            <v>14200.228736657522</v>
          </cell>
          <cell r="S3452">
            <v>12743.582287631461</v>
          </cell>
          <cell r="T3452">
            <v>11464.297265452689</v>
          </cell>
          <cell r="U3452">
            <v>9689.9351167069453</v>
          </cell>
          <cell r="V3452">
            <v>11305.100361008874</v>
          </cell>
          <cell r="W3452">
            <v>10993.075815372935</v>
          </cell>
          <cell r="X3452">
            <v>8874.8120899538826</v>
          </cell>
          <cell r="Y3452">
            <v>10993.120252023862</v>
          </cell>
          <cell r="Z3452">
            <v>6291.9518109939099</v>
          </cell>
          <cell r="AA3452">
            <v>6884.6605398492093</v>
          </cell>
          <cell r="AB3452">
            <v>6917.138055518295</v>
          </cell>
          <cell r="AC3452">
            <v>6921.0708510535651</v>
          </cell>
          <cell r="AD3452">
            <v>7825.5778078211997</v>
          </cell>
          <cell r="AE3452">
            <v>8194.2131482382792</v>
          </cell>
          <cell r="AF3452">
            <v>8537.2756046126506</v>
          </cell>
          <cell r="AG3452">
            <v>7837.9790433373337</v>
          </cell>
          <cell r="AH3452">
            <v>8318.7760989354065</v>
          </cell>
          <cell r="AI3452">
            <v>8079.4376763757537</v>
          </cell>
          <cell r="AJ3452">
            <v>4705.4524094526414</v>
          </cell>
        </row>
        <row r="3453">
          <cell r="E3453" t="str">
            <v>KS Bunker Fuels Jet Fuel, Kerosene</v>
          </cell>
          <cell r="F3453">
            <v>3587.1593823748044</v>
          </cell>
          <cell r="G3453">
            <v>3958.4495160104689</v>
          </cell>
          <cell r="H3453">
            <v>5097.1793313308717</v>
          </cell>
          <cell r="I3453">
            <v>4419.1715522616396</v>
          </cell>
          <cell r="J3453">
            <v>2382.6332033338917</v>
          </cell>
          <cell r="K3453">
            <v>3078.0111973653761</v>
          </cell>
          <cell r="L3453">
            <v>2503.9550864487082</v>
          </cell>
          <cell r="M3453">
            <v>2759.9611715836527</v>
          </cell>
          <cell r="N3453">
            <v>2736.0905354348747</v>
          </cell>
          <cell r="O3453">
            <v>4544.5077084660197</v>
          </cell>
          <cell r="P3453">
            <v>4514.8977834511606</v>
          </cell>
          <cell r="Q3453">
            <v>2994.9492455198015</v>
          </cell>
          <cell r="R3453">
            <v>2813.3690506261369</v>
          </cell>
          <cell r="S3453">
            <v>4396.6163517555433</v>
          </cell>
          <cell r="T3453">
            <v>4158.483296923263</v>
          </cell>
          <cell r="U3453">
            <v>2450.2690681583613</v>
          </cell>
          <cell r="V3453">
            <v>2519.0891868448293</v>
          </cell>
          <cell r="W3453">
            <v>2276.4307328851105</v>
          </cell>
          <cell r="X3453">
            <v>2458.7282804825209</v>
          </cell>
          <cell r="Y3453">
            <v>3608.9590376541241</v>
          </cell>
          <cell r="Z3453">
            <v>3160.305039106302</v>
          </cell>
          <cell r="AA3453">
            <v>3062.5891886855852</v>
          </cell>
          <cell r="AB3453">
            <v>3405.1462907432169</v>
          </cell>
          <cell r="AC3453">
            <v>2001.2772837136233</v>
          </cell>
          <cell r="AD3453">
            <v>3114.8243949306589</v>
          </cell>
          <cell r="AE3453">
            <v>2253.9754628109349</v>
          </cell>
          <cell r="AF3453">
            <v>2708.8254456750215</v>
          </cell>
          <cell r="AG3453">
            <v>2152.6531145650079</v>
          </cell>
          <cell r="AH3453">
            <v>2517.6910519291368</v>
          </cell>
          <cell r="AI3453">
            <v>2207.9048816569457</v>
          </cell>
          <cell r="AJ3453">
            <v>1581.857633786927</v>
          </cell>
        </row>
        <row r="3454">
          <cell r="E3454" t="str">
            <v>KY Bunker Fuels Jet Fuel, Kerosene</v>
          </cell>
          <cell r="F3454">
            <v>5595.8578308671295</v>
          </cell>
          <cell r="G3454">
            <v>7790.6713091122283</v>
          </cell>
          <cell r="H3454">
            <v>8557.1175022640055</v>
          </cell>
          <cell r="I3454">
            <v>7050.6191173689867</v>
          </cell>
          <cell r="J3454">
            <v>7766.8693362105432</v>
          </cell>
          <cell r="K3454">
            <v>8041.9063944036434</v>
          </cell>
          <cell r="L3454">
            <v>6966.8867993543463</v>
          </cell>
          <cell r="M3454">
            <v>5903.7580027915219</v>
          </cell>
          <cell r="N3454">
            <v>6781.6692629227573</v>
          </cell>
          <cell r="O3454">
            <v>9104.0054200300947</v>
          </cell>
          <cell r="P3454">
            <v>9284.1109281709323</v>
          </cell>
          <cell r="Q3454">
            <v>7957.2997561725824</v>
          </cell>
          <cell r="R3454">
            <v>8370.3945298260587</v>
          </cell>
          <cell r="S3454">
            <v>10957.074097281407</v>
          </cell>
          <cell r="T3454">
            <v>12112.096447373131</v>
          </cell>
          <cell r="U3454">
            <v>11549.090603344712</v>
          </cell>
          <cell r="V3454">
            <v>10211.982460870513</v>
          </cell>
          <cell r="W3454">
            <v>11773.573788154739</v>
          </cell>
          <cell r="X3454">
            <v>10520.878070596056</v>
          </cell>
          <cell r="Y3454">
            <v>14520.648769292624</v>
          </cell>
          <cell r="Z3454">
            <v>16382.293753657272</v>
          </cell>
          <cell r="AA3454">
            <v>18321.843832505529</v>
          </cell>
          <cell r="AB3454">
            <v>18408.084287862028</v>
          </cell>
          <cell r="AC3454">
            <v>18986.219052302433</v>
          </cell>
          <cell r="AD3454">
            <v>19638.052832403271</v>
          </cell>
          <cell r="AE3454">
            <v>20126.103941239835</v>
          </cell>
          <cell r="AF3454">
            <v>20850.889430535037</v>
          </cell>
          <cell r="AG3454">
            <v>23376.601223336493</v>
          </cell>
          <cell r="AH3454">
            <v>26257.730923132433</v>
          </cell>
          <cell r="AI3454">
            <v>27692.754273775841</v>
          </cell>
          <cell r="AJ3454">
            <v>21365.045096566104</v>
          </cell>
        </row>
        <row r="3455">
          <cell r="E3455" t="str">
            <v>LA Bunker Fuels Jet Fuel, Kerosene</v>
          </cell>
          <cell r="F3455">
            <v>25291.559908137158</v>
          </cell>
          <cell r="G3455">
            <v>39310.425378172768</v>
          </cell>
          <cell r="H3455">
            <v>33458.520602797311</v>
          </cell>
          <cell r="I3455">
            <v>31025.30203931838</v>
          </cell>
          <cell r="J3455">
            <v>39496.369526980416</v>
          </cell>
          <cell r="K3455">
            <v>36815.706111064748</v>
          </cell>
          <cell r="L3455">
            <v>36182.480756218923</v>
          </cell>
          <cell r="M3455">
            <v>39473.613541033053</v>
          </cell>
          <cell r="N3455">
            <v>36331.312945446123</v>
          </cell>
          <cell r="O3455">
            <v>44479.490269713111</v>
          </cell>
          <cell r="P3455">
            <v>49413.006931483862</v>
          </cell>
          <cell r="Q3455">
            <v>45691.508806522354</v>
          </cell>
          <cell r="R3455">
            <v>49643.752415921801</v>
          </cell>
          <cell r="S3455">
            <v>51918.742998933536</v>
          </cell>
          <cell r="T3455">
            <v>48008.723397970301</v>
          </cell>
          <cell r="U3455">
            <v>39393.146700603589</v>
          </cell>
          <cell r="V3455">
            <v>33438.963296765032</v>
          </cell>
          <cell r="W3455">
            <v>33077.863235276622</v>
          </cell>
          <cell r="X3455">
            <v>27593.533563459696</v>
          </cell>
          <cell r="Y3455">
            <v>23710.069986710369</v>
          </cell>
          <cell r="Z3455">
            <v>6673.8670863777206</v>
          </cell>
          <cell r="AA3455">
            <v>7160.2966884180987</v>
          </cell>
          <cell r="AB3455">
            <v>7412.4837886778405</v>
          </cell>
          <cell r="AC3455">
            <v>6522.134710680577</v>
          </cell>
          <cell r="AD3455">
            <v>7296.743487613312</v>
          </cell>
          <cell r="AE3455">
            <v>7228.1780426838632</v>
          </cell>
          <cell r="AF3455">
            <v>6761.5423791231924</v>
          </cell>
          <cell r="AG3455">
            <v>6983.8321687942989</v>
          </cell>
          <cell r="AH3455">
            <v>7218.1390300404501</v>
          </cell>
          <cell r="AI3455">
            <v>7560.6038726516181</v>
          </cell>
          <cell r="AJ3455">
            <v>3513.9494988222591</v>
          </cell>
        </row>
        <row r="3456">
          <cell r="E3456" t="str">
            <v>MA Bunker Fuels Jet Fuel, Kerosene</v>
          </cell>
          <cell r="F3456">
            <v>9602.0010302865303</v>
          </cell>
          <cell r="G3456">
            <v>11422.744349793671</v>
          </cell>
          <cell r="H3456">
            <v>9783.6750324398454</v>
          </cell>
          <cell r="I3456">
            <v>9545.5241562669471</v>
          </cell>
          <cell r="J3456">
            <v>9109.304551563926</v>
          </cell>
          <cell r="K3456">
            <v>8468.470034816648</v>
          </cell>
          <cell r="L3456">
            <v>8566.8679336101577</v>
          </cell>
          <cell r="M3456">
            <v>9458.3503792400697</v>
          </cell>
          <cell r="N3456">
            <v>9802.9461668607291</v>
          </cell>
          <cell r="O3456">
            <v>10566.568491535803</v>
          </cell>
          <cell r="P3456">
            <v>11451.823179836098</v>
          </cell>
          <cell r="Q3456">
            <v>9286.2836370415644</v>
          </cell>
          <cell r="R3456">
            <v>7389.7703129562879</v>
          </cell>
          <cell r="S3456">
            <v>8710.1281278373699</v>
          </cell>
          <cell r="T3456">
            <v>11030.777389878655</v>
          </cell>
          <cell r="U3456">
            <v>12582.30993344019</v>
          </cell>
          <cell r="V3456">
            <v>12054.717622305057</v>
          </cell>
          <cell r="W3456">
            <v>12152.241527533708</v>
          </cell>
          <cell r="X3456">
            <v>15671.237849104518</v>
          </cell>
          <cell r="Y3456">
            <v>9152.9986204402667</v>
          </cell>
          <cell r="Z3456">
            <v>14182.333097675344</v>
          </cell>
          <cell r="AA3456">
            <v>15251.762834572321</v>
          </cell>
          <cell r="AB3456">
            <v>15355.085506206065</v>
          </cell>
          <cell r="AC3456">
            <v>15663.426538235144</v>
          </cell>
          <cell r="AD3456">
            <v>17083.916330747725</v>
          </cell>
          <cell r="AE3456">
            <v>17758.759069347307</v>
          </cell>
          <cell r="AF3456">
            <v>20300.016406568197</v>
          </cell>
          <cell r="AG3456">
            <v>22067.311101497042</v>
          </cell>
          <cell r="AH3456">
            <v>23288.80466202529</v>
          </cell>
          <cell r="AI3456">
            <v>24516.804703185073</v>
          </cell>
          <cell r="AJ3456">
            <v>8015.5191569429771</v>
          </cell>
        </row>
        <row r="3457">
          <cell r="E3457" t="str">
            <v>MD Bunker Fuels Jet Fuel, Kerosene</v>
          </cell>
          <cell r="F3457">
            <v>3513.4043798702592</v>
          </cell>
          <cell r="G3457">
            <v>3973.3634079294775</v>
          </cell>
          <cell r="H3457">
            <v>3758.3375127423046</v>
          </cell>
          <cell r="I3457">
            <v>3670.7000405922513</v>
          </cell>
          <cell r="J3457">
            <v>3947.9061740158772</v>
          </cell>
          <cell r="K3457">
            <v>4377.510878686885</v>
          </cell>
          <cell r="L3457">
            <v>4857.5409648964578</v>
          </cell>
          <cell r="M3457">
            <v>5308.1273095532288</v>
          </cell>
          <cell r="N3457">
            <v>4972.2109248341494</v>
          </cell>
          <cell r="O3457">
            <v>5148.7201410338139</v>
          </cell>
          <cell r="P3457">
            <v>5734.2820858358928</v>
          </cell>
          <cell r="Q3457">
            <v>3883.3549754901082</v>
          </cell>
          <cell r="R3457">
            <v>2263.1040872262283</v>
          </cell>
          <cell r="S3457">
            <v>3190.8794445819394</v>
          </cell>
          <cell r="T3457">
            <v>4205.4971689882395</v>
          </cell>
          <cell r="U3457">
            <v>6081.7817493054599</v>
          </cell>
          <cell r="V3457">
            <v>5956.6306353318869</v>
          </cell>
          <cell r="W3457">
            <v>5197.2472545690689</v>
          </cell>
          <cell r="X3457">
            <v>5434.9915003775122</v>
          </cell>
          <cell r="Y3457">
            <v>4931.8797921575288</v>
          </cell>
          <cell r="Z3457">
            <v>10567.589821244048</v>
          </cell>
          <cell r="AA3457">
            <v>11590.765382232645</v>
          </cell>
          <cell r="AB3457">
            <v>11247.540862507834</v>
          </cell>
          <cell r="AC3457">
            <v>11079.744522233073</v>
          </cell>
          <cell r="AD3457">
            <v>11069.116640860231</v>
          </cell>
          <cell r="AE3457">
            <v>11554.737913775185</v>
          </cell>
          <cell r="AF3457">
            <v>12003.315908203322</v>
          </cell>
          <cell r="AG3457">
            <v>12961.908771611637</v>
          </cell>
          <cell r="AH3457">
            <v>13601.379220925044</v>
          </cell>
          <cell r="AI3457">
            <v>13265.2324106577</v>
          </cell>
          <cell r="AJ3457">
            <v>8407.3878609262429</v>
          </cell>
        </row>
        <row r="3458">
          <cell r="E3458" t="str">
            <v>ME Bunker Fuels Jet Fuel, Kerosene</v>
          </cell>
          <cell r="F3458">
            <v>2426.4703288760502</v>
          </cell>
          <cell r="G3458">
            <v>2844.4466326688753</v>
          </cell>
          <cell r="H3458">
            <v>2316.6599857835663</v>
          </cell>
          <cell r="I3458">
            <v>1806.2937707187675</v>
          </cell>
          <cell r="J3458">
            <v>1212.1941195205482</v>
          </cell>
          <cell r="K3458">
            <v>1071.9240399191108</v>
          </cell>
          <cell r="L3458">
            <v>1110.4018561591242</v>
          </cell>
          <cell r="M3458">
            <v>1235.8137398258259</v>
          </cell>
          <cell r="N3458">
            <v>1178.7405231076236</v>
          </cell>
          <cell r="O3458">
            <v>1129.7850027288659</v>
          </cell>
          <cell r="P3458">
            <v>1267.3915583841308</v>
          </cell>
          <cell r="Q3458">
            <v>944.29648265862079</v>
          </cell>
          <cell r="R3458">
            <v>884.42079843752185</v>
          </cell>
          <cell r="S3458">
            <v>1255.6957272317939</v>
          </cell>
          <cell r="T3458">
            <v>1457.4300340142943</v>
          </cell>
          <cell r="U3458">
            <v>1987.0169934558674</v>
          </cell>
          <cell r="V3458">
            <v>2572.832460228256</v>
          </cell>
          <cell r="W3458">
            <v>2604.6094403468828</v>
          </cell>
          <cell r="X3458">
            <v>1985.6748568669691</v>
          </cell>
          <cell r="Y3458">
            <v>1814.8859751063414</v>
          </cell>
          <cell r="Z3458">
            <v>1413.0280326604657</v>
          </cell>
          <cell r="AA3458">
            <v>1453.4109940393525</v>
          </cell>
          <cell r="AB3458">
            <v>1383.9333884955256</v>
          </cell>
          <cell r="AC3458">
            <v>1335.0225169962168</v>
          </cell>
          <cell r="AD3458">
            <v>1269.2673757909031</v>
          </cell>
          <cell r="AE3458">
            <v>1264.6277745439645</v>
          </cell>
          <cell r="AF3458">
            <v>961.04415811774675</v>
          </cell>
          <cell r="AG3458">
            <v>958.81396277147769</v>
          </cell>
          <cell r="AH3458">
            <v>982.71166865621149</v>
          </cell>
          <cell r="AI3458">
            <v>889.20229719142924</v>
          </cell>
          <cell r="AJ3458">
            <v>475.13764945298823</v>
          </cell>
        </row>
        <row r="3459">
          <cell r="E3459" t="str">
            <v>MI Bunker Fuels Jet Fuel, Kerosene</v>
          </cell>
          <cell r="F3459">
            <v>9794.3526917479157</v>
          </cell>
          <cell r="G3459">
            <v>12417.868384505487</v>
          </cell>
          <cell r="H3459">
            <v>12524.422448040568</v>
          </cell>
          <cell r="I3459">
            <v>12703.479702437699</v>
          </cell>
          <cell r="J3459">
            <v>12582.328324661081</v>
          </cell>
          <cell r="K3459">
            <v>11253.626722325918</v>
          </cell>
          <cell r="L3459">
            <v>11273.51367762741</v>
          </cell>
          <cell r="M3459">
            <v>12290.280737003262</v>
          </cell>
          <cell r="N3459">
            <v>11447.23779152944</v>
          </cell>
          <cell r="O3459">
            <v>11920.05046357412</v>
          </cell>
          <cell r="P3459">
            <v>10070.198971279038</v>
          </cell>
          <cell r="Q3459">
            <v>8246.3414730041968</v>
          </cell>
          <cell r="R3459">
            <v>7926.7898781662498</v>
          </cell>
          <cell r="S3459">
            <v>3670.2919678326398</v>
          </cell>
          <cell r="T3459">
            <v>5000.7167336651919</v>
          </cell>
          <cell r="U3459">
            <v>4783.4956800755399</v>
          </cell>
          <cell r="V3459">
            <v>5928.4914686075463</v>
          </cell>
          <cell r="W3459">
            <v>7776.6121789573544</v>
          </cell>
          <cell r="X3459">
            <v>6576.0173494153396</v>
          </cell>
          <cell r="Y3459">
            <v>6298.5076630339063</v>
          </cell>
          <cell r="Z3459">
            <v>14230.584261870079</v>
          </cell>
          <cell r="AA3459">
            <v>15569.228251440451</v>
          </cell>
          <cell r="AB3459">
            <v>15513.773162904276</v>
          </cell>
          <cell r="AC3459">
            <v>15585.838170776777</v>
          </cell>
          <cell r="AD3459">
            <v>16143.910888804754</v>
          </cell>
          <cell r="AE3459">
            <v>17737.043238875336</v>
          </cell>
          <cell r="AF3459">
            <v>17830.823866985935</v>
          </cell>
          <cell r="AG3459">
            <v>18503.555333815824</v>
          </cell>
          <cell r="AH3459">
            <v>18509.739750421475</v>
          </cell>
          <cell r="AI3459">
            <v>18011.035732957902</v>
          </cell>
          <cell r="AJ3459">
            <v>7444.7483852687019</v>
          </cell>
        </row>
        <row r="3460">
          <cell r="E3460" t="str">
            <v>MN Bunker Fuels Jet Fuel, Kerosene</v>
          </cell>
          <cell r="F3460">
            <v>4998.1999232481403</v>
          </cell>
          <cell r="G3460">
            <v>6087.6777666503694</v>
          </cell>
          <cell r="H3460">
            <v>8238.0631250129645</v>
          </cell>
          <cell r="I3460">
            <v>11681.049266181793</v>
          </cell>
          <cell r="J3460">
            <v>11988.454889343589</v>
          </cell>
          <cell r="K3460">
            <v>12723.526760266237</v>
          </cell>
          <cell r="L3460">
            <v>13243.921881300786</v>
          </cell>
          <cell r="M3460">
            <v>14109.387595293747</v>
          </cell>
          <cell r="N3460">
            <v>13571.384536242153</v>
          </cell>
          <cell r="O3460">
            <v>16464.096941175583</v>
          </cell>
          <cell r="P3460">
            <v>18567.237092116236</v>
          </cell>
          <cell r="Q3460">
            <v>15364.57838128695</v>
          </cell>
          <cell r="R3460">
            <v>14577.838772774434</v>
          </cell>
          <cell r="S3460">
            <v>16311.554748998773</v>
          </cell>
          <cell r="T3460">
            <v>16751.349742548799</v>
          </cell>
          <cell r="U3460">
            <v>17645.133828410653</v>
          </cell>
          <cell r="V3460">
            <v>16921.779441589941</v>
          </cell>
          <cell r="W3460">
            <v>16637.957785908897</v>
          </cell>
          <cell r="X3460">
            <v>14506.971657543581</v>
          </cell>
          <cell r="Y3460">
            <v>13570.539310994409</v>
          </cell>
          <cell r="Z3460">
            <v>13880.836429282765</v>
          </cell>
          <cell r="AA3460">
            <v>14387.395342627524</v>
          </cell>
          <cell r="AB3460">
            <v>14255.968011505534</v>
          </cell>
          <cell r="AC3460">
            <v>16191.781332020471</v>
          </cell>
          <cell r="AD3460">
            <v>15656.356199000313</v>
          </cell>
          <cell r="AE3460">
            <v>16149.552161284922</v>
          </cell>
          <cell r="AF3460">
            <v>16388.315429654296</v>
          </cell>
          <cell r="AG3460">
            <v>17074.690993000244</v>
          </cell>
          <cell r="AH3460">
            <v>16963.065286133136</v>
          </cell>
          <cell r="AI3460">
            <v>17260.125534185587</v>
          </cell>
          <cell r="AJ3460">
            <v>6609.787959331401</v>
          </cell>
        </row>
        <row r="3461">
          <cell r="E3461" t="str">
            <v>MO Bunker Fuels Jet Fuel, Kerosene</v>
          </cell>
          <cell r="F3461">
            <v>6514.5058198087136</v>
          </cell>
          <cell r="G3461">
            <v>9180.4731212749102</v>
          </cell>
          <cell r="H3461">
            <v>9356.9507895875558</v>
          </cell>
          <cell r="I3461">
            <v>11178.135833647371</v>
          </cell>
          <cell r="J3461">
            <v>13021.946109930715</v>
          </cell>
          <cell r="K3461">
            <v>14580.372918454548</v>
          </cell>
          <cell r="L3461">
            <v>15122.657629219195</v>
          </cell>
          <cell r="M3461">
            <v>15966.192598725895</v>
          </cell>
          <cell r="N3461">
            <v>16167.787391179821</v>
          </cell>
          <cell r="O3461">
            <v>16684.795909865425</v>
          </cell>
          <cell r="P3461">
            <v>6847.8042339655403</v>
          </cell>
          <cell r="Q3461">
            <v>9934.7566797390264</v>
          </cell>
          <cell r="R3461">
            <v>12562.679244647741</v>
          </cell>
          <cell r="S3461">
            <v>10960.91708343973</v>
          </cell>
          <cell r="T3461">
            <v>5356.9826586600948</v>
          </cell>
          <cell r="U3461">
            <v>9200.8648531277195</v>
          </cell>
          <cell r="V3461">
            <v>9449.1828872349979</v>
          </cell>
          <cell r="W3461">
            <v>9353.4835417732775</v>
          </cell>
          <cell r="X3461">
            <v>7914.4611618215185</v>
          </cell>
          <cell r="Y3461">
            <v>5361.4062750847897</v>
          </cell>
          <cell r="Z3461">
            <v>8657.1361504305514</v>
          </cell>
          <cell r="AA3461">
            <v>9259.5640713465018</v>
          </cell>
          <cell r="AB3461">
            <v>8840.040477221879</v>
          </cell>
          <cell r="AC3461">
            <v>8386.7685132428232</v>
          </cell>
          <cell r="AD3461">
            <v>8165.8909813047003</v>
          </cell>
          <cell r="AE3461">
            <v>8319.7178743483255</v>
          </cell>
          <cell r="AF3461">
            <v>9112.64583260994</v>
          </cell>
          <cell r="AG3461">
            <v>9872.9609768939972</v>
          </cell>
          <cell r="AH3461">
            <v>9704.3183359002796</v>
          </cell>
          <cell r="AI3461">
            <v>10093.733620245937</v>
          </cell>
          <cell r="AJ3461">
            <v>4424.6089660956713</v>
          </cell>
        </row>
        <row r="3462">
          <cell r="E3462" t="str">
            <v>MS Bunker Fuels Jet Fuel, Kerosene</v>
          </cell>
          <cell r="F3462">
            <v>6744.7737853745475</v>
          </cell>
          <cell r="G3462">
            <v>9832.5776418495279</v>
          </cell>
          <cell r="H3462">
            <v>13664.624351315813</v>
          </cell>
          <cell r="I3462">
            <v>10270.619587449286</v>
          </cell>
          <cell r="J3462">
            <v>8262.5210813152335</v>
          </cell>
          <cell r="K3462">
            <v>9661.722730241092</v>
          </cell>
          <cell r="L3462">
            <v>8919.9277991796589</v>
          </cell>
          <cell r="M3462">
            <v>10254.123952139562</v>
          </cell>
          <cell r="N3462">
            <v>9745.2830923514812</v>
          </cell>
          <cell r="O3462">
            <v>12628.501071531475</v>
          </cell>
          <cell r="P3462">
            <v>12568.792002755446</v>
          </cell>
          <cell r="Q3462">
            <v>11152.192907753088</v>
          </cell>
          <cell r="R3462">
            <v>9517.3995379941098</v>
          </cell>
          <cell r="S3462">
            <v>12519.247970639402</v>
          </cell>
          <cell r="T3462">
            <v>8197.1875328568603</v>
          </cell>
          <cell r="U3462">
            <v>8228.3797387708382</v>
          </cell>
          <cell r="V3462">
            <v>10201.588714602964</v>
          </cell>
          <cell r="W3462">
            <v>6442.8168770211269</v>
          </cell>
          <cell r="X3462">
            <v>5815.0835539006257</v>
          </cell>
          <cell r="Y3462">
            <v>7159.1215973303197</v>
          </cell>
          <cell r="Z3462">
            <v>2146.1532971223423</v>
          </cell>
          <cell r="AA3462">
            <v>2016.5453224858711</v>
          </cell>
          <cell r="AB3462">
            <v>2100.5567305967952</v>
          </cell>
          <cell r="AC3462">
            <v>2369.1152525142279</v>
          </cell>
          <cell r="AD3462">
            <v>2249.9023752175754</v>
          </cell>
          <cell r="AE3462">
            <v>2076.4166136577928</v>
          </cell>
          <cell r="AF3462">
            <v>1968.2561238313458</v>
          </cell>
          <cell r="AG3462">
            <v>2026.4182627016112</v>
          </cell>
          <cell r="AH3462">
            <v>1941.7083119200581</v>
          </cell>
          <cell r="AI3462">
            <v>2034.3244546757085</v>
          </cell>
          <cell r="AJ3462">
            <v>1514.4854869977885</v>
          </cell>
        </row>
        <row r="3463">
          <cell r="E3463" t="str">
            <v>MT Bunker Fuels Jet Fuel, Kerosene</v>
          </cell>
          <cell r="F3463">
            <v>686.99495290618381</v>
          </cell>
          <cell r="G3463">
            <v>751.31432334019826</v>
          </cell>
          <cell r="H3463">
            <v>1056.9225582489757</v>
          </cell>
          <cell r="I3463">
            <v>1098.8942509331644</v>
          </cell>
          <cell r="J3463">
            <v>1033.4912205871244</v>
          </cell>
          <cell r="K3463">
            <v>1323.8104323318544</v>
          </cell>
          <cell r="L3463">
            <v>1242.0848321716596</v>
          </cell>
          <cell r="M3463">
            <v>1026.5319158878604</v>
          </cell>
          <cell r="N3463">
            <v>1010.8918062221808</v>
          </cell>
          <cell r="O3463">
            <v>1092.8865335644202</v>
          </cell>
          <cell r="P3463">
            <v>1042.372932827974</v>
          </cell>
          <cell r="Q3463">
            <v>1002.9934656074355</v>
          </cell>
          <cell r="R3463">
            <v>1011.7625213864872</v>
          </cell>
          <cell r="S3463">
            <v>1132.9603568003772</v>
          </cell>
          <cell r="T3463">
            <v>1350.4085061477883</v>
          </cell>
          <cell r="U3463">
            <v>1550.8125451956635</v>
          </cell>
          <cell r="V3463">
            <v>1502.0230886641459</v>
          </cell>
          <cell r="W3463">
            <v>1513.8901992903495</v>
          </cell>
          <cell r="X3463">
            <v>1179.2599609306856</v>
          </cell>
          <cell r="Y3463">
            <v>1168.6450401630857</v>
          </cell>
          <cell r="Z3463">
            <v>1866.8814073891581</v>
          </cell>
          <cell r="AA3463">
            <v>1953.8014200370073</v>
          </cell>
          <cell r="AB3463">
            <v>2012.9940196298555</v>
          </cell>
          <cell r="AC3463">
            <v>1526.637513553321</v>
          </cell>
          <cell r="AD3463">
            <v>1747.7210447189975</v>
          </cell>
          <cell r="AE3463">
            <v>1546.2948697833024</v>
          </cell>
          <cell r="AF3463">
            <v>1940.9323193358414</v>
          </cell>
          <cell r="AG3463">
            <v>2341.3710463708398</v>
          </cell>
          <cell r="AH3463">
            <v>2458.8907834905335</v>
          </cell>
          <cell r="AI3463">
            <v>2120.4788424264689</v>
          </cell>
          <cell r="AJ3463">
            <v>1705.7517314403615</v>
          </cell>
        </row>
        <row r="3464">
          <cell r="E3464" t="str">
            <v>NC Bunker Fuels Jet Fuel, Kerosene</v>
          </cell>
          <cell r="F3464">
            <v>5335.4645825881726</v>
          </cell>
          <cell r="G3464">
            <v>5251.6352457413113</v>
          </cell>
          <cell r="H3464">
            <v>5705.1844703485267</v>
          </cell>
          <cell r="I3464">
            <v>5949.1032499326029</v>
          </cell>
          <cell r="J3464">
            <v>5306.1347448440056</v>
          </cell>
          <cell r="K3464">
            <v>6312.6916790196437</v>
          </cell>
          <cell r="L3464">
            <v>11376.397872575435</v>
          </cell>
          <cell r="M3464">
            <v>9269.4027063179128</v>
          </cell>
          <cell r="N3464">
            <v>8568.3305715542228</v>
          </cell>
          <cell r="O3464">
            <v>8893.9147612250345</v>
          </cell>
          <cell r="P3464">
            <v>10158.581560529214</v>
          </cell>
          <cell r="Q3464">
            <v>8023.7138723377757</v>
          </cell>
          <cell r="R3464">
            <v>6357.094004954095</v>
          </cell>
          <cell r="S3464">
            <v>7144.1112683210549</v>
          </cell>
          <cell r="T3464">
            <v>7229.741271017253</v>
          </cell>
          <cell r="U3464">
            <v>10269.491985111285</v>
          </cell>
          <cell r="V3464">
            <v>7651.3182889554846</v>
          </cell>
          <cell r="W3464">
            <v>10566.521571495183</v>
          </cell>
          <cell r="X3464">
            <v>7403.4235224692711</v>
          </cell>
          <cell r="Y3464">
            <v>2734.0362259737017</v>
          </cell>
          <cell r="Z3464">
            <v>20631.320515775766</v>
          </cell>
          <cell r="AA3464">
            <v>22127.058612861998</v>
          </cell>
          <cell r="AB3464">
            <v>23075.145171312903</v>
          </cell>
          <cell r="AC3464">
            <v>24574.152124030836</v>
          </cell>
          <cell r="AD3464">
            <v>26474.21965638132</v>
          </cell>
          <cell r="AE3464">
            <v>25962.552731029104</v>
          </cell>
          <cell r="AF3464">
            <v>26458.550686480252</v>
          </cell>
          <cell r="AG3464">
            <v>28308.64128985865</v>
          </cell>
          <cell r="AH3464">
            <v>29133.421399477811</v>
          </cell>
          <cell r="AI3464">
            <v>29521.389101607481</v>
          </cell>
          <cell r="AJ3464">
            <v>16424.168668558155</v>
          </cell>
        </row>
        <row r="3465">
          <cell r="E3465" t="str">
            <v>ND Bunker Fuels Jet Fuel, Kerosene</v>
          </cell>
          <cell r="F3465">
            <v>1104.593699481213</v>
          </cell>
          <cell r="G3465">
            <v>1129.997492066328</v>
          </cell>
          <cell r="H3465">
            <v>1669.5421200781122</v>
          </cell>
          <cell r="I3465">
            <v>1482.742600612999</v>
          </cell>
          <cell r="J3465">
            <v>997.36121559695277</v>
          </cell>
          <cell r="K3465">
            <v>419.81065402123937</v>
          </cell>
          <cell r="L3465">
            <v>306.23436658674717</v>
          </cell>
          <cell r="M3465">
            <v>244.92370661735725</v>
          </cell>
          <cell r="N3465">
            <v>267.7533459770446</v>
          </cell>
          <cell r="O3465">
            <v>529.03180164523746</v>
          </cell>
          <cell r="P3465">
            <v>577.07183621841546</v>
          </cell>
          <cell r="Q3465">
            <v>996.21174247789122</v>
          </cell>
          <cell r="R3465">
            <v>696.19671889616802</v>
          </cell>
          <cell r="S3465">
            <v>759.71032617332889</v>
          </cell>
          <cell r="T3465">
            <v>1464.5175524160497</v>
          </cell>
          <cell r="U3465">
            <v>900.440073015145</v>
          </cell>
          <cell r="V3465">
            <v>1056.8665412052023</v>
          </cell>
          <cell r="W3465">
            <v>1047.7775386527328</v>
          </cell>
          <cell r="X3465">
            <v>869.13883113306304</v>
          </cell>
          <cell r="Y3465">
            <v>1013.5888416018215</v>
          </cell>
          <cell r="Z3465">
            <v>1274.4155973373984</v>
          </cell>
          <cell r="AA3465">
            <v>1478.0715328127865</v>
          </cell>
          <cell r="AB3465">
            <v>1290.9967927400016</v>
          </cell>
          <cell r="AC3465">
            <v>1560.8769145774595</v>
          </cell>
          <cell r="AD3465">
            <v>1454.8631943764615</v>
          </cell>
          <cell r="AE3465">
            <v>1819.3395029234764</v>
          </cell>
          <cell r="AF3465">
            <v>1485.8496444624382</v>
          </cell>
          <cell r="AG3465">
            <v>1372.7247207657808</v>
          </cell>
          <cell r="AH3465">
            <v>1507.3659975420896</v>
          </cell>
          <cell r="AI3465">
            <v>1394.6837603785486</v>
          </cell>
          <cell r="AJ3465">
            <v>1090.5708555155684</v>
          </cell>
        </row>
        <row r="3466">
          <cell r="E3466" t="str">
            <v>NE Bunker Fuels Jet Fuel, Kerosene</v>
          </cell>
          <cell r="F3466">
            <v>1435.4524078994884</v>
          </cell>
          <cell r="G3466">
            <v>1426.1138968350481</v>
          </cell>
          <cell r="H3466">
            <v>1455.30106097359</v>
          </cell>
          <cell r="I3466">
            <v>1402.3463611809109</v>
          </cell>
          <cell r="J3466">
            <v>1520.4890722809948</v>
          </cell>
          <cell r="K3466">
            <v>1276.5395275895164</v>
          </cell>
          <cell r="L3466">
            <v>1255.7147896220386</v>
          </cell>
          <cell r="M3466">
            <v>1393.0035813862194</v>
          </cell>
          <cell r="N3466">
            <v>1370.5037708941882</v>
          </cell>
          <cell r="O3466">
            <v>2045.5588843039477</v>
          </cell>
          <cell r="P3466">
            <v>1718.6597647784806</v>
          </cell>
          <cell r="Q3466">
            <v>1476.0771170235798</v>
          </cell>
          <cell r="R3466">
            <v>2011.4415216172331</v>
          </cell>
          <cell r="S3466">
            <v>1641.435462873389</v>
          </cell>
          <cell r="T3466">
            <v>1229.9206933179471</v>
          </cell>
          <cell r="U3466">
            <v>1302.4661569528189</v>
          </cell>
          <cell r="V3466">
            <v>1524.3316172383979</v>
          </cell>
          <cell r="W3466">
            <v>1428.527299966431</v>
          </cell>
          <cell r="X3466">
            <v>1258.477042434188</v>
          </cell>
          <cell r="Y3466">
            <v>1027.6375575788488</v>
          </cell>
          <cell r="Z3466">
            <v>1797.8676210257745</v>
          </cell>
          <cell r="AA3466">
            <v>1803.6530763658459</v>
          </cell>
          <cell r="AB3466">
            <v>1837.55248682606</v>
          </cell>
          <cell r="AC3466">
            <v>1966.0955138539578</v>
          </cell>
          <cell r="AD3466">
            <v>1941.1177383414274</v>
          </cell>
          <cell r="AE3466">
            <v>2259.7237708770435</v>
          </cell>
          <cell r="AF3466">
            <v>1839.8028360306407</v>
          </cell>
          <cell r="AG3466">
            <v>2013.4141699217137</v>
          </cell>
          <cell r="AH3466">
            <v>2198.0255041745213</v>
          </cell>
          <cell r="AI3466">
            <v>2087.0979910839233</v>
          </cell>
          <cell r="AJ3466">
            <v>1219.2592257869567</v>
          </cell>
        </row>
        <row r="3467">
          <cell r="E3467" t="str">
            <v>NH Bunker Fuels Jet Fuel, Kerosene</v>
          </cell>
          <cell r="F3467">
            <v>615.14442229729616</v>
          </cell>
          <cell r="G3467">
            <v>561.10816553255313</v>
          </cell>
          <cell r="H3467">
            <v>462.5409532461735</v>
          </cell>
          <cell r="I3467">
            <v>471.45403449577901</v>
          </cell>
          <cell r="J3467">
            <v>415.3868837193383</v>
          </cell>
          <cell r="K3467">
            <v>424.31264494908106</v>
          </cell>
          <cell r="L3467">
            <v>449.12908179233631</v>
          </cell>
          <cell r="M3467">
            <v>528.68792641097446</v>
          </cell>
          <cell r="N3467">
            <v>772.41699807735063</v>
          </cell>
          <cell r="O3467">
            <v>1071.669913794864</v>
          </cell>
          <cell r="P3467">
            <v>1363.6522614393359</v>
          </cell>
          <cell r="Q3467">
            <v>1166.9240833250417</v>
          </cell>
          <cell r="R3467">
            <v>1106.1069365640051</v>
          </cell>
          <cell r="S3467">
            <v>1283.0770036098397</v>
          </cell>
          <cell r="T3467">
            <v>1211.4931454733833</v>
          </cell>
          <cell r="U3467">
            <v>630.45558361846838</v>
          </cell>
          <cell r="V3467">
            <v>232.97201999702108</v>
          </cell>
          <cell r="W3467">
            <v>223.81735798344516</v>
          </cell>
          <cell r="X3467">
            <v>215.41048661204724</v>
          </cell>
          <cell r="Y3467">
            <v>499.24973999843314</v>
          </cell>
          <cell r="Z3467">
            <v>1523.5670633611394</v>
          </cell>
          <cell r="AA3467">
            <v>1611.3633056767906</v>
          </cell>
          <cell r="AB3467">
            <v>1412.0672559181164</v>
          </cell>
          <cell r="AC3467">
            <v>1316.4892632308577</v>
          </cell>
          <cell r="AD3467">
            <v>1429.1853140467608</v>
          </cell>
          <cell r="AE3467">
            <v>1191.1771714770175</v>
          </cell>
          <cell r="AF3467">
            <v>1193.4535296887052</v>
          </cell>
          <cell r="AG3467">
            <v>1176.7118100834214</v>
          </cell>
          <cell r="AH3467">
            <v>1153.9146601873929</v>
          </cell>
          <cell r="AI3467">
            <v>1201.0748225917839</v>
          </cell>
          <cell r="AJ3467">
            <v>742.60759550724606</v>
          </cell>
        </row>
        <row r="3468">
          <cell r="E3468" t="str">
            <v>NJ Bunker Fuels Jet Fuel, Kerosene</v>
          </cell>
          <cell r="F3468">
            <v>45465.630698834553</v>
          </cell>
          <cell r="G3468">
            <v>53386.329486021939</v>
          </cell>
          <cell r="H3468">
            <v>57390.675178499798</v>
          </cell>
          <cell r="I3468">
            <v>59589.780054280658</v>
          </cell>
          <cell r="J3468">
            <v>59322.006636497455</v>
          </cell>
          <cell r="K3468">
            <v>63891.129750197571</v>
          </cell>
          <cell r="L3468">
            <v>53600.906863733449</v>
          </cell>
          <cell r="M3468">
            <v>50203.876489992173</v>
          </cell>
          <cell r="N3468">
            <v>47019.096755648352</v>
          </cell>
          <cell r="O3468">
            <v>47521.307821457085</v>
          </cell>
          <cell r="P3468">
            <v>51342.652431603288</v>
          </cell>
          <cell r="Q3468">
            <v>45018.013544002097</v>
          </cell>
          <cell r="R3468">
            <v>38121.650243108867</v>
          </cell>
          <cell r="S3468">
            <v>35273.088640795628</v>
          </cell>
          <cell r="T3468">
            <v>33538.845828946549</v>
          </cell>
          <cell r="U3468">
            <v>44382.942004179866</v>
          </cell>
          <cell r="V3468">
            <v>48476.432591850236</v>
          </cell>
          <cell r="W3468">
            <v>53911.355472407748</v>
          </cell>
          <cell r="X3468">
            <v>49990.476559520874</v>
          </cell>
          <cell r="Y3468">
            <v>50774.140832232515</v>
          </cell>
          <cell r="Z3468">
            <v>30706.748462233481</v>
          </cell>
          <cell r="AA3468">
            <v>33296.721883634353</v>
          </cell>
          <cell r="AB3468">
            <v>32989.330384511893</v>
          </cell>
          <cell r="AC3468">
            <v>34637.080672730553</v>
          </cell>
          <cell r="AD3468">
            <v>34011.815160758029</v>
          </cell>
          <cell r="AE3468">
            <v>34811.434297907566</v>
          </cell>
          <cell r="AF3468">
            <v>35597.892190149018</v>
          </cell>
          <cell r="AG3468">
            <v>37982.41762612397</v>
          </cell>
          <cell r="AH3468">
            <v>39506.308533425858</v>
          </cell>
          <cell r="AI3468">
            <v>39058.139373737802</v>
          </cell>
          <cell r="AJ3468">
            <v>14090.871884441436</v>
          </cell>
        </row>
        <row r="3469">
          <cell r="E3469" t="str">
            <v>NM Bunker Fuels Jet Fuel, Kerosene</v>
          </cell>
          <cell r="F3469">
            <v>2769.7946715204462</v>
          </cell>
          <cell r="G3469">
            <v>2914.4770816798714</v>
          </cell>
          <cell r="H3469">
            <v>3425.6596014764104</v>
          </cell>
          <cell r="I3469">
            <v>4000.149847830266</v>
          </cell>
          <cell r="J3469">
            <v>3158.4547476138646</v>
          </cell>
          <cell r="K3469">
            <v>2831.7522936124346</v>
          </cell>
          <cell r="L3469">
            <v>2011.9575900946952</v>
          </cell>
          <cell r="M3469">
            <v>2268.7429167074229</v>
          </cell>
          <cell r="N3469">
            <v>2785.2605989698909</v>
          </cell>
          <cell r="O3469">
            <v>3560.9328898012691</v>
          </cell>
          <cell r="P3469">
            <v>4212.0827840703369</v>
          </cell>
          <cell r="Q3469">
            <v>4064.5906798141382</v>
          </cell>
          <cell r="R3469">
            <v>3306.9344147567977</v>
          </cell>
          <cell r="S3469">
            <v>3320.5802274253151</v>
          </cell>
          <cell r="T3469">
            <v>3045.7429078476712</v>
          </cell>
          <cell r="U3469">
            <v>3182.2761946919732</v>
          </cell>
          <cell r="V3469">
            <v>3382.7841510775297</v>
          </cell>
          <cell r="W3469">
            <v>2867.7249623483513</v>
          </cell>
          <cell r="X3469">
            <v>2548.1911043886844</v>
          </cell>
          <cell r="Y3469">
            <v>1973.8445947723355</v>
          </cell>
          <cell r="Z3469">
            <v>2709.0835460609587</v>
          </cell>
          <cell r="AA3469">
            <v>2694.8662181146328</v>
          </cell>
          <cell r="AB3469">
            <v>2689.4712812516977</v>
          </cell>
          <cell r="AC3469">
            <v>2616.0158874222338</v>
          </cell>
          <cell r="AD3469">
            <v>2632.470288484129</v>
          </cell>
          <cell r="AE3469">
            <v>2669.4503958113637</v>
          </cell>
          <cell r="AF3469">
            <v>2525.7245488833069</v>
          </cell>
          <cell r="AG3469">
            <v>2714.3664880576603</v>
          </cell>
          <cell r="AH3469">
            <v>2573.2426867523473</v>
          </cell>
          <cell r="AI3469">
            <v>2577.0017236445219</v>
          </cell>
          <cell r="AJ3469">
            <v>1402.1985756825575</v>
          </cell>
        </row>
        <row r="3470">
          <cell r="E3470" t="str">
            <v>NV Bunker Fuels Jet Fuel, Kerosene</v>
          </cell>
          <cell r="F3470">
            <v>5890.0121718418286</v>
          </cell>
          <cell r="G3470">
            <v>7890.3133986000967</v>
          </cell>
          <cell r="H3470">
            <v>7559.3035028859194</v>
          </cell>
          <cell r="I3470">
            <v>7974.3019986702639</v>
          </cell>
          <cell r="J3470">
            <v>8355.3340881462736</v>
          </cell>
          <cell r="K3470">
            <v>9408.7108400963862</v>
          </cell>
          <cell r="L3470">
            <v>9775.3175482026563</v>
          </cell>
          <cell r="M3470">
            <v>9791.921845342069</v>
          </cell>
          <cell r="N3470">
            <v>8517.3725057088395</v>
          </cell>
          <cell r="O3470">
            <v>10924.02241156637</v>
          </cell>
          <cell r="P3470">
            <v>12790.363953521903</v>
          </cell>
          <cell r="Q3470">
            <v>11156.168400622129</v>
          </cell>
          <cell r="R3470">
            <v>10743.644559895003</v>
          </cell>
          <cell r="S3470">
            <v>10419.77659502098</v>
          </cell>
          <cell r="T3470">
            <v>10603.163779639413</v>
          </cell>
          <cell r="U3470">
            <v>11371.805706391156</v>
          </cell>
          <cell r="V3470">
            <v>12291.745738406487</v>
          </cell>
          <cell r="W3470">
            <v>13586.754640562485</v>
          </cell>
          <cell r="X3470">
            <v>10934.456209044942</v>
          </cell>
          <cell r="Y3470">
            <v>7206.7311348080229</v>
          </cell>
          <cell r="Z3470">
            <v>21408.310474960133</v>
          </cell>
          <cell r="AA3470">
            <v>22679.26738615573</v>
          </cell>
          <cell r="AB3470">
            <v>22802.341490574752</v>
          </cell>
          <cell r="AC3470">
            <v>22897.04971973841</v>
          </cell>
          <cell r="AD3470">
            <v>24247.394869814489</v>
          </cell>
          <cell r="AE3470">
            <v>24446.276803368812</v>
          </cell>
          <cell r="AF3470">
            <v>25609.314280091236</v>
          </cell>
          <cell r="AG3470">
            <v>26820.148426052318</v>
          </cell>
          <cell r="AH3470">
            <v>26608.258490233271</v>
          </cell>
          <cell r="AI3470">
            <v>25185.057555775846</v>
          </cell>
          <cell r="AJ3470">
            <v>12350.803254262037</v>
          </cell>
        </row>
        <row r="3471">
          <cell r="E3471" t="str">
            <v>NY Bunker Fuels Jet Fuel, Kerosene</v>
          </cell>
          <cell r="F3471">
            <v>5268.9812000488646</v>
          </cell>
          <cell r="G3471">
            <v>6387.2524651974099</v>
          </cell>
          <cell r="H3471">
            <v>6568.7407393544472</v>
          </cell>
          <cell r="I3471">
            <v>6270.6882076609563</v>
          </cell>
          <cell r="J3471">
            <v>6992.3458759421956</v>
          </cell>
          <cell r="K3471">
            <v>9820.4179104475097</v>
          </cell>
          <cell r="L3471">
            <v>14373.889321541907</v>
          </cell>
          <cell r="M3471">
            <v>15724.010575391569</v>
          </cell>
          <cell r="N3471">
            <v>18755.250234565672</v>
          </cell>
          <cell r="O3471">
            <v>11927.199541974731</v>
          </cell>
          <cell r="P3471">
            <v>13283.730830561879</v>
          </cell>
          <cell r="Q3471">
            <v>19431.039881274755</v>
          </cell>
          <cell r="R3471">
            <v>20327.968215059373</v>
          </cell>
          <cell r="S3471">
            <v>23516.433235948294</v>
          </cell>
          <cell r="T3471">
            <v>25853.140874083037</v>
          </cell>
          <cell r="U3471">
            <v>27905.282088023694</v>
          </cell>
          <cell r="V3471">
            <v>29238.368768635937</v>
          </cell>
          <cell r="W3471">
            <v>29478.307562870774</v>
          </cell>
          <cell r="X3471">
            <v>30686.998080594887</v>
          </cell>
          <cell r="Y3471">
            <v>24723.138505498231</v>
          </cell>
          <cell r="Z3471">
            <v>67338.447456282709</v>
          </cell>
          <cell r="AA3471">
            <v>72276.60539902997</v>
          </cell>
          <cell r="AB3471">
            <v>73696.1915471713</v>
          </cell>
          <cell r="AC3471">
            <v>77778.411840199609</v>
          </cell>
          <cell r="AD3471">
            <v>82511.480447285052</v>
          </cell>
          <cell r="AE3471">
            <v>85210.363968413847</v>
          </cell>
          <cell r="AF3471">
            <v>88721.963530495006</v>
          </cell>
          <cell r="AG3471">
            <v>92920.586372261329</v>
          </cell>
          <cell r="AH3471">
            <v>92355.080188629989</v>
          </cell>
          <cell r="AI3471">
            <v>91227.323416217725</v>
          </cell>
          <cell r="AJ3471">
            <v>33712.063398761333</v>
          </cell>
        </row>
        <row r="3472">
          <cell r="E3472" t="str">
            <v>OH Bunker Fuels Jet Fuel, Kerosene</v>
          </cell>
          <cell r="F3472">
            <v>10372.619612792938</v>
          </cell>
          <cell r="G3472">
            <v>12713.336359190771</v>
          </cell>
          <cell r="H3472">
            <v>13199.226850614916</v>
          </cell>
          <cell r="I3472">
            <v>13151.994592530302</v>
          </cell>
          <cell r="J3472">
            <v>14291.688620633211</v>
          </cell>
          <cell r="K3472">
            <v>14337.715607443881</v>
          </cell>
          <cell r="L3472">
            <v>14907.216366293844</v>
          </cell>
          <cell r="M3472">
            <v>16334.949000293445</v>
          </cell>
          <cell r="N3472">
            <v>17535.83265889726</v>
          </cell>
          <cell r="O3472">
            <v>21518.956601272341</v>
          </cell>
          <cell r="P3472">
            <v>26041.105182525218</v>
          </cell>
          <cell r="Q3472">
            <v>24634.726194330637</v>
          </cell>
          <cell r="R3472">
            <v>23042.577717778007</v>
          </cell>
          <cell r="S3472">
            <v>24083.994254205514</v>
          </cell>
          <cell r="T3472">
            <v>24962.712312209169</v>
          </cell>
          <cell r="U3472">
            <v>25952.443458890357</v>
          </cell>
          <cell r="V3472">
            <v>26570.725061967107</v>
          </cell>
          <cell r="W3472">
            <v>26774.802080624231</v>
          </cell>
          <cell r="X3472">
            <v>25501.652840223676</v>
          </cell>
          <cell r="Y3472">
            <v>18798.74294570442</v>
          </cell>
          <cell r="Z3472">
            <v>9547.0045907007898</v>
          </cell>
          <cell r="AA3472">
            <v>9813.9579556707904</v>
          </cell>
          <cell r="AB3472">
            <v>8443.3213354763575</v>
          </cell>
          <cell r="AC3472">
            <v>8367.6070135871123</v>
          </cell>
          <cell r="AD3472">
            <v>9478.0631697983972</v>
          </cell>
          <cell r="AE3472">
            <v>10110.635187389373</v>
          </cell>
          <cell r="AF3472">
            <v>10871.733522027425</v>
          </cell>
          <cell r="AG3472">
            <v>9818.0900488227235</v>
          </cell>
          <cell r="AH3472">
            <v>11739.262432582102</v>
          </cell>
          <cell r="AI3472">
            <v>10247.285536421647</v>
          </cell>
          <cell r="AJ3472">
            <v>7818.7016494690879</v>
          </cell>
        </row>
        <row r="3473">
          <cell r="E3473" t="str">
            <v>OK Bunker Fuels Jet Fuel, Kerosene</v>
          </cell>
          <cell r="F3473">
            <v>7582.0488842289587</v>
          </cell>
          <cell r="G3473">
            <v>12765.643052587875</v>
          </cell>
          <cell r="H3473">
            <v>15985.898759910864</v>
          </cell>
          <cell r="I3473">
            <v>11030.232969257362</v>
          </cell>
          <cell r="J3473">
            <v>12571.727305232829</v>
          </cell>
          <cell r="K3473">
            <v>6824.1178484224611</v>
          </cell>
          <cell r="L3473">
            <v>5863.080083897019</v>
          </cell>
          <cell r="M3473">
            <v>6811.4836430814103</v>
          </cell>
          <cell r="N3473">
            <v>6776.9757568580508</v>
          </cell>
          <cell r="O3473">
            <v>8598.9576233417465</v>
          </cell>
          <cell r="P3473">
            <v>9509.6219358399048</v>
          </cell>
          <cell r="Q3473">
            <v>9336.5619292088741</v>
          </cell>
          <cell r="R3473">
            <v>8476.5900907524756</v>
          </cell>
          <cell r="S3473">
            <v>8497.8031425900645</v>
          </cell>
          <cell r="T3473">
            <v>9240.7064922086411</v>
          </cell>
          <cell r="U3473">
            <v>8314.440368359943</v>
          </cell>
          <cell r="V3473">
            <v>8136.7822914519966</v>
          </cell>
          <cell r="W3473">
            <v>7813.5680682988068</v>
          </cell>
          <cell r="X3473">
            <v>7921.9580465063927</v>
          </cell>
          <cell r="Y3473">
            <v>9510.460393633517</v>
          </cell>
          <cell r="Z3473">
            <v>10570.806565523699</v>
          </cell>
          <cell r="AA3473">
            <v>11265.183838679586</v>
          </cell>
          <cell r="AB3473">
            <v>11835.19096968307</v>
          </cell>
          <cell r="AC3473">
            <v>11616.266512592965</v>
          </cell>
          <cell r="AD3473">
            <v>13818.275018437556</v>
          </cell>
          <cell r="AE3473">
            <v>13010.656606741328</v>
          </cell>
          <cell r="AF3473">
            <v>12754.877565188866</v>
          </cell>
          <cell r="AG3473">
            <v>13757.061469153185</v>
          </cell>
          <cell r="AH3473">
            <v>14397.619320057731</v>
          </cell>
          <cell r="AI3473">
            <v>12769.606246438378</v>
          </cell>
          <cell r="AJ3473">
            <v>8656.1853767842604</v>
          </cell>
        </row>
        <row r="3474">
          <cell r="E3474" t="str">
            <v>OR Bunker Fuels Jet Fuel, Kerosene</v>
          </cell>
          <cell r="F3474">
            <v>3246.2589130521542</v>
          </cell>
          <cell r="G3474">
            <v>4568.1899378006583</v>
          </cell>
          <cell r="H3474">
            <v>4979.841151267472</v>
          </cell>
          <cell r="I3474">
            <v>5326.6877984597231</v>
          </cell>
          <cell r="J3474">
            <v>5702.0503683890011</v>
          </cell>
          <cell r="K3474">
            <v>6526.5362480921258</v>
          </cell>
          <cell r="L3474">
            <v>6525.0123723339866</v>
          </cell>
          <cell r="M3474">
            <v>7413.2831237065211</v>
          </cell>
          <cell r="N3474">
            <v>7434.066605916908</v>
          </cell>
          <cell r="O3474">
            <v>8417.0020472745746</v>
          </cell>
          <cell r="P3474">
            <v>8762.4320796441316</v>
          </cell>
          <cell r="Q3474">
            <v>6917.3575921352167</v>
          </cell>
          <cell r="R3474">
            <v>6818.8239383475147</v>
          </cell>
          <cell r="S3474">
            <v>7611.9948330967882</v>
          </cell>
          <cell r="T3474">
            <v>6828.1152282511166</v>
          </cell>
          <cell r="U3474">
            <v>7531.0427515859801</v>
          </cell>
          <cell r="V3474">
            <v>8285.8438232890476</v>
          </cell>
          <cell r="W3474">
            <v>8308.0482777971156</v>
          </cell>
          <cell r="X3474">
            <v>7741.53302175709</v>
          </cell>
          <cell r="Y3474">
            <v>9624.6712512986105</v>
          </cell>
          <cell r="Z3474">
            <v>7405.822625646997</v>
          </cell>
          <cell r="AA3474">
            <v>7848.918821762345</v>
          </cell>
          <cell r="AB3474">
            <v>8057.0338524380904</v>
          </cell>
          <cell r="AC3474">
            <v>8538.4898957626283</v>
          </cell>
          <cell r="AD3474">
            <v>8710.9771245060692</v>
          </cell>
          <cell r="AE3474">
            <v>8864.2103883880882</v>
          </cell>
          <cell r="AF3474">
            <v>9045.1214881670276</v>
          </cell>
          <cell r="AG3474">
            <v>9774.003002568923</v>
          </cell>
          <cell r="AH3474">
            <v>11122.022045657539</v>
          </cell>
          <cell r="AI3474">
            <v>10974.670182819213</v>
          </cell>
          <cell r="AJ3474">
            <v>5465.470784467193</v>
          </cell>
        </row>
        <row r="3475">
          <cell r="E3475" t="str">
            <v>PA Bunker Fuels Jet Fuel, Kerosene</v>
          </cell>
          <cell r="F3475">
            <v>11801.492935961975</v>
          </cell>
          <cell r="G3475">
            <v>13894.559827848478</v>
          </cell>
          <cell r="H3475">
            <v>13598.044822178716</v>
          </cell>
          <cell r="I3475">
            <v>14568.978312520858</v>
          </cell>
          <cell r="J3475">
            <v>14392.722826204532</v>
          </cell>
          <cell r="K3475">
            <v>15713.749134538701</v>
          </cell>
          <cell r="L3475">
            <v>14746.294933170011</v>
          </cell>
          <cell r="M3475">
            <v>19197.266347776887</v>
          </cell>
          <cell r="N3475">
            <v>21202.354896587927</v>
          </cell>
          <cell r="O3475">
            <v>20846.482000750322</v>
          </cell>
          <cell r="P3475">
            <v>26534.472059565196</v>
          </cell>
          <cell r="Q3475">
            <v>25029.235398452747</v>
          </cell>
          <cell r="R3475">
            <v>22406.333853846863</v>
          </cell>
          <cell r="S3475">
            <v>23795.530105696449</v>
          </cell>
          <cell r="T3475">
            <v>21942.484470607818</v>
          </cell>
          <cell r="U3475">
            <v>23458.652300911217</v>
          </cell>
          <cell r="V3475">
            <v>23666.306745203372</v>
          </cell>
          <cell r="W3475">
            <v>22877.257018810189</v>
          </cell>
          <cell r="X3475">
            <v>20452.750901117179</v>
          </cell>
          <cell r="Y3475">
            <v>18403.297607091801</v>
          </cell>
          <cell r="Z3475">
            <v>20341.813530607335</v>
          </cell>
          <cell r="AA3475">
            <v>21390.364036845487</v>
          </cell>
          <cell r="AB3475">
            <v>21466.773065176487</v>
          </cell>
          <cell r="AC3475">
            <v>21994.888621194143</v>
          </cell>
          <cell r="AD3475">
            <v>22548.104257616065</v>
          </cell>
          <cell r="AE3475">
            <v>22121.724891523983</v>
          </cell>
          <cell r="AF3475">
            <v>22096.792102186373</v>
          </cell>
          <cell r="AG3475">
            <v>23039.129157048417</v>
          </cell>
          <cell r="AH3475">
            <v>24237.405677719875</v>
          </cell>
          <cell r="AI3475">
            <v>24668.449142141209</v>
          </cell>
          <cell r="AJ3475">
            <v>11303.128522170266</v>
          </cell>
        </row>
        <row r="3476">
          <cell r="E3476" t="str">
            <v>RI Bunker Fuels Jet Fuel, Kerosene</v>
          </cell>
          <cell r="F3476">
            <v>759.19175113246376</v>
          </cell>
          <cell r="G3476">
            <v>799.73043623668968</v>
          </cell>
          <cell r="H3476">
            <v>689.96607752635839</v>
          </cell>
          <cell r="I3476">
            <v>650.16089279862751</v>
          </cell>
          <cell r="J3476">
            <v>647.96026913511366</v>
          </cell>
          <cell r="K3476">
            <v>637.03171628960172</v>
          </cell>
          <cell r="L3476">
            <v>672.70435158323494</v>
          </cell>
          <cell r="M3476">
            <v>1072.4551108786147</v>
          </cell>
          <cell r="N3476">
            <v>1165.7775063574829</v>
          </cell>
          <cell r="O3476">
            <v>1381.847670208484</v>
          </cell>
          <cell r="P3476">
            <v>1790.5475532493756</v>
          </cell>
          <cell r="Q3476">
            <v>1729.5732505555127</v>
          </cell>
          <cell r="R3476">
            <v>1694.946217499549</v>
          </cell>
          <cell r="S3476">
            <v>1437.7571964823101</v>
          </cell>
          <cell r="T3476">
            <v>1386.7911006101326</v>
          </cell>
          <cell r="U3476">
            <v>1149.5241237973246</v>
          </cell>
          <cell r="V3476">
            <v>852.28719393904771</v>
          </cell>
          <cell r="W3476">
            <v>494.48020949830908</v>
          </cell>
          <cell r="X3476">
            <v>424.3236731638703</v>
          </cell>
          <cell r="Y3476">
            <v>1023.7351364741189</v>
          </cell>
          <cell r="Z3476">
            <v>1029.9430320840561</v>
          </cell>
          <cell r="AA3476">
            <v>1194.9435749962718</v>
          </cell>
          <cell r="AB3476">
            <v>1087.4213925136155</v>
          </cell>
          <cell r="AC3476">
            <v>1040.3751944215226</v>
          </cell>
          <cell r="AD3476">
            <v>965.6833222726691</v>
          </cell>
          <cell r="AE3476">
            <v>1016.1731259088118</v>
          </cell>
          <cell r="AF3476">
            <v>934.9766204955987</v>
          </cell>
          <cell r="AG3476">
            <v>885.2298280169349</v>
          </cell>
          <cell r="AH3476">
            <v>808.26004350963774</v>
          </cell>
          <cell r="AI3476">
            <v>721.98012760877236</v>
          </cell>
          <cell r="AJ3476">
            <v>433.7555068559144</v>
          </cell>
        </row>
        <row r="3477">
          <cell r="E3477" t="str">
            <v>SC Bunker Fuels Jet Fuel, Kerosene</v>
          </cell>
          <cell r="F3477">
            <v>2778.4513619552517</v>
          </cell>
          <cell r="G3477">
            <v>4043.8261436627645</v>
          </cell>
          <cell r="H3477">
            <v>3098.6947851199707</v>
          </cell>
          <cell r="I3477">
            <v>2419.9705005142464</v>
          </cell>
          <cell r="J3477">
            <v>1750.898984344065</v>
          </cell>
          <cell r="K3477">
            <v>1308.2785636308006</v>
          </cell>
          <cell r="L3477">
            <v>1610.0936833318997</v>
          </cell>
          <cell r="M3477">
            <v>1720.4062601013993</v>
          </cell>
          <cell r="N3477">
            <v>1821.7508539723624</v>
          </cell>
          <cell r="O3477">
            <v>2007.9685688426684</v>
          </cell>
          <cell r="P3477">
            <v>2597.8080272084981</v>
          </cell>
          <cell r="Q3477">
            <v>2454.5160678516304</v>
          </cell>
          <cell r="R3477">
            <v>2039.7913212518567</v>
          </cell>
          <cell r="S3477">
            <v>1987.0640304874962</v>
          </cell>
          <cell r="T3477">
            <v>2218.3932597494286</v>
          </cell>
          <cell r="U3477">
            <v>2243.2317821182874</v>
          </cell>
          <cell r="V3477">
            <v>2594.6339767894569</v>
          </cell>
          <cell r="W3477">
            <v>2775.8557444784024</v>
          </cell>
          <cell r="X3477">
            <v>2480.4692460686556</v>
          </cell>
          <cell r="Y3477">
            <v>1587.2447439971027</v>
          </cell>
          <cell r="Z3477">
            <v>5103.5110153125925</v>
          </cell>
          <cell r="AA3477">
            <v>4774.155443049367</v>
          </cell>
          <cell r="AB3477">
            <v>4340.20224395696</v>
          </cell>
          <cell r="AC3477">
            <v>3985.2778054425889</v>
          </cell>
          <cell r="AD3477">
            <v>4816.7152988080388</v>
          </cell>
          <cell r="AE3477">
            <v>4888.6166597775282</v>
          </cell>
          <cell r="AF3477">
            <v>5198.4323219493281</v>
          </cell>
          <cell r="AG3477">
            <v>5700.8674055092761</v>
          </cell>
          <cell r="AH3477">
            <v>6267.9136975381634</v>
          </cell>
          <cell r="AI3477">
            <v>6565.8545026437578</v>
          </cell>
          <cell r="AJ3477">
            <v>3963.8541344965442</v>
          </cell>
        </row>
        <row r="3478">
          <cell r="E3478" t="str">
            <v>SD Bunker Fuels Jet Fuel, Kerosene</v>
          </cell>
          <cell r="F3478">
            <v>1026.8566193766574</v>
          </cell>
          <cell r="G3478">
            <v>434.44815590155309</v>
          </cell>
          <cell r="H3478">
            <v>1509.7951970329966</v>
          </cell>
          <cell r="I3478">
            <v>1407.8080622292864</v>
          </cell>
          <cell r="J3478">
            <v>1528.4939236860027</v>
          </cell>
          <cell r="K3478">
            <v>1787.5154978995504</v>
          </cell>
          <cell r="L3478">
            <v>1253.5164093881067</v>
          </cell>
          <cell r="M3478">
            <v>903.38464175842398</v>
          </cell>
          <cell r="N3478">
            <v>1037.9353411664399</v>
          </cell>
          <cell r="O3478">
            <v>1006.636361892529</v>
          </cell>
          <cell r="P3478">
            <v>1428.6467003308298</v>
          </cell>
          <cell r="Q3478">
            <v>1282.9149340924205</v>
          </cell>
          <cell r="R3478">
            <v>1210.675869642535</v>
          </cell>
          <cell r="S3478">
            <v>1046.9735415079169</v>
          </cell>
          <cell r="T3478">
            <v>1039.9752001509034</v>
          </cell>
          <cell r="U3478">
            <v>1388.5267865419232</v>
          </cell>
          <cell r="V3478">
            <v>1358.5386889706595</v>
          </cell>
          <cell r="W3478">
            <v>1298.9214345295054</v>
          </cell>
          <cell r="X3478">
            <v>933.61203942297971</v>
          </cell>
          <cell r="Y3478">
            <v>1042.7269191838041</v>
          </cell>
          <cell r="Z3478">
            <v>1277.6323416170476</v>
          </cell>
          <cell r="AA3478">
            <v>1151.8656718224249</v>
          </cell>
          <cell r="AB3478">
            <v>1418.0733624465347</v>
          </cell>
          <cell r="AC3478">
            <v>1281.9357392615439</v>
          </cell>
          <cell r="AD3478">
            <v>1813.3784096126626</v>
          </cell>
          <cell r="AE3478">
            <v>1679.7833570962762</v>
          </cell>
          <cell r="AF3478">
            <v>1489.6184450825074</v>
          </cell>
          <cell r="AG3478">
            <v>1484.3696148761214</v>
          </cell>
          <cell r="AH3478">
            <v>1227.0089165337224</v>
          </cell>
          <cell r="AI3478">
            <v>1293.2695548711959</v>
          </cell>
          <cell r="AJ3478">
            <v>925.04228512727298</v>
          </cell>
        </row>
        <row r="3479">
          <cell r="E3479" t="str">
            <v>TN Bunker Fuels Jet Fuel, Kerosene</v>
          </cell>
          <cell r="F3479">
            <v>4088.2086247413608</v>
          </cell>
          <cell r="G3479">
            <v>4164.2179958205579</v>
          </cell>
          <cell r="H3479">
            <v>5562.1373631925844</v>
          </cell>
          <cell r="I3479">
            <v>8119.5832465570547</v>
          </cell>
          <cell r="J3479">
            <v>9510.8452058259536</v>
          </cell>
          <cell r="K3479">
            <v>10328.017387561664</v>
          </cell>
          <cell r="L3479">
            <v>11611.844395629567</v>
          </cell>
          <cell r="M3479">
            <v>12224.708811817462</v>
          </cell>
          <cell r="N3479">
            <v>12499.924151756386</v>
          </cell>
          <cell r="O3479">
            <v>15450.772731746998</v>
          </cell>
          <cell r="P3479">
            <v>17946.835629970159</v>
          </cell>
          <cell r="Q3479">
            <v>16655.678153639165</v>
          </cell>
          <cell r="R3479">
            <v>17711.188758620872</v>
          </cell>
          <cell r="S3479">
            <v>18215.754390447444</v>
          </cell>
          <cell r="T3479">
            <v>18248.233628999533</v>
          </cell>
          <cell r="U3479">
            <v>19400.770672028386</v>
          </cell>
          <cell r="V3479">
            <v>20420.669343656191</v>
          </cell>
          <cell r="W3479">
            <v>20380.392213585568</v>
          </cell>
          <cell r="X3479">
            <v>17951.540274087038</v>
          </cell>
          <cell r="Y3479">
            <v>16490.070620146267</v>
          </cell>
          <cell r="Z3479">
            <v>20667.581996746361</v>
          </cell>
          <cell r="AA3479">
            <v>21235.845471113207</v>
          </cell>
          <cell r="AB3479">
            <v>20207.703470298078</v>
          </cell>
          <cell r="AC3479">
            <v>20773.89273329666</v>
          </cell>
          <cell r="AD3479">
            <v>21700.084133816206</v>
          </cell>
          <cell r="AE3479">
            <v>22390.617968838636</v>
          </cell>
          <cell r="AF3479">
            <v>23306.263034510375</v>
          </cell>
          <cell r="AG3479">
            <v>24584.078813899185</v>
          </cell>
          <cell r="AH3479">
            <v>25212.320625699147</v>
          </cell>
          <cell r="AI3479">
            <v>26278.359915461697</v>
          </cell>
          <cell r="AJ3479">
            <v>19611.855299221777</v>
          </cell>
        </row>
        <row r="3480">
          <cell r="E3480" t="str">
            <v>TX Bunker Fuels Jet Fuel, Kerosene</v>
          </cell>
          <cell r="F3480">
            <v>93862.589912703013</v>
          </cell>
          <cell r="G3480">
            <v>110841.55774559946</v>
          </cell>
          <cell r="H3480">
            <v>111866.79301549973</v>
          </cell>
          <cell r="I3480">
            <v>107491.95680112147</v>
          </cell>
          <cell r="J3480">
            <v>102213.9475905482</v>
          </cell>
          <cell r="K3480">
            <v>105904.60948700196</v>
          </cell>
          <cell r="L3480">
            <v>124476.90544372905</v>
          </cell>
          <cell r="M3480">
            <v>136866.20033050503</v>
          </cell>
          <cell r="N3480">
            <v>137667.68488707204</v>
          </cell>
          <cell r="O3480">
            <v>137161.29573239962</v>
          </cell>
          <cell r="P3480">
            <v>143382.40982470728</v>
          </cell>
          <cell r="Q3480">
            <v>149626.79437478853</v>
          </cell>
          <cell r="R3480">
            <v>152308.13665998145</v>
          </cell>
          <cell r="S3480">
            <v>138003.31425179611</v>
          </cell>
          <cell r="T3480">
            <v>118978.88016210742</v>
          </cell>
          <cell r="U3480">
            <v>112066.92241336632</v>
          </cell>
          <cell r="V3480">
            <v>117077.69301774127</v>
          </cell>
          <cell r="W3480">
            <v>111275.22381808107</v>
          </cell>
          <cell r="X3480">
            <v>102748.55304854109</v>
          </cell>
          <cell r="Y3480">
            <v>91173.825238244332</v>
          </cell>
          <cell r="Z3480">
            <v>75600.216491614541</v>
          </cell>
          <cell r="AA3480">
            <v>81694.746099451222</v>
          </cell>
          <cell r="AB3480">
            <v>81516.774468911652</v>
          </cell>
          <cell r="AC3480">
            <v>84178.038602261688</v>
          </cell>
          <cell r="AD3480">
            <v>87853.454665242403</v>
          </cell>
          <cell r="AE3480">
            <v>94655.472821927062</v>
          </cell>
          <cell r="AF3480">
            <v>94426.357335688677</v>
          </cell>
          <cell r="AG3480">
            <v>94634.906408245384</v>
          </cell>
          <cell r="AH3480">
            <v>98068.12726465911</v>
          </cell>
          <cell r="AI3480">
            <v>101897.43306964496</v>
          </cell>
          <cell r="AJ3480">
            <v>50018.898553248517</v>
          </cell>
        </row>
        <row r="3481">
          <cell r="E3481" t="str">
            <v>US Bunker Fuels Jet Fuel, Kerosene</v>
          </cell>
          <cell r="F3481">
            <v>541820.69611021329</v>
          </cell>
          <cell r="G3481">
            <v>653834.7481805858</v>
          </cell>
          <cell r="H3481">
            <v>659495.50556120567</v>
          </cell>
          <cell r="I3481">
            <v>661522.76025554223</v>
          </cell>
          <cell r="J3481">
            <v>682467.45276342134</v>
          </cell>
          <cell r="K3481">
            <v>705055.67371155799</v>
          </cell>
          <cell r="L3481">
            <v>719802.22987697378</v>
          </cell>
          <cell r="M3481">
            <v>755828.84678099153</v>
          </cell>
          <cell r="N3481">
            <v>750241.96992392454</v>
          </cell>
          <cell r="O3481">
            <v>798340.12176602078</v>
          </cell>
          <cell r="P3481">
            <v>881450.14880742482</v>
          </cell>
          <cell r="Q3481">
            <v>801172.89306002192</v>
          </cell>
          <cell r="R3481">
            <v>776207.75422890857</v>
          </cell>
          <cell r="S3481">
            <v>784319.12822478032</v>
          </cell>
          <cell r="T3481">
            <v>799125.96856938582</v>
          </cell>
          <cell r="U3481">
            <v>854398.12796000019</v>
          </cell>
          <cell r="V3481">
            <v>856693.63534447562</v>
          </cell>
          <cell r="W3481">
            <v>873827.20853348286</v>
          </cell>
          <cell r="X3481">
            <v>797878.1933456175</v>
          </cell>
          <cell r="Y3481">
            <v>750116.62055458163</v>
          </cell>
          <cell r="Z3481">
            <v>866435.92034948536</v>
          </cell>
          <cell r="AA3481">
            <v>920811.40713384328</v>
          </cell>
          <cell r="AB3481">
            <v>917175.1418569017</v>
          </cell>
          <cell r="AC3481">
            <v>932491.86776158563</v>
          </cell>
          <cell r="AD3481">
            <v>988790.48924126092</v>
          </cell>
          <cell r="AE3481">
            <v>1023252.4866426733</v>
          </cell>
          <cell r="AF3481">
            <v>1052084.5621630212</v>
          </cell>
          <cell r="AG3481">
            <v>1104188.9361689158</v>
          </cell>
          <cell r="AH3481">
            <v>1147662.9896579315</v>
          </cell>
          <cell r="AI3481">
            <v>1147035.6750483818</v>
          </cell>
          <cell r="AJ3481">
            <v>563666.16431474301</v>
          </cell>
        </row>
        <row r="3482">
          <cell r="E3482" t="str">
            <v>UT Bunker Fuels Jet Fuel, Kerosene</v>
          </cell>
          <cell r="F3482">
            <v>5148.9994706224561</v>
          </cell>
          <cell r="G3482">
            <v>7180.2824572386035</v>
          </cell>
          <cell r="H3482">
            <v>6919.6566074466737</v>
          </cell>
          <cell r="I3482">
            <v>6786.9281907534141</v>
          </cell>
          <cell r="J3482">
            <v>6422.0543001691867</v>
          </cell>
          <cell r="K3482">
            <v>7168.9703534951368</v>
          </cell>
          <cell r="L3482">
            <v>7849.3166252547071</v>
          </cell>
          <cell r="M3482">
            <v>8134.3458271434411</v>
          </cell>
          <cell r="N3482">
            <v>8083.3349448679219</v>
          </cell>
          <cell r="O3482">
            <v>9731.9712421225013</v>
          </cell>
          <cell r="P3482">
            <v>10749.440095906431</v>
          </cell>
          <cell r="Q3482">
            <v>9122.5868718456659</v>
          </cell>
          <cell r="R3482">
            <v>8454.0496762888815</v>
          </cell>
          <cell r="S3482">
            <v>9203.7116625468825</v>
          </cell>
          <cell r="T3482">
            <v>9560.5898227411999</v>
          </cell>
          <cell r="U3482">
            <v>10308.342212182937</v>
          </cell>
          <cell r="V3482">
            <v>10866.027957706547</v>
          </cell>
          <cell r="W3482">
            <v>10455.133397987142</v>
          </cell>
          <cell r="X3482">
            <v>9222.9174354881998</v>
          </cell>
          <cell r="Y3482">
            <v>8484.1236430895788</v>
          </cell>
          <cell r="Z3482">
            <v>8341.6027797267761</v>
          </cell>
          <cell r="AA3482">
            <v>8539.7260661371492</v>
          </cell>
          <cell r="AB3482">
            <v>8259.6609200547264</v>
          </cell>
          <cell r="AC3482">
            <v>7958.6189389685069</v>
          </cell>
          <cell r="AD3482">
            <v>8876.0956461198421</v>
          </cell>
          <cell r="AE3482">
            <v>9574.1264345525396</v>
          </cell>
          <cell r="AF3482">
            <v>10618.281680327746</v>
          </cell>
          <cell r="AG3482">
            <v>11432.817764492453</v>
          </cell>
          <cell r="AH3482">
            <v>15875.422751699751</v>
          </cell>
          <cell r="AI3482">
            <v>13489.360983957647</v>
          </cell>
          <cell r="AJ3482">
            <v>7513.8868430223501</v>
          </cell>
        </row>
        <row r="3483">
          <cell r="E3483" t="str">
            <v>VA Bunker Fuels Jet Fuel, Kerosene</v>
          </cell>
          <cell r="F3483">
            <v>15327.016682440963</v>
          </cell>
          <cell r="G3483">
            <v>14419.572052069805</v>
          </cell>
          <cell r="H3483">
            <v>14481.37718894813</v>
          </cell>
          <cell r="I3483">
            <v>14700.496073765742</v>
          </cell>
          <cell r="J3483">
            <v>14702.3158629766</v>
          </cell>
          <cell r="K3483">
            <v>13512.500670370497</v>
          </cell>
          <cell r="L3483">
            <v>11471.807574728089</v>
          </cell>
          <cell r="M3483">
            <v>12185.182877820444</v>
          </cell>
          <cell r="N3483">
            <v>12915.634688916072</v>
          </cell>
          <cell r="O3483">
            <v>12179.031594022073</v>
          </cell>
          <cell r="P3483">
            <v>13879.513187067238</v>
          </cell>
          <cell r="Q3483">
            <v>13233.948056001489</v>
          </cell>
          <cell r="R3483">
            <v>13116.197463743427</v>
          </cell>
          <cell r="S3483">
            <v>15608.048095390905</v>
          </cell>
          <cell r="T3483">
            <v>22443.099520385138</v>
          </cell>
          <cell r="U3483">
            <v>26273.080775988048</v>
          </cell>
          <cell r="V3483">
            <v>27036.162089948099</v>
          </cell>
          <cell r="W3483">
            <v>28072.942756928212</v>
          </cell>
          <cell r="X3483">
            <v>23407.523051582197</v>
          </cell>
          <cell r="Y3483">
            <v>23148.641670443245</v>
          </cell>
          <cell r="Z3483">
            <v>32942.970599186003</v>
          </cell>
          <cell r="AA3483">
            <v>34159.528581985898</v>
          </cell>
          <cell r="AB3483">
            <v>33905.103574660716</v>
          </cell>
          <cell r="AC3483">
            <v>35068.685599401797</v>
          </cell>
          <cell r="AD3483">
            <v>40381.879701283025</v>
          </cell>
          <cell r="AE3483">
            <v>41553.24160810899</v>
          </cell>
          <cell r="AF3483">
            <v>46315.418953471926</v>
          </cell>
          <cell r="AG3483">
            <v>47896.928265314717</v>
          </cell>
          <cell r="AH3483">
            <v>49173.917309472199</v>
          </cell>
          <cell r="AI3483">
            <v>48960.489446286483</v>
          </cell>
          <cell r="AJ3483">
            <v>22293.115343346821</v>
          </cell>
        </row>
        <row r="3484">
          <cell r="E3484" t="str">
            <v>VT Bunker Fuels Jet Fuel, Kerosene</v>
          </cell>
          <cell r="F3484">
            <v>173.48007631350708</v>
          </cell>
          <cell r="G3484">
            <v>194.09673830825605</v>
          </cell>
          <cell r="H3484">
            <v>140.41029412080991</v>
          </cell>
          <cell r="I3484">
            <v>150.30601285129561</v>
          </cell>
          <cell r="J3484">
            <v>168.5345741757107</v>
          </cell>
          <cell r="K3484">
            <v>161.62147430951734</v>
          </cell>
          <cell r="L3484">
            <v>123.76880717037952</v>
          </cell>
          <cell r="M3484">
            <v>137.31263775842513</v>
          </cell>
          <cell r="N3484">
            <v>153.54469840252889</v>
          </cell>
          <cell r="O3484">
            <v>187.25973100956091</v>
          </cell>
          <cell r="P3484">
            <v>201.13809308466102</v>
          </cell>
          <cell r="Q3484">
            <v>159.48741980514598</v>
          </cell>
          <cell r="R3484">
            <v>85.049398903870994</v>
          </cell>
          <cell r="S3484">
            <v>92.471854434629037</v>
          </cell>
          <cell r="T3484">
            <v>413.91107466251316</v>
          </cell>
          <cell r="U3484">
            <v>589.39236892881001</v>
          </cell>
          <cell r="V3484">
            <v>540.47480591256692</v>
          </cell>
          <cell r="W3484">
            <v>468.19468257234638</v>
          </cell>
          <cell r="X3484">
            <v>377.0932996491639</v>
          </cell>
          <cell r="Y3484">
            <v>754.72824165474435</v>
          </cell>
          <cell r="Z3484">
            <v>266.40491261458692</v>
          </cell>
          <cell r="AA3484">
            <v>324.33290867845517</v>
          </cell>
          <cell r="AB3484">
            <v>330.65196993291914</v>
          </cell>
          <cell r="AC3484">
            <v>305.32750271066425</v>
          </cell>
          <cell r="AD3484">
            <v>359.81536107567979</v>
          </cell>
          <cell r="AE3484">
            <v>346.17588575900447</v>
          </cell>
          <cell r="AF3484">
            <v>373.11126138688991</v>
          </cell>
          <cell r="AG3484">
            <v>271.18291041006069</v>
          </cell>
          <cell r="AH3484">
            <v>295.62565900071155</v>
          </cell>
          <cell r="AI3484">
            <v>304.56052939198764</v>
          </cell>
          <cell r="AJ3484">
            <v>209.18168422545261</v>
          </cell>
        </row>
        <row r="3485">
          <cell r="E3485" t="str">
            <v>WA Bunker Fuels Jet Fuel, Kerosene</v>
          </cell>
          <cell r="F3485">
            <v>21818.495705693091</v>
          </cell>
          <cell r="G3485">
            <v>25990.374604247838</v>
          </cell>
          <cell r="H3485">
            <v>29875.091688052133</v>
          </cell>
          <cell r="I3485">
            <v>27438.930662913048</v>
          </cell>
          <cell r="J3485">
            <v>26326.441839724688</v>
          </cell>
          <cell r="K3485">
            <v>29346.903161775354</v>
          </cell>
          <cell r="L3485">
            <v>27817.204290060341</v>
          </cell>
          <cell r="M3485">
            <v>29100.454839688595</v>
          </cell>
          <cell r="N3485">
            <v>27726.328326529441</v>
          </cell>
          <cell r="O3485">
            <v>28969.910602735275</v>
          </cell>
          <cell r="P3485">
            <v>34514.755153003731</v>
          </cell>
          <cell r="Q3485">
            <v>28925.686115158522</v>
          </cell>
          <cell r="R3485">
            <v>23815.923071745448</v>
          </cell>
          <cell r="S3485">
            <v>23822.671195439601</v>
          </cell>
          <cell r="T3485">
            <v>25745.174343762963</v>
          </cell>
          <cell r="U3485">
            <v>25765.077173899223</v>
          </cell>
          <cell r="V3485">
            <v>26717.758545751953</v>
          </cell>
          <cell r="W3485">
            <v>30178.127185681802</v>
          </cell>
          <cell r="X3485">
            <v>28494.159310269228</v>
          </cell>
          <cell r="Y3485">
            <v>26983.680970764708</v>
          </cell>
          <cell r="Z3485">
            <v>21860.116830601775</v>
          </cell>
          <cell r="AA3485">
            <v>23469.653261780222</v>
          </cell>
          <cell r="AB3485">
            <v>23199.060632320274</v>
          </cell>
          <cell r="AC3485">
            <v>25000.416960634095</v>
          </cell>
          <cell r="AD3485">
            <v>26788.854949535118</v>
          </cell>
          <cell r="AE3485">
            <v>29446.027419091111</v>
          </cell>
          <cell r="AF3485">
            <v>31168.295194693888</v>
          </cell>
          <cell r="AG3485">
            <v>33216.5762087888</v>
          </cell>
          <cell r="AH3485">
            <v>34127.220993059069</v>
          </cell>
          <cell r="AI3485">
            <v>35084.864325365088</v>
          </cell>
          <cell r="AJ3485">
            <v>17635.353329935926</v>
          </cell>
        </row>
        <row r="3486">
          <cell r="E3486" t="str">
            <v>WI Bunker Fuels Jet Fuel, Kerosene</v>
          </cell>
          <cell r="F3486">
            <v>1385.0704695689192</v>
          </cell>
          <cell r="G3486">
            <v>1636.421387229183</v>
          </cell>
          <cell r="H3486">
            <v>2129.0067914499641</v>
          </cell>
          <cell r="I3486">
            <v>2353.7746838079343</v>
          </cell>
          <cell r="J3486">
            <v>2408.5948835663507</v>
          </cell>
          <cell r="K3486">
            <v>2608.6786431378778</v>
          </cell>
          <cell r="L3486">
            <v>1906.8750149127386</v>
          </cell>
          <cell r="M3486">
            <v>2526.0041980984156</v>
          </cell>
          <cell r="N3486">
            <v>2364.6330554567039</v>
          </cell>
          <cell r="O3486">
            <v>4454.5676898776828</v>
          </cell>
          <cell r="P3486">
            <v>4381.7084219348799</v>
          </cell>
          <cell r="Q3486">
            <v>3434.5919863316399</v>
          </cell>
          <cell r="R3486">
            <v>3021.1126643421499</v>
          </cell>
          <cell r="S3486">
            <v>1818.9333860608981</v>
          </cell>
          <cell r="T3486">
            <v>3538.0891861562768</v>
          </cell>
          <cell r="U3486">
            <v>3985.0989250017619</v>
          </cell>
          <cell r="V3486">
            <v>3950.3840996883346</v>
          </cell>
          <cell r="W3486">
            <v>3286.9921294545493</v>
          </cell>
          <cell r="X3486">
            <v>3737.4469115658685</v>
          </cell>
          <cell r="Y3486">
            <v>3677.1213262834044</v>
          </cell>
          <cell r="Z3486">
            <v>4748.2069880604258</v>
          </cell>
          <cell r="AA3486">
            <v>4862.8085191462696</v>
          </cell>
          <cell r="AB3486">
            <v>3949.1730978699411</v>
          </cell>
          <cell r="AC3486">
            <v>3947.2689290763446</v>
          </cell>
          <cell r="AD3486">
            <v>4070.106550487501</v>
          </cell>
          <cell r="AE3486">
            <v>4117.3853275745796</v>
          </cell>
          <cell r="AF3486">
            <v>4208.1799590260416</v>
          </cell>
          <cell r="AG3486">
            <v>4456.2805745746809</v>
          </cell>
          <cell r="AH3486">
            <v>4829.4187326423926</v>
          </cell>
          <cell r="AI3486">
            <v>5081.51931294523</v>
          </cell>
          <cell r="AJ3486">
            <v>2492.5171010603385</v>
          </cell>
        </row>
        <row r="3487">
          <cell r="E3487" t="str">
            <v>WV Bunker Fuels Jet Fuel, Kerosene</v>
          </cell>
          <cell r="F3487">
            <v>264.37532587896737</v>
          </cell>
          <cell r="G3487">
            <v>284.66080662803256</v>
          </cell>
          <cell r="H3487">
            <v>331.57923916792197</v>
          </cell>
          <cell r="I3487">
            <v>312.62776800901747</v>
          </cell>
          <cell r="J3487">
            <v>272.59764244081572</v>
          </cell>
          <cell r="K3487">
            <v>221.49795364981205</v>
          </cell>
          <cell r="L3487">
            <v>211.92385455105835</v>
          </cell>
          <cell r="M3487">
            <v>223.21871396003544</v>
          </cell>
          <cell r="N3487">
            <v>221.71228648516544</v>
          </cell>
          <cell r="O3487">
            <v>240.9931267302847</v>
          </cell>
          <cell r="P3487">
            <v>263.42443035567601</v>
          </cell>
          <cell r="Q3487">
            <v>253.72998605364128</v>
          </cell>
          <cell r="R3487">
            <v>328.11407445974271</v>
          </cell>
          <cell r="S3487">
            <v>356.67715281928344</v>
          </cell>
          <cell r="T3487">
            <v>338.0746277637308</v>
          </cell>
          <cell r="U3487">
            <v>332.19403021394339</v>
          </cell>
          <cell r="V3487">
            <v>332.59988056157965</v>
          </cell>
          <cell r="W3487">
            <v>347.69766309986363</v>
          </cell>
          <cell r="X3487">
            <v>321.36645682493361</v>
          </cell>
          <cell r="Y3487">
            <v>292.68158285473544</v>
          </cell>
          <cell r="Z3487">
            <v>388.05633264495816</v>
          </cell>
          <cell r="AA3487">
            <v>445.13833279641682</v>
          </cell>
          <cell r="AB3487">
            <v>439.07799831436392</v>
          </cell>
          <cell r="AC3487">
            <v>371.6074441427117</v>
          </cell>
          <cell r="AD3487">
            <v>363.0657256743761</v>
          </cell>
          <cell r="AE3487">
            <v>395.99455566528184</v>
          </cell>
          <cell r="AF3487">
            <v>401.69133275575103</v>
          </cell>
          <cell r="AG3487">
            <v>411.05620104261828</v>
          </cell>
          <cell r="AH3487">
            <v>361.89778475471718</v>
          </cell>
          <cell r="AI3487">
            <v>372.91179642672387</v>
          </cell>
          <cell r="AJ3487">
            <v>221.2935308392303</v>
          </cell>
        </row>
        <row r="3488">
          <cell r="E3488" t="str">
            <v>WY Bunker Fuels Jet Fuel, Kerosene</v>
          </cell>
          <cell r="F3488">
            <v>138.1607793394997</v>
          </cell>
          <cell r="G3488">
            <v>145.03219532832941</v>
          </cell>
          <cell r="H3488">
            <v>186.99399107481881</v>
          </cell>
          <cell r="I3488">
            <v>171.06047683512278</v>
          </cell>
          <cell r="J3488">
            <v>183.46254030937442</v>
          </cell>
          <cell r="K3488">
            <v>200.11349674256397</v>
          </cell>
          <cell r="L3488">
            <v>187.30199593101838</v>
          </cell>
          <cell r="M3488">
            <v>157.18984156039349</v>
          </cell>
          <cell r="N3488">
            <v>146.83968973866303</v>
          </cell>
          <cell r="O3488">
            <v>228.07866252272876</v>
          </cell>
          <cell r="P3488">
            <v>399.5680845488431</v>
          </cell>
          <cell r="Q3488">
            <v>438.23962568158873</v>
          </cell>
          <cell r="R3488">
            <v>276.29435873416014</v>
          </cell>
          <cell r="S3488">
            <v>226.01562343632705</v>
          </cell>
          <cell r="T3488">
            <v>323.66334034682819</v>
          </cell>
          <cell r="U3488">
            <v>283.75419013093318</v>
          </cell>
          <cell r="V3488">
            <v>419.80594680638399</v>
          </cell>
          <cell r="W3488">
            <v>557.72162576572441</v>
          </cell>
          <cell r="X3488">
            <v>556.26884361765326</v>
          </cell>
          <cell r="Y3488">
            <v>635.3141558500123</v>
          </cell>
          <cell r="Z3488">
            <v>602.11604289070738</v>
          </cell>
          <cell r="AA3488">
            <v>643.98343657714429</v>
          </cell>
          <cell r="AB3488">
            <v>619.57730503682751</v>
          </cell>
          <cell r="AC3488">
            <v>619.13632494106912</v>
          </cell>
          <cell r="AD3488">
            <v>541.18570568293308</v>
          </cell>
          <cell r="AE3488">
            <v>581.85651646947065</v>
          </cell>
          <cell r="AF3488">
            <v>504.70521637098665</v>
          </cell>
          <cell r="AG3488">
            <v>580.10940718128779</v>
          </cell>
          <cell r="AH3488">
            <v>568.18601933213688</v>
          </cell>
          <cell r="AI3488">
            <v>631.37495967900566</v>
          </cell>
          <cell r="AJ3488">
            <v>427.69958354902553</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
          <cell r="F3" t="str">
            <v>MA</v>
          </cell>
        </row>
      </sheetData>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efault State Energy Data Table"/>
      <sheetName val="Residential"/>
      <sheetName val="Commercial"/>
      <sheetName val="Transportation"/>
      <sheetName val="Electric Power"/>
      <sheetName val="Bunker Fuels"/>
      <sheetName val="Industrial"/>
      <sheetName val="Summary-MMTCO2E"/>
      <sheetName val="Summary-MMTCE"/>
      <sheetName val="Tracker"/>
      <sheetName val="Uncertainty"/>
      <sheetName val="FF Consumption"/>
      <sheetName val="Coal CC"/>
      <sheetName val="Non-Energy Consump."/>
      <sheetName val="Variable CC's"/>
      <sheetName val="Code Key"/>
      <sheetName val="SNG"/>
      <sheetName val="Ethanol"/>
      <sheetName val="Data Sources"/>
      <sheetName val="List Data"/>
      <sheetName val="Notes"/>
    </sheetNames>
    <sheetDataSet>
      <sheetData sheetId="0"/>
      <sheetData sheetId="1">
        <row r="6">
          <cell r="A6" t="str">
            <v>MA Commercial Coal</v>
          </cell>
          <cell r="C6" t="str">
            <v>Commercial Coal</v>
          </cell>
          <cell r="D6">
            <v>1264</v>
          </cell>
          <cell r="E6">
            <v>548</v>
          </cell>
          <cell r="F6">
            <v>1182</v>
          </cell>
          <cell r="G6">
            <v>881</v>
          </cell>
          <cell r="H6">
            <v>468</v>
          </cell>
          <cell r="I6">
            <v>583</v>
          </cell>
          <cell r="J6">
            <v>720</v>
          </cell>
          <cell r="K6">
            <v>638</v>
          </cell>
          <cell r="L6">
            <v>633</v>
          </cell>
          <cell r="M6">
            <v>897</v>
          </cell>
          <cell r="N6">
            <v>386</v>
          </cell>
          <cell r="O6">
            <v>362</v>
          </cell>
          <cell r="P6">
            <v>1908</v>
          </cell>
          <cell r="Q6">
            <v>1109</v>
          </cell>
          <cell r="R6">
            <v>771</v>
          </cell>
          <cell r="S6">
            <v>988</v>
          </cell>
          <cell r="T6">
            <v>365</v>
          </cell>
          <cell r="U6">
            <v>523</v>
          </cell>
          <cell r="V6">
            <v>0</v>
          </cell>
          <cell r="W6">
            <v>0</v>
          </cell>
          <cell r="X6">
            <v>0</v>
          </cell>
          <cell r="Y6">
            <v>0</v>
          </cell>
          <cell r="Z6">
            <v>0</v>
          </cell>
          <cell r="AA6">
            <v>0</v>
          </cell>
          <cell r="AB6">
            <v>0</v>
          </cell>
          <cell r="AC6">
            <v>0</v>
          </cell>
          <cell r="AD6">
            <v>0</v>
          </cell>
          <cell r="AE6">
            <v>0</v>
          </cell>
          <cell r="AF6">
            <v>0</v>
          </cell>
          <cell r="AG6">
            <v>0</v>
          </cell>
          <cell r="AH6">
            <v>0</v>
          </cell>
        </row>
        <row r="7">
          <cell r="A7" t="str">
            <v>MA Commercial Distillate Fuel</v>
          </cell>
          <cell r="C7" t="str">
            <v>Commercial Distillate Fuel</v>
          </cell>
          <cell r="D7">
            <v>43159</v>
          </cell>
          <cell r="E7">
            <v>51312</v>
          </cell>
          <cell r="F7">
            <v>45278</v>
          </cell>
          <cell r="G7">
            <v>39353</v>
          </cell>
          <cell r="H7">
            <v>35952</v>
          </cell>
          <cell r="I7">
            <v>37737</v>
          </cell>
          <cell r="J7">
            <v>32835</v>
          </cell>
          <cell r="K7">
            <v>33072</v>
          </cell>
          <cell r="L7">
            <v>31480</v>
          </cell>
          <cell r="M7">
            <v>22312</v>
          </cell>
          <cell r="N7">
            <v>30321</v>
          </cell>
          <cell r="O7">
            <v>24568</v>
          </cell>
          <cell r="P7">
            <v>22336</v>
          </cell>
          <cell r="Q7">
            <v>33423</v>
          </cell>
          <cell r="R7">
            <v>25115</v>
          </cell>
          <cell r="S7">
            <v>27446</v>
          </cell>
          <cell r="T7">
            <v>19017</v>
          </cell>
          <cell r="U7">
            <v>18949</v>
          </cell>
          <cell r="V7">
            <v>14178</v>
          </cell>
          <cell r="W7">
            <v>18448</v>
          </cell>
          <cell r="X7">
            <v>31674</v>
          </cell>
          <cell r="Y7">
            <v>20926</v>
          </cell>
          <cell r="Z7">
            <v>13199</v>
          </cell>
          <cell r="AA7">
            <v>0</v>
          </cell>
          <cell r="AB7">
            <v>0</v>
          </cell>
          <cell r="AC7">
            <v>0</v>
          </cell>
          <cell r="AD7">
            <v>0</v>
          </cell>
          <cell r="AE7">
            <v>0</v>
          </cell>
          <cell r="AF7">
            <v>0</v>
          </cell>
          <cell r="AG7">
            <v>0</v>
          </cell>
          <cell r="AH7">
            <v>0</v>
          </cell>
        </row>
        <row r="8">
          <cell r="A8" t="str">
            <v>MA Commercial Kerosene</v>
          </cell>
          <cell r="C8" t="str">
            <v>Commercial Kerosene</v>
          </cell>
          <cell r="D8">
            <v>722</v>
          </cell>
          <cell r="E8">
            <v>1135</v>
          </cell>
          <cell r="F8">
            <v>412</v>
          </cell>
          <cell r="G8">
            <v>640</v>
          </cell>
          <cell r="H8">
            <v>566</v>
          </cell>
          <cell r="I8">
            <v>623</v>
          </cell>
          <cell r="J8">
            <v>265</v>
          </cell>
          <cell r="K8">
            <v>264</v>
          </cell>
          <cell r="L8">
            <v>399</v>
          </cell>
          <cell r="M8">
            <v>1275</v>
          </cell>
          <cell r="N8">
            <v>606</v>
          </cell>
          <cell r="O8">
            <v>887</v>
          </cell>
          <cell r="P8">
            <v>332</v>
          </cell>
          <cell r="Q8">
            <v>406</v>
          </cell>
          <cell r="R8">
            <v>513</v>
          </cell>
          <cell r="S8">
            <v>444</v>
          </cell>
          <cell r="T8">
            <v>218</v>
          </cell>
          <cell r="U8">
            <v>141</v>
          </cell>
          <cell r="V8">
            <v>115</v>
          </cell>
          <cell r="W8">
            <v>98</v>
          </cell>
          <cell r="X8">
            <v>264</v>
          </cell>
          <cell r="Y8">
            <v>35</v>
          </cell>
          <cell r="Z8">
            <v>8</v>
          </cell>
          <cell r="AA8">
            <v>0</v>
          </cell>
          <cell r="AB8">
            <v>0</v>
          </cell>
          <cell r="AC8">
            <v>0</v>
          </cell>
          <cell r="AD8">
            <v>0</v>
          </cell>
          <cell r="AE8">
            <v>0</v>
          </cell>
          <cell r="AF8">
            <v>0</v>
          </cell>
          <cell r="AG8">
            <v>0</v>
          </cell>
          <cell r="AH8">
            <v>0</v>
          </cell>
        </row>
        <row r="9">
          <cell r="A9" t="str">
            <v>MA Commercial LPG</v>
          </cell>
          <cell r="C9" t="str">
            <v>Commercial LPG</v>
          </cell>
          <cell r="D9">
            <v>1753</v>
          </cell>
          <cell r="E9">
            <v>1586</v>
          </cell>
          <cell r="F9">
            <v>1573</v>
          </cell>
          <cell r="G9">
            <v>1734</v>
          </cell>
          <cell r="H9">
            <v>1793</v>
          </cell>
          <cell r="I9">
            <v>1872</v>
          </cell>
          <cell r="J9">
            <v>2220</v>
          </cell>
          <cell r="K9">
            <v>2084</v>
          </cell>
          <cell r="L9">
            <v>1908</v>
          </cell>
          <cell r="M9">
            <v>1965</v>
          </cell>
          <cell r="N9">
            <v>2431</v>
          </cell>
          <cell r="O9">
            <v>2206</v>
          </cell>
          <cell r="P9">
            <v>1785</v>
          </cell>
          <cell r="Q9">
            <v>2819</v>
          </cell>
          <cell r="R9">
            <v>1808</v>
          </cell>
          <cell r="S9">
            <v>2940</v>
          </cell>
          <cell r="T9">
            <v>2785</v>
          </cell>
          <cell r="U9">
            <v>2481</v>
          </cell>
          <cell r="V9">
            <v>2878</v>
          </cell>
          <cell r="W9">
            <v>2482</v>
          </cell>
          <cell r="X9">
            <v>2238</v>
          </cell>
          <cell r="Y9">
            <v>2548</v>
          </cell>
          <cell r="Z9">
            <v>2301</v>
          </cell>
          <cell r="AA9">
            <v>0</v>
          </cell>
          <cell r="AB9">
            <v>0</v>
          </cell>
          <cell r="AC9">
            <v>0</v>
          </cell>
          <cell r="AD9">
            <v>0</v>
          </cell>
          <cell r="AE9">
            <v>0</v>
          </cell>
          <cell r="AF9">
            <v>0</v>
          </cell>
          <cell r="AG9">
            <v>0</v>
          </cell>
          <cell r="AH9">
            <v>0</v>
          </cell>
        </row>
        <row r="10">
          <cell r="A10" t="str">
            <v>MA Commercial Motor Gasoline</v>
          </cell>
          <cell r="C10" t="str">
            <v>Commercial Motor Gasoline</v>
          </cell>
          <cell r="D10">
            <v>360</v>
          </cell>
          <cell r="E10">
            <v>958</v>
          </cell>
          <cell r="F10">
            <v>860</v>
          </cell>
          <cell r="G10">
            <v>279</v>
          </cell>
          <cell r="H10">
            <v>297</v>
          </cell>
          <cell r="I10">
            <v>339</v>
          </cell>
          <cell r="J10">
            <v>340</v>
          </cell>
          <cell r="K10">
            <v>253</v>
          </cell>
          <cell r="L10">
            <v>343</v>
          </cell>
          <cell r="M10">
            <v>327</v>
          </cell>
          <cell r="N10">
            <v>1455</v>
          </cell>
          <cell r="O10">
            <v>435</v>
          </cell>
          <cell r="P10">
            <v>608</v>
          </cell>
          <cell r="Q10">
            <v>543</v>
          </cell>
          <cell r="R10">
            <v>362</v>
          </cell>
          <cell r="S10">
            <v>299</v>
          </cell>
          <cell r="T10">
            <v>360</v>
          </cell>
          <cell r="U10">
            <v>392</v>
          </cell>
          <cell r="V10">
            <v>392</v>
          </cell>
          <cell r="W10">
            <v>397</v>
          </cell>
          <cell r="X10">
            <v>233</v>
          </cell>
          <cell r="Y10">
            <v>712</v>
          </cell>
          <cell r="Z10">
            <v>208</v>
          </cell>
          <cell r="AA10">
            <v>0</v>
          </cell>
          <cell r="AB10">
            <v>0</v>
          </cell>
          <cell r="AC10">
            <v>0</v>
          </cell>
          <cell r="AD10">
            <v>0</v>
          </cell>
          <cell r="AE10">
            <v>0</v>
          </cell>
          <cell r="AF10">
            <v>0</v>
          </cell>
          <cell r="AG10">
            <v>0</v>
          </cell>
          <cell r="AH10">
            <v>0</v>
          </cell>
        </row>
        <row r="11">
          <cell r="A11" t="str">
            <v>MA Commercial Natural Gas</v>
          </cell>
          <cell r="C11" t="str">
            <v>Commercial Natural Gas</v>
          </cell>
          <cell r="D11">
            <v>52401</v>
          </cell>
          <cell r="E11">
            <v>55296</v>
          </cell>
          <cell r="F11">
            <v>66877</v>
          </cell>
          <cell r="G11">
            <v>68084</v>
          </cell>
          <cell r="H11">
            <v>86581</v>
          </cell>
          <cell r="I11">
            <v>84395</v>
          </cell>
          <cell r="J11">
            <v>98688</v>
          </cell>
          <cell r="K11">
            <v>107865</v>
          </cell>
          <cell r="L11">
            <v>91465</v>
          </cell>
          <cell r="M11">
            <v>69058</v>
          </cell>
          <cell r="N11">
            <v>66628</v>
          </cell>
          <cell r="O11">
            <v>64475</v>
          </cell>
          <cell r="P11">
            <v>67028</v>
          </cell>
          <cell r="Q11">
            <v>64350</v>
          </cell>
          <cell r="R11">
            <v>58494</v>
          </cell>
          <cell r="S11">
            <v>57496</v>
          </cell>
          <cell r="T11">
            <v>52792</v>
          </cell>
          <cell r="U11">
            <v>62464</v>
          </cell>
          <cell r="V11">
            <v>73239</v>
          </cell>
          <cell r="W11">
            <v>73737</v>
          </cell>
          <cell r="X11">
            <v>74468</v>
          </cell>
          <cell r="Y11">
            <v>83399</v>
          </cell>
          <cell r="Z11">
            <v>75517</v>
          </cell>
          <cell r="AA11">
            <v>0</v>
          </cell>
          <cell r="AB11">
            <v>0</v>
          </cell>
          <cell r="AC11">
            <v>0</v>
          </cell>
          <cell r="AD11">
            <v>0</v>
          </cell>
          <cell r="AE11">
            <v>0</v>
          </cell>
          <cell r="AF11">
            <v>0</v>
          </cell>
          <cell r="AG11">
            <v>0</v>
          </cell>
          <cell r="AH11">
            <v>0</v>
          </cell>
        </row>
        <row r="12">
          <cell r="A12" t="str">
            <v>MA Commercial Residual Fuel</v>
          </cell>
          <cell r="C12" t="str">
            <v>Commercial Residual Fuel</v>
          </cell>
          <cell r="D12">
            <v>28119</v>
          </cell>
          <cell r="E12">
            <v>28515</v>
          </cell>
          <cell r="F12">
            <v>23070</v>
          </cell>
          <cell r="G12">
            <v>16085</v>
          </cell>
          <cell r="H12">
            <v>18568</v>
          </cell>
          <cell r="I12">
            <v>19296</v>
          </cell>
          <cell r="J12">
            <v>15280</v>
          </cell>
          <cell r="K12">
            <v>14078</v>
          </cell>
          <cell r="L12">
            <v>8906</v>
          </cell>
          <cell r="M12">
            <v>7446</v>
          </cell>
          <cell r="N12">
            <v>8724</v>
          </cell>
          <cell r="O12">
            <v>3285</v>
          </cell>
          <cell r="P12">
            <v>4038</v>
          </cell>
          <cell r="Q12">
            <v>11385</v>
          </cell>
          <cell r="R12">
            <v>17424</v>
          </cell>
          <cell r="S12">
            <v>16740</v>
          </cell>
          <cell r="T12">
            <v>7356</v>
          </cell>
          <cell r="U12">
            <v>5251</v>
          </cell>
          <cell r="V12">
            <v>5988</v>
          </cell>
          <cell r="W12">
            <v>4425</v>
          </cell>
          <cell r="X12">
            <v>3473</v>
          </cell>
          <cell r="Y12">
            <v>2139</v>
          </cell>
          <cell r="Z12">
            <v>1383</v>
          </cell>
          <cell r="AA12">
            <v>0</v>
          </cell>
          <cell r="AB12">
            <v>0</v>
          </cell>
          <cell r="AC12">
            <v>0</v>
          </cell>
          <cell r="AD12">
            <v>0</v>
          </cell>
          <cell r="AE12">
            <v>0</v>
          </cell>
          <cell r="AF12">
            <v>0</v>
          </cell>
          <cell r="AG12">
            <v>0</v>
          </cell>
          <cell r="AH12">
            <v>0</v>
          </cell>
        </row>
        <row r="13">
          <cell r="A13" t="str">
            <v>MA Commercial Wood</v>
          </cell>
          <cell r="C13" t="str">
            <v>Commercial Wood</v>
          </cell>
          <cell r="D13">
            <v>1976</v>
          </cell>
          <cell r="E13">
            <v>2063</v>
          </cell>
          <cell r="F13">
            <v>2175</v>
          </cell>
          <cell r="G13">
            <v>2769</v>
          </cell>
          <cell r="H13">
            <v>2652</v>
          </cell>
          <cell r="I13">
            <v>2677</v>
          </cell>
          <cell r="J13">
            <v>2780</v>
          </cell>
          <cell r="K13">
            <v>2427</v>
          </cell>
          <cell r="L13">
            <v>2120</v>
          </cell>
          <cell r="M13">
            <v>2230</v>
          </cell>
          <cell r="N13">
            <v>2386</v>
          </cell>
          <cell r="O13">
            <v>2023</v>
          </cell>
          <cell r="P13">
            <v>2072</v>
          </cell>
          <cell r="Q13">
            <v>2157</v>
          </cell>
          <cell r="R13">
            <v>2109</v>
          </cell>
          <cell r="S13">
            <v>574</v>
          </cell>
          <cell r="T13">
            <v>533</v>
          </cell>
          <cell r="U13">
            <v>566</v>
          </cell>
          <cell r="V13">
            <v>597</v>
          </cell>
          <cell r="W13">
            <v>1441</v>
          </cell>
          <cell r="X13">
            <v>1423</v>
          </cell>
          <cell r="Y13">
            <v>1370</v>
          </cell>
          <cell r="Z13">
            <v>1200</v>
          </cell>
          <cell r="AA13">
            <v>0</v>
          </cell>
          <cell r="AB13">
            <v>0</v>
          </cell>
          <cell r="AC13">
            <v>0</v>
          </cell>
          <cell r="AD13">
            <v>0</v>
          </cell>
          <cell r="AE13">
            <v>0</v>
          </cell>
          <cell r="AF13">
            <v>0</v>
          </cell>
          <cell r="AG13">
            <v>0</v>
          </cell>
          <cell r="AH13">
            <v>0</v>
          </cell>
        </row>
        <row r="14">
          <cell r="A14" t="str">
            <v>MA Commercial Other</v>
          </cell>
          <cell r="C14" t="str">
            <v>Commercial Other</v>
          </cell>
          <cell r="D14">
            <v>1976</v>
          </cell>
          <cell r="E14">
            <v>2280</v>
          </cell>
          <cell r="F14">
            <v>2360</v>
          </cell>
          <cell r="G14">
            <v>2978</v>
          </cell>
          <cell r="H14">
            <v>2855</v>
          </cell>
          <cell r="I14">
            <v>2678</v>
          </cell>
          <cell r="J14">
            <v>2780</v>
          </cell>
          <cell r="K14">
            <v>2427</v>
          </cell>
          <cell r="L14">
            <v>2166</v>
          </cell>
          <cell r="M14">
            <v>2787</v>
          </cell>
          <cell r="N14">
            <v>3117</v>
          </cell>
          <cell r="O14">
            <v>2679</v>
          </cell>
          <cell r="P14">
            <v>2939</v>
          </cell>
          <cell r="Q14">
            <v>2912</v>
          </cell>
          <cell r="R14">
            <v>3843</v>
          </cell>
          <cell r="S14">
            <v>1494</v>
          </cell>
          <cell r="T14">
            <v>1550</v>
          </cell>
          <cell r="U14">
            <v>1608</v>
          </cell>
          <cell r="V14">
            <v>598</v>
          </cell>
          <cell r="W14">
            <v>1442</v>
          </cell>
          <cell r="X14">
            <v>1424</v>
          </cell>
          <cell r="Y14">
            <v>1371</v>
          </cell>
          <cell r="Z14">
            <v>1201</v>
          </cell>
        </row>
        <row r="15">
          <cell r="A15" t="str">
            <v>MA Electric Power Coal</v>
          </cell>
          <cell r="C15" t="str">
            <v>Electric Power Coal</v>
          </cell>
          <cell r="D15">
            <v>110609</v>
          </cell>
          <cell r="E15">
            <v>115130</v>
          </cell>
          <cell r="F15">
            <v>106744</v>
          </cell>
          <cell r="G15">
            <v>95640</v>
          </cell>
          <cell r="H15">
            <v>99573</v>
          </cell>
          <cell r="I15">
            <v>103635</v>
          </cell>
          <cell r="J15">
            <v>111930</v>
          </cell>
          <cell r="K15">
            <v>121264</v>
          </cell>
          <cell r="L15">
            <v>108298</v>
          </cell>
          <cell r="M15">
            <v>111777</v>
          </cell>
          <cell r="N15">
            <v>112735</v>
          </cell>
          <cell r="O15">
            <v>107146</v>
          </cell>
          <cell r="P15">
            <v>114994</v>
          </cell>
          <cell r="Q15">
            <v>106550</v>
          </cell>
          <cell r="R15">
            <v>102735</v>
          </cell>
          <cell r="S15">
            <v>116390</v>
          </cell>
          <cell r="T15">
            <v>109747</v>
          </cell>
          <cell r="U15">
            <v>117364</v>
          </cell>
          <cell r="V15">
            <v>104675</v>
          </cell>
          <cell r="W15">
            <v>90740</v>
          </cell>
          <cell r="X15">
            <v>82097</v>
          </cell>
          <cell r="Y15">
            <v>41329</v>
          </cell>
          <cell r="Z15">
            <v>22372</v>
          </cell>
          <cell r="AA15">
            <v>0</v>
          </cell>
          <cell r="AB15">
            <v>0</v>
          </cell>
          <cell r="AC15">
            <v>0</v>
          </cell>
          <cell r="AD15">
            <v>0</v>
          </cell>
          <cell r="AE15">
            <v>0</v>
          </cell>
          <cell r="AF15">
            <v>0</v>
          </cell>
          <cell r="AG15">
            <v>0</v>
          </cell>
          <cell r="AH15">
            <v>0</v>
          </cell>
        </row>
        <row r="16">
          <cell r="A16" t="str">
            <v>MA Electric Power Distillate Fuel</v>
          </cell>
          <cell r="C16" t="str">
            <v>Electric Power Distillate Fuel</v>
          </cell>
          <cell r="D16">
            <v>3578</v>
          </cell>
          <cell r="E16">
            <v>2974</v>
          </cell>
          <cell r="F16">
            <v>2639</v>
          </cell>
          <cell r="G16">
            <v>2734</v>
          </cell>
          <cell r="H16">
            <v>4220</v>
          </cell>
          <cell r="I16">
            <v>3948</v>
          </cell>
          <cell r="J16">
            <v>3515</v>
          </cell>
          <cell r="K16">
            <v>2683</v>
          </cell>
          <cell r="L16">
            <v>3254</v>
          </cell>
          <cell r="M16">
            <v>3452</v>
          </cell>
          <cell r="N16">
            <v>2187</v>
          </cell>
          <cell r="O16">
            <v>1894</v>
          </cell>
          <cell r="P16">
            <v>2566</v>
          </cell>
          <cell r="Q16">
            <v>5546</v>
          </cell>
          <cell r="R16">
            <v>3536</v>
          </cell>
          <cell r="S16">
            <v>2220</v>
          </cell>
          <cell r="T16">
            <v>904</v>
          </cell>
          <cell r="U16">
            <v>840</v>
          </cell>
          <cell r="V16">
            <v>1116</v>
          </cell>
          <cell r="W16">
            <v>1479</v>
          </cell>
          <cell r="X16">
            <v>807</v>
          </cell>
          <cell r="Y16">
            <v>832</v>
          </cell>
          <cell r="Z16">
            <v>625</v>
          </cell>
          <cell r="AA16">
            <v>0</v>
          </cell>
          <cell r="AB16">
            <v>0</v>
          </cell>
          <cell r="AC16">
            <v>0</v>
          </cell>
          <cell r="AD16">
            <v>0</v>
          </cell>
          <cell r="AE16">
            <v>0</v>
          </cell>
          <cell r="AF16">
            <v>0</v>
          </cell>
          <cell r="AG16">
            <v>0</v>
          </cell>
          <cell r="AH16">
            <v>0</v>
          </cell>
        </row>
        <row r="17">
          <cell r="A17" t="str">
            <v>MA Electric Power Natural Gas</v>
          </cell>
          <cell r="C17" t="str">
            <v>Electric Power Natural Gas</v>
          </cell>
          <cell r="D17">
            <v>63770</v>
          </cell>
          <cell r="E17">
            <v>63010</v>
          </cell>
          <cell r="F17">
            <v>77705</v>
          </cell>
          <cell r="G17">
            <v>80067</v>
          </cell>
          <cell r="H17">
            <v>103237</v>
          </cell>
          <cell r="I17">
            <v>131587</v>
          </cell>
          <cell r="J17">
            <v>105685</v>
          </cell>
          <cell r="K17">
            <v>120584</v>
          </cell>
          <cell r="L17">
            <v>106016</v>
          </cell>
          <cell r="M17">
            <v>94523</v>
          </cell>
          <cell r="N17">
            <v>91165</v>
          </cell>
          <cell r="O17">
            <v>99835</v>
          </cell>
          <cell r="P17">
            <v>131012</v>
          </cell>
          <cell r="Q17">
            <v>173961</v>
          </cell>
          <cell r="R17">
            <v>162470</v>
          </cell>
          <cell r="S17">
            <v>157439</v>
          </cell>
          <cell r="T17">
            <v>174419</v>
          </cell>
          <cell r="U17">
            <v>189928</v>
          </cell>
          <cell r="V17">
            <v>160265</v>
          </cell>
          <cell r="W17">
            <v>155305</v>
          </cell>
          <cell r="X17">
            <v>192712</v>
          </cell>
          <cell r="Y17">
            <v>193158</v>
          </cell>
          <cell r="Z17">
            <v>186141</v>
          </cell>
          <cell r="AA17">
            <v>0</v>
          </cell>
          <cell r="AB17">
            <v>0</v>
          </cell>
          <cell r="AC17">
            <v>0</v>
          </cell>
          <cell r="AD17">
            <v>0</v>
          </cell>
          <cell r="AE17">
            <v>0</v>
          </cell>
          <cell r="AF17">
            <v>0</v>
          </cell>
          <cell r="AG17">
            <v>0</v>
          </cell>
          <cell r="AH17">
            <v>0</v>
          </cell>
        </row>
        <row r="18">
          <cell r="A18" t="str">
            <v>MA Electric Power Petroleum Coke</v>
          </cell>
          <cell r="C18" t="str">
            <v>Electric Power Petroleum Coke</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row>
        <row r="19">
          <cell r="A19" t="str">
            <v>MA Electric Power Residual Fuel</v>
          </cell>
          <cell r="C19" t="str">
            <v>Electric Power Residual Fuel</v>
          </cell>
          <cell r="D19">
            <v>147778</v>
          </cell>
          <cell r="E19">
            <v>151701</v>
          </cell>
          <cell r="F19">
            <v>132408</v>
          </cell>
          <cell r="G19">
            <v>112430</v>
          </cell>
          <cell r="H19">
            <v>94186</v>
          </cell>
          <cell r="I19">
            <v>57479</v>
          </cell>
          <cell r="J19">
            <v>58301</v>
          </cell>
          <cell r="K19">
            <v>107152</v>
          </cell>
          <cell r="L19">
            <v>141030</v>
          </cell>
          <cell r="M19">
            <v>107774</v>
          </cell>
          <cell r="N19">
            <v>85675</v>
          </cell>
          <cell r="O19">
            <v>84146</v>
          </cell>
          <cell r="P19">
            <v>63841</v>
          </cell>
          <cell r="Q19">
            <v>68999</v>
          </cell>
          <cell r="R19">
            <v>67008</v>
          </cell>
          <cell r="S19">
            <v>64781</v>
          </cell>
          <cell r="T19">
            <v>24168</v>
          </cell>
          <cell r="U19">
            <v>30979</v>
          </cell>
          <cell r="V19">
            <v>21198</v>
          </cell>
          <cell r="W19">
            <v>7597</v>
          </cell>
          <cell r="X19">
            <v>2071</v>
          </cell>
          <cell r="Y19">
            <v>1198</v>
          </cell>
          <cell r="Z19">
            <v>913</v>
          </cell>
          <cell r="AA19">
            <v>0</v>
          </cell>
          <cell r="AB19">
            <v>0</v>
          </cell>
          <cell r="AC19">
            <v>0</v>
          </cell>
          <cell r="AD19">
            <v>0</v>
          </cell>
          <cell r="AE19">
            <v>0</v>
          </cell>
          <cell r="AF19">
            <v>0</v>
          </cell>
          <cell r="AG19">
            <v>0</v>
          </cell>
          <cell r="AH19">
            <v>0</v>
          </cell>
        </row>
        <row r="20">
          <cell r="A20" t="str">
            <v>MA Electric Power Wood</v>
          </cell>
          <cell r="C20" t="str">
            <v>Electric Power Wood</v>
          </cell>
          <cell r="D20">
            <v>0</v>
          </cell>
          <cell r="E20">
            <v>0</v>
          </cell>
          <cell r="F20">
            <v>1243</v>
          </cell>
          <cell r="G20">
            <v>1366</v>
          </cell>
          <cell r="H20">
            <v>1585</v>
          </cell>
          <cell r="I20">
            <v>1754</v>
          </cell>
          <cell r="J20">
            <v>1805</v>
          </cell>
          <cell r="K20">
            <v>1847</v>
          </cell>
          <cell r="L20">
            <v>2504</v>
          </cell>
          <cell r="M20">
            <v>1390</v>
          </cell>
          <cell r="N20">
            <v>1708</v>
          </cell>
          <cell r="O20">
            <v>1693</v>
          </cell>
          <cell r="P20">
            <v>1544</v>
          </cell>
          <cell r="Q20">
            <v>1888</v>
          </cell>
          <cell r="R20">
            <v>1774</v>
          </cell>
          <cell r="S20">
            <v>1876</v>
          </cell>
          <cell r="T20">
            <v>1894</v>
          </cell>
          <cell r="U20">
            <v>1784</v>
          </cell>
          <cell r="V20">
            <v>1834</v>
          </cell>
          <cell r="W20">
            <v>1647</v>
          </cell>
          <cell r="X20">
            <v>1505</v>
          </cell>
          <cell r="Y20">
            <v>1546</v>
          </cell>
          <cell r="Z20">
            <v>1531</v>
          </cell>
          <cell r="AA20">
            <v>0</v>
          </cell>
          <cell r="AB20">
            <v>0</v>
          </cell>
          <cell r="AC20">
            <v>0</v>
          </cell>
          <cell r="AD20">
            <v>0</v>
          </cell>
          <cell r="AE20">
            <v>0</v>
          </cell>
          <cell r="AF20">
            <v>0</v>
          </cell>
          <cell r="AG20">
            <v>0</v>
          </cell>
          <cell r="AH20">
            <v>0</v>
          </cell>
        </row>
        <row r="21">
          <cell r="A21" t="str">
            <v>MA Electric Power Other</v>
          </cell>
          <cell r="C21" t="str">
            <v>Electric Power Other</v>
          </cell>
          <cell r="D21">
            <v>0</v>
          </cell>
          <cell r="E21">
            <v>0</v>
          </cell>
          <cell r="F21">
            <v>1243</v>
          </cell>
          <cell r="G21">
            <v>1366</v>
          </cell>
          <cell r="H21">
            <v>1585</v>
          </cell>
          <cell r="I21">
            <v>1754</v>
          </cell>
          <cell r="J21">
            <v>1805</v>
          </cell>
          <cell r="K21">
            <v>1847</v>
          </cell>
          <cell r="L21">
            <v>2504</v>
          </cell>
          <cell r="M21">
            <v>1390</v>
          </cell>
          <cell r="N21">
            <v>1708</v>
          </cell>
          <cell r="O21">
            <v>1693</v>
          </cell>
          <cell r="P21">
            <v>1544</v>
          </cell>
          <cell r="Q21">
            <v>1888</v>
          </cell>
          <cell r="R21">
            <v>1774</v>
          </cell>
          <cell r="S21">
            <v>1876</v>
          </cell>
          <cell r="T21">
            <v>1894</v>
          </cell>
          <cell r="U21">
            <v>1784</v>
          </cell>
          <cell r="V21">
            <v>1834</v>
          </cell>
          <cell r="W21">
            <v>1647</v>
          </cell>
          <cell r="X21">
            <v>1505</v>
          </cell>
          <cell r="Y21">
            <v>1546</v>
          </cell>
          <cell r="Z21">
            <v>1531</v>
          </cell>
        </row>
        <row r="22">
          <cell r="A22" t="str">
            <v>MA Industrial Asphalt and Road Oil</v>
          </cell>
          <cell r="C22" t="str">
            <v>Industrial Asphalt and Road Oil</v>
          </cell>
          <cell r="D22">
            <v>8883</v>
          </cell>
          <cell r="E22">
            <v>13116</v>
          </cell>
          <cell r="F22">
            <v>10402</v>
          </cell>
          <cell r="G22">
            <v>9649</v>
          </cell>
          <cell r="H22">
            <v>5882</v>
          </cell>
          <cell r="I22">
            <v>8291</v>
          </cell>
          <cell r="J22">
            <v>8426</v>
          </cell>
          <cell r="K22">
            <v>6079</v>
          </cell>
          <cell r="L22">
            <v>5562</v>
          </cell>
          <cell r="M22">
            <v>6420</v>
          </cell>
          <cell r="N22">
            <v>11900</v>
          </cell>
          <cell r="O22">
            <v>12066</v>
          </cell>
          <cell r="P22">
            <v>12510</v>
          </cell>
          <cell r="Q22">
            <v>9323</v>
          </cell>
          <cell r="R22">
            <v>9608</v>
          </cell>
          <cell r="S22">
            <v>8733</v>
          </cell>
          <cell r="T22">
            <v>10432</v>
          </cell>
          <cell r="U22">
            <v>6162</v>
          </cell>
          <cell r="V22">
            <v>1461</v>
          </cell>
          <cell r="W22">
            <v>6337</v>
          </cell>
          <cell r="X22">
            <v>6371</v>
          </cell>
          <cell r="Y22">
            <v>6239</v>
          </cell>
          <cell r="Z22">
            <v>6001</v>
          </cell>
          <cell r="AA22">
            <v>0</v>
          </cell>
          <cell r="AB22">
            <v>0</v>
          </cell>
          <cell r="AC22">
            <v>0</v>
          </cell>
          <cell r="AD22">
            <v>0</v>
          </cell>
          <cell r="AE22">
            <v>0</v>
          </cell>
          <cell r="AF22">
            <v>0</v>
          </cell>
          <cell r="AG22">
            <v>0</v>
          </cell>
          <cell r="AH22">
            <v>0</v>
          </cell>
        </row>
        <row r="23">
          <cell r="A23" t="str">
            <v>MA Industrial Aviation Gasoline Blending Components</v>
          </cell>
          <cell r="C23" t="str">
            <v>Industrial Aviation Gasoline Blending Components</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A24" t="str">
            <v>MA Industrial Coal</v>
          </cell>
          <cell r="C24" t="str">
            <v>Industrial Coal</v>
          </cell>
          <cell r="D24">
            <v>1816</v>
          </cell>
          <cell r="E24">
            <v>2119</v>
          </cell>
          <cell r="F24">
            <v>3859</v>
          </cell>
          <cell r="G24">
            <v>2864</v>
          </cell>
          <cell r="H24">
            <v>1631</v>
          </cell>
          <cell r="I24">
            <v>1057</v>
          </cell>
          <cell r="J24">
            <v>949</v>
          </cell>
          <cell r="K24">
            <v>916</v>
          </cell>
          <cell r="L24">
            <v>853</v>
          </cell>
          <cell r="M24">
            <v>815</v>
          </cell>
          <cell r="N24">
            <v>1490</v>
          </cell>
          <cell r="O24">
            <v>1461</v>
          </cell>
          <cell r="P24">
            <v>1195</v>
          </cell>
          <cell r="Q24">
            <v>1548</v>
          </cell>
          <cell r="R24">
            <v>1483</v>
          </cell>
          <cell r="S24">
            <v>1869</v>
          </cell>
          <cell r="T24">
            <v>2025</v>
          </cell>
          <cell r="U24">
            <v>2224</v>
          </cell>
          <cell r="V24">
            <v>2222</v>
          </cell>
          <cell r="W24">
            <v>1316</v>
          </cell>
          <cell r="X24">
            <v>1753</v>
          </cell>
          <cell r="Y24">
            <v>1635</v>
          </cell>
          <cell r="Z24">
            <v>1639</v>
          </cell>
          <cell r="AA24">
            <v>0</v>
          </cell>
          <cell r="AB24">
            <v>0</v>
          </cell>
          <cell r="AC24">
            <v>0</v>
          </cell>
          <cell r="AD24">
            <v>0</v>
          </cell>
          <cell r="AE24">
            <v>0</v>
          </cell>
          <cell r="AF24">
            <v>0</v>
          </cell>
          <cell r="AG24">
            <v>0</v>
          </cell>
          <cell r="AH24">
            <v>0</v>
          </cell>
        </row>
        <row r="25">
          <cell r="A25" t="str">
            <v>MA Industrial Coking Coal</v>
          </cell>
          <cell r="C25" t="str">
            <v>Industrial Coking Coal</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6">
          <cell r="A26" t="str">
            <v>MA Industrial Crude Oil</v>
          </cell>
          <cell r="C26" t="str">
            <v>Industrial Crude Oil</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row>
        <row r="27">
          <cell r="A27" t="str">
            <v>MA Industrial Distillate Fuel</v>
          </cell>
          <cell r="C27" t="str">
            <v>Industrial Distillate Fuel</v>
          </cell>
          <cell r="D27">
            <v>15060</v>
          </cell>
          <cell r="E27">
            <v>8059</v>
          </cell>
          <cell r="F27">
            <v>12562</v>
          </cell>
          <cell r="G27">
            <v>8713</v>
          </cell>
          <cell r="H27">
            <v>7267</v>
          </cell>
          <cell r="I27">
            <v>7443</v>
          </cell>
          <cell r="J27">
            <v>7101</v>
          </cell>
          <cell r="K27">
            <v>6581</v>
          </cell>
          <cell r="L27">
            <v>5888</v>
          </cell>
          <cell r="M27">
            <v>7091</v>
          </cell>
          <cell r="N27">
            <v>5497</v>
          </cell>
          <cell r="O27">
            <v>7471</v>
          </cell>
          <cell r="P27">
            <v>5695</v>
          </cell>
          <cell r="Q27">
            <v>11421</v>
          </cell>
          <cell r="R27">
            <v>11341</v>
          </cell>
          <cell r="S27">
            <v>11039</v>
          </cell>
          <cell r="T27">
            <v>9270</v>
          </cell>
          <cell r="U27">
            <v>7923</v>
          </cell>
          <cell r="V27">
            <v>9160</v>
          </cell>
          <cell r="W27">
            <v>5110</v>
          </cell>
          <cell r="X27">
            <v>7229</v>
          </cell>
          <cell r="Y27">
            <v>7370</v>
          </cell>
          <cell r="Z27">
            <v>3928</v>
          </cell>
          <cell r="AA27">
            <v>0</v>
          </cell>
          <cell r="AB27">
            <v>0</v>
          </cell>
          <cell r="AC27">
            <v>0</v>
          </cell>
          <cell r="AD27">
            <v>0</v>
          </cell>
          <cell r="AE27">
            <v>0</v>
          </cell>
          <cell r="AF27">
            <v>0</v>
          </cell>
          <cell r="AG27">
            <v>0</v>
          </cell>
          <cell r="AH27">
            <v>0</v>
          </cell>
        </row>
        <row r="28">
          <cell r="A28" t="str">
            <v>MA Industrial Feedstocks, Naphtha less than 401 F</v>
          </cell>
          <cell r="C28" t="str">
            <v>Industrial Feedstocks, Naphtha less than 401 F</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A29" t="str">
            <v>MA Industrial Feedstocks, Other Oils greater than 401 F</v>
          </cell>
          <cell r="C29" t="str">
            <v>Industrial Feedstocks, Other Oils greater than 401 F</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0">
          <cell r="A30" t="str">
            <v>MA Industrial Kerosene</v>
          </cell>
          <cell r="C30" t="str">
            <v>Industrial Kerosene</v>
          </cell>
          <cell r="D30">
            <v>101</v>
          </cell>
          <cell r="E30">
            <v>104</v>
          </cell>
          <cell r="F30">
            <v>520</v>
          </cell>
          <cell r="G30">
            <v>87</v>
          </cell>
          <cell r="H30">
            <v>99</v>
          </cell>
          <cell r="I30">
            <v>200</v>
          </cell>
          <cell r="J30">
            <v>82</v>
          </cell>
          <cell r="K30">
            <v>118</v>
          </cell>
          <cell r="L30">
            <v>129</v>
          </cell>
          <cell r="M30">
            <v>127</v>
          </cell>
          <cell r="N30">
            <v>60</v>
          </cell>
          <cell r="O30">
            <v>183</v>
          </cell>
          <cell r="P30">
            <v>52</v>
          </cell>
          <cell r="Q30">
            <v>51</v>
          </cell>
          <cell r="R30">
            <v>63</v>
          </cell>
          <cell r="S30">
            <v>424</v>
          </cell>
          <cell r="T30">
            <v>28</v>
          </cell>
          <cell r="U30">
            <v>11</v>
          </cell>
          <cell r="V30">
            <v>3</v>
          </cell>
          <cell r="W30">
            <v>59</v>
          </cell>
          <cell r="X30">
            <v>18</v>
          </cell>
          <cell r="Y30">
            <v>3</v>
          </cell>
          <cell r="Z30">
            <v>1</v>
          </cell>
          <cell r="AA30">
            <v>0</v>
          </cell>
          <cell r="AB30">
            <v>0</v>
          </cell>
          <cell r="AC30">
            <v>0</v>
          </cell>
          <cell r="AD30">
            <v>0</v>
          </cell>
          <cell r="AE30">
            <v>0</v>
          </cell>
          <cell r="AF30">
            <v>0</v>
          </cell>
          <cell r="AG30">
            <v>0</v>
          </cell>
          <cell r="AH30">
            <v>0</v>
          </cell>
        </row>
        <row r="31">
          <cell r="A31" t="str">
            <v>MA Industrial LPG</v>
          </cell>
          <cell r="C31" t="str">
            <v>Industrial LPG</v>
          </cell>
          <cell r="D31">
            <v>3471</v>
          </cell>
          <cell r="E31">
            <v>1435</v>
          </cell>
          <cell r="F31">
            <v>1327</v>
          </cell>
          <cell r="G31">
            <v>1628</v>
          </cell>
          <cell r="H31">
            <v>1195</v>
          </cell>
          <cell r="I31">
            <v>1382</v>
          </cell>
          <cell r="J31">
            <v>1757</v>
          </cell>
          <cell r="K31">
            <v>580</v>
          </cell>
          <cell r="L31">
            <v>657</v>
          </cell>
          <cell r="M31">
            <v>1237</v>
          </cell>
          <cell r="N31">
            <v>2305</v>
          </cell>
          <cell r="O31">
            <v>3044</v>
          </cell>
          <cell r="P31">
            <v>2302</v>
          </cell>
          <cell r="Q31">
            <v>679</v>
          </cell>
          <cell r="R31">
            <v>238</v>
          </cell>
          <cell r="S31">
            <v>1319</v>
          </cell>
          <cell r="T31">
            <v>4203</v>
          </cell>
          <cell r="U31">
            <v>3142</v>
          </cell>
          <cell r="V31">
            <v>1289</v>
          </cell>
          <cell r="W31">
            <v>1196</v>
          </cell>
          <cell r="X31">
            <v>1270</v>
          </cell>
          <cell r="Y31">
            <v>1256</v>
          </cell>
          <cell r="Z31">
            <v>1523</v>
          </cell>
          <cell r="AA31">
            <v>0</v>
          </cell>
          <cell r="AB31">
            <v>0</v>
          </cell>
          <cell r="AC31">
            <v>0</v>
          </cell>
          <cell r="AD31">
            <v>0</v>
          </cell>
          <cell r="AE31">
            <v>0</v>
          </cell>
          <cell r="AF31">
            <v>0</v>
          </cell>
          <cell r="AG31">
            <v>0</v>
          </cell>
          <cell r="AH31">
            <v>0</v>
          </cell>
        </row>
        <row r="32">
          <cell r="A32" t="str">
            <v>MA Industrial Lubricants</v>
          </cell>
          <cell r="C32" t="str">
            <v>Industrial Lubricants</v>
          </cell>
          <cell r="D32">
            <v>2344</v>
          </cell>
          <cell r="E32">
            <v>2097</v>
          </cell>
          <cell r="F32">
            <v>2138</v>
          </cell>
          <cell r="G32">
            <v>2177</v>
          </cell>
          <cell r="H32">
            <v>2275</v>
          </cell>
          <cell r="I32">
            <v>2236</v>
          </cell>
          <cell r="J32">
            <v>2170</v>
          </cell>
          <cell r="K32">
            <v>2292</v>
          </cell>
          <cell r="L32">
            <v>2400</v>
          </cell>
          <cell r="M32">
            <v>2425</v>
          </cell>
          <cell r="N32">
            <v>2388</v>
          </cell>
          <cell r="O32">
            <v>2188</v>
          </cell>
          <cell r="P32">
            <v>2162</v>
          </cell>
          <cell r="Q32">
            <v>1999</v>
          </cell>
          <cell r="R32">
            <v>2025</v>
          </cell>
          <cell r="S32">
            <v>2015</v>
          </cell>
          <cell r="T32">
            <v>1963</v>
          </cell>
          <cell r="U32">
            <v>2027</v>
          </cell>
          <cell r="V32">
            <v>1882</v>
          </cell>
          <cell r="W32">
            <v>1692</v>
          </cell>
          <cell r="X32">
            <v>1880</v>
          </cell>
          <cell r="Y32">
            <v>1784</v>
          </cell>
          <cell r="Z32">
            <v>1641</v>
          </cell>
          <cell r="AA32">
            <v>0</v>
          </cell>
          <cell r="AB32">
            <v>0</v>
          </cell>
          <cell r="AC32">
            <v>0</v>
          </cell>
          <cell r="AD32">
            <v>0</v>
          </cell>
          <cell r="AE32">
            <v>0</v>
          </cell>
          <cell r="AF32">
            <v>0</v>
          </cell>
          <cell r="AG32">
            <v>0</v>
          </cell>
          <cell r="AH32">
            <v>0</v>
          </cell>
        </row>
        <row r="33">
          <cell r="A33" t="str">
            <v>MA Industrial Misc. Petro Products</v>
          </cell>
          <cell r="C33" t="str">
            <v>Industrial Misc. Petro Products</v>
          </cell>
          <cell r="D33">
            <v>875</v>
          </cell>
          <cell r="E33">
            <v>898</v>
          </cell>
          <cell r="F33">
            <v>589</v>
          </cell>
          <cell r="G33">
            <v>557</v>
          </cell>
          <cell r="H33">
            <v>623</v>
          </cell>
          <cell r="I33">
            <v>572</v>
          </cell>
          <cell r="J33">
            <v>1287</v>
          </cell>
          <cell r="K33">
            <v>1413</v>
          </cell>
          <cell r="L33">
            <v>1720</v>
          </cell>
          <cell r="M33">
            <v>1618</v>
          </cell>
          <cell r="N33">
            <v>1724</v>
          </cell>
          <cell r="O33">
            <v>497</v>
          </cell>
          <cell r="P33">
            <v>534</v>
          </cell>
          <cell r="Q33">
            <v>502</v>
          </cell>
          <cell r="R33">
            <v>452</v>
          </cell>
          <cell r="S33">
            <v>449</v>
          </cell>
          <cell r="T33">
            <v>393</v>
          </cell>
          <cell r="U33">
            <v>386</v>
          </cell>
          <cell r="V33">
            <v>410</v>
          </cell>
          <cell r="W33">
            <v>439</v>
          </cell>
          <cell r="X33">
            <v>459</v>
          </cell>
          <cell r="Y33">
            <v>476</v>
          </cell>
          <cell r="Z33">
            <v>467</v>
          </cell>
          <cell r="AA33">
            <v>0</v>
          </cell>
          <cell r="AB33">
            <v>0</v>
          </cell>
          <cell r="AC33">
            <v>0</v>
          </cell>
          <cell r="AD33">
            <v>0</v>
          </cell>
          <cell r="AE33">
            <v>0</v>
          </cell>
          <cell r="AF33">
            <v>0</v>
          </cell>
          <cell r="AG33">
            <v>0</v>
          </cell>
          <cell r="AH33">
            <v>0</v>
          </cell>
        </row>
        <row r="34">
          <cell r="A34" t="str">
            <v>MA Industrial Motor Gasoline</v>
          </cell>
          <cell r="C34" t="str">
            <v>Industrial Motor Gasoline</v>
          </cell>
          <cell r="D34">
            <v>2174</v>
          </cell>
          <cell r="E34">
            <v>1743</v>
          </cell>
          <cell r="F34">
            <v>1755</v>
          </cell>
          <cell r="G34">
            <v>918</v>
          </cell>
          <cell r="H34">
            <v>1817</v>
          </cell>
          <cell r="I34">
            <v>1945</v>
          </cell>
          <cell r="J34">
            <v>1942</v>
          </cell>
          <cell r="K34">
            <v>2041</v>
          </cell>
          <cell r="L34">
            <v>1648</v>
          </cell>
          <cell r="M34">
            <v>1548</v>
          </cell>
          <cell r="N34">
            <v>1597</v>
          </cell>
          <cell r="O34">
            <v>4756</v>
          </cell>
          <cell r="P34">
            <v>4772</v>
          </cell>
          <cell r="Q34">
            <v>4881</v>
          </cell>
          <cell r="R34">
            <v>5043</v>
          </cell>
          <cell r="S34">
            <v>4660</v>
          </cell>
          <cell r="T34">
            <v>4622</v>
          </cell>
          <cell r="U34">
            <v>3893</v>
          </cell>
          <cell r="V34">
            <v>3607</v>
          </cell>
          <cell r="W34">
            <v>3408</v>
          </cell>
          <cell r="X34">
            <v>4414</v>
          </cell>
          <cell r="Y34">
            <v>4628</v>
          </cell>
          <cell r="Z34">
            <v>3904</v>
          </cell>
          <cell r="AA34">
            <v>0</v>
          </cell>
          <cell r="AB34">
            <v>0</v>
          </cell>
          <cell r="AC34">
            <v>0</v>
          </cell>
          <cell r="AD34">
            <v>0</v>
          </cell>
          <cell r="AE34">
            <v>0</v>
          </cell>
          <cell r="AF34">
            <v>0</v>
          </cell>
          <cell r="AG34">
            <v>0</v>
          </cell>
          <cell r="AH34">
            <v>0</v>
          </cell>
        </row>
        <row r="35">
          <cell r="A35" t="str">
            <v>MA Industrial Motor Gasoline Blending Components</v>
          </cell>
          <cell r="C35" t="str">
            <v>Industrial Motor Gasoline Blending Components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row>
        <row r="36">
          <cell r="A36" t="str">
            <v>MA Industrial Natural Gas</v>
          </cell>
          <cell r="C36" t="str">
            <v>Industrial Natural Gas</v>
          </cell>
          <cell r="D36">
            <v>45888</v>
          </cell>
          <cell r="E36">
            <v>56920</v>
          </cell>
          <cell r="F36">
            <v>73653</v>
          </cell>
          <cell r="G36">
            <v>73972</v>
          </cell>
          <cell r="H36">
            <v>67036</v>
          </cell>
          <cell r="I36">
            <v>65167</v>
          </cell>
          <cell r="J36">
            <v>63429</v>
          </cell>
          <cell r="K36">
            <v>66078</v>
          </cell>
          <cell r="L36">
            <v>63994</v>
          </cell>
          <cell r="M36">
            <v>82775</v>
          </cell>
          <cell r="N36">
            <v>78191</v>
          </cell>
          <cell r="O36">
            <v>84867</v>
          </cell>
          <cell r="P36">
            <v>88957</v>
          </cell>
          <cell r="Q36">
            <v>45370</v>
          </cell>
          <cell r="R36">
            <v>44781</v>
          </cell>
          <cell r="S36">
            <v>48475</v>
          </cell>
          <cell r="T36">
            <v>43738</v>
          </cell>
          <cell r="U36">
            <v>47057</v>
          </cell>
          <cell r="V36">
            <v>45279</v>
          </cell>
          <cell r="W36">
            <v>40606</v>
          </cell>
          <cell r="X36">
            <v>45722</v>
          </cell>
          <cell r="Y36">
            <v>48958</v>
          </cell>
          <cell r="Z36">
            <v>45418</v>
          </cell>
          <cell r="AA36">
            <v>0</v>
          </cell>
          <cell r="AB36">
            <v>0</v>
          </cell>
          <cell r="AC36">
            <v>0</v>
          </cell>
          <cell r="AD36">
            <v>0</v>
          </cell>
          <cell r="AE36">
            <v>0</v>
          </cell>
          <cell r="AF36">
            <v>0</v>
          </cell>
          <cell r="AG36">
            <v>0</v>
          </cell>
          <cell r="AH36">
            <v>0</v>
          </cell>
        </row>
        <row r="37">
          <cell r="A37" t="str">
            <v>MA Industrial Pentanes Plus</v>
          </cell>
          <cell r="C37" t="str">
            <v>Industrial Pentanes Plus</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row>
        <row r="38">
          <cell r="A38" t="str">
            <v>MA Industrial Petroleum Coke</v>
          </cell>
          <cell r="C38" t="str">
            <v>Industrial Petroleum Coke</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row>
        <row r="39">
          <cell r="A39" t="str">
            <v>MA Industrial Residual Fuel</v>
          </cell>
          <cell r="C39" t="str">
            <v>Industrial Residual Fuel</v>
          </cell>
          <cell r="D39">
            <v>16371</v>
          </cell>
          <cell r="E39">
            <v>8790</v>
          </cell>
          <cell r="F39">
            <v>13551</v>
          </cell>
          <cell r="G39">
            <v>21945</v>
          </cell>
          <cell r="H39">
            <v>16910</v>
          </cell>
          <cell r="I39">
            <v>9166</v>
          </cell>
          <cell r="J39">
            <v>10626</v>
          </cell>
          <cell r="K39">
            <v>10831</v>
          </cell>
          <cell r="L39">
            <v>11190</v>
          </cell>
          <cell r="M39">
            <v>5659</v>
          </cell>
          <cell r="N39">
            <v>6912</v>
          </cell>
          <cell r="O39">
            <v>13535</v>
          </cell>
          <cell r="P39">
            <v>10891</v>
          </cell>
          <cell r="Q39">
            <v>6091</v>
          </cell>
          <cell r="R39">
            <v>4529</v>
          </cell>
          <cell r="S39">
            <v>4823</v>
          </cell>
          <cell r="T39">
            <v>7011</v>
          </cell>
          <cell r="U39">
            <v>6083</v>
          </cell>
          <cell r="V39">
            <v>2434</v>
          </cell>
          <cell r="W39">
            <v>1857</v>
          </cell>
          <cell r="X39">
            <v>747</v>
          </cell>
          <cell r="Y39">
            <v>1438</v>
          </cell>
          <cell r="Z39">
            <v>719</v>
          </cell>
          <cell r="AA39">
            <v>0</v>
          </cell>
          <cell r="AB39">
            <v>0</v>
          </cell>
          <cell r="AC39">
            <v>0</v>
          </cell>
          <cell r="AD39">
            <v>0</v>
          </cell>
          <cell r="AE39">
            <v>0</v>
          </cell>
          <cell r="AF39">
            <v>0</v>
          </cell>
          <cell r="AG39">
            <v>0</v>
          </cell>
          <cell r="AH39">
            <v>0</v>
          </cell>
        </row>
        <row r="40">
          <cell r="A40" t="str">
            <v>MA Industrial Special Naphthas</v>
          </cell>
          <cell r="C40" t="str">
            <v>Industrial Special Naphthas</v>
          </cell>
          <cell r="D40">
            <v>2310</v>
          </cell>
          <cell r="E40">
            <v>2296</v>
          </cell>
          <cell r="F40">
            <v>2729</v>
          </cell>
          <cell r="G40">
            <v>2729</v>
          </cell>
          <cell r="H40">
            <v>2115</v>
          </cell>
          <cell r="I40">
            <v>1848</v>
          </cell>
          <cell r="J40">
            <v>1295</v>
          </cell>
          <cell r="K40">
            <v>1256</v>
          </cell>
          <cell r="L40">
            <v>1864</v>
          </cell>
          <cell r="M40">
            <v>2526</v>
          </cell>
          <cell r="N40">
            <v>1692</v>
          </cell>
          <cell r="O40">
            <v>1284</v>
          </cell>
          <cell r="P40">
            <v>1675</v>
          </cell>
          <cell r="Q40">
            <v>1317</v>
          </cell>
          <cell r="R40">
            <v>835</v>
          </cell>
          <cell r="S40">
            <v>1023</v>
          </cell>
          <cell r="T40">
            <v>1174</v>
          </cell>
          <cell r="U40">
            <v>1308</v>
          </cell>
          <cell r="V40">
            <v>1423</v>
          </cell>
          <cell r="W40">
            <v>774</v>
          </cell>
          <cell r="X40">
            <v>438</v>
          </cell>
          <cell r="Y40">
            <v>379</v>
          </cell>
          <cell r="Z40">
            <v>247</v>
          </cell>
          <cell r="AA40">
            <v>0</v>
          </cell>
          <cell r="AB40">
            <v>0</v>
          </cell>
          <cell r="AC40">
            <v>0</v>
          </cell>
          <cell r="AD40">
            <v>0</v>
          </cell>
          <cell r="AE40">
            <v>0</v>
          </cell>
          <cell r="AF40">
            <v>0</v>
          </cell>
          <cell r="AG40">
            <v>0</v>
          </cell>
          <cell r="AH40">
            <v>0</v>
          </cell>
        </row>
        <row r="41">
          <cell r="A41" t="str">
            <v>MA Industrial Still Gas</v>
          </cell>
          <cell r="C41" t="str">
            <v>Industrial Still Gas</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2">
          <cell r="A42" t="str">
            <v>MA Industrial Unfinished Oils</v>
          </cell>
          <cell r="C42" t="str">
            <v>Industrial Unfinished Oils</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row>
        <row r="43">
          <cell r="A43" t="str">
            <v>MA Industrial Waxes</v>
          </cell>
          <cell r="C43" t="str">
            <v>Industrial Waxes</v>
          </cell>
          <cell r="D43">
            <v>881</v>
          </cell>
          <cell r="E43">
            <v>769</v>
          </cell>
          <cell r="F43">
            <v>816</v>
          </cell>
          <cell r="G43">
            <v>877</v>
          </cell>
          <cell r="H43">
            <v>889</v>
          </cell>
          <cell r="I43">
            <v>889</v>
          </cell>
          <cell r="J43">
            <v>1104</v>
          </cell>
          <cell r="K43">
            <v>992</v>
          </cell>
          <cell r="L43">
            <v>961</v>
          </cell>
          <cell r="M43">
            <v>849</v>
          </cell>
          <cell r="N43">
            <v>750</v>
          </cell>
          <cell r="O43">
            <v>771</v>
          </cell>
          <cell r="P43">
            <v>682</v>
          </cell>
          <cell r="Q43">
            <v>658</v>
          </cell>
          <cell r="R43">
            <v>652</v>
          </cell>
          <cell r="S43">
            <v>665</v>
          </cell>
          <cell r="T43">
            <v>531</v>
          </cell>
          <cell r="U43">
            <v>445</v>
          </cell>
          <cell r="V43">
            <v>389</v>
          </cell>
          <cell r="W43">
            <v>248</v>
          </cell>
          <cell r="X43">
            <v>347</v>
          </cell>
          <cell r="Y43">
            <v>306</v>
          </cell>
          <cell r="Z43">
            <v>311</v>
          </cell>
          <cell r="AA43">
            <v>0</v>
          </cell>
          <cell r="AB43">
            <v>0</v>
          </cell>
          <cell r="AC43">
            <v>0</v>
          </cell>
          <cell r="AD43">
            <v>0</v>
          </cell>
          <cell r="AE43">
            <v>0</v>
          </cell>
          <cell r="AF43">
            <v>0</v>
          </cell>
          <cell r="AG43">
            <v>0</v>
          </cell>
          <cell r="AH43">
            <v>0</v>
          </cell>
        </row>
        <row r="44">
          <cell r="A44" t="str">
            <v>MA Industrial Wood</v>
          </cell>
          <cell r="C44" t="str">
            <v>Industrial Wood</v>
          </cell>
          <cell r="D44">
            <v>5370</v>
          </cell>
          <cell r="E44">
            <v>5653</v>
          </cell>
          <cell r="F44">
            <v>5090</v>
          </cell>
          <cell r="G44">
            <v>5320</v>
          </cell>
          <cell r="H44">
            <v>5791</v>
          </cell>
          <cell r="I44">
            <v>6925</v>
          </cell>
          <cell r="J44">
            <v>6856</v>
          </cell>
          <cell r="K44">
            <v>7456</v>
          </cell>
          <cell r="L44">
            <v>6301</v>
          </cell>
          <cell r="M44">
            <v>6521</v>
          </cell>
          <cell r="N44">
            <v>6288</v>
          </cell>
          <cell r="O44">
            <v>4592</v>
          </cell>
          <cell r="P44">
            <v>3026</v>
          </cell>
          <cell r="Q44">
            <v>3089</v>
          </cell>
          <cell r="R44">
            <v>3277</v>
          </cell>
          <cell r="S44">
            <v>3312</v>
          </cell>
          <cell r="T44">
            <v>3430</v>
          </cell>
          <cell r="U44">
            <v>3553</v>
          </cell>
          <cell r="V44">
            <v>3410</v>
          </cell>
          <cell r="W44">
            <v>2986</v>
          </cell>
          <cell r="X44">
            <v>3277</v>
          </cell>
          <cell r="Y44">
            <v>3368</v>
          </cell>
          <cell r="Z44">
            <v>21928</v>
          </cell>
          <cell r="AA44">
            <v>0</v>
          </cell>
          <cell r="AB44">
            <v>0</v>
          </cell>
          <cell r="AC44">
            <v>0</v>
          </cell>
          <cell r="AD44">
            <v>0</v>
          </cell>
          <cell r="AE44">
            <v>0</v>
          </cell>
          <cell r="AF44">
            <v>0</v>
          </cell>
          <cell r="AG44">
            <v>0</v>
          </cell>
          <cell r="AH44">
            <v>0</v>
          </cell>
        </row>
        <row r="45">
          <cell r="A45" t="str">
            <v>MA Industrial Other Coal</v>
          </cell>
          <cell r="C45" t="str">
            <v>Industrial Other Coal</v>
          </cell>
          <cell r="D45">
            <v>1816</v>
          </cell>
          <cell r="E45">
            <v>2119</v>
          </cell>
          <cell r="F45">
            <v>3859</v>
          </cell>
          <cell r="G45">
            <v>2864</v>
          </cell>
          <cell r="H45">
            <v>1631</v>
          </cell>
          <cell r="I45">
            <v>1057</v>
          </cell>
          <cell r="J45">
            <v>949</v>
          </cell>
          <cell r="K45">
            <v>916</v>
          </cell>
          <cell r="L45">
            <v>853</v>
          </cell>
          <cell r="M45">
            <v>815</v>
          </cell>
          <cell r="N45">
            <v>1490</v>
          </cell>
          <cell r="O45">
            <v>1461</v>
          </cell>
          <cell r="P45">
            <v>1195</v>
          </cell>
          <cell r="Q45">
            <v>1548</v>
          </cell>
          <cell r="R45">
            <v>1483</v>
          </cell>
          <cell r="S45">
            <v>1869</v>
          </cell>
          <cell r="T45">
            <v>2025</v>
          </cell>
          <cell r="U45">
            <v>2224</v>
          </cell>
          <cell r="V45">
            <v>2222</v>
          </cell>
          <cell r="W45">
            <v>1316</v>
          </cell>
          <cell r="X45">
            <v>1753</v>
          </cell>
          <cell r="Y45">
            <v>1635</v>
          </cell>
          <cell r="Z45">
            <v>1639</v>
          </cell>
          <cell r="AA45">
            <v>0</v>
          </cell>
          <cell r="AB45">
            <v>0</v>
          </cell>
          <cell r="AC45">
            <v>0</v>
          </cell>
          <cell r="AD45">
            <v>0</v>
          </cell>
          <cell r="AE45">
            <v>0</v>
          </cell>
          <cell r="AF45">
            <v>0</v>
          </cell>
          <cell r="AG45">
            <v>0</v>
          </cell>
          <cell r="AH45">
            <v>0</v>
          </cell>
        </row>
        <row r="46">
          <cell r="A46" t="str">
            <v>MA Industrial Other</v>
          </cell>
          <cell r="C46" t="str">
            <v>Industrial Other</v>
          </cell>
          <cell r="D46">
            <v>5370</v>
          </cell>
          <cell r="E46">
            <v>5653</v>
          </cell>
          <cell r="F46">
            <v>5090</v>
          </cell>
          <cell r="G46">
            <v>5320</v>
          </cell>
          <cell r="H46">
            <v>5791</v>
          </cell>
          <cell r="I46">
            <v>6925</v>
          </cell>
          <cell r="J46">
            <v>6856</v>
          </cell>
          <cell r="K46">
            <v>7456</v>
          </cell>
          <cell r="L46">
            <v>6301</v>
          </cell>
          <cell r="M46">
            <v>6521</v>
          </cell>
          <cell r="N46">
            <v>6288</v>
          </cell>
          <cell r="O46">
            <v>4592</v>
          </cell>
          <cell r="P46">
            <v>3026</v>
          </cell>
          <cell r="Q46">
            <v>3089</v>
          </cell>
          <cell r="R46">
            <v>3277</v>
          </cell>
          <cell r="S46">
            <v>3312</v>
          </cell>
          <cell r="T46">
            <v>3430</v>
          </cell>
          <cell r="U46">
            <v>3553</v>
          </cell>
          <cell r="V46">
            <v>3410</v>
          </cell>
          <cell r="W46">
            <v>2986</v>
          </cell>
          <cell r="X46">
            <v>3277</v>
          </cell>
          <cell r="Y46">
            <v>3368</v>
          </cell>
          <cell r="Z46">
            <v>21928</v>
          </cell>
        </row>
        <row r="47">
          <cell r="A47" t="str">
            <v>MA Residential Coal</v>
          </cell>
          <cell r="C47" t="str">
            <v>Residential Coal</v>
          </cell>
          <cell r="D47">
            <v>316</v>
          </cell>
          <cell r="E47">
            <v>120</v>
          </cell>
          <cell r="F47">
            <v>259</v>
          </cell>
          <cell r="G47">
            <v>193</v>
          </cell>
          <cell r="H47">
            <v>83</v>
          </cell>
          <cell r="I47">
            <v>87</v>
          </cell>
          <cell r="J47">
            <v>98</v>
          </cell>
          <cell r="K47">
            <v>79</v>
          </cell>
          <cell r="L47">
            <v>78</v>
          </cell>
          <cell r="M47">
            <v>122</v>
          </cell>
          <cell r="N47">
            <v>48</v>
          </cell>
          <cell r="O47">
            <v>45</v>
          </cell>
          <cell r="P47">
            <v>260</v>
          </cell>
          <cell r="Q47">
            <v>166</v>
          </cell>
          <cell r="R47">
            <v>86</v>
          </cell>
          <cell r="S47">
            <v>86</v>
          </cell>
          <cell r="T47">
            <v>36</v>
          </cell>
          <cell r="U47">
            <v>58</v>
          </cell>
          <cell r="V47">
            <v>0</v>
          </cell>
          <cell r="W47">
            <v>0</v>
          </cell>
          <cell r="X47">
            <v>0</v>
          </cell>
          <cell r="Y47">
            <v>0</v>
          </cell>
          <cell r="Z47">
            <v>0</v>
          </cell>
          <cell r="AA47">
            <v>0</v>
          </cell>
          <cell r="AB47">
            <v>0</v>
          </cell>
          <cell r="AC47">
            <v>0</v>
          </cell>
          <cell r="AD47">
            <v>0</v>
          </cell>
          <cell r="AE47">
            <v>0</v>
          </cell>
          <cell r="AF47">
            <v>0</v>
          </cell>
          <cell r="AG47">
            <v>0</v>
          </cell>
          <cell r="AH47">
            <v>0</v>
          </cell>
        </row>
        <row r="48">
          <cell r="A48" t="str">
            <v>MA Residential Distillate Fuel</v>
          </cell>
          <cell r="C48" t="str">
            <v>Residential Distillate Fuel</v>
          </cell>
          <cell r="D48">
            <v>119643</v>
          </cell>
          <cell r="E48">
            <v>112198</v>
          </cell>
          <cell r="F48">
            <v>127415</v>
          </cell>
          <cell r="G48">
            <v>127526</v>
          </cell>
          <cell r="H48">
            <v>128069</v>
          </cell>
          <cell r="I48">
            <v>116872</v>
          </cell>
          <cell r="J48">
            <v>106957</v>
          </cell>
          <cell r="K48">
            <v>106783</v>
          </cell>
          <cell r="L48">
            <v>98904</v>
          </cell>
          <cell r="M48">
            <v>103831</v>
          </cell>
          <cell r="N48">
            <v>119089</v>
          </cell>
          <cell r="O48">
            <v>129857</v>
          </cell>
          <cell r="P48">
            <v>128535</v>
          </cell>
          <cell r="Q48">
            <v>121251</v>
          </cell>
          <cell r="R48">
            <v>112636</v>
          </cell>
          <cell r="S48">
            <v>107326</v>
          </cell>
          <cell r="T48">
            <v>91133</v>
          </cell>
          <cell r="U48">
            <v>92511</v>
          </cell>
          <cell r="V48">
            <v>91992</v>
          </cell>
          <cell r="W48">
            <v>83159</v>
          </cell>
          <cell r="X48">
            <v>85006</v>
          </cell>
          <cell r="Y48">
            <v>82771</v>
          </cell>
          <cell r="Z48">
            <v>69443</v>
          </cell>
          <cell r="AA48">
            <v>0</v>
          </cell>
          <cell r="AB48">
            <v>0</v>
          </cell>
          <cell r="AC48">
            <v>0</v>
          </cell>
          <cell r="AD48">
            <v>0</v>
          </cell>
          <cell r="AE48">
            <v>0</v>
          </cell>
          <cell r="AF48">
            <v>0</v>
          </cell>
          <cell r="AG48">
            <v>0</v>
          </cell>
          <cell r="AH48">
            <v>0</v>
          </cell>
        </row>
        <row r="49">
          <cell r="A49" t="str">
            <v>MA Residential Kerosene</v>
          </cell>
          <cell r="C49" t="str">
            <v>Residential Kerosene</v>
          </cell>
          <cell r="D49">
            <v>923</v>
          </cell>
          <cell r="E49">
            <v>855</v>
          </cell>
          <cell r="F49">
            <v>1471</v>
          </cell>
          <cell r="G49">
            <v>1417</v>
          </cell>
          <cell r="H49">
            <v>1238</v>
          </cell>
          <cell r="I49">
            <v>737</v>
          </cell>
          <cell r="J49">
            <v>840</v>
          </cell>
          <cell r="K49">
            <v>1075</v>
          </cell>
          <cell r="L49">
            <v>1115</v>
          </cell>
          <cell r="M49">
            <v>1013</v>
          </cell>
          <cell r="N49">
            <v>1081</v>
          </cell>
          <cell r="O49">
            <v>1116</v>
          </cell>
          <cell r="P49">
            <v>721</v>
          </cell>
          <cell r="Q49">
            <v>1382</v>
          </cell>
          <cell r="R49">
            <v>1584</v>
          </cell>
          <cell r="S49">
            <v>1696</v>
          </cell>
          <cell r="T49">
            <v>1350</v>
          </cell>
          <cell r="U49">
            <v>916</v>
          </cell>
          <cell r="V49">
            <v>356</v>
          </cell>
          <cell r="W49">
            <v>563</v>
          </cell>
          <cell r="X49">
            <v>569</v>
          </cell>
          <cell r="Y49">
            <v>349</v>
          </cell>
          <cell r="Z49">
            <v>165</v>
          </cell>
          <cell r="AA49">
            <v>0</v>
          </cell>
          <cell r="AB49">
            <v>0</v>
          </cell>
          <cell r="AC49">
            <v>0</v>
          </cell>
          <cell r="AD49">
            <v>0</v>
          </cell>
          <cell r="AE49">
            <v>0</v>
          </cell>
          <cell r="AF49">
            <v>0</v>
          </cell>
          <cell r="AG49">
            <v>0</v>
          </cell>
          <cell r="AH49">
            <v>0</v>
          </cell>
        </row>
        <row r="50">
          <cell r="A50" t="str">
            <v>MA Residential LPG</v>
          </cell>
          <cell r="C50" t="str">
            <v>Residential LPG</v>
          </cell>
          <cell r="D50">
            <v>4377</v>
          </cell>
          <cell r="E50">
            <v>3960</v>
          </cell>
          <cell r="F50">
            <v>3928</v>
          </cell>
          <cell r="G50">
            <v>4329</v>
          </cell>
          <cell r="H50">
            <v>4476</v>
          </cell>
          <cell r="I50">
            <v>4674</v>
          </cell>
          <cell r="J50">
            <v>5542</v>
          </cell>
          <cell r="K50">
            <v>5202</v>
          </cell>
          <cell r="L50">
            <v>4763</v>
          </cell>
          <cell r="M50">
            <v>4905</v>
          </cell>
          <cell r="N50">
            <v>6068</v>
          </cell>
          <cell r="O50">
            <v>5506</v>
          </cell>
          <cell r="P50">
            <v>4456</v>
          </cell>
          <cell r="Q50">
            <v>6305</v>
          </cell>
          <cell r="R50">
            <v>5337</v>
          </cell>
          <cell r="S50">
            <v>6513</v>
          </cell>
          <cell r="T50">
            <v>6656</v>
          </cell>
          <cell r="U50">
            <v>6882</v>
          </cell>
          <cell r="V50">
            <v>7365</v>
          </cell>
          <cell r="W50">
            <v>6884</v>
          </cell>
          <cell r="X50">
            <v>6471</v>
          </cell>
          <cell r="Y50">
            <v>7853</v>
          </cell>
          <cell r="Z50">
            <v>6067</v>
          </cell>
          <cell r="AA50">
            <v>0</v>
          </cell>
          <cell r="AB50">
            <v>0</v>
          </cell>
          <cell r="AC50">
            <v>0</v>
          </cell>
          <cell r="AD50">
            <v>0</v>
          </cell>
          <cell r="AE50">
            <v>0</v>
          </cell>
          <cell r="AF50">
            <v>0</v>
          </cell>
          <cell r="AG50">
            <v>0</v>
          </cell>
          <cell r="AH50">
            <v>0</v>
          </cell>
        </row>
        <row r="51">
          <cell r="A51" t="str">
            <v>MA Residential Natural Gas</v>
          </cell>
          <cell r="C51" t="str">
            <v>Residential Natural Gas</v>
          </cell>
          <cell r="D51">
            <v>110572</v>
          </cell>
          <cell r="E51">
            <v>107035</v>
          </cell>
          <cell r="F51">
            <v>124366</v>
          </cell>
          <cell r="G51">
            <v>126147</v>
          </cell>
          <cell r="H51">
            <v>122539</v>
          </cell>
          <cell r="I51">
            <v>108528</v>
          </cell>
          <cell r="J51">
            <v>117338</v>
          </cell>
          <cell r="K51">
            <v>114486</v>
          </cell>
          <cell r="L51">
            <v>103617</v>
          </cell>
          <cell r="M51">
            <v>112073</v>
          </cell>
          <cell r="N51">
            <v>119146</v>
          </cell>
          <cell r="O51">
            <v>111474</v>
          </cell>
          <cell r="P51">
            <v>113101</v>
          </cell>
          <cell r="Q51">
            <v>129420</v>
          </cell>
          <cell r="R51">
            <v>115980</v>
          </cell>
          <cell r="S51">
            <v>120356</v>
          </cell>
          <cell r="T51">
            <v>104894</v>
          </cell>
          <cell r="U51">
            <v>116997</v>
          </cell>
          <cell r="V51">
            <v>134537</v>
          </cell>
          <cell r="W51">
            <v>136952</v>
          </cell>
          <cell r="X51">
            <v>129812</v>
          </cell>
          <cell r="Y51">
            <v>132932</v>
          </cell>
          <cell r="Z51">
            <v>119220</v>
          </cell>
          <cell r="AA51">
            <v>0</v>
          </cell>
          <cell r="AB51">
            <v>0</v>
          </cell>
          <cell r="AC51">
            <v>0</v>
          </cell>
          <cell r="AD51">
            <v>0</v>
          </cell>
          <cell r="AE51">
            <v>0</v>
          </cell>
          <cell r="AF51">
            <v>0</v>
          </cell>
          <cell r="AG51">
            <v>0</v>
          </cell>
          <cell r="AH51">
            <v>0</v>
          </cell>
        </row>
        <row r="52">
          <cell r="A52" t="str">
            <v>MA Residential Wood</v>
          </cell>
          <cell r="C52" t="str">
            <v>Residential Wood</v>
          </cell>
          <cell r="D52">
            <v>18077</v>
          </cell>
          <cell r="E52">
            <v>18951</v>
          </cell>
          <cell r="F52">
            <v>19883</v>
          </cell>
          <cell r="G52">
            <v>20573</v>
          </cell>
          <cell r="H52">
            <v>19528</v>
          </cell>
          <cell r="I52">
            <v>19528</v>
          </cell>
          <cell r="J52">
            <v>20279</v>
          </cell>
          <cell r="K52">
            <v>14529</v>
          </cell>
          <cell r="L52">
            <v>12911</v>
          </cell>
          <cell r="M52">
            <v>13251</v>
          </cell>
          <cell r="N52">
            <v>14270</v>
          </cell>
          <cell r="O52">
            <v>11496</v>
          </cell>
          <cell r="P52">
            <v>11670</v>
          </cell>
          <cell r="Q52">
            <v>12284</v>
          </cell>
          <cell r="R52">
            <v>12591</v>
          </cell>
          <cell r="S52">
            <v>3578</v>
          </cell>
          <cell r="T52">
            <v>3173</v>
          </cell>
          <cell r="U52">
            <v>3507</v>
          </cell>
          <cell r="V52">
            <v>3924</v>
          </cell>
          <cell r="W52">
            <v>10204</v>
          </cell>
          <cell r="X52">
            <v>8909</v>
          </cell>
          <cell r="Y52">
            <v>9111</v>
          </cell>
          <cell r="Z52">
            <v>8504</v>
          </cell>
          <cell r="AA52">
            <v>0</v>
          </cell>
          <cell r="AB52">
            <v>0</v>
          </cell>
          <cell r="AC52">
            <v>0</v>
          </cell>
          <cell r="AD52">
            <v>0</v>
          </cell>
          <cell r="AE52">
            <v>0</v>
          </cell>
          <cell r="AF52">
            <v>0</v>
          </cell>
          <cell r="AG52">
            <v>0</v>
          </cell>
          <cell r="AH52">
            <v>0</v>
          </cell>
        </row>
        <row r="53">
          <cell r="A53" t="str">
            <v>MA Residential Other</v>
          </cell>
          <cell r="C53" t="str">
            <v>Residential Other</v>
          </cell>
          <cell r="D53">
            <v>18077</v>
          </cell>
          <cell r="E53">
            <v>18951</v>
          </cell>
          <cell r="F53">
            <v>19883</v>
          </cell>
          <cell r="G53">
            <v>20573</v>
          </cell>
          <cell r="H53">
            <v>19528</v>
          </cell>
          <cell r="I53">
            <v>19528</v>
          </cell>
          <cell r="J53">
            <v>20279</v>
          </cell>
          <cell r="K53">
            <v>14529</v>
          </cell>
          <cell r="L53">
            <v>12911</v>
          </cell>
          <cell r="M53">
            <v>13251</v>
          </cell>
          <cell r="N53">
            <v>14270</v>
          </cell>
          <cell r="O53">
            <v>11496</v>
          </cell>
          <cell r="P53">
            <v>11670</v>
          </cell>
          <cell r="Q53">
            <v>12284</v>
          </cell>
          <cell r="R53">
            <v>12591</v>
          </cell>
          <cell r="S53">
            <v>3578</v>
          </cell>
          <cell r="T53">
            <v>3173</v>
          </cell>
          <cell r="U53">
            <v>3507</v>
          </cell>
          <cell r="V53">
            <v>3924</v>
          </cell>
          <cell r="W53">
            <v>10204</v>
          </cell>
          <cell r="X53">
            <v>8909</v>
          </cell>
          <cell r="Y53">
            <v>9111</v>
          </cell>
          <cell r="Z53">
            <v>8504</v>
          </cell>
        </row>
        <row r="54">
          <cell r="A54" t="str">
            <v>MA Transportation Aviation Gasoline</v>
          </cell>
          <cell r="C54" t="str">
            <v>Transportation Aviation Gasoline</v>
          </cell>
          <cell r="D54">
            <v>487</v>
          </cell>
          <cell r="E54">
            <v>226</v>
          </cell>
          <cell r="F54">
            <v>225</v>
          </cell>
          <cell r="G54">
            <v>431</v>
          </cell>
          <cell r="H54">
            <v>368</v>
          </cell>
          <cell r="I54">
            <v>426</v>
          </cell>
          <cell r="J54">
            <v>454</v>
          </cell>
          <cell r="K54">
            <v>439</v>
          </cell>
          <cell r="L54">
            <v>439</v>
          </cell>
          <cell r="M54">
            <v>485</v>
          </cell>
          <cell r="N54">
            <v>584</v>
          </cell>
          <cell r="O54">
            <v>403</v>
          </cell>
          <cell r="P54">
            <v>390</v>
          </cell>
          <cell r="Q54">
            <v>406</v>
          </cell>
          <cell r="R54">
            <v>482</v>
          </cell>
          <cell r="S54">
            <v>591</v>
          </cell>
          <cell r="T54">
            <v>249</v>
          </cell>
          <cell r="U54">
            <v>439</v>
          </cell>
          <cell r="V54">
            <v>252</v>
          </cell>
          <cell r="W54">
            <v>490</v>
          </cell>
          <cell r="X54">
            <v>283</v>
          </cell>
          <cell r="Y54">
            <v>265</v>
          </cell>
          <cell r="Z54">
            <v>211</v>
          </cell>
          <cell r="AA54">
            <v>0</v>
          </cell>
          <cell r="AB54">
            <v>0</v>
          </cell>
          <cell r="AC54">
            <v>0</v>
          </cell>
          <cell r="AD54">
            <v>0</v>
          </cell>
          <cell r="AE54">
            <v>0</v>
          </cell>
          <cell r="AF54">
            <v>0</v>
          </cell>
          <cell r="AG54">
            <v>0</v>
          </cell>
          <cell r="AH54">
            <v>0</v>
          </cell>
        </row>
        <row r="55">
          <cell r="A55" t="str">
            <v>MA Transportation Distillate Fuel</v>
          </cell>
          <cell r="C55" t="str">
            <v>Transportation Distillate Fuel</v>
          </cell>
          <cell r="D55">
            <v>43437</v>
          </cell>
          <cell r="E55">
            <v>43302</v>
          </cell>
          <cell r="F55">
            <v>43504</v>
          </cell>
          <cell r="G55">
            <v>45686</v>
          </cell>
          <cell r="H55">
            <v>47652</v>
          </cell>
          <cell r="I55">
            <v>51146</v>
          </cell>
          <cell r="J55">
            <v>50255</v>
          </cell>
          <cell r="K55">
            <v>52104</v>
          </cell>
          <cell r="L55">
            <v>51748</v>
          </cell>
          <cell r="M55">
            <v>54176</v>
          </cell>
          <cell r="N55">
            <v>58540</v>
          </cell>
          <cell r="O55">
            <v>61047</v>
          </cell>
          <cell r="P55">
            <v>60761</v>
          </cell>
          <cell r="Q55">
            <v>60189</v>
          </cell>
          <cell r="R55">
            <v>68273</v>
          </cell>
          <cell r="S55">
            <v>71387</v>
          </cell>
          <cell r="T55">
            <v>69817</v>
          </cell>
          <cell r="U55">
            <v>69230</v>
          </cell>
          <cell r="V55">
            <v>63386</v>
          </cell>
          <cell r="W55">
            <v>63483</v>
          </cell>
          <cell r="X55">
            <v>64228</v>
          </cell>
          <cell r="Y55">
            <v>67350</v>
          </cell>
          <cell r="Z55">
            <v>62342</v>
          </cell>
          <cell r="AA55">
            <v>0</v>
          </cell>
          <cell r="AB55">
            <v>0</v>
          </cell>
          <cell r="AC55">
            <v>0</v>
          </cell>
          <cell r="AD55">
            <v>0</v>
          </cell>
          <cell r="AE55">
            <v>0</v>
          </cell>
          <cell r="AF55">
            <v>0</v>
          </cell>
          <cell r="AG55">
            <v>0</v>
          </cell>
          <cell r="AH55">
            <v>0</v>
          </cell>
        </row>
        <row r="56">
          <cell r="A56" t="str">
            <v>MA Transportation Ethanol</v>
          </cell>
          <cell r="C56" t="str">
            <v>Transportation Ethanol</v>
          </cell>
          <cell r="D56">
            <v>0</v>
          </cell>
          <cell r="E56">
            <v>0</v>
          </cell>
          <cell r="F56">
            <v>0</v>
          </cell>
          <cell r="G56">
            <v>0</v>
          </cell>
          <cell r="H56">
            <v>0</v>
          </cell>
          <cell r="I56">
            <v>0</v>
          </cell>
          <cell r="J56">
            <v>0</v>
          </cell>
          <cell r="K56">
            <v>0</v>
          </cell>
          <cell r="L56">
            <v>0</v>
          </cell>
          <cell r="M56">
            <v>0</v>
          </cell>
          <cell r="N56">
            <v>0</v>
          </cell>
          <cell r="O56">
            <v>0</v>
          </cell>
          <cell r="P56">
            <v>72</v>
          </cell>
          <cell r="Q56">
            <v>72</v>
          </cell>
          <cell r="R56">
            <v>684</v>
          </cell>
          <cell r="S56">
            <v>6018</v>
          </cell>
          <cell r="T56">
            <v>16266</v>
          </cell>
          <cell r="U56">
            <v>20911</v>
          </cell>
          <cell r="V56">
            <v>17439</v>
          </cell>
          <cell r="W56">
            <v>19322</v>
          </cell>
          <cell r="X56">
            <v>21863</v>
          </cell>
          <cell r="Y56">
            <v>22327</v>
          </cell>
          <cell r="Z56">
            <v>22683</v>
          </cell>
          <cell r="AA56">
            <v>0</v>
          </cell>
          <cell r="AB56">
            <v>0</v>
          </cell>
          <cell r="AC56">
            <v>0</v>
          </cell>
          <cell r="AD56">
            <v>0</v>
          </cell>
          <cell r="AE56">
            <v>0</v>
          </cell>
          <cell r="AF56">
            <v>0</v>
          </cell>
          <cell r="AG56">
            <v>0</v>
          </cell>
          <cell r="AH56">
            <v>0</v>
          </cell>
        </row>
        <row r="57">
          <cell r="A57" t="str">
            <v>MA Transportation Jet Fuel, Kerosene</v>
          </cell>
          <cell r="C57" t="str">
            <v>Transportation Jet Fuel, Kerosene</v>
          </cell>
          <cell r="D57">
            <v>53084</v>
          </cell>
          <cell r="E57">
            <v>45376</v>
          </cell>
          <cell r="F57">
            <v>41925</v>
          </cell>
          <cell r="G57">
            <v>41547</v>
          </cell>
          <cell r="H57">
            <v>41458</v>
          </cell>
          <cell r="I57">
            <v>37557</v>
          </cell>
          <cell r="J57">
            <v>38944</v>
          </cell>
          <cell r="K57">
            <v>41385</v>
          </cell>
          <cell r="L57">
            <v>43862</v>
          </cell>
          <cell r="M57">
            <v>45819</v>
          </cell>
          <cell r="N57">
            <v>46516</v>
          </cell>
          <cell r="O57">
            <v>39710</v>
          </cell>
          <cell r="P57">
            <v>31801</v>
          </cell>
          <cell r="Q57">
            <v>36264</v>
          </cell>
          <cell r="R57">
            <v>46691</v>
          </cell>
          <cell r="S57">
            <v>51171</v>
          </cell>
          <cell r="T57">
            <v>47552</v>
          </cell>
          <cell r="U57">
            <v>46694</v>
          </cell>
          <cell r="V57">
            <v>62711</v>
          </cell>
          <cell r="W57">
            <v>35182</v>
          </cell>
          <cell r="X57">
            <v>36419</v>
          </cell>
          <cell r="Y57">
            <v>39734</v>
          </cell>
          <cell r="Z57">
            <v>37792</v>
          </cell>
          <cell r="AA57">
            <v>0</v>
          </cell>
          <cell r="AB57">
            <v>0</v>
          </cell>
          <cell r="AC57">
            <v>0</v>
          </cell>
          <cell r="AD57">
            <v>0</v>
          </cell>
          <cell r="AE57">
            <v>0</v>
          </cell>
          <cell r="AF57">
            <v>0</v>
          </cell>
          <cell r="AG57">
            <v>0</v>
          </cell>
          <cell r="AH57">
            <v>0</v>
          </cell>
        </row>
        <row r="58">
          <cell r="A58" t="str">
            <v>MA Transportation Jet Fuel, Naphtha</v>
          </cell>
          <cell r="C58" t="str">
            <v>Transportation Jet Fuel, Naphtha</v>
          </cell>
          <cell r="D58">
            <v>2376</v>
          </cell>
          <cell r="E58">
            <v>7472</v>
          </cell>
          <cell r="F58">
            <v>2600</v>
          </cell>
          <cell r="G58">
            <v>2146</v>
          </cell>
          <cell r="H58">
            <v>647</v>
          </cell>
          <cell r="I58">
            <v>65</v>
          </cell>
          <cell r="J58">
            <v>25</v>
          </cell>
          <cell r="K58">
            <v>12</v>
          </cell>
          <cell r="L58">
            <v>-2</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A59" t="str">
            <v>MA Transportation LPG</v>
          </cell>
          <cell r="C59" t="str">
            <v>Transportation LPG</v>
          </cell>
          <cell r="D59">
            <v>227</v>
          </cell>
          <cell r="E59">
            <v>264</v>
          </cell>
          <cell r="F59">
            <v>243</v>
          </cell>
          <cell r="G59">
            <v>236</v>
          </cell>
          <cell r="H59">
            <v>338</v>
          </cell>
          <cell r="I59">
            <v>192</v>
          </cell>
          <cell r="J59">
            <v>173</v>
          </cell>
          <cell r="K59">
            <v>179</v>
          </cell>
          <cell r="L59">
            <v>174</v>
          </cell>
          <cell r="M59">
            <v>599</v>
          </cell>
          <cell r="N59">
            <v>215</v>
          </cell>
          <cell r="O59">
            <v>159</v>
          </cell>
          <cell r="P59">
            <v>149</v>
          </cell>
          <cell r="Q59">
            <v>150</v>
          </cell>
          <cell r="R59">
            <v>123</v>
          </cell>
          <cell r="S59">
            <v>153</v>
          </cell>
          <cell r="T59">
            <v>131</v>
          </cell>
          <cell r="U59">
            <v>112</v>
          </cell>
          <cell r="V59">
            <v>209</v>
          </cell>
          <cell r="W59">
            <v>97</v>
          </cell>
          <cell r="X59">
            <v>100</v>
          </cell>
          <cell r="Y59">
            <v>121</v>
          </cell>
          <cell r="Z59">
            <v>362</v>
          </cell>
          <cell r="AA59">
            <v>0</v>
          </cell>
          <cell r="AB59">
            <v>0</v>
          </cell>
          <cell r="AC59">
            <v>0</v>
          </cell>
          <cell r="AD59">
            <v>0</v>
          </cell>
          <cell r="AE59">
            <v>0</v>
          </cell>
          <cell r="AF59">
            <v>0</v>
          </cell>
          <cell r="AG59">
            <v>0</v>
          </cell>
          <cell r="AH59">
            <v>0</v>
          </cell>
        </row>
        <row r="60">
          <cell r="A60" t="str">
            <v>MA Transportation Lubricants</v>
          </cell>
          <cell r="C60" t="str">
            <v>Transportation Lubricants</v>
          </cell>
          <cell r="D60">
            <v>2878</v>
          </cell>
          <cell r="E60">
            <v>2575</v>
          </cell>
          <cell r="F60">
            <v>2625</v>
          </cell>
          <cell r="G60">
            <v>2673</v>
          </cell>
          <cell r="H60">
            <v>2794</v>
          </cell>
          <cell r="I60">
            <v>2746</v>
          </cell>
          <cell r="J60">
            <v>2665</v>
          </cell>
          <cell r="K60">
            <v>2815</v>
          </cell>
          <cell r="L60">
            <v>2947</v>
          </cell>
          <cell r="M60">
            <v>2978</v>
          </cell>
          <cell r="N60">
            <v>2933</v>
          </cell>
          <cell r="O60">
            <v>2687</v>
          </cell>
          <cell r="P60">
            <v>2656</v>
          </cell>
          <cell r="Q60">
            <v>2455</v>
          </cell>
          <cell r="R60">
            <v>2487</v>
          </cell>
          <cell r="S60">
            <v>2474</v>
          </cell>
          <cell r="T60">
            <v>2411</v>
          </cell>
          <cell r="U60">
            <v>2489</v>
          </cell>
          <cell r="V60">
            <v>2311</v>
          </cell>
          <cell r="W60">
            <v>2078</v>
          </cell>
          <cell r="X60">
            <v>2309</v>
          </cell>
          <cell r="Y60">
            <v>2190</v>
          </cell>
          <cell r="Z60">
            <v>2015</v>
          </cell>
          <cell r="AA60">
            <v>0</v>
          </cell>
          <cell r="AB60">
            <v>0</v>
          </cell>
          <cell r="AC60">
            <v>0</v>
          </cell>
          <cell r="AD60">
            <v>0</v>
          </cell>
          <cell r="AE60">
            <v>0</v>
          </cell>
          <cell r="AF60">
            <v>0</v>
          </cell>
          <cell r="AG60">
            <v>0</v>
          </cell>
          <cell r="AH60">
            <v>0</v>
          </cell>
        </row>
        <row r="61">
          <cell r="A61" t="str">
            <v>MA Transportation Motor Gasoline</v>
          </cell>
          <cell r="C61" t="str">
            <v>Transportation Motor Gasoline</v>
          </cell>
          <cell r="D61">
            <v>292288</v>
          </cell>
          <cell r="E61">
            <v>283525</v>
          </cell>
          <cell r="F61">
            <v>288588</v>
          </cell>
          <cell r="G61">
            <v>293310</v>
          </cell>
          <cell r="H61">
            <v>295320</v>
          </cell>
          <cell r="I61">
            <v>304228</v>
          </cell>
          <cell r="J61">
            <v>309603</v>
          </cell>
          <cell r="K61">
            <v>315242</v>
          </cell>
          <cell r="L61">
            <v>322631</v>
          </cell>
          <cell r="M61">
            <v>328676</v>
          </cell>
          <cell r="N61">
            <v>335750</v>
          </cell>
          <cell r="O61">
            <v>335325</v>
          </cell>
          <cell r="P61">
            <v>344037</v>
          </cell>
          <cell r="Q61">
            <v>343231</v>
          </cell>
          <cell r="R61">
            <v>349781</v>
          </cell>
          <cell r="S61">
            <v>344012</v>
          </cell>
          <cell r="T61">
            <v>335420</v>
          </cell>
          <cell r="U61">
            <v>343249</v>
          </cell>
          <cell r="V61">
            <v>333282</v>
          </cell>
          <cell r="W61">
            <v>323398</v>
          </cell>
          <cell r="X61">
            <v>320714</v>
          </cell>
          <cell r="Y61">
            <v>316421</v>
          </cell>
          <cell r="Z61">
            <v>315746</v>
          </cell>
          <cell r="AA61">
            <v>0</v>
          </cell>
          <cell r="AB61">
            <v>0</v>
          </cell>
          <cell r="AC61">
            <v>0</v>
          </cell>
          <cell r="AD61">
            <v>0</v>
          </cell>
          <cell r="AE61">
            <v>0</v>
          </cell>
          <cell r="AF61">
            <v>0</v>
          </cell>
          <cell r="AG61">
            <v>0</v>
          </cell>
          <cell r="AH61">
            <v>0</v>
          </cell>
        </row>
        <row r="62">
          <cell r="A62" t="str">
            <v>MA Transportation Natural Gas</v>
          </cell>
          <cell r="C62" t="str">
            <v>Transportation Natural Gas</v>
          </cell>
          <cell r="D62">
            <v>1279</v>
          </cell>
          <cell r="E62">
            <v>1572</v>
          </cell>
          <cell r="F62">
            <v>1858</v>
          </cell>
          <cell r="G62">
            <v>2357</v>
          </cell>
          <cell r="H62">
            <v>1895</v>
          </cell>
          <cell r="I62">
            <v>1969</v>
          </cell>
          <cell r="J62">
            <v>2251</v>
          </cell>
          <cell r="K62">
            <v>2543</v>
          </cell>
          <cell r="L62">
            <v>2016</v>
          </cell>
          <cell r="M62">
            <v>2922</v>
          </cell>
          <cell r="N62">
            <v>2613</v>
          </cell>
          <cell r="O62">
            <v>3462</v>
          </cell>
          <cell r="P62">
            <v>4500</v>
          </cell>
          <cell r="Q62">
            <v>2202</v>
          </cell>
          <cell r="R62">
            <v>1982</v>
          </cell>
          <cell r="S62">
            <v>2620</v>
          </cell>
          <cell r="T62">
            <v>2236</v>
          </cell>
          <cell r="U62">
            <v>2475</v>
          </cell>
          <cell r="V62">
            <v>1940</v>
          </cell>
          <cell r="W62">
            <v>1919</v>
          </cell>
          <cell r="X62">
            <v>4715</v>
          </cell>
          <cell r="Y62">
            <v>5573</v>
          </cell>
          <cell r="Z62">
            <v>4626</v>
          </cell>
          <cell r="AA62">
            <v>0</v>
          </cell>
          <cell r="AB62">
            <v>0</v>
          </cell>
          <cell r="AC62">
            <v>0</v>
          </cell>
          <cell r="AD62">
            <v>0</v>
          </cell>
          <cell r="AE62">
            <v>0</v>
          </cell>
          <cell r="AF62">
            <v>0</v>
          </cell>
          <cell r="AG62">
            <v>0</v>
          </cell>
          <cell r="AH62">
            <v>0</v>
          </cell>
        </row>
        <row r="63">
          <cell r="A63" t="str">
            <v>MA Transportation Residual Fuel</v>
          </cell>
          <cell r="C63" t="str">
            <v>Transportation Residual Fuel</v>
          </cell>
          <cell r="D63">
            <v>8587</v>
          </cell>
          <cell r="E63">
            <v>2769</v>
          </cell>
          <cell r="F63">
            <v>2701</v>
          </cell>
          <cell r="G63">
            <v>2166</v>
          </cell>
          <cell r="H63">
            <v>2287</v>
          </cell>
          <cell r="I63">
            <v>1252</v>
          </cell>
          <cell r="J63">
            <v>12590</v>
          </cell>
          <cell r="K63">
            <v>8677</v>
          </cell>
          <cell r="L63">
            <v>186</v>
          </cell>
          <cell r="M63">
            <v>135</v>
          </cell>
          <cell r="N63">
            <v>3386</v>
          </cell>
          <cell r="O63">
            <v>1806</v>
          </cell>
          <cell r="P63">
            <v>1976</v>
          </cell>
          <cell r="Q63">
            <v>47</v>
          </cell>
          <cell r="R63">
            <v>15</v>
          </cell>
          <cell r="S63">
            <v>4059</v>
          </cell>
          <cell r="T63">
            <v>2354</v>
          </cell>
          <cell r="U63">
            <v>1767</v>
          </cell>
          <cell r="V63">
            <v>1907</v>
          </cell>
          <cell r="W63">
            <v>2501</v>
          </cell>
          <cell r="X63">
            <v>1787</v>
          </cell>
          <cell r="Y63">
            <v>1318</v>
          </cell>
          <cell r="Z63">
            <v>1032</v>
          </cell>
          <cell r="AA63">
            <v>0</v>
          </cell>
          <cell r="AB63">
            <v>0</v>
          </cell>
          <cell r="AC63">
            <v>0</v>
          </cell>
          <cell r="AD63">
            <v>0</v>
          </cell>
          <cell r="AE63">
            <v>0</v>
          </cell>
          <cell r="AF63">
            <v>0</v>
          </cell>
          <cell r="AG63">
            <v>0</v>
          </cell>
          <cell r="AH63">
            <v>0</v>
          </cell>
        </row>
        <row r="64">
          <cell r="A64" t="str">
            <v>MA Transportation Other</v>
          </cell>
          <cell r="C64" t="str">
            <v>Transportation Other</v>
          </cell>
          <cell r="D64">
            <v>0</v>
          </cell>
          <cell r="E64">
            <v>0</v>
          </cell>
          <cell r="F64">
            <v>0</v>
          </cell>
          <cell r="G64">
            <v>0</v>
          </cell>
          <cell r="H64">
            <v>0</v>
          </cell>
          <cell r="I64">
            <v>0</v>
          </cell>
          <cell r="J64">
            <v>0</v>
          </cell>
          <cell r="K64">
            <v>0</v>
          </cell>
          <cell r="L64">
            <v>0</v>
          </cell>
          <cell r="M64">
            <v>0</v>
          </cell>
          <cell r="N64">
            <v>0</v>
          </cell>
          <cell r="O64">
            <v>0</v>
          </cell>
          <cell r="P64">
            <v>72</v>
          </cell>
          <cell r="Q64">
            <v>72</v>
          </cell>
          <cell r="R64">
            <v>684</v>
          </cell>
          <cell r="S64">
            <v>6018</v>
          </cell>
          <cell r="T64">
            <v>16266</v>
          </cell>
          <cell r="U64">
            <v>20911</v>
          </cell>
          <cell r="V64">
            <v>17439</v>
          </cell>
          <cell r="W64">
            <v>19322</v>
          </cell>
          <cell r="X64">
            <v>21863</v>
          </cell>
          <cell r="Y64">
            <v>22327</v>
          </cell>
          <cell r="Z64">
            <v>22683</v>
          </cell>
        </row>
        <row r="65">
          <cell r="A65" t="str">
            <v>MA Bunker Fuels Distillate Fuel</v>
          </cell>
          <cell r="C65" t="str">
            <v>Bunker Fuels Distillate Fuel</v>
          </cell>
          <cell r="D65">
            <v>0</v>
          </cell>
          <cell r="E65">
            <v>2.73910308</v>
          </cell>
          <cell r="F65">
            <v>2.5398744</v>
          </cell>
          <cell r="G65">
            <v>1.744474284</v>
          </cell>
          <cell r="H65">
            <v>1.7398722179999999</v>
          </cell>
          <cell r="I65">
            <v>4.13865543</v>
          </cell>
          <cell r="J65">
            <v>1.2522279839999999</v>
          </cell>
          <cell r="K65">
            <v>0.93136495200000002</v>
          </cell>
          <cell r="L65">
            <v>1.1446328460000001</v>
          </cell>
          <cell r="M65">
            <v>0.18891772199999998</v>
          </cell>
          <cell r="N65">
            <v>0.20004423600000001</v>
          </cell>
          <cell r="O65">
            <v>0.27583268999999999</v>
          </cell>
          <cell r="P65">
            <v>7.5730199999999998E-2</v>
          </cell>
          <cell r="Q65">
            <v>0.10555624800000001</v>
          </cell>
          <cell r="R65">
            <v>0</v>
          </cell>
          <cell r="S65">
            <v>0</v>
          </cell>
          <cell r="T65">
            <v>0.11068259999999999</v>
          </cell>
          <cell r="U65">
            <v>5.6797650000000005E-2</v>
          </cell>
          <cell r="V65">
            <v>0.17656787400000001</v>
          </cell>
          <cell r="W65">
            <v>3.4078589999999999E-2</v>
          </cell>
          <cell r="X65">
            <v>9.1517033999999997E-2</v>
          </cell>
          <cell r="Y65">
            <v>8.5808142000000004E-2</v>
          </cell>
          <cell r="Z65">
            <v>0</v>
          </cell>
          <cell r="AA65">
            <v>0</v>
          </cell>
          <cell r="AB65">
            <v>0</v>
          </cell>
          <cell r="AC65">
            <v>0</v>
          </cell>
          <cell r="AD65">
            <v>0</v>
          </cell>
          <cell r="AE65">
            <v>0</v>
          </cell>
          <cell r="AF65">
            <v>0</v>
          </cell>
          <cell r="AG65">
            <v>0</v>
          </cell>
          <cell r="AH65">
            <v>0</v>
          </cell>
        </row>
        <row r="66">
          <cell r="A66" t="str">
            <v>MA Bunker Fuels Residual Fuel</v>
          </cell>
          <cell r="C66" t="str">
            <v>Bunker Fuels Residual Fuel</v>
          </cell>
          <cell r="D66">
            <v>0</v>
          </cell>
          <cell r="E66">
            <v>26.690327369999999</v>
          </cell>
          <cell r="F66">
            <v>16.372389599999998</v>
          </cell>
          <cell r="G66">
            <v>8.5170377880000014</v>
          </cell>
          <cell r="H66">
            <v>17.653070106000001</v>
          </cell>
          <cell r="I66">
            <v>11.213389277999999</v>
          </cell>
          <cell r="J66">
            <v>10.877956488000001</v>
          </cell>
          <cell r="K66">
            <v>7.1426121479999996</v>
          </cell>
          <cell r="L66">
            <v>11.082737106</v>
          </cell>
          <cell r="M66">
            <v>4.5105178860000006</v>
          </cell>
          <cell r="N66">
            <v>8.0376235380000018</v>
          </cell>
          <cell r="O66">
            <v>4.558616496</v>
          </cell>
          <cell r="P66">
            <v>1.9673274600000001</v>
          </cell>
          <cell r="Q66">
            <v>3.6886289580000002</v>
          </cell>
          <cell r="R66">
            <v>0</v>
          </cell>
          <cell r="S66">
            <v>3.7853291700000002</v>
          </cell>
          <cell r="T66">
            <v>1.25465067</v>
          </cell>
          <cell r="U66">
            <v>3.6625362479999999</v>
          </cell>
          <cell r="V66">
            <v>5.3699425920000001</v>
          </cell>
          <cell r="W66">
            <v>2.9044015559999998</v>
          </cell>
          <cell r="X66">
            <v>1.6585532459999999</v>
          </cell>
          <cell r="Y66">
            <v>5.0230667340000004</v>
          </cell>
          <cell r="Z66">
            <v>0</v>
          </cell>
          <cell r="AA66">
            <v>0</v>
          </cell>
          <cell r="AB66">
            <v>0</v>
          </cell>
          <cell r="AC66">
            <v>0</v>
          </cell>
          <cell r="AD66">
            <v>0</v>
          </cell>
          <cell r="AE66">
            <v>0</v>
          </cell>
          <cell r="AF66">
            <v>0</v>
          </cell>
          <cell r="AG66">
            <v>0</v>
          </cell>
          <cell r="AH66">
            <v>0</v>
          </cell>
        </row>
        <row r="67">
          <cell r="A67" t="str">
            <v>MA Bunker Fuels Jet Fuel, Kerosene</v>
          </cell>
          <cell r="C67" t="str">
            <v>Bunker Fuels Jet Fuel, Kerosene</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K4">
            <v>0.90717999999999999</v>
          </cell>
        </row>
        <row r="5">
          <cell r="K5">
            <v>5.0000000000000001E-4</v>
          </cell>
        </row>
        <row r="6">
          <cell r="K6">
            <v>3.6666666666666665</v>
          </cell>
        </row>
      </sheetData>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efault State Energy Data Table"/>
      <sheetName val="Residential N2O"/>
      <sheetName val="Residential CH4"/>
      <sheetName val="Commercial N2O"/>
      <sheetName val="Commercial CH4"/>
      <sheetName val="Electric Power N2O"/>
      <sheetName val="Electric Power CH4"/>
      <sheetName val="Industrial N2O"/>
      <sheetName val="Industrial CH4"/>
      <sheetName val="Summary N2O"/>
      <sheetName val="Summary CH4"/>
      <sheetName val="Total Summary"/>
      <sheetName val="Tracker"/>
      <sheetName val="Uncertainty"/>
      <sheetName val="Constants"/>
      <sheetName val="FF Consumption"/>
      <sheetName val="Non-Energy Consump."/>
      <sheetName val="Synthetic NG"/>
      <sheetName val="Emission Factors"/>
      <sheetName val="Ethanol"/>
      <sheetName val="Code Key"/>
      <sheetName val="Documentation"/>
      <sheetName val="Data Sources"/>
      <sheetName val="Notes"/>
    </sheetNames>
    <sheetDataSet>
      <sheetData sheetId="0">
        <row r="45">
          <cell r="J45">
            <v>2.8490000000000001E-2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9.bin"/><Relationship Id="rId1" Type="http://schemas.openxmlformats.org/officeDocument/2006/relationships/hyperlink" Target="http://www.eia.gov/dnav/ng/ng_cons_num_dcu_nus_a.htm"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epa.gov/system/files/documents/2023-04/US-GHG-Inventory-2023-Main-Text.pdf" TargetMode="External"/><Relationship Id="rId7" Type="http://schemas.openxmlformats.org/officeDocument/2006/relationships/comments" Target="../comments6.xml"/><Relationship Id="rId2" Type="http://schemas.openxmlformats.org/officeDocument/2006/relationships/hyperlink" Target="https://neiwpcc.org/wp-content/uploads/2022/10/NEIWPCC-Sludge-End-Use-Disposal-Estimate-Report_FINAL.pdf" TargetMode="External"/><Relationship Id="rId1" Type="http://schemas.openxmlformats.org/officeDocument/2006/relationships/hyperlink" Target="https://neiwpcc.org/wp-content/uploads/2022/10/NEIWPCC-Sludge-End-Use-Disposal-Estimate-Report_FINAL.pdf" TargetMode="External"/><Relationship Id="rId6" Type="http://schemas.openxmlformats.org/officeDocument/2006/relationships/vmlDrawing" Target="../drawings/vmlDrawing6.vml"/><Relationship Id="rId5" Type="http://schemas.openxmlformats.org/officeDocument/2006/relationships/printerSettings" Target="../printerSettings/printerSettings13.bin"/><Relationship Id="rId4" Type="http://schemas.openxmlformats.org/officeDocument/2006/relationships/hyperlink" Target="https://www.ipcc-nggip.iges.or.jp/public/2019rf/pdf/5_Volume5/19R_V5_6_Ch06_Wastewater.pdf" TargetMode="External"/></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eia.gov/electricity/data/state/annual_generation_state.xls" TargetMode="External"/><Relationship Id="rId1" Type="http://schemas.openxmlformats.org/officeDocument/2006/relationships/hyperlink" Target="http://www.iso-ne.com/static-assets/documents/2015/02/gen_nel_iso_states.xls" TargetMode="External"/></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8.bin"/><Relationship Id="rId1" Type="http://schemas.openxmlformats.org/officeDocument/2006/relationships/hyperlink" Target="http://www.ipcc-nggip.iges.or.jp/public/2006gl/pdf/2_Volume2/V2_2_Ch2_Stationary_Combustion.pdf" TargetMode="External"/><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ass.gov/doc/appendices-to-the-clean-energy-and-climate-plan-for-2025-and-2030/download" TargetMode="External"/><Relationship Id="rId2" Type="http://schemas.openxmlformats.org/officeDocument/2006/relationships/hyperlink" Target="https://www.epa.gov/system/files/other-files/2023-02/State-Level-GHG-data.zip" TargetMode="External"/><Relationship Id="rId1" Type="http://schemas.openxmlformats.org/officeDocument/2006/relationships/hyperlink" Target="https://www.epa.gov/ghgemissions/state-ghg-emissions-and-removals" TargetMode="External"/><Relationship Id="rId6" Type="http://schemas.openxmlformats.org/officeDocument/2006/relationships/hyperlink" Target="https://www.epa.gov/ghgemissions/inventory-us-greenhouse-gas-emissions-and-sinks-1990-2021" TargetMode="External"/><Relationship Id="rId5" Type="http://schemas.openxmlformats.org/officeDocument/2006/relationships/hyperlink" Target="https://www.epa.gov/ghgemissions/methodology-report-inventory-us-greenhouse-gas-emissions-and-sinks-state-1990-2021" TargetMode="External"/><Relationship Id="rId4" Type="http://schemas.openxmlformats.org/officeDocument/2006/relationships/hyperlink" Target="https://www.epa.gov/ghgemissions/state-ghg-emissions-and-removal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6.bin"/><Relationship Id="rId1" Type="http://schemas.openxmlformats.org/officeDocument/2006/relationships/hyperlink" Target="https://www.epa.gov/sites/production/files/2015-07/documents/catalog_of_chp_technologies_section_6._technology_characterization_-_fuel_cells.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zoomScaleNormal="100" workbookViewId="0"/>
  </sheetViews>
  <sheetFormatPr defaultColWidth="8.81640625" defaultRowHeight="14.5"/>
  <sheetData/>
  <pageMargins left="0.2" right="0.2" top="0.75" bottom="0.75" header="0.3" footer="0.3"/>
  <pageSetup scale="40" orientation="landscape" r:id="rId1"/>
  <headerFooter>
    <oddFooter>&amp;L&amp;F&amp;A&amp;RPage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L334"/>
  <sheetViews>
    <sheetView zoomScaleNormal="100" zoomScaleSheetLayoutView="30" workbookViewId="0"/>
  </sheetViews>
  <sheetFormatPr defaultColWidth="8.81640625" defaultRowHeight="14.5"/>
  <cols>
    <col min="1" max="1" width="6.453125" customWidth="1"/>
    <col min="2" max="2" width="51.26953125" customWidth="1"/>
    <col min="3" max="3" width="15.1796875" customWidth="1"/>
    <col min="4" max="4" width="19.1796875" customWidth="1"/>
    <col min="5" max="5" width="12.453125" customWidth="1"/>
    <col min="6" max="8" width="11" customWidth="1"/>
    <col min="9" max="9" width="12.81640625" customWidth="1"/>
    <col min="10" max="10" width="12.1796875" customWidth="1"/>
    <col min="11" max="18" width="11.453125" customWidth="1"/>
    <col min="19" max="19" width="10.81640625" customWidth="1"/>
    <col min="20" max="28" width="11.26953125" customWidth="1"/>
    <col min="29" max="29" width="11.54296875" customWidth="1"/>
    <col min="30" max="30" width="11.7265625" customWidth="1"/>
    <col min="31" max="32" width="12.81640625" bestFit="1" customWidth="1"/>
    <col min="33" max="33" width="12.1796875" customWidth="1"/>
    <col min="34" max="34" width="14.453125" customWidth="1"/>
    <col min="35" max="35" width="12.453125" customWidth="1"/>
    <col min="36" max="36" width="12.1796875" customWidth="1"/>
    <col min="37" max="38" width="10" bestFit="1" customWidth="1"/>
  </cols>
  <sheetData>
    <row r="1" spans="1:38" ht="21.5">
      <c r="B1" s="89" t="s">
        <v>214</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row>
    <row r="2" spans="1:38" ht="15.75" customHeight="1">
      <c r="A2" s="104"/>
      <c r="B2" s="608"/>
      <c r="C2" s="608"/>
      <c r="D2" s="942"/>
      <c r="E2" s="942"/>
      <c r="F2" s="942"/>
      <c r="G2" s="942"/>
      <c r="H2" s="942"/>
      <c r="I2" s="942"/>
      <c r="J2" s="943"/>
      <c r="K2" s="942"/>
      <c r="L2" s="944"/>
      <c r="M2" s="942"/>
      <c r="N2" s="942"/>
      <c r="O2" s="103"/>
      <c r="P2" s="103"/>
      <c r="Q2" s="105"/>
      <c r="R2" s="105"/>
      <c r="S2" s="106"/>
      <c r="T2" s="106"/>
      <c r="U2" s="106"/>
      <c r="V2" s="106"/>
      <c r="W2" s="106"/>
      <c r="X2" s="106"/>
      <c r="Y2" s="106"/>
      <c r="Z2" s="106"/>
      <c r="AA2" s="106"/>
      <c r="AB2" s="103"/>
    </row>
    <row r="3" spans="1:38" ht="66" customHeight="1">
      <c r="A3" s="104"/>
      <c r="B3" s="1752" t="s">
        <v>215</v>
      </c>
      <c r="C3" s="1753"/>
      <c r="D3" s="1753"/>
      <c r="E3" s="1753"/>
      <c r="F3" s="1753"/>
      <c r="G3" s="1753"/>
      <c r="H3" s="1753"/>
      <c r="I3" s="1753"/>
      <c r="J3" s="1753"/>
      <c r="K3" s="1753"/>
      <c r="L3" s="1753"/>
      <c r="M3" s="1753"/>
      <c r="N3" s="1753"/>
      <c r="O3" s="1754"/>
      <c r="P3" s="996"/>
      <c r="Q3" s="996"/>
      <c r="R3" s="996"/>
      <c r="S3" s="996"/>
      <c r="T3" s="996"/>
      <c r="U3" s="996"/>
      <c r="V3" s="996"/>
      <c r="W3" s="996"/>
      <c r="X3" s="996"/>
      <c r="Y3" s="996"/>
      <c r="Z3" s="106"/>
      <c r="AA3" s="106"/>
      <c r="AB3" s="106"/>
    </row>
    <row r="4" spans="1:38" ht="15.75" customHeight="1">
      <c r="A4" s="104"/>
      <c r="B4" s="945"/>
      <c r="C4" s="945"/>
      <c r="D4" s="945"/>
      <c r="E4" s="945"/>
      <c r="F4" s="945"/>
      <c r="G4" s="945"/>
      <c r="H4" s="945"/>
      <c r="I4" s="945"/>
      <c r="J4" s="945"/>
      <c r="K4" s="945"/>
      <c r="L4" s="945"/>
      <c r="M4" s="945"/>
      <c r="N4" s="945"/>
      <c r="O4" s="103"/>
      <c r="P4" s="103"/>
      <c r="Q4" s="105"/>
      <c r="R4" s="105"/>
      <c r="S4" s="283"/>
      <c r="T4" s="106"/>
      <c r="U4" s="106"/>
      <c r="V4" s="106"/>
      <c r="W4" s="106"/>
      <c r="X4" s="106"/>
      <c r="Y4" s="106"/>
      <c r="Z4" s="106"/>
      <c r="AA4" s="106"/>
      <c r="AB4" s="103"/>
    </row>
    <row r="5" spans="1:38" ht="15.75" customHeight="1" thickBot="1">
      <c r="A5" s="103"/>
      <c r="B5" s="107"/>
      <c r="C5" s="107"/>
      <c r="D5" s="1558"/>
      <c r="E5" s="627"/>
      <c r="F5" s="627"/>
      <c r="G5" s="627"/>
      <c r="H5" s="627"/>
      <c r="I5" s="627"/>
      <c r="J5" s="627"/>
      <c r="K5" s="627"/>
      <c r="L5" s="627"/>
      <c r="M5" s="627"/>
      <c r="N5" s="627"/>
      <c r="O5" s="627"/>
      <c r="P5" s="627"/>
      <c r="Q5" s="627"/>
      <c r="R5" s="627"/>
      <c r="S5" s="627"/>
      <c r="T5" s="627"/>
      <c r="U5" s="627"/>
      <c r="V5" s="627"/>
      <c r="W5" s="627"/>
      <c r="X5" s="627"/>
      <c r="Y5" s="627"/>
      <c r="Z5" s="627"/>
      <c r="AA5" s="627"/>
      <c r="AB5" s="627"/>
      <c r="AC5" s="627"/>
      <c r="AD5" s="627"/>
      <c r="AE5" s="946"/>
      <c r="AF5" s="856"/>
      <c r="AG5" s="946"/>
      <c r="AH5" s="1192"/>
      <c r="AI5" s="1577"/>
      <c r="AJ5" s="1266"/>
      <c r="AK5" s="1266" t="s">
        <v>0</v>
      </c>
      <c r="AL5" s="995"/>
    </row>
    <row r="6" spans="1:38" ht="15.75" customHeight="1" thickBot="1">
      <c r="A6" s="103"/>
      <c r="B6" s="107" t="s">
        <v>216</v>
      </c>
      <c r="C6" s="107"/>
      <c r="D6" s="107">
        <v>1990</v>
      </c>
      <c r="E6" s="108">
        <v>1991</v>
      </c>
      <c r="F6" s="108">
        <v>1992</v>
      </c>
      <c r="G6" s="107">
        <v>1993</v>
      </c>
      <c r="H6" s="107">
        <v>1994</v>
      </c>
      <c r="I6" s="107">
        <v>1995</v>
      </c>
      <c r="J6" s="107">
        <v>1996</v>
      </c>
      <c r="K6" s="107">
        <v>1997</v>
      </c>
      <c r="L6" s="107">
        <v>1998</v>
      </c>
      <c r="M6" s="107">
        <v>1999</v>
      </c>
      <c r="N6" s="107">
        <v>2000</v>
      </c>
      <c r="O6" s="107">
        <v>2001</v>
      </c>
      <c r="P6" s="107">
        <v>2002</v>
      </c>
      <c r="Q6" s="107">
        <v>2003</v>
      </c>
      <c r="R6" s="107">
        <v>2004</v>
      </c>
      <c r="S6" s="107">
        <v>2005</v>
      </c>
      <c r="T6" s="107">
        <v>2006</v>
      </c>
      <c r="U6" s="107">
        <v>2007</v>
      </c>
      <c r="V6" s="107">
        <v>2008</v>
      </c>
      <c r="W6" s="107">
        <v>2009</v>
      </c>
      <c r="X6" s="107">
        <v>2010</v>
      </c>
      <c r="Y6" s="107">
        <v>2011</v>
      </c>
      <c r="Z6" s="107">
        <v>2012</v>
      </c>
      <c r="AA6" s="107">
        <v>2013</v>
      </c>
      <c r="AB6" s="107">
        <v>2014</v>
      </c>
      <c r="AC6" s="107">
        <v>2015</v>
      </c>
      <c r="AD6" s="107">
        <v>2016</v>
      </c>
      <c r="AE6" s="107">
        <v>2017</v>
      </c>
      <c r="AF6" s="107">
        <v>2018</v>
      </c>
      <c r="AG6" s="107">
        <v>2019</v>
      </c>
      <c r="AH6" s="107">
        <v>2020</v>
      </c>
      <c r="AI6" s="107">
        <v>2021</v>
      </c>
      <c r="AJ6" s="107">
        <v>2022</v>
      </c>
      <c r="AK6" s="107">
        <v>2023</v>
      </c>
      <c r="AL6" s="1056"/>
    </row>
    <row r="7" spans="1:38" ht="15.75" customHeight="1">
      <c r="A7" s="103"/>
      <c r="B7" s="950" t="s">
        <v>130</v>
      </c>
      <c r="C7" s="950"/>
      <c r="D7" s="613">
        <f t="shared" ref="D7:AG7" si="0">D8+D9</f>
        <v>1.8677651258656023</v>
      </c>
      <c r="E7" s="613">
        <f t="shared" si="0"/>
        <v>1.8459141852462597</v>
      </c>
      <c r="F7" s="613">
        <f t="shared" si="0"/>
        <v>1.8328011148242493</v>
      </c>
      <c r="G7" s="613">
        <f t="shared" si="0"/>
        <v>1.754371218422466</v>
      </c>
      <c r="H7" s="613">
        <f t="shared" si="0"/>
        <v>1.6979421175482081</v>
      </c>
      <c r="I7" s="613">
        <f t="shared" si="0"/>
        <v>1.6639970217391518</v>
      </c>
      <c r="J7" s="613">
        <f t="shared" si="0"/>
        <v>1.5854815983319805</v>
      </c>
      <c r="K7" s="613">
        <f t="shared" si="0"/>
        <v>1.5341953490807867</v>
      </c>
      <c r="L7" s="613">
        <f t="shared" si="0"/>
        <v>1.4749217365566851</v>
      </c>
      <c r="M7" s="613">
        <f t="shared" si="0"/>
        <v>1.4159240794319685</v>
      </c>
      <c r="N7" s="613">
        <f t="shared" si="0"/>
        <v>1.3779308860348727</v>
      </c>
      <c r="O7" s="613">
        <f t="shared" si="0"/>
        <v>1.3078896113878109</v>
      </c>
      <c r="P7" s="613">
        <f t="shared" si="0"/>
        <v>1.2705904514515338</v>
      </c>
      <c r="Q7" s="613">
        <f t="shared" si="0"/>
        <v>1.217910217108797</v>
      </c>
      <c r="R7" s="613">
        <f t="shared" si="0"/>
        <v>1.2026721581526407</v>
      </c>
      <c r="S7" s="613">
        <f t="shared" si="0"/>
        <v>1.109795717263852</v>
      </c>
      <c r="T7" s="613">
        <f t="shared" si="0"/>
        <v>1.0704121650190279</v>
      </c>
      <c r="U7" s="613">
        <f t="shared" si="0"/>
        <v>1.0271288082702621</v>
      </c>
      <c r="V7" s="613">
        <f t="shared" si="0"/>
        <v>1.010590335679201</v>
      </c>
      <c r="W7" s="613">
        <f t="shared" si="0"/>
        <v>0.96019685439515889</v>
      </c>
      <c r="X7" s="613">
        <f t="shared" si="0"/>
        <v>0.96322373008061823</v>
      </c>
      <c r="Y7" s="613">
        <f t="shared" si="0"/>
        <v>0.79967539204563709</v>
      </c>
      <c r="Z7" s="613">
        <f t="shared" si="0"/>
        <v>0.7993683187669699</v>
      </c>
      <c r="AA7" s="613">
        <f t="shared" si="0"/>
        <v>0.78443741397921429</v>
      </c>
      <c r="AB7" s="613">
        <f t="shared" si="0"/>
        <v>0.7596547163364249</v>
      </c>
      <c r="AC7" s="613">
        <f t="shared" si="0"/>
        <v>0.7888767209069355</v>
      </c>
      <c r="AD7" s="613">
        <f t="shared" si="0"/>
        <v>0.76847695919838299</v>
      </c>
      <c r="AE7" s="613">
        <f t="shared" si="0"/>
        <v>0.73513424394234506</v>
      </c>
      <c r="AF7" s="613">
        <f t="shared" si="0"/>
        <v>0.71995390570325668</v>
      </c>
      <c r="AG7" s="613">
        <f t="shared" si="0"/>
        <v>0.71637272821169318</v>
      </c>
      <c r="AH7" s="613">
        <f t="shared" ref="AH7:AI7" si="1">AH8+AH9</f>
        <v>0.74058749016049774</v>
      </c>
      <c r="AI7" s="613">
        <f t="shared" si="1"/>
        <v>0.71541075756581629</v>
      </c>
      <c r="AJ7" s="613">
        <f t="shared" ref="AJ7:AK7" si="2">AJ8+AJ9</f>
        <v>0.73417706876001998</v>
      </c>
      <c r="AK7" s="1264">
        <f t="shared" si="2"/>
        <v>0.30688175378731297</v>
      </c>
      <c r="AL7" s="1191"/>
    </row>
    <row r="8" spans="1:38" ht="15.75" customHeight="1">
      <c r="A8" s="103"/>
      <c r="B8" s="947" t="s">
        <v>217</v>
      </c>
      <c r="C8" s="947"/>
      <c r="D8" s="613">
        <f>((D13*25)+D18)/1000000</f>
        <v>0.16964798123063266</v>
      </c>
      <c r="E8" s="613">
        <f t="shared" ref="E8:AG8" si="3">((E13*25)+E18)/1000000</f>
        <v>0.16777733487657098</v>
      </c>
      <c r="F8" s="613">
        <f t="shared" si="3"/>
        <v>0.16778510013841447</v>
      </c>
      <c r="G8" s="613">
        <f t="shared" si="3"/>
        <v>0.16576515955480578</v>
      </c>
      <c r="H8" s="613">
        <f t="shared" si="3"/>
        <v>0.16380309172111826</v>
      </c>
      <c r="I8" s="613">
        <f t="shared" si="3"/>
        <v>0.16173003311471829</v>
      </c>
      <c r="J8" s="613">
        <f t="shared" si="3"/>
        <v>0.16001422220400752</v>
      </c>
      <c r="K8" s="613">
        <f t="shared" si="3"/>
        <v>0.15800112861507337</v>
      </c>
      <c r="L8" s="613">
        <f t="shared" si="3"/>
        <v>0.1560715775332838</v>
      </c>
      <c r="M8" s="613">
        <f t="shared" si="3"/>
        <v>0.15428253055480623</v>
      </c>
      <c r="N8" s="613">
        <f t="shared" si="3"/>
        <v>0.15450406319720827</v>
      </c>
      <c r="O8" s="613">
        <f t="shared" si="3"/>
        <v>0.1530439857474456</v>
      </c>
      <c r="P8" s="613">
        <f t="shared" si="3"/>
        <v>0.15129719718585574</v>
      </c>
      <c r="Q8" s="613">
        <f t="shared" si="3"/>
        <v>0.14897049077938418</v>
      </c>
      <c r="R8" s="613">
        <f t="shared" si="3"/>
        <v>0.14770618235682798</v>
      </c>
      <c r="S8" s="613">
        <f t="shared" si="3"/>
        <v>0.14590990431181422</v>
      </c>
      <c r="T8" s="613">
        <f t="shared" si="3"/>
        <v>0.14332104875728888</v>
      </c>
      <c r="U8" s="613">
        <f t="shared" si="3"/>
        <v>0.14200142797967516</v>
      </c>
      <c r="V8" s="613">
        <f t="shared" si="3"/>
        <v>0.17684517647207851</v>
      </c>
      <c r="W8" s="613">
        <f t="shared" si="3"/>
        <v>0.17502038504875261</v>
      </c>
      <c r="X8" s="613">
        <f t="shared" si="3"/>
        <v>0.21029789575919641</v>
      </c>
      <c r="Y8" s="613">
        <f t="shared" si="3"/>
        <v>0.10074999561542974</v>
      </c>
      <c r="Z8" s="613">
        <f t="shared" si="3"/>
        <v>0.10539637362678343</v>
      </c>
      <c r="AA8" s="613">
        <f t="shared" si="3"/>
        <v>0.10546830514342498</v>
      </c>
      <c r="AB8" s="613">
        <f t="shared" si="3"/>
        <v>0.10412279991765183</v>
      </c>
      <c r="AC8" s="613">
        <f t="shared" si="3"/>
        <v>0.13038141862479291</v>
      </c>
      <c r="AD8" s="613">
        <f t="shared" si="3"/>
        <v>0.11397101453861756</v>
      </c>
      <c r="AE8" s="613">
        <f t="shared" si="3"/>
        <v>6.8076234103085762E-2</v>
      </c>
      <c r="AF8" s="613">
        <f t="shared" si="3"/>
        <v>6.5544943736495637E-2</v>
      </c>
      <c r="AG8" s="613">
        <f t="shared" si="3"/>
        <v>7.5421655190406778E-2</v>
      </c>
      <c r="AH8" s="613">
        <f t="shared" ref="AH8:AI8" si="4">((AH13*25)+AH18)/1000000</f>
        <v>7.1264623775657482E-2</v>
      </c>
      <c r="AI8" s="613">
        <f t="shared" si="4"/>
        <v>8.8725644248070154E-2</v>
      </c>
      <c r="AJ8" s="613">
        <f t="shared" ref="AJ8:AK8" si="5">((AJ13*25)+AJ18)/1000000</f>
        <v>9.1407659325350527E-2</v>
      </c>
      <c r="AK8" s="1264">
        <f t="shared" si="5"/>
        <v>3.0374696487123893E-4</v>
      </c>
      <c r="AL8" s="1214"/>
    </row>
    <row r="9" spans="1:38" ht="15.75" customHeight="1">
      <c r="A9" s="103"/>
      <c r="B9" s="947" t="s">
        <v>218</v>
      </c>
      <c r="C9" s="1312"/>
      <c r="D9" s="613">
        <f t="shared" ref="D9:AI9" si="6">D213+(D19/1000000)</f>
        <v>1.6981171446349697</v>
      </c>
      <c r="E9" s="613">
        <f t="shared" si="6"/>
        <v>1.6781368503696887</v>
      </c>
      <c r="F9" s="613">
        <f t="shared" si="6"/>
        <v>1.6650160146858348</v>
      </c>
      <c r="G9" s="613">
        <f t="shared" si="6"/>
        <v>1.5886060588676603</v>
      </c>
      <c r="H9" s="613">
        <f t="shared" si="6"/>
        <v>1.5341390258270899</v>
      </c>
      <c r="I9" s="613">
        <f t="shared" si="6"/>
        <v>1.5022669886244335</v>
      </c>
      <c r="J9" s="613">
        <f t="shared" si="6"/>
        <v>1.425467376127973</v>
      </c>
      <c r="K9" s="613">
        <f t="shared" si="6"/>
        <v>1.3761942204657134</v>
      </c>
      <c r="L9" s="613">
        <f t="shared" si="6"/>
        <v>1.3188501590234014</v>
      </c>
      <c r="M9" s="613">
        <f t="shared" si="6"/>
        <v>1.2616415488771622</v>
      </c>
      <c r="N9" s="613">
        <f t="shared" si="6"/>
        <v>1.2234268228376644</v>
      </c>
      <c r="O9" s="613">
        <f t="shared" si="6"/>
        <v>1.1548456256403654</v>
      </c>
      <c r="P9" s="613">
        <f t="shared" si="6"/>
        <v>1.1192932542656782</v>
      </c>
      <c r="Q9" s="613">
        <f t="shared" si="6"/>
        <v>1.0689397263294129</v>
      </c>
      <c r="R9" s="613">
        <f t="shared" si="6"/>
        <v>1.0549659757958127</v>
      </c>
      <c r="S9" s="613">
        <f t="shared" si="6"/>
        <v>0.96388581295203768</v>
      </c>
      <c r="T9" s="613">
        <f t="shared" si="6"/>
        <v>0.92709111626173912</v>
      </c>
      <c r="U9" s="613">
        <f t="shared" si="6"/>
        <v>0.88512738029058702</v>
      </c>
      <c r="V9" s="613">
        <f t="shared" si="6"/>
        <v>0.83374515920712244</v>
      </c>
      <c r="W9" s="613">
        <f t="shared" si="6"/>
        <v>0.78517646934640628</v>
      </c>
      <c r="X9" s="613">
        <f t="shared" si="6"/>
        <v>0.75292583432142179</v>
      </c>
      <c r="Y9" s="613">
        <f t="shared" si="6"/>
        <v>0.69892539643020735</v>
      </c>
      <c r="Z9" s="613">
        <f t="shared" si="6"/>
        <v>0.69397194514018645</v>
      </c>
      <c r="AA9" s="613">
        <f t="shared" si="6"/>
        <v>0.67896910883578931</v>
      </c>
      <c r="AB9" s="613">
        <f t="shared" si="6"/>
        <v>0.65553191641877306</v>
      </c>
      <c r="AC9" s="613">
        <f t="shared" si="6"/>
        <v>0.65849530228214259</v>
      </c>
      <c r="AD9" s="613">
        <f t="shared" si="6"/>
        <v>0.65450594465976542</v>
      </c>
      <c r="AE9" s="613">
        <f t="shared" si="6"/>
        <v>0.66705800983925934</v>
      </c>
      <c r="AF9" s="613">
        <f t="shared" si="6"/>
        <v>0.65440896196676102</v>
      </c>
      <c r="AG9" s="613">
        <f t="shared" si="6"/>
        <v>0.6409510730212864</v>
      </c>
      <c r="AH9" s="613">
        <f t="shared" si="6"/>
        <v>0.66932286638484029</v>
      </c>
      <c r="AI9" s="613">
        <f t="shared" si="6"/>
        <v>0.62668511331774612</v>
      </c>
      <c r="AJ9" s="613">
        <f t="shared" ref="AJ9:AK9" si="7">AJ213+(AJ19/1000000)</f>
        <v>0.64276940943466943</v>
      </c>
      <c r="AK9" s="1264">
        <f t="shared" si="7"/>
        <v>0.30657800682244174</v>
      </c>
      <c r="AL9" s="1215"/>
    </row>
    <row r="10" spans="1:38" ht="15.75" customHeight="1" thickBot="1">
      <c r="A10" s="103"/>
      <c r="B10" s="107"/>
      <c r="C10" s="107"/>
      <c r="D10" s="627"/>
      <c r="E10" s="627"/>
      <c r="F10" s="627"/>
      <c r="G10" s="627"/>
      <c r="H10" s="627"/>
      <c r="I10" s="627"/>
      <c r="J10" s="627"/>
      <c r="K10" s="627"/>
      <c r="L10" s="627"/>
      <c r="M10" s="627"/>
      <c r="N10" s="627"/>
      <c r="O10" s="627"/>
      <c r="P10" s="627"/>
      <c r="Q10" s="627"/>
      <c r="R10" s="627"/>
      <c r="S10" s="627"/>
      <c r="T10" s="627"/>
      <c r="U10" s="627"/>
      <c r="V10" s="627"/>
      <c r="W10" s="627"/>
      <c r="X10" s="627"/>
      <c r="Y10" s="627"/>
      <c r="Z10" s="627"/>
      <c r="AA10" s="627"/>
      <c r="AB10" s="627"/>
      <c r="AC10" s="627"/>
      <c r="AD10" s="627"/>
      <c r="AE10" s="627"/>
      <c r="AF10" s="627"/>
      <c r="AG10" s="627"/>
      <c r="AH10" s="627"/>
      <c r="AI10" s="627"/>
      <c r="AJ10" s="627"/>
      <c r="AK10" s="627"/>
    </row>
    <row r="11" spans="1:38" ht="15.75" customHeight="1" thickBot="1">
      <c r="A11" s="103"/>
      <c r="B11" s="107" t="s">
        <v>219</v>
      </c>
      <c r="C11" s="107"/>
      <c r="D11" s="107">
        <v>1990</v>
      </c>
      <c r="E11" s="108">
        <v>1991</v>
      </c>
      <c r="F11" s="108">
        <v>1992</v>
      </c>
      <c r="G11" s="107">
        <v>1993</v>
      </c>
      <c r="H11" s="107">
        <v>1994</v>
      </c>
      <c r="I11" s="107">
        <v>1995</v>
      </c>
      <c r="J11" s="107">
        <v>1996</v>
      </c>
      <c r="K11" s="107">
        <v>1997</v>
      </c>
      <c r="L11" s="107">
        <v>1998</v>
      </c>
      <c r="M11" s="107">
        <v>1999</v>
      </c>
      <c r="N11" s="107">
        <v>2000</v>
      </c>
      <c r="O11" s="107">
        <v>2001</v>
      </c>
      <c r="P11" s="107">
        <v>2002</v>
      </c>
      <c r="Q11" s="107">
        <v>2003</v>
      </c>
      <c r="R11" s="107">
        <v>2004</v>
      </c>
      <c r="S11" s="107">
        <v>2005</v>
      </c>
      <c r="T11" s="107">
        <v>2006</v>
      </c>
      <c r="U11" s="107">
        <v>2007</v>
      </c>
      <c r="V11" s="107">
        <v>2008</v>
      </c>
      <c r="W11" s="107">
        <v>2009</v>
      </c>
      <c r="X11" s="107">
        <v>2010</v>
      </c>
      <c r="Y11" s="107">
        <v>2011</v>
      </c>
      <c r="Z11" s="107">
        <v>2012</v>
      </c>
      <c r="AA11" s="107">
        <v>2013</v>
      </c>
      <c r="AB11" s="107">
        <v>2014</v>
      </c>
      <c r="AC11" s="107">
        <v>2015</v>
      </c>
      <c r="AD11" s="107">
        <v>2016</v>
      </c>
      <c r="AE11" s="107">
        <v>2017</v>
      </c>
      <c r="AF11" s="107">
        <v>2018</v>
      </c>
      <c r="AG11" s="107">
        <v>2019</v>
      </c>
      <c r="AH11" s="107">
        <v>2020</v>
      </c>
      <c r="AI11" s="107">
        <v>2021</v>
      </c>
      <c r="AJ11" s="107">
        <v>2022</v>
      </c>
      <c r="AK11" s="107">
        <v>2023</v>
      </c>
    </row>
    <row r="12" spans="1:38" ht="15.75" customHeight="1">
      <c r="A12" s="103"/>
      <c r="B12" s="950" t="s">
        <v>130</v>
      </c>
      <c r="C12" s="950"/>
      <c r="D12" s="375">
        <f t="shared" ref="D12:AG12" si="8">D13+D14</f>
        <v>74622.647550824258</v>
      </c>
      <c r="E12" s="375">
        <f t="shared" si="8"/>
        <v>73749.418158794055</v>
      </c>
      <c r="F12" s="375">
        <f t="shared" si="8"/>
        <v>73224.641856143862</v>
      </c>
      <c r="G12" s="375">
        <f t="shared" si="8"/>
        <v>70091.127444702652</v>
      </c>
      <c r="H12" s="375">
        <f t="shared" si="8"/>
        <v>67836.148913322322</v>
      </c>
      <c r="I12" s="375">
        <f t="shared" si="8"/>
        <v>66479.254981707534</v>
      </c>
      <c r="J12" s="375">
        <f t="shared" si="8"/>
        <v>63343.094659266557</v>
      </c>
      <c r="K12" s="375">
        <f t="shared" si="8"/>
        <v>61293.589733338442</v>
      </c>
      <c r="L12" s="375">
        <f t="shared" si="8"/>
        <v>58926.052869070241</v>
      </c>
      <c r="M12" s="375">
        <f t="shared" si="8"/>
        <v>56568.790709343455</v>
      </c>
      <c r="N12" s="375">
        <f t="shared" si="8"/>
        <v>55051.103236058734</v>
      </c>
      <c r="O12" s="375">
        <f t="shared" si="8"/>
        <v>52252.382939358569</v>
      </c>
      <c r="P12" s="375">
        <f t="shared" si="8"/>
        <v>50761.174391651839</v>
      </c>
      <c r="Q12" s="375">
        <f t="shared" si="8"/>
        <v>48656.409762972442</v>
      </c>
      <c r="R12" s="375">
        <f t="shared" si="8"/>
        <v>48047.960663900019</v>
      </c>
      <c r="S12" s="375">
        <f t="shared" si="8"/>
        <v>44337.310601605037</v>
      </c>
      <c r="T12" s="375">
        <f t="shared" si="8"/>
        <v>42763.59989800246</v>
      </c>
      <c r="U12" s="375">
        <f t="shared" si="8"/>
        <v>41033.86822497785</v>
      </c>
      <c r="V12" s="375">
        <f t="shared" si="8"/>
        <v>40096.49723752436</v>
      </c>
      <c r="W12" s="375">
        <f t="shared" si="8"/>
        <v>38083.454251699273</v>
      </c>
      <c r="X12" s="375">
        <f t="shared" si="8"/>
        <v>37925.785145460984</v>
      </c>
      <c r="Y12" s="375">
        <f t="shared" si="8"/>
        <v>31946.794576752636</v>
      </c>
      <c r="Z12" s="375">
        <f t="shared" si="8"/>
        <v>31935.092140353474</v>
      </c>
      <c r="AA12" s="375">
        <f t="shared" si="8"/>
        <v>31339.217630131618</v>
      </c>
      <c r="AB12" s="375">
        <f t="shared" si="8"/>
        <v>30350.01961480952</v>
      </c>
      <c r="AC12" s="375">
        <f t="shared" si="8"/>
        <v>31239.644935603523</v>
      </c>
      <c r="AD12" s="375">
        <f t="shared" si="8"/>
        <v>30424.424543678084</v>
      </c>
      <c r="AE12" s="375">
        <f t="shared" si="8"/>
        <v>29370.472875191525</v>
      </c>
      <c r="AF12" s="375">
        <f t="shared" si="8"/>
        <v>28764.871262985238</v>
      </c>
      <c r="AG12" s="375">
        <f t="shared" si="8"/>
        <v>28523.376035004578</v>
      </c>
      <c r="AH12" s="375">
        <f t="shared" ref="AH12:AI12" si="9">AH13+AH14</f>
        <v>29590.736178546882</v>
      </c>
      <c r="AI12" s="375">
        <f t="shared" si="9"/>
        <v>28584.866520235697</v>
      </c>
      <c r="AJ12" s="375">
        <f t="shared" ref="AJ12:AK12" si="10">AJ13+AJ14</f>
        <v>29306.970600357843</v>
      </c>
      <c r="AK12" s="1265">
        <f t="shared" si="10"/>
        <v>12257.028359254666</v>
      </c>
      <c r="AL12" s="968"/>
    </row>
    <row r="13" spans="1:38" ht="15.75" customHeight="1">
      <c r="A13" s="103"/>
      <c r="B13" s="94" t="s">
        <v>217</v>
      </c>
      <c r="C13" s="94"/>
      <c r="D13" s="375">
        <f>'NG Transmission &amp; Storage'!D121</f>
        <v>6777.1208505469367</v>
      </c>
      <c r="E13" s="375">
        <f>'NG Transmission &amp; Storage'!E121</f>
        <v>6702.4360703729071</v>
      </c>
      <c r="F13" s="375">
        <f>'NG Transmission &amp; Storage'!F121</f>
        <v>6702.7463218868488</v>
      </c>
      <c r="G13" s="375">
        <f>'NG Transmission &amp; Storage'!G121</f>
        <v>6622.0259926018662</v>
      </c>
      <c r="H13" s="375">
        <f>'NG Transmission &amp; Storage'!H121</f>
        <v>6543.6225116966325</v>
      </c>
      <c r="I13" s="375">
        <f>'NG Transmission &amp; Storage'!I121</f>
        <v>6460.7807639301273</v>
      </c>
      <c r="J13" s="375">
        <f>'NG Transmission &amp; Storage'!J121</f>
        <v>6392.2130579681834</v>
      </c>
      <c r="K13" s="375">
        <f>'NG Transmission &amp; Storage'!K121</f>
        <v>6311.7712749475386</v>
      </c>
      <c r="L13" s="375">
        <f>'NG Transmission &amp; Storage'!L121</f>
        <v>6234.6644437685009</v>
      </c>
      <c r="M13" s="375">
        <f>'NG Transmission &amp; Storage'!M121</f>
        <v>6163.1724360342942</v>
      </c>
      <c r="N13" s="375">
        <f>'NG Transmission &amp; Storage'!N121</f>
        <v>6171.9966313205514</v>
      </c>
      <c r="O13" s="375">
        <f>'NG Transmission &amp; Storage'!O121</f>
        <v>6113.6432155677339</v>
      </c>
      <c r="P13" s="375">
        <f>'NG Transmission &amp; Storage'!P121</f>
        <v>6043.8428433093741</v>
      </c>
      <c r="Q13" s="375">
        <f>'NG Transmission &amp; Storage'!Q121</f>
        <v>5950.8579446587619</v>
      </c>
      <c r="R13" s="375">
        <f>'NG Transmission &amp; Storage'!R121</f>
        <v>5900.3348196730731</v>
      </c>
      <c r="S13" s="375">
        <f>'NG Transmission &amp; Storage'!S121</f>
        <v>5828.5619539441441</v>
      </c>
      <c r="T13" s="375">
        <f>'NG Transmission &amp; Storage'!T121</f>
        <v>5725.093727007963</v>
      </c>
      <c r="U13" s="375">
        <f>'NG Transmission &amp; Storage'!U121</f>
        <v>5672.3781995177087</v>
      </c>
      <c r="V13" s="375">
        <f>'NG Transmission &amp; Storage'!V121</f>
        <v>6787.0092277042331</v>
      </c>
      <c r="W13" s="375">
        <f>'NG Transmission &amp; Storage'!W121</f>
        <v>6714.096350924121</v>
      </c>
      <c r="X13" s="375">
        <f>'NG Transmission &amp; Storage'!X121</f>
        <v>7846.0692815139282</v>
      </c>
      <c r="Y13" s="375">
        <f>'NG Transmission &amp; Storage'!Y121</f>
        <v>4024.7117232779447</v>
      </c>
      <c r="Z13" s="375">
        <f>'NG Transmission &amp; Storage'!Z121</f>
        <v>4210.339741450799</v>
      </c>
      <c r="AA13" s="375">
        <f>'NG Transmission &amp; Storage'!AA121</f>
        <v>4213.2504213829188</v>
      </c>
      <c r="AB13" s="375">
        <f>'NG Transmission &amp; Storage'!AB121</f>
        <v>4159.8584056456657</v>
      </c>
      <c r="AC13" s="375">
        <f>'NG Transmission &amp; Storage'!AC121</f>
        <v>4931.5626047632941</v>
      </c>
      <c r="AD13" s="375">
        <f>'NG Transmission &amp; Storage'!AD121</f>
        <v>4275.6587358786246</v>
      </c>
      <c r="AE13" s="375">
        <f>'NG Transmission &amp; Storage'!AE121</f>
        <v>2719.3863986468723</v>
      </c>
      <c r="AF13" s="375">
        <f>'NG Transmission &amp; Storage'!AF121</f>
        <v>2618.2598772730216</v>
      </c>
      <c r="AG13" s="375">
        <f>'NG Transmission &amp; Storage'!AG121</f>
        <v>2913.7184148183678</v>
      </c>
      <c r="AH13" s="375">
        <f>'NG Transmission &amp; Storage'!AH121</f>
        <v>2847.0195224220838</v>
      </c>
      <c r="AI13" s="375">
        <f>'NG Transmission &amp; Storage'!AI121</f>
        <v>3545.017186810815</v>
      </c>
      <c r="AJ13" s="375">
        <f>'NG Transmission &amp; Storage'!AJ121</f>
        <v>3624.6364828621495</v>
      </c>
      <c r="AK13" s="1265">
        <f>'NG Transmission &amp; Storage'!AK121</f>
        <v>12.149878594849556</v>
      </c>
    </row>
    <row r="14" spans="1:38" ht="15.75" customHeight="1">
      <c r="A14" s="103"/>
      <c r="B14" s="94" t="s">
        <v>218</v>
      </c>
      <c r="C14" s="1313"/>
      <c r="D14" s="948">
        <f>D212*1000000</f>
        <v>67845.526700277318</v>
      </c>
      <c r="E14" s="948">
        <f>E212*1000000</f>
        <v>67046.982088421151</v>
      </c>
      <c r="F14" s="948">
        <f t="shared" ref="F14:AI14" si="11">F212*1000000</f>
        <v>66521.895534257012</v>
      </c>
      <c r="G14" s="948">
        <f t="shared" si="11"/>
        <v>63469.101452100789</v>
      </c>
      <c r="H14" s="948">
        <f t="shared" si="11"/>
        <v>61292.526401625684</v>
      </c>
      <c r="I14" s="948">
        <f t="shared" si="11"/>
        <v>60018.474217777402</v>
      </c>
      <c r="J14" s="948">
        <f t="shared" si="11"/>
        <v>56950.881601298373</v>
      </c>
      <c r="K14" s="948">
        <f t="shared" si="11"/>
        <v>54981.818458390902</v>
      </c>
      <c r="L14" s="948">
        <f t="shared" si="11"/>
        <v>52691.388425301739</v>
      </c>
      <c r="M14" s="948">
        <f t="shared" si="11"/>
        <v>50405.618273309163</v>
      </c>
      <c r="N14" s="948">
        <f t="shared" si="11"/>
        <v>48879.106604738183</v>
      </c>
      <c r="O14" s="948">
        <f t="shared" si="11"/>
        <v>46138.739723790837</v>
      </c>
      <c r="P14" s="948">
        <f t="shared" si="11"/>
        <v>44717.331548342467</v>
      </c>
      <c r="Q14" s="948">
        <f t="shared" si="11"/>
        <v>42705.551818313681</v>
      </c>
      <c r="R14" s="948">
        <f t="shared" si="11"/>
        <v>42147.625844226946</v>
      </c>
      <c r="S14" s="948">
        <f t="shared" si="11"/>
        <v>38508.74864766089</v>
      </c>
      <c r="T14" s="948">
        <f t="shared" si="11"/>
        <v>37038.5061709945</v>
      </c>
      <c r="U14" s="948">
        <f t="shared" si="11"/>
        <v>35361.490025460145</v>
      </c>
      <c r="V14" s="948">
        <f t="shared" si="11"/>
        <v>33309.488009820125</v>
      </c>
      <c r="W14" s="948">
        <f t="shared" si="11"/>
        <v>31369.35790077515</v>
      </c>
      <c r="X14" s="948">
        <f t="shared" si="11"/>
        <v>30079.715863947054</v>
      </c>
      <c r="Y14" s="948">
        <f t="shared" si="11"/>
        <v>27922.082853474691</v>
      </c>
      <c r="Z14" s="948">
        <f t="shared" si="11"/>
        <v>27724.752398902674</v>
      </c>
      <c r="AA14" s="948">
        <f t="shared" si="11"/>
        <v>27125.967208748698</v>
      </c>
      <c r="AB14" s="948">
        <f t="shared" si="11"/>
        <v>26190.161209163853</v>
      </c>
      <c r="AC14" s="948">
        <f t="shared" si="11"/>
        <v>26308.082330840229</v>
      </c>
      <c r="AD14" s="948">
        <f t="shared" si="11"/>
        <v>26148.76580779946</v>
      </c>
      <c r="AE14" s="948">
        <f t="shared" si="11"/>
        <v>26651.086476544653</v>
      </c>
      <c r="AF14" s="948">
        <f t="shared" si="11"/>
        <v>26146.611385712218</v>
      </c>
      <c r="AG14" s="948">
        <f t="shared" si="11"/>
        <v>25609.657620186212</v>
      </c>
      <c r="AH14" s="948">
        <f t="shared" si="11"/>
        <v>26743.716656124798</v>
      </c>
      <c r="AI14" s="123">
        <f t="shared" si="11"/>
        <v>25039.849333424881</v>
      </c>
      <c r="AJ14" s="123">
        <f t="shared" ref="AJ14:AK14" si="12">AJ212*1000000</f>
        <v>25682.334117495695</v>
      </c>
      <c r="AK14" s="949">
        <f t="shared" si="12"/>
        <v>12244.878480659816</v>
      </c>
      <c r="AL14" s="1215"/>
    </row>
    <row r="15" spans="1:38" ht="15.75" customHeight="1" thickBot="1">
      <c r="A15" s="103"/>
      <c r="B15" s="107"/>
      <c r="C15" s="107"/>
      <c r="D15" s="627"/>
      <c r="E15" s="627"/>
      <c r="F15" s="627"/>
      <c r="G15" s="627"/>
      <c r="H15" s="627"/>
      <c r="I15" s="627"/>
      <c r="J15" s="627"/>
      <c r="K15" s="627"/>
      <c r="L15" s="627"/>
      <c r="M15" s="627"/>
      <c r="N15" s="627"/>
      <c r="O15" s="627"/>
      <c r="P15" s="627"/>
      <c r="Q15" s="627"/>
      <c r="R15" s="627"/>
      <c r="S15" s="627"/>
      <c r="T15" s="627"/>
      <c r="U15" s="627"/>
      <c r="V15" s="627"/>
      <c r="W15" s="627"/>
      <c r="X15" s="1310">
        <f>X14*25/1000000</f>
        <v>0.7519928965986763</v>
      </c>
      <c r="Y15" s="627"/>
      <c r="Z15" s="627"/>
      <c r="AA15" s="627"/>
      <c r="AB15" s="627"/>
      <c r="AC15" s="627"/>
      <c r="AD15" s="627"/>
      <c r="AE15" s="627"/>
      <c r="AF15" s="627"/>
      <c r="AG15" s="627"/>
      <c r="AH15" s="627"/>
      <c r="AI15" s="627"/>
      <c r="AJ15" s="627"/>
      <c r="AK15" s="627"/>
    </row>
    <row r="16" spans="1:38" ht="15.75" customHeight="1" thickBot="1">
      <c r="A16" s="103"/>
      <c r="B16" s="107" t="s">
        <v>220</v>
      </c>
      <c r="C16" s="107"/>
      <c r="D16" s="107">
        <v>1990</v>
      </c>
      <c r="E16" s="108">
        <v>1991</v>
      </c>
      <c r="F16" s="108">
        <v>1992</v>
      </c>
      <c r="G16" s="107">
        <v>1993</v>
      </c>
      <c r="H16" s="107">
        <v>1994</v>
      </c>
      <c r="I16" s="107">
        <v>1995</v>
      </c>
      <c r="J16" s="107">
        <v>1996</v>
      </c>
      <c r="K16" s="107">
        <v>1997</v>
      </c>
      <c r="L16" s="107">
        <v>1998</v>
      </c>
      <c r="M16" s="107">
        <v>1999</v>
      </c>
      <c r="N16" s="107">
        <v>2000</v>
      </c>
      <c r="O16" s="107">
        <v>2001</v>
      </c>
      <c r="P16" s="107">
        <v>2002</v>
      </c>
      <c r="Q16" s="107">
        <v>2003</v>
      </c>
      <c r="R16" s="107">
        <v>2004</v>
      </c>
      <c r="S16" s="107">
        <v>2005</v>
      </c>
      <c r="T16" s="107">
        <v>2006</v>
      </c>
      <c r="U16" s="107">
        <v>2007</v>
      </c>
      <c r="V16" s="107">
        <v>2008</v>
      </c>
      <c r="W16" s="107">
        <v>2009</v>
      </c>
      <c r="X16" s="107">
        <v>2010</v>
      </c>
      <c r="Y16" s="107">
        <v>2011</v>
      </c>
      <c r="Z16" s="107">
        <v>2012</v>
      </c>
      <c r="AA16" s="107">
        <v>2013</v>
      </c>
      <c r="AB16" s="107">
        <v>2014</v>
      </c>
      <c r="AC16" s="107">
        <v>2015</v>
      </c>
      <c r="AD16" s="107">
        <v>2016</v>
      </c>
      <c r="AE16" s="107">
        <v>2017</v>
      </c>
      <c r="AF16" s="107">
        <v>2018</v>
      </c>
      <c r="AG16" s="107">
        <v>2019</v>
      </c>
      <c r="AH16" s="107">
        <v>2020</v>
      </c>
      <c r="AI16" s="107">
        <v>2021</v>
      </c>
      <c r="AJ16" s="107">
        <v>2022</v>
      </c>
      <c r="AK16" s="107">
        <v>2023</v>
      </c>
    </row>
    <row r="17" spans="1:38" ht="15.75" customHeight="1">
      <c r="A17" s="103"/>
      <c r="B17" s="950" t="s">
        <v>130</v>
      </c>
      <c r="C17" s="950"/>
      <c r="D17" s="375">
        <f t="shared" ref="D17:AH17" si="13">D18+D19</f>
        <v>2198.9370949961994</v>
      </c>
      <c r="E17" s="375">
        <f t="shared" si="13"/>
        <v>2178.7312764082899</v>
      </c>
      <c r="F17" s="375">
        <f t="shared" si="13"/>
        <v>2185.068420652824</v>
      </c>
      <c r="G17" s="375">
        <f t="shared" si="13"/>
        <v>2093.0323048996411</v>
      </c>
      <c r="H17" s="375">
        <f t="shared" si="13"/>
        <v>2038.3947151501927</v>
      </c>
      <c r="I17" s="375">
        <f t="shared" si="13"/>
        <v>2015.6471964635978</v>
      </c>
      <c r="J17" s="375">
        <f t="shared" si="13"/>
        <v>1904.2318503165218</v>
      </c>
      <c r="K17" s="375">
        <f t="shared" si="13"/>
        <v>1855.6057473257879</v>
      </c>
      <c r="L17" s="375">
        <f t="shared" si="13"/>
        <v>1770.4148299292581</v>
      </c>
      <c r="M17" s="375">
        <f t="shared" si="13"/>
        <v>1704.3116983818279</v>
      </c>
      <c r="N17" s="375">
        <f t="shared" si="13"/>
        <v>1653.3051334043091</v>
      </c>
      <c r="O17" s="375">
        <f t="shared" si="13"/>
        <v>1580.0379038467106</v>
      </c>
      <c r="P17" s="375">
        <f t="shared" si="13"/>
        <v>1561.0916602376988</v>
      </c>
      <c r="Q17" s="375">
        <f t="shared" si="13"/>
        <v>1499.9730344859277</v>
      </c>
      <c r="R17" s="375">
        <f t="shared" si="13"/>
        <v>1473.1415551401578</v>
      </c>
      <c r="S17" s="375">
        <f t="shared" si="13"/>
        <v>1362.9522237261006</v>
      </c>
      <c r="T17" s="375">
        <f t="shared" si="13"/>
        <v>1322.1675689663198</v>
      </c>
      <c r="U17" s="375">
        <f t="shared" si="13"/>
        <v>1282.102645815854</v>
      </c>
      <c r="V17" s="375">
        <f t="shared" si="13"/>
        <v>8177.9047410921357</v>
      </c>
      <c r="W17" s="375">
        <f t="shared" si="13"/>
        <v>8110.4981026771939</v>
      </c>
      <c r="X17" s="375">
        <f t="shared" si="13"/>
        <v>15079.101444093609</v>
      </c>
      <c r="Y17" s="375">
        <f t="shared" si="13"/>
        <v>1005.5276268211226</v>
      </c>
      <c r="Z17" s="375">
        <f t="shared" si="13"/>
        <v>991.015258133114</v>
      </c>
      <c r="AA17" s="375">
        <f t="shared" si="13"/>
        <v>956.97322592390128</v>
      </c>
      <c r="AB17" s="375">
        <f t="shared" si="13"/>
        <v>904.22596618702948</v>
      </c>
      <c r="AC17" s="375">
        <f t="shared" si="13"/>
        <v>7885.5975168472978</v>
      </c>
      <c r="AD17" s="375">
        <f t="shared" si="13"/>
        <v>7866.3456064307748</v>
      </c>
      <c r="AE17" s="375">
        <f t="shared" si="13"/>
        <v>872.42206255701069</v>
      </c>
      <c r="AF17" s="375">
        <f t="shared" si="13"/>
        <v>832.12412862567624</v>
      </c>
      <c r="AG17" s="375">
        <f t="shared" si="13"/>
        <v>3288.3273365786681</v>
      </c>
      <c r="AH17" s="375">
        <f t="shared" si="13"/>
        <v>819.08569682581629</v>
      </c>
      <c r="AI17" s="375">
        <f t="shared" ref="AI17:AJ17" si="14">AI18+AI19</f>
        <v>789.09455992389906</v>
      </c>
      <c r="AJ17" s="375">
        <f t="shared" si="14"/>
        <v>1502.8037510738832</v>
      </c>
      <c r="AK17" s="1265">
        <f t="shared" ref="AK17" si="15">AK18+AK19</f>
        <v>456.04480594632628</v>
      </c>
      <c r="AL17" s="968"/>
    </row>
    <row r="18" spans="1:38" ht="15.75" customHeight="1">
      <c r="A18" s="103"/>
      <c r="B18" s="94" t="s">
        <v>217</v>
      </c>
      <c r="C18" s="94"/>
      <c r="D18" s="375">
        <f>'NG Transmission &amp; Storage'!D210</f>
        <v>219.95996695924646</v>
      </c>
      <c r="E18" s="375">
        <f>'NG Transmission &amp; Storage'!E210</f>
        <v>216.43311724832637</v>
      </c>
      <c r="F18" s="375">
        <f>'NG Transmission &amp; Storage'!F210</f>
        <v>216.44209124324075</v>
      </c>
      <c r="G18" s="375">
        <f>'NG Transmission &amp; Storage'!G210</f>
        <v>214.50973975910378</v>
      </c>
      <c r="H18" s="375">
        <f>'NG Transmission &amp; Storage'!H210</f>
        <v>212.52892870242934</v>
      </c>
      <c r="I18" s="375">
        <f>'NG Transmission &amp; Storage'!I210</f>
        <v>210.51401646508046</v>
      </c>
      <c r="J18" s="375">
        <f>'NG Transmission &amp; Storage'!J210</f>
        <v>208.89575480294565</v>
      </c>
      <c r="K18" s="375">
        <f>'NG Transmission &amp; Storage'!K210</f>
        <v>206.84674138492218</v>
      </c>
      <c r="L18" s="375">
        <f>'NG Transmission &amp; Storage'!L210</f>
        <v>204.96643907128845</v>
      </c>
      <c r="M18" s="375">
        <f>'NG Transmission &amp; Storage'!M210</f>
        <v>203.21965394886618</v>
      </c>
      <c r="N18" s="375">
        <f>'NG Transmission &amp; Storage'!N210</f>
        <v>204.14741419448302</v>
      </c>
      <c r="O18" s="375">
        <f>'NG Transmission &amp; Storage'!O210</f>
        <v>202.90535825227172</v>
      </c>
      <c r="P18" s="375">
        <f>'NG Transmission &amp; Storage'!P210</f>
        <v>201.12610312137352</v>
      </c>
      <c r="Q18" s="375">
        <f>'NG Transmission &amp; Storage'!Q210</f>
        <v>199.04216291514339</v>
      </c>
      <c r="R18" s="375">
        <f>'NG Transmission &amp; Storage'!R210</f>
        <v>197.81186500114566</v>
      </c>
      <c r="S18" s="375">
        <f>'NG Transmission &amp; Storage'!S210</f>
        <v>195.85546321063825</v>
      </c>
      <c r="T18" s="375">
        <f>'NG Transmission &amp; Storage'!T210</f>
        <v>193.70558208977752</v>
      </c>
      <c r="U18" s="375">
        <f>'NG Transmission &amp; Storage'!U210</f>
        <v>191.97299173243397</v>
      </c>
      <c r="V18" s="375">
        <f>'NG Transmission &amp; Storage'!V210</f>
        <v>7169.9457794726814</v>
      </c>
      <c r="W18" s="375">
        <f>'NG Transmission &amp; Storage'!W210</f>
        <v>7167.9762756495984</v>
      </c>
      <c r="X18" s="375">
        <f>'NG Transmission &amp; Storage'!X210</f>
        <v>14146.163721348197</v>
      </c>
      <c r="Y18" s="375">
        <f>'NG Transmission &amp; Storage'!Y210</f>
        <v>132.20253348111504</v>
      </c>
      <c r="Z18" s="375">
        <f>'NG Transmission &amp; Storage'!Z210</f>
        <v>137.88009051345097</v>
      </c>
      <c r="AA18" s="375">
        <f>'NG Transmission &amp; Storage'!AA210</f>
        <v>137.04460885201206</v>
      </c>
      <c r="AB18" s="375">
        <f>'NG Transmission &amp; Storage'!AB210</f>
        <v>126.33977651019531</v>
      </c>
      <c r="AC18" s="375">
        <f>'NG Transmission &amp; Storage'!AC210</f>
        <v>7092.3535057105619</v>
      </c>
      <c r="AD18" s="375">
        <f>'NG Transmission &amp; Storage'!AD210</f>
        <v>7079.5461416519374</v>
      </c>
      <c r="AE18" s="375">
        <f>'NG Transmission &amp; Storage'!AE210</f>
        <v>91.574136913963443</v>
      </c>
      <c r="AF18" s="375">
        <f>'NG Transmission &amp; Storage'!AF210</f>
        <v>88.446804670099255</v>
      </c>
      <c r="AG18" s="375">
        <f>'NG Transmission &amp; Storage'!AG210</f>
        <v>2578.6948199475669</v>
      </c>
      <c r="AH18" s="375">
        <f>'NG Transmission &amp; Storage'!AH210</f>
        <v>89.13571510539731</v>
      </c>
      <c r="AI18" s="375">
        <f>'NG Transmission &amp; Storage'!AI210</f>
        <v>100.21457779978491</v>
      </c>
      <c r="AJ18" s="375">
        <f>'NG Transmission &amp; Storage'!AJ210</f>
        <v>791.74725379678114</v>
      </c>
      <c r="AK18" s="1265">
        <f>'NG Transmission &amp; Storage'!AK210</f>
        <v>0</v>
      </c>
      <c r="AL18" s="1216"/>
    </row>
    <row r="19" spans="1:38" ht="15.75" customHeight="1">
      <c r="A19" s="103"/>
      <c r="B19" s="94" t="s">
        <v>218</v>
      </c>
      <c r="C19" s="1313"/>
      <c r="D19" s="948">
        <f>D333</f>
        <v>1978.9771280369528</v>
      </c>
      <c r="E19" s="948">
        <f>E333</f>
        <v>1962.2981591599637</v>
      </c>
      <c r="F19" s="948">
        <f t="shared" ref="F19:AI19" si="16">F333</f>
        <v>1968.6263294095834</v>
      </c>
      <c r="G19" s="948">
        <f t="shared" si="16"/>
        <v>1878.5225651405374</v>
      </c>
      <c r="H19" s="948">
        <f t="shared" si="16"/>
        <v>1825.8657864477634</v>
      </c>
      <c r="I19" s="948">
        <f t="shared" si="16"/>
        <v>1805.1331799985173</v>
      </c>
      <c r="J19" s="948">
        <f t="shared" si="16"/>
        <v>1695.3360955135761</v>
      </c>
      <c r="K19" s="948">
        <f t="shared" si="16"/>
        <v>1648.7590059408658</v>
      </c>
      <c r="L19" s="948">
        <f t="shared" si="16"/>
        <v>1565.4483908579696</v>
      </c>
      <c r="M19" s="948">
        <f t="shared" si="16"/>
        <v>1501.0920444329618</v>
      </c>
      <c r="N19" s="948">
        <f t="shared" si="16"/>
        <v>1449.1577192098262</v>
      </c>
      <c r="O19" s="948">
        <f t="shared" si="16"/>
        <v>1377.1325455944389</v>
      </c>
      <c r="P19" s="948">
        <f t="shared" si="16"/>
        <v>1359.9655571163253</v>
      </c>
      <c r="Q19" s="948">
        <f t="shared" si="16"/>
        <v>1300.9308715707843</v>
      </c>
      <c r="R19" s="948">
        <f t="shared" si="16"/>
        <v>1275.3296901390122</v>
      </c>
      <c r="S19" s="948">
        <f t="shared" si="16"/>
        <v>1167.0967605154624</v>
      </c>
      <c r="T19" s="948">
        <f t="shared" si="16"/>
        <v>1128.4619868765421</v>
      </c>
      <c r="U19" s="948">
        <f t="shared" si="16"/>
        <v>1090.1296540834201</v>
      </c>
      <c r="V19" s="948">
        <f t="shared" si="16"/>
        <v>1007.9589616194544</v>
      </c>
      <c r="W19" s="948">
        <f t="shared" si="16"/>
        <v>942.52182702759546</v>
      </c>
      <c r="X19" s="948">
        <f t="shared" si="16"/>
        <v>932.93772274541209</v>
      </c>
      <c r="Y19" s="948">
        <f t="shared" si="16"/>
        <v>873.32509334000747</v>
      </c>
      <c r="Z19" s="948">
        <f t="shared" si="16"/>
        <v>853.13516761966298</v>
      </c>
      <c r="AA19" s="948">
        <f t="shared" si="16"/>
        <v>819.92861707188922</v>
      </c>
      <c r="AB19" s="948">
        <f t="shared" si="16"/>
        <v>777.88618967683419</v>
      </c>
      <c r="AC19" s="948">
        <f t="shared" si="16"/>
        <v>793.24401113673593</v>
      </c>
      <c r="AD19" s="948">
        <f t="shared" si="16"/>
        <v>786.79946477883709</v>
      </c>
      <c r="AE19" s="948">
        <f t="shared" si="16"/>
        <v>780.84792564304723</v>
      </c>
      <c r="AF19" s="948">
        <f t="shared" si="16"/>
        <v>743.67732395557698</v>
      </c>
      <c r="AG19" s="948">
        <f t="shared" si="16"/>
        <v>709.63251663110111</v>
      </c>
      <c r="AH19" s="948">
        <f t="shared" si="16"/>
        <v>729.94998172041903</v>
      </c>
      <c r="AI19" s="123">
        <f t="shared" si="16"/>
        <v>688.87998212411412</v>
      </c>
      <c r="AJ19" s="123">
        <f t="shared" ref="AJ19:AK19" si="17">AJ333</f>
        <v>711.05649727710193</v>
      </c>
      <c r="AK19" s="949">
        <f t="shared" si="17"/>
        <v>456.04480594632628</v>
      </c>
      <c r="AL19" s="1216"/>
    </row>
    <row r="20" spans="1:38" ht="15.75" customHeight="1" thickBot="1">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311"/>
      <c r="AE20" s="1311"/>
      <c r="AF20" s="1311"/>
      <c r="AG20" s="1311"/>
      <c r="AH20" s="1311"/>
      <c r="AI20" s="1311"/>
      <c r="AJ20" s="1311"/>
      <c r="AK20" s="1311"/>
    </row>
    <row r="21" spans="1:38" ht="25" customHeight="1">
      <c r="B21" s="89" t="s">
        <v>221</v>
      </c>
      <c r="D21" s="1546"/>
      <c r="X21" s="626"/>
    </row>
    <row r="22" spans="1:38" ht="15" thickBot="1">
      <c r="D22" s="619"/>
      <c r="E22" s="619"/>
      <c r="F22" s="619"/>
      <c r="L22" s="341"/>
    </row>
    <row r="23" spans="1:38" ht="21.5" thickBot="1">
      <c r="B23" s="1758" t="s">
        <v>222</v>
      </c>
      <c r="C23" s="1759"/>
      <c r="D23" s="1760"/>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row>
    <row r="24" spans="1:38">
      <c r="B24" s="620" t="s">
        <v>223</v>
      </c>
      <c r="C24" s="992"/>
      <c r="D24" s="992">
        <v>1990</v>
      </c>
      <c r="E24" s="992">
        <f>D24+1</f>
        <v>1991</v>
      </c>
      <c r="F24" s="992">
        <f t="shared" ref="F24:AK24" si="18">E24+1</f>
        <v>1992</v>
      </c>
      <c r="G24" s="992">
        <f t="shared" si="18"/>
        <v>1993</v>
      </c>
      <c r="H24" s="992">
        <f t="shared" si="18"/>
        <v>1994</v>
      </c>
      <c r="I24" s="992">
        <f t="shared" si="18"/>
        <v>1995</v>
      </c>
      <c r="J24" s="992">
        <f t="shared" si="18"/>
        <v>1996</v>
      </c>
      <c r="K24" s="992">
        <f t="shared" si="18"/>
        <v>1997</v>
      </c>
      <c r="L24" s="992">
        <f t="shared" si="18"/>
        <v>1998</v>
      </c>
      <c r="M24" s="992">
        <f t="shared" si="18"/>
        <v>1999</v>
      </c>
      <c r="N24" s="992">
        <f t="shared" si="18"/>
        <v>2000</v>
      </c>
      <c r="O24" s="992">
        <f t="shared" si="18"/>
        <v>2001</v>
      </c>
      <c r="P24" s="992">
        <f t="shared" si="18"/>
        <v>2002</v>
      </c>
      <c r="Q24" s="992">
        <f t="shared" si="18"/>
        <v>2003</v>
      </c>
      <c r="R24" s="992">
        <f t="shared" si="18"/>
        <v>2004</v>
      </c>
      <c r="S24" s="992">
        <f t="shared" si="18"/>
        <v>2005</v>
      </c>
      <c r="T24" s="992">
        <f t="shared" si="18"/>
        <v>2006</v>
      </c>
      <c r="U24" s="992">
        <f t="shared" si="18"/>
        <v>2007</v>
      </c>
      <c r="V24" s="992">
        <f t="shared" si="18"/>
        <v>2008</v>
      </c>
      <c r="W24" s="992">
        <f t="shared" si="18"/>
        <v>2009</v>
      </c>
      <c r="X24" s="992">
        <f t="shared" si="18"/>
        <v>2010</v>
      </c>
      <c r="Y24" s="992">
        <f t="shared" si="18"/>
        <v>2011</v>
      </c>
      <c r="Z24" s="992">
        <f t="shared" si="18"/>
        <v>2012</v>
      </c>
      <c r="AA24" s="992">
        <f t="shared" si="18"/>
        <v>2013</v>
      </c>
      <c r="AB24" s="992">
        <f t="shared" si="18"/>
        <v>2014</v>
      </c>
      <c r="AC24" s="992">
        <f t="shared" si="18"/>
        <v>2015</v>
      </c>
      <c r="AD24" s="992">
        <f t="shared" si="18"/>
        <v>2016</v>
      </c>
      <c r="AE24" s="992">
        <f t="shared" si="18"/>
        <v>2017</v>
      </c>
      <c r="AF24" s="992">
        <f t="shared" si="18"/>
        <v>2018</v>
      </c>
      <c r="AG24" s="992">
        <f t="shared" si="18"/>
        <v>2019</v>
      </c>
      <c r="AH24" s="992">
        <f t="shared" si="18"/>
        <v>2020</v>
      </c>
      <c r="AI24" s="992">
        <f t="shared" si="18"/>
        <v>2021</v>
      </c>
      <c r="AJ24" s="992">
        <f t="shared" si="18"/>
        <v>2022</v>
      </c>
      <c r="AK24" s="992">
        <f t="shared" si="18"/>
        <v>2023</v>
      </c>
    </row>
    <row r="25" spans="1:38">
      <c r="B25" s="562" t="s">
        <v>224</v>
      </c>
      <c r="D25" s="8">
        <v>2784</v>
      </c>
      <c r="E25" s="8">
        <v>2737</v>
      </c>
      <c r="F25" s="8">
        <v>2648</v>
      </c>
      <c r="G25" s="8">
        <v>2588</v>
      </c>
      <c r="H25" s="8">
        <v>2529</v>
      </c>
      <c r="I25" s="8">
        <v>2481</v>
      </c>
      <c r="J25" s="8">
        <v>2436</v>
      </c>
      <c r="K25" s="8">
        <v>2393.5</v>
      </c>
      <c r="L25" s="8">
        <v>2349</v>
      </c>
      <c r="M25" s="8">
        <v>2329</v>
      </c>
      <c r="N25" s="8">
        <v>2603.5</v>
      </c>
      <c r="O25" s="8">
        <v>2398</v>
      </c>
      <c r="P25" s="8">
        <v>2421</v>
      </c>
      <c r="Q25" s="8">
        <v>2329</v>
      </c>
      <c r="R25" s="8">
        <v>2271.9870000000001</v>
      </c>
      <c r="S25" s="8">
        <v>2174.9859999999999</v>
      </c>
      <c r="T25" s="8">
        <v>2125.0189999999998</v>
      </c>
      <c r="U25" s="8">
        <v>2054.0549999999998</v>
      </c>
      <c r="V25" s="8">
        <v>1988.9559999999999</v>
      </c>
      <c r="W25" s="8">
        <v>1913.8189999999997</v>
      </c>
      <c r="X25" s="8">
        <v>1839.1949999999997</v>
      </c>
      <c r="Y25" s="8">
        <v>1746.3110000000001</v>
      </c>
      <c r="Z25" s="8">
        <v>1622.2090000000001</v>
      </c>
      <c r="AA25" s="8">
        <v>1538.5670000000002</v>
      </c>
      <c r="AB25" s="8">
        <v>1487.05</v>
      </c>
      <c r="AC25" s="8">
        <v>1417.8520000000003</v>
      </c>
      <c r="AD25" s="8">
        <v>1317.1020000000001</v>
      </c>
      <c r="AE25" s="8">
        <v>1206.0239999999999</v>
      </c>
      <c r="AF25" s="8">
        <v>1145.8670000000002</v>
      </c>
      <c r="AG25" s="8">
        <v>1077.4349999999999</v>
      </c>
      <c r="AH25" s="8">
        <v>1011.423</v>
      </c>
      <c r="AI25" s="640">
        <v>934.69400000000007</v>
      </c>
      <c r="AJ25" s="1111">
        <v>931.7120000000001</v>
      </c>
      <c r="AK25" s="1111">
        <v>848.0619999999999</v>
      </c>
    </row>
    <row r="26" spans="1:38">
      <c r="B26" s="565" t="s">
        <v>225</v>
      </c>
      <c r="D26" s="8">
        <v>2888</v>
      </c>
      <c r="E26" s="8">
        <v>2806</v>
      </c>
      <c r="F26" s="8">
        <v>2754</v>
      </c>
      <c r="G26" s="8">
        <v>2669</v>
      </c>
      <c r="H26" s="8">
        <v>2580</v>
      </c>
      <c r="I26" s="8">
        <v>2512</v>
      </c>
      <c r="J26" s="8">
        <v>2351</v>
      </c>
      <c r="K26" s="8">
        <v>2312.5</v>
      </c>
      <c r="L26" s="8">
        <v>2252.5</v>
      </c>
      <c r="M26" s="8">
        <v>2173</v>
      </c>
      <c r="N26" s="8">
        <v>2118</v>
      </c>
      <c r="O26" s="8">
        <v>1637</v>
      </c>
      <c r="P26" s="8">
        <v>1425</v>
      </c>
      <c r="Q26" s="8">
        <v>1256.3333333333333</v>
      </c>
      <c r="R26" s="8">
        <v>1233.9366666666667</v>
      </c>
      <c r="S26" s="8">
        <v>1015.2810000000001</v>
      </c>
      <c r="T26" s="8">
        <v>1510.3520000000001</v>
      </c>
      <c r="U26" s="8">
        <v>1410.135</v>
      </c>
      <c r="V26" s="8">
        <v>1376.232</v>
      </c>
      <c r="W26" s="8">
        <v>1318.5780000000002</v>
      </c>
      <c r="X26" s="8">
        <v>1241.2710000000002</v>
      </c>
      <c r="Y26" s="8">
        <v>1160.97</v>
      </c>
      <c r="Z26" s="8">
        <v>1162.8399999999999</v>
      </c>
      <c r="AA26" s="8">
        <v>1149.636</v>
      </c>
      <c r="AB26" s="8">
        <v>1116.9070000000002</v>
      </c>
      <c r="AC26" s="8">
        <v>1113.386</v>
      </c>
      <c r="AD26" s="8">
        <v>1091.992</v>
      </c>
      <c r="AE26" s="8">
        <v>1045.3530000000001</v>
      </c>
      <c r="AF26" s="8">
        <v>1011.107</v>
      </c>
      <c r="AG26" s="8">
        <v>978.54300000000012</v>
      </c>
      <c r="AH26" s="8">
        <v>959.04899999999998</v>
      </c>
      <c r="AI26" s="640">
        <v>911.46399999999994</v>
      </c>
      <c r="AJ26" s="1111">
        <v>897.91599999999994</v>
      </c>
      <c r="AK26" s="1111">
        <v>866.52799999999991</v>
      </c>
    </row>
    <row r="27" spans="1:38">
      <c r="B27" s="565" t="s">
        <v>226</v>
      </c>
      <c r="D27" s="8">
        <v>53</v>
      </c>
      <c r="E27" s="8">
        <v>52</v>
      </c>
      <c r="F27" s="8">
        <v>52</v>
      </c>
      <c r="G27" s="8">
        <v>52</v>
      </c>
      <c r="H27" s="8">
        <v>50</v>
      </c>
      <c r="I27" s="8">
        <v>50</v>
      </c>
      <c r="J27" s="8">
        <v>50</v>
      </c>
      <c r="K27" s="8">
        <v>50</v>
      </c>
      <c r="L27" s="8">
        <v>50</v>
      </c>
      <c r="M27" s="8">
        <v>48</v>
      </c>
      <c r="N27" s="8">
        <v>48</v>
      </c>
      <c r="O27" s="8">
        <v>225</v>
      </c>
      <c r="P27" s="8">
        <v>255</v>
      </c>
      <c r="Q27" s="8">
        <v>235</v>
      </c>
      <c r="R27" s="8">
        <v>240.79999999999998</v>
      </c>
      <c r="S27" s="8">
        <v>242.47</v>
      </c>
      <c r="T27" s="8">
        <v>198.40800000000002</v>
      </c>
      <c r="U27" s="8">
        <v>198.09100000000001</v>
      </c>
      <c r="V27" s="8">
        <v>191.47200000000001</v>
      </c>
      <c r="W27" s="8">
        <v>188.91399999999999</v>
      </c>
      <c r="X27" s="8">
        <v>165.92699999999999</v>
      </c>
      <c r="Y27" s="8">
        <v>155.69699999999997</v>
      </c>
      <c r="Z27" s="8">
        <v>157.58000000000001</v>
      </c>
      <c r="AA27" s="8">
        <v>159.25200000000001</v>
      </c>
      <c r="AB27" s="8">
        <v>151.28700000000001</v>
      </c>
      <c r="AC27" s="8">
        <v>148.55199999999999</v>
      </c>
      <c r="AD27" s="8">
        <v>144.97399999999999</v>
      </c>
      <c r="AE27" s="8">
        <v>143.11500000000001</v>
      </c>
      <c r="AF27" s="8">
        <v>142.08099999999999</v>
      </c>
      <c r="AG27" s="8">
        <v>140.32300000000001</v>
      </c>
      <c r="AH27" s="8">
        <v>138.964</v>
      </c>
      <c r="AI27" s="640">
        <v>133.476</v>
      </c>
      <c r="AJ27" s="1111">
        <v>0</v>
      </c>
      <c r="AK27" s="1111">
        <v>0</v>
      </c>
    </row>
    <row r="28" spans="1:38">
      <c r="B28" s="565" t="s">
        <v>227</v>
      </c>
      <c r="D28" s="8">
        <v>4345</v>
      </c>
      <c r="E28" s="8">
        <v>4335</v>
      </c>
      <c r="F28" s="8">
        <v>4531.5</v>
      </c>
      <c r="G28" s="8">
        <v>4641</v>
      </c>
      <c r="H28" s="8">
        <v>4737</v>
      </c>
      <c r="I28" s="8">
        <v>4816</v>
      </c>
      <c r="J28" s="8">
        <v>4984</v>
      </c>
      <c r="K28" s="8">
        <v>5031.5</v>
      </c>
      <c r="L28" s="8">
        <v>5104.5</v>
      </c>
      <c r="M28" s="8">
        <v>5174</v>
      </c>
      <c r="N28" s="8">
        <v>4911</v>
      </c>
      <c r="O28" s="8">
        <v>5391</v>
      </c>
      <c r="P28" s="8">
        <v>5495</v>
      </c>
      <c r="Q28" s="8">
        <v>5717.9666666666672</v>
      </c>
      <c r="R28" s="8">
        <v>5764.333333333333</v>
      </c>
      <c r="S28" s="8">
        <v>5982.8640000000005</v>
      </c>
      <c r="T28" s="8">
        <v>5429.8910000000005</v>
      </c>
      <c r="U28" s="8">
        <v>5530.1380000000008</v>
      </c>
      <c r="V28" s="8">
        <v>5569.3809999999994</v>
      </c>
      <c r="W28" s="8">
        <v>5635.1399999999985</v>
      </c>
      <c r="X28" s="8">
        <v>5743.9079999999994</v>
      </c>
      <c r="Y28" s="8">
        <v>5791.3860000000004</v>
      </c>
      <c r="Z28" s="8">
        <v>5767.6239999999998</v>
      </c>
      <c r="AA28" s="8">
        <v>5745.0240000000003</v>
      </c>
      <c r="AB28" s="8">
        <v>5845.0329999999994</v>
      </c>
      <c r="AC28" s="8">
        <v>5790.0969999999979</v>
      </c>
      <c r="AD28" s="8">
        <v>5781.018</v>
      </c>
      <c r="AE28" s="8">
        <v>5755.134</v>
      </c>
      <c r="AF28" s="8">
        <v>5746.6629999999986</v>
      </c>
      <c r="AG28" s="6">
        <v>5731.9160000000002</v>
      </c>
      <c r="AH28" s="6">
        <v>5714.6039999999994</v>
      </c>
      <c r="AI28" s="640">
        <v>5696.9069999999992</v>
      </c>
      <c r="AJ28" s="1111">
        <v>5754.6399999999994</v>
      </c>
      <c r="AK28" s="1111">
        <v>5747.33</v>
      </c>
    </row>
    <row r="29" spans="1:38">
      <c r="B29" s="565" t="s">
        <v>228</v>
      </c>
      <c r="D29" s="8">
        <v>2392</v>
      </c>
      <c r="E29" s="8">
        <v>2654</v>
      </c>
      <c r="F29" s="8">
        <v>2946</v>
      </c>
      <c r="G29" s="8">
        <v>3291</v>
      </c>
      <c r="H29" s="8">
        <v>3558</v>
      </c>
      <c r="I29" s="8">
        <v>3886</v>
      </c>
      <c r="J29" s="8">
        <v>4173</v>
      </c>
      <c r="K29" s="8">
        <v>4485</v>
      </c>
      <c r="L29" s="8">
        <v>4790.5</v>
      </c>
      <c r="M29" s="8">
        <v>5084</v>
      </c>
      <c r="N29" s="8">
        <v>5458</v>
      </c>
      <c r="O29" s="8">
        <v>5874</v>
      </c>
      <c r="P29" s="8">
        <v>6138</v>
      </c>
      <c r="Q29" s="8">
        <v>6421.7333333333336</v>
      </c>
      <c r="R29" s="8">
        <v>6803.3786666666674</v>
      </c>
      <c r="S29" s="8">
        <v>7241.8329999999996</v>
      </c>
      <c r="T29" s="8">
        <v>7282.4510000000009</v>
      </c>
      <c r="U29" s="8">
        <v>7523.9110000000001</v>
      </c>
      <c r="V29" s="8">
        <v>7752.192</v>
      </c>
      <c r="W29" s="8">
        <v>7943.8769999999995</v>
      </c>
      <c r="X29" s="8">
        <v>8150.4049999999997</v>
      </c>
      <c r="Y29" s="8">
        <v>8434.4189999999981</v>
      </c>
      <c r="Z29" s="8">
        <v>8780.8809999999994</v>
      </c>
      <c r="AA29" s="8">
        <v>9097.1120000000028</v>
      </c>
      <c r="AB29" s="8">
        <v>9490.3840000000018</v>
      </c>
      <c r="AC29" s="8">
        <v>9788.7090000000007</v>
      </c>
      <c r="AD29" s="8">
        <v>10099.989000000001</v>
      </c>
      <c r="AE29" s="8">
        <v>10467.602999999999</v>
      </c>
      <c r="AF29" s="8">
        <v>10741.089</v>
      </c>
      <c r="AG29" s="8">
        <v>11016.081</v>
      </c>
      <c r="AH29" s="8">
        <v>11259.867</v>
      </c>
      <c r="AI29" s="640">
        <v>11541.005999999999</v>
      </c>
      <c r="AJ29" s="1111">
        <v>11843.298999999999</v>
      </c>
      <c r="AK29" s="1111">
        <v>12128.515000000001</v>
      </c>
    </row>
    <row r="30" spans="1:38">
      <c r="B30" s="565" t="s">
        <v>229</v>
      </c>
      <c r="D30" s="8">
        <v>5155</v>
      </c>
      <c r="E30" s="8">
        <v>5099</v>
      </c>
      <c r="F30" s="8">
        <v>5017</v>
      </c>
      <c r="G30" s="8">
        <v>4820</v>
      </c>
      <c r="H30" s="8">
        <v>4903</v>
      </c>
      <c r="I30" s="8">
        <v>4867</v>
      </c>
      <c r="J30" s="8">
        <v>4798</v>
      </c>
      <c r="K30" s="8">
        <v>4755</v>
      </c>
      <c r="L30" s="8">
        <v>4715.5</v>
      </c>
      <c r="M30" s="8">
        <v>4685</v>
      </c>
      <c r="N30" s="8">
        <v>4574.5</v>
      </c>
      <c r="O30" s="8">
        <v>4501</v>
      </c>
      <c r="P30" s="8">
        <v>4440</v>
      </c>
      <c r="Q30" s="8">
        <v>4405</v>
      </c>
      <c r="R30" s="8">
        <v>4351.7439999999997</v>
      </c>
      <c r="S30" s="8">
        <v>4292.402</v>
      </c>
      <c r="T30" s="8">
        <v>4228.4610000000002</v>
      </c>
      <c r="U30" s="8">
        <v>4184.7259999999997</v>
      </c>
      <c r="V30" s="8">
        <v>4140.4629999999997</v>
      </c>
      <c r="W30" s="8">
        <v>4066.4039999999995</v>
      </c>
      <c r="X30" s="8">
        <v>3990.1370000000006</v>
      </c>
      <c r="Y30" s="8">
        <v>3901.2620000000006</v>
      </c>
      <c r="Z30" s="8">
        <v>3791.5729999999999</v>
      </c>
      <c r="AA30" s="8">
        <v>3691.1470000000008</v>
      </c>
      <c r="AB30" s="8">
        <v>3433.2250000000004</v>
      </c>
      <c r="AC30" s="8">
        <v>3315.1860000000001</v>
      </c>
      <c r="AD30" s="8">
        <v>3193.5120000000002</v>
      </c>
      <c r="AE30" s="8">
        <v>3049.1059999999998</v>
      </c>
      <c r="AF30" s="8">
        <v>2925.4759999999997</v>
      </c>
      <c r="AG30" s="8">
        <v>2808.6909999999998</v>
      </c>
      <c r="AH30" s="8">
        <v>2712.5239999999999</v>
      </c>
      <c r="AI30" s="640">
        <v>2560.4329999999995</v>
      </c>
      <c r="AJ30" s="1111">
        <v>2413.442</v>
      </c>
      <c r="AK30" s="1111">
        <v>2265.7069999999999</v>
      </c>
    </row>
    <row r="31" spans="1:38">
      <c r="B31" s="565" t="s">
        <v>230</v>
      </c>
      <c r="D31" s="8">
        <v>13</v>
      </c>
      <c r="E31" s="8">
        <v>13</v>
      </c>
      <c r="F31" s="8">
        <v>13</v>
      </c>
      <c r="G31" s="8">
        <v>13</v>
      </c>
      <c r="H31" s="8">
        <v>13</v>
      </c>
      <c r="I31" s="8">
        <v>13</v>
      </c>
      <c r="J31" s="8">
        <v>13</v>
      </c>
      <c r="K31" s="8">
        <v>13</v>
      </c>
      <c r="L31" s="8">
        <v>13</v>
      </c>
      <c r="M31" s="8">
        <v>13</v>
      </c>
      <c r="N31" s="8">
        <v>13</v>
      </c>
      <c r="O31" s="8">
        <v>3</v>
      </c>
      <c r="P31" s="8">
        <v>3</v>
      </c>
      <c r="Q31" s="8">
        <v>3</v>
      </c>
      <c r="R31" s="8">
        <v>3</v>
      </c>
      <c r="S31" s="8">
        <v>3</v>
      </c>
      <c r="T31" s="8">
        <v>2</v>
      </c>
      <c r="U31" s="8">
        <v>1.9</v>
      </c>
      <c r="V31" s="8">
        <v>1.92</v>
      </c>
      <c r="W31" s="8">
        <v>1.92</v>
      </c>
      <c r="X31" s="8">
        <v>1.9</v>
      </c>
      <c r="Y31" s="8">
        <v>1.89</v>
      </c>
      <c r="Z31" s="8">
        <v>1.89</v>
      </c>
      <c r="AA31" s="8">
        <v>1.1000000000000001</v>
      </c>
      <c r="AB31" s="8">
        <v>1.54</v>
      </c>
      <c r="AC31" s="8">
        <v>1.8</v>
      </c>
      <c r="AD31" s="8">
        <v>1.8</v>
      </c>
      <c r="AE31" s="8">
        <v>1.37</v>
      </c>
      <c r="AF31" s="8">
        <v>1.36</v>
      </c>
      <c r="AG31" s="8">
        <v>1.47</v>
      </c>
      <c r="AH31" s="8">
        <v>1.1000000000000001</v>
      </c>
      <c r="AI31" s="640">
        <v>1.07</v>
      </c>
      <c r="AJ31" s="1111">
        <v>0.74</v>
      </c>
      <c r="AK31" s="1111">
        <v>0.49</v>
      </c>
    </row>
    <row r="32" spans="1:38">
      <c r="B32" s="565" t="s">
        <v>231</v>
      </c>
      <c r="D32" s="8">
        <v>0</v>
      </c>
      <c r="E32" s="8">
        <v>0</v>
      </c>
      <c r="F32" s="8">
        <v>0</v>
      </c>
      <c r="G32" s="8">
        <v>0</v>
      </c>
      <c r="H32" s="8">
        <v>0</v>
      </c>
      <c r="I32" s="8">
        <v>0</v>
      </c>
      <c r="J32" s="8">
        <v>0</v>
      </c>
      <c r="K32" s="8">
        <v>0</v>
      </c>
      <c r="L32" s="8">
        <v>0</v>
      </c>
      <c r="M32" s="8">
        <v>0</v>
      </c>
      <c r="N32" s="8">
        <v>0</v>
      </c>
      <c r="O32" s="8">
        <v>0</v>
      </c>
      <c r="P32" s="8">
        <v>2</v>
      </c>
      <c r="Q32" s="8">
        <v>0</v>
      </c>
      <c r="R32" s="8">
        <v>0</v>
      </c>
      <c r="S32" s="8">
        <v>0</v>
      </c>
      <c r="T32" s="8">
        <v>5.8999999999999997E-2</v>
      </c>
      <c r="U32" s="8">
        <v>5.8999999999999997E-2</v>
      </c>
      <c r="V32" s="8">
        <v>4.2999999999999997E-2</v>
      </c>
      <c r="W32" s="8">
        <v>4.2999999999999997E-2</v>
      </c>
      <c r="X32" s="8">
        <v>6.5000000000000002E-2</v>
      </c>
      <c r="Y32" s="8">
        <v>6.5000000000000002E-2</v>
      </c>
      <c r="Z32" s="8">
        <v>6.5000000000000002E-2</v>
      </c>
      <c r="AA32" s="8">
        <v>3.9E-2</v>
      </c>
      <c r="AB32" s="8">
        <v>0.06</v>
      </c>
      <c r="AC32" s="8">
        <v>0.06</v>
      </c>
      <c r="AD32" s="8">
        <v>0.06</v>
      </c>
      <c r="AE32" s="8">
        <v>0.06</v>
      </c>
      <c r="AF32" s="8">
        <v>2.8000000000000001E-2</v>
      </c>
      <c r="AG32" s="8">
        <v>1.7000000000000001E-2</v>
      </c>
      <c r="AH32" s="8">
        <v>1.7000000000000001E-2</v>
      </c>
      <c r="AI32" s="640">
        <v>1.7000000000000001E-2</v>
      </c>
      <c r="AJ32" s="1111">
        <v>1.7000000000000001E-2</v>
      </c>
      <c r="AK32" s="1111">
        <v>1.7000000000000001E-2</v>
      </c>
    </row>
    <row r="33" spans="2:37">
      <c r="B33" s="565" t="s">
        <v>131</v>
      </c>
      <c r="D33" s="8">
        <v>0</v>
      </c>
      <c r="E33" s="8">
        <v>0</v>
      </c>
      <c r="F33" s="8">
        <v>0</v>
      </c>
      <c r="G33" s="8">
        <v>0</v>
      </c>
      <c r="H33" s="8">
        <v>0</v>
      </c>
      <c r="I33" s="8">
        <v>0</v>
      </c>
      <c r="J33" s="8">
        <v>0</v>
      </c>
      <c r="K33" s="8">
        <v>4</v>
      </c>
      <c r="L33" s="8">
        <v>3</v>
      </c>
      <c r="M33" s="8">
        <v>0</v>
      </c>
      <c r="N33" s="8">
        <v>0</v>
      </c>
      <c r="O33" s="8">
        <v>9</v>
      </c>
      <c r="P33" s="8">
        <v>55</v>
      </c>
      <c r="Q33" s="8">
        <v>9.1333300000000008</v>
      </c>
      <c r="R33" s="8">
        <v>17.187670000000001</v>
      </c>
      <c r="S33" s="8">
        <v>1.532</v>
      </c>
      <c r="T33" s="8">
        <v>0.128</v>
      </c>
      <c r="U33" s="8">
        <v>0</v>
      </c>
      <c r="V33" s="8">
        <v>2.2000000000000002</v>
      </c>
      <c r="W33" s="8">
        <v>0</v>
      </c>
      <c r="X33" s="8">
        <v>0</v>
      </c>
      <c r="Y33" s="8">
        <v>0</v>
      </c>
      <c r="Z33" s="8">
        <v>0</v>
      </c>
      <c r="AA33" s="8">
        <v>0.64</v>
      </c>
      <c r="AB33" s="8">
        <v>0.8</v>
      </c>
      <c r="AC33" s="8">
        <v>0.8</v>
      </c>
      <c r="AD33" s="8">
        <v>0.8</v>
      </c>
      <c r="AE33" s="8">
        <v>0.80100000000000005</v>
      </c>
      <c r="AF33" s="8">
        <v>0.80100000000000005</v>
      </c>
      <c r="AG33" s="8">
        <v>0.70099999999999996</v>
      </c>
      <c r="AH33" s="8">
        <v>0.70099999999999996</v>
      </c>
      <c r="AI33" s="640">
        <v>0.7</v>
      </c>
      <c r="AJ33" s="1111">
        <v>0.7</v>
      </c>
      <c r="AK33" s="1111">
        <v>0.7</v>
      </c>
    </row>
    <row r="34" spans="2:37">
      <c r="B34" s="567" t="s">
        <v>189</v>
      </c>
      <c r="C34" s="617"/>
      <c r="D34" s="621">
        <f>SUM(D25:D33)</f>
        <v>17630</v>
      </c>
      <c r="E34" s="621">
        <f t="shared" ref="E34:AA34" si="19">SUM(E25:E33)</f>
        <v>17696</v>
      </c>
      <c r="F34" s="621">
        <f t="shared" si="19"/>
        <v>17961.5</v>
      </c>
      <c r="G34" s="621">
        <f t="shared" si="19"/>
        <v>18074</v>
      </c>
      <c r="H34" s="621">
        <f t="shared" si="19"/>
        <v>18370</v>
      </c>
      <c r="I34" s="621">
        <f t="shared" si="19"/>
        <v>18625</v>
      </c>
      <c r="J34" s="621">
        <f t="shared" si="19"/>
        <v>18805</v>
      </c>
      <c r="K34" s="621">
        <f t="shared" si="19"/>
        <v>19044.5</v>
      </c>
      <c r="L34" s="621">
        <f t="shared" si="19"/>
        <v>19278</v>
      </c>
      <c r="M34" s="8">
        <f t="shared" si="19"/>
        <v>19506</v>
      </c>
      <c r="N34" s="621">
        <f t="shared" si="19"/>
        <v>19726</v>
      </c>
      <c r="O34" s="621">
        <f t="shared" si="19"/>
        <v>20038</v>
      </c>
      <c r="P34" s="621">
        <f t="shared" si="19"/>
        <v>20234</v>
      </c>
      <c r="Q34" s="621">
        <f t="shared" si="19"/>
        <v>20377.166663333333</v>
      </c>
      <c r="R34" s="621">
        <f t="shared" si="19"/>
        <v>20686.367336666666</v>
      </c>
      <c r="S34" s="621">
        <f t="shared" si="19"/>
        <v>20954.368000000002</v>
      </c>
      <c r="T34" s="621">
        <f t="shared" si="19"/>
        <v>20776.769</v>
      </c>
      <c r="U34" s="621">
        <f t="shared" si="19"/>
        <v>20903.015000000003</v>
      </c>
      <c r="V34" s="621">
        <f t="shared" si="19"/>
        <v>21022.859</v>
      </c>
      <c r="W34" s="8">
        <f t="shared" si="19"/>
        <v>21068.694999999996</v>
      </c>
      <c r="X34" s="8">
        <f t="shared" si="19"/>
        <v>21132.808000000001</v>
      </c>
      <c r="Y34" s="8">
        <f t="shared" si="19"/>
        <v>21191.999999999996</v>
      </c>
      <c r="Z34" s="8">
        <f t="shared" si="19"/>
        <v>21284.661999999997</v>
      </c>
      <c r="AA34" s="8">
        <f t="shared" si="19"/>
        <v>21382.517000000003</v>
      </c>
      <c r="AB34" s="8">
        <f t="shared" ref="AB34:AK34" si="20">SUM(AB25:AB33)</f>
        <v>21526.286</v>
      </c>
      <c r="AC34" s="8">
        <f t="shared" si="20"/>
        <v>21576.441999999999</v>
      </c>
      <c r="AD34" s="621">
        <f t="shared" si="20"/>
        <v>21631.246999999999</v>
      </c>
      <c r="AE34" s="621">
        <f t="shared" si="20"/>
        <v>21668.565999999999</v>
      </c>
      <c r="AF34" s="621">
        <f t="shared" si="20"/>
        <v>21714.471999999998</v>
      </c>
      <c r="AG34" s="621">
        <f t="shared" si="20"/>
        <v>21755.177000000003</v>
      </c>
      <c r="AH34" s="621">
        <f t="shared" si="20"/>
        <v>21798.249</v>
      </c>
      <c r="AI34" s="1308">
        <f t="shared" si="20"/>
        <v>21779.767</v>
      </c>
      <c r="AJ34" s="1308">
        <f t="shared" si="20"/>
        <v>21842.466</v>
      </c>
      <c r="AK34" s="1308">
        <f t="shared" si="20"/>
        <v>21857.349000000002</v>
      </c>
    </row>
    <row r="35" spans="2:37">
      <c r="M35" s="615"/>
      <c r="W35" s="615"/>
      <c r="X35" s="615"/>
      <c r="Y35" s="615"/>
      <c r="Z35" s="615"/>
      <c r="AA35" s="615"/>
      <c r="AB35" s="615"/>
      <c r="AC35" s="615"/>
    </row>
    <row r="36" spans="2:37">
      <c r="B36" s="620" t="s">
        <v>232</v>
      </c>
      <c r="C36" s="992"/>
      <c r="D36" s="992">
        <v>1990</v>
      </c>
      <c r="E36" s="992">
        <f>D36+1</f>
        <v>1991</v>
      </c>
      <c r="F36" s="992">
        <f t="shared" ref="F36" si="21">E36+1</f>
        <v>1992</v>
      </c>
      <c r="G36" s="992">
        <f t="shared" ref="G36" si="22">F36+1</f>
        <v>1993</v>
      </c>
      <c r="H36" s="992">
        <f t="shared" ref="H36" si="23">G36+1</f>
        <v>1994</v>
      </c>
      <c r="I36" s="992">
        <f t="shared" ref="I36" si="24">H36+1</f>
        <v>1995</v>
      </c>
      <c r="J36" s="992">
        <f t="shared" ref="J36" si="25">I36+1</f>
        <v>1996</v>
      </c>
      <c r="K36" s="992">
        <f t="shared" ref="K36" si="26">J36+1</f>
        <v>1997</v>
      </c>
      <c r="L36" s="992">
        <f t="shared" ref="L36" si="27">K36+1</f>
        <v>1998</v>
      </c>
      <c r="M36" s="992">
        <f t="shared" ref="M36" si="28">L36+1</f>
        <v>1999</v>
      </c>
      <c r="N36" s="992">
        <f t="shared" ref="N36" si="29">M36+1</f>
        <v>2000</v>
      </c>
      <c r="O36" s="992">
        <f t="shared" ref="O36" si="30">N36+1</f>
        <v>2001</v>
      </c>
      <c r="P36" s="992">
        <f t="shared" ref="P36" si="31">O36+1</f>
        <v>2002</v>
      </c>
      <c r="Q36" s="992">
        <f t="shared" ref="Q36" si="32">P36+1</f>
        <v>2003</v>
      </c>
      <c r="R36" s="992">
        <f t="shared" ref="R36" si="33">Q36+1</f>
        <v>2004</v>
      </c>
      <c r="S36" s="992">
        <f t="shared" ref="S36" si="34">R36+1</f>
        <v>2005</v>
      </c>
      <c r="T36" s="992">
        <f t="shared" ref="T36" si="35">S36+1</f>
        <v>2006</v>
      </c>
      <c r="U36" s="992">
        <f t="shared" ref="U36" si="36">T36+1</f>
        <v>2007</v>
      </c>
      <c r="V36" s="992">
        <f t="shared" ref="V36" si="37">U36+1</f>
        <v>2008</v>
      </c>
      <c r="W36" s="992">
        <f t="shared" ref="W36" si="38">V36+1</f>
        <v>2009</v>
      </c>
      <c r="X36" s="992">
        <f t="shared" ref="X36" si="39">W36+1</f>
        <v>2010</v>
      </c>
      <c r="Y36" s="992">
        <f t="shared" ref="Y36" si="40">X36+1</f>
        <v>2011</v>
      </c>
      <c r="Z36" s="992">
        <f t="shared" ref="Z36" si="41">Y36+1</f>
        <v>2012</v>
      </c>
      <c r="AA36" s="992">
        <f t="shared" ref="AA36" si="42">Z36+1</f>
        <v>2013</v>
      </c>
      <c r="AB36" s="992">
        <f t="shared" ref="AB36" si="43">AA36+1</f>
        <v>2014</v>
      </c>
      <c r="AC36" s="992">
        <f t="shared" ref="AC36" si="44">AB36+1</f>
        <v>2015</v>
      </c>
      <c r="AD36" s="992">
        <f t="shared" ref="AD36" si="45">AC36+1</f>
        <v>2016</v>
      </c>
      <c r="AE36" s="992">
        <f t="shared" ref="AE36" si="46">AD36+1</f>
        <v>2017</v>
      </c>
      <c r="AF36" s="992">
        <f t="shared" ref="AF36:AJ36" si="47">AE36+1</f>
        <v>2018</v>
      </c>
      <c r="AG36" s="992">
        <f t="shared" ref="AG36:AK36" si="48">AF36+1</f>
        <v>2019</v>
      </c>
      <c r="AH36" s="992">
        <f t="shared" si="47"/>
        <v>2020</v>
      </c>
      <c r="AI36" s="992">
        <f t="shared" si="48"/>
        <v>2021</v>
      </c>
      <c r="AJ36" s="992">
        <f t="shared" si="47"/>
        <v>2022</v>
      </c>
      <c r="AK36" s="992">
        <f t="shared" si="48"/>
        <v>2023</v>
      </c>
    </row>
    <row r="37" spans="2:37">
      <c r="B37" s="562" t="s">
        <v>224</v>
      </c>
      <c r="D37" s="8">
        <v>475349</v>
      </c>
      <c r="E37" s="8">
        <v>467092</v>
      </c>
      <c r="F37" s="8">
        <v>453146</v>
      </c>
      <c r="G37" s="8">
        <v>443269</v>
      </c>
      <c r="H37" s="8">
        <v>427591</v>
      </c>
      <c r="I37" s="8">
        <v>428012</v>
      </c>
      <c r="J37" s="8">
        <v>415460</v>
      </c>
      <c r="K37" s="8">
        <v>409520</v>
      </c>
      <c r="L37" s="8">
        <v>403511</v>
      </c>
      <c r="M37" s="8">
        <v>398751</v>
      </c>
      <c r="N37" s="8">
        <v>316403</v>
      </c>
      <c r="O37" s="8">
        <v>309921</v>
      </c>
      <c r="P37" s="8">
        <v>306301</v>
      </c>
      <c r="Q37" s="8">
        <v>299705</v>
      </c>
      <c r="R37" s="8">
        <v>220649</v>
      </c>
      <c r="S37" s="8">
        <v>217206</v>
      </c>
      <c r="T37" s="8">
        <v>225174</v>
      </c>
      <c r="U37" s="8">
        <v>220927</v>
      </c>
      <c r="V37" s="8">
        <v>215059</v>
      </c>
      <c r="W37" s="8">
        <v>207260</v>
      </c>
      <c r="X37" s="8">
        <v>200732</v>
      </c>
      <c r="Y37" s="8">
        <v>200899</v>
      </c>
      <c r="Z37" s="8">
        <v>192355</v>
      </c>
      <c r="AA37" s="8">
        <v>188544</v>
      </c>
      <c r="AB37" s="8">
        <v>180608</v>
      </c>
      <c r="AC37" s="8">
        <v>172605</v>
      </c>
      <c r="AD37" s="8">
        <v>164402</v>
      </c>
      <c r="AE37" s="8">
        <v>155001</v>
      </c>
      <c r="AF37" s="8">
        <v>147064</v>
      </c>
      <c r="AG37" s="8">
        <v>140583</v>
      </c>
      <c r="AH37">
        <v>137149</v>
      </c>
      <c r="AI37" s="235">
        <v>130173</v>
      </c>
      <c r="AJ37">
        <v>122595</v>
      </c>
      <c r="AK37">
        <v>115995</v>
      </c>
    </row>
    <row r="38" spans="2:37">
      <c r="B38" s="565" t="s">
        <v>225</v>
      </c>
      <c r="D38" s="8">
        <v>99773</v>
      </c>
      <c r="E38" s="8">
        <v>99898</v>
      </c>
      <c r="F38" s="8">
        <v>96050</v>
      </c>
      <c r="G38" s="8">
        <v>94795</v>
      </c>
      <c r="H38" s="8">
        <v>92515</v>
      </c>
      <c r="I38" s="8">
        <v>91539</v>
      </c>
      <c r="J38" s="8">
        <v>90313</v>
      </c>
      <c r="K38" s="8">
        <v>87179.5</v>
      </c>
      <c r="L38" s="8">
        <v>85152</v>
      </c>
      <c r="M38" s="8">
        <v>80506</v>
      </c>
      <c r="N38" s="8">
        <v>77326</v>
      </c>
      <c r="O38" s="8">
        <v>77050</v>
      </c>
      <c r="P38" s="8">
        <v>74877</v>
      </c>
      <c r="Q38" s="8">
        <v>73794</v>
      </c>
      <c r="R38" s="8">
        <v>72602</v>
      </c>
      <c r="S38" s="8">
        <v>74057</v>
      </c>
      <c r="T38" s="8">
        <v>72459</v>
      </c>
      <c r="U38" s="8">
        <v>71295</v>
      </c>
      <c r="V38" s="8">
        <v>70001</v>
      </c>
      <c r="W38" s="8">
        <v>66838</v>
      </c>
      <c r="X38" s="8">
        <v>66115</v>
      </c>
      <c r="Y38" s="8">
        <v>58460</v>
      </c>
      <c r="Z38" s="8">
        <v>56086</v>
      </c>
      <c r="AA38" s="8">
        <v>55966</v>
      </c>
      <c r="AB38" s="8">
        <v>54117</v>
      </c>
      <c r="AC38" s="8">
        <v>51749</v>
      </c>
      <c r="AD38" s="8">
        <v>48989</v>
      </c>
      <c r="AE38" s="8">
        <v>44009</v>
      </c>
      <c r="AF38" s="8">
        <v>42471</v>
      </c>
      <c r="AG38" s="8">
        <v>40239</v>
      </c>
      <c r="AH38">
        <v>39603</v>
      </c>
      <c r="AI38" s="235">
        <v>37145</v>
      </c>
      <c r="AJ38">
        <v>34778</v>
      </c>
      <c r="AK38">
        <v>32540</v>
      </c>
    </row>
    <row r="39" spans="2:37">
      <c r="B39" s="565" t="s">
        <v>226</v>
      </c>
      <c r="D39" s="8">
        <v>467</v>
      </c>
      <c r="E39" s="8">
        <v>463</v>
      </c>
      <c r="F39" s="8">
        <v>463</v>
      </c>
      <c r="G39" s="8">
        <v>457</v>
      </c>
      <c r="H39" s="8">
        <v>449</v>
      </c>
      <c r="I39" s="8">
        <v>449</v>
      </c>
      <c r="J39" s="8">
        <v>449</v>
      </c>
      <c r="K39" s="8">
        <v>449</v>
      </c>
      <c r="L39" s="8">
        <v>449</v>
      </c>
      <c r="M39" s="8">
        <v>449</v>
      </c>
      <c r="N39" s="8">
        <v>449</v>
      </c>
      <c r="O39" s="8">
        <v>449</v>
      </c>
      <c r="P39" s="8">
        <v>449</v>
      </c>
      <c r="Q39" s="8">
        <v>449</v>
      </c>
      <c r="R39" s="8">
        <v>0</v>
      </c>
      <c r="S39" s="8">
        <v>0</v>
      </c>
      <c r="T39" s="8">
        <v>0</v>
      </c>
      <c r="U39" s="8">
        <v>0</v>
      </c>
      <c r="V39" s="8">
        <v>0</v>
      </c>
      <c r="W39" s="8">
        <v>0</v>
      </c>
      <c r="X39" s="8">
        <v>45</v>
      </c>
      <c r="Y39" s="8">
        <v>332</v>
      </c>
      <c r="Z39" s="8">
        <v>333</v>
      </c>
      <c r="AA39" s="8">
        <v>68</v>
      </c>
      <c r="AB39" s="8">
        <v>61</v>
      </c>
      <c r="AC39" s="8">
        <v>16</v>
      </c>
      <c r="AD39" s="8">
        <v>11</v>
      </c>
      <c r="AE39" s="8">
        <v>11</v>
      </c>
      <c r="AF39" s="8">
        <v>11</v>
      </c>
      <c r="AG39" s="8">
        <v>9</v>
      </c>
      <c r="AH39">
        <v>0</v>
      </c>
      <c r="AI39" s="235">
        <v>0</v>
      </c>
      <c r="AJ39">
        <v>0</v>
      </c>
      <c r="AK39">
        <v>0</v>
      </c>
    </row>
    <row r="40" spans="2:37">
      <c r="B40" s="565" t="s">
        <v>227</v>
      </c>
      <c r="D40" s="8">
        <v>150054</v>
      </c>
      <c r="E40" s="8">
        <v>152153</v>
      </c>
      <c r="F40" s="8">
        <v>154005</v>
      </c>
      <c r="G40" s="8">
        <v>153943</v>
      </c>
      <c r="H40" s="8">
        <v>158080</v>
      </c>
      <c r="I40" s="8">
        <v>157721</v>
      </c>
      <c r="J40" s="8">
        <v>151173</v>
      </c>
      <c r="K40" s="8">
        <v>151111.5</v>
      </c>
      <c r="L40" s="8">
        <v>151112.5</v>
      </c>
      <c r="M40" s="8">
        <v>153785</v>
      </c>
      <c r="N40" s="8">
        <v>220002</v>
      </c>
      <c r="O40" s="8">
        <v>220002</v>
      </c>
      <c r="P40" s="8">
        <v>219167</v>
      </c>
      <c r="Q40" s="8">
        <v>218028</v>
      </c>
      <c r="R40" s="8">
        <v>162241</v>
      </c>
      <c r="S40" s="8">
        <v>171863</v>
      </c>
      <c r="T40" s="8">
        <v>178153</v>
      </c>
      <c r="U40" s="8">
        <v>177883</v>
      </c>
      <c r="V40" s="8">
        <v>176657</v>
      </c>
      <c r="W40" s="8">
        <v>175219</v>
      </c>
      <c r="X40" s="8">
        <v>167169</v>
      </c>
      <c r="Y40" s="8">
        <v>164179</v>
      </c>
      <c r="Z40" s="8">
        <v>161970</v>
      </c>
      <c r="AA40" s="8">
        <v>158060</v>
      </c>
      <c r="AB40" s="8">
        <v>155703</v>
      </c>
      <c r="AC40" s="8">
        <v>153922</v>
      </c>
      <c r="AD40" s="8">
        <v>151873</v>
      </c>
      <c r="AE40" s="8">
        <v>149751</v>
      </c>
      <c r="AF40" s="8">
        <v>146738</v>
      </c>
      <c r="AG40" s="8">
        <v>144496</v>
      </c>
      <c r="AH40">
        <v>143181</v>
      </c>
      <c r="AI40" s="235">
        <v>140604</v>
      </c>
      <c r="AJ40">
        <v>138640</v>
      </c>
      <c r="AK40">
        <v>136722</v>
      </c>
    </row>
    <row r="41" spans="2:37">
      <c r="B41" s="565" t="s">
        <v>228</v>
      </c>
      <c r="D41" s="8">
        <v>236420</v>
      </c>
      <c r="E41" s="8">
        <v>251027</v>
      </c>
      <c r="F41" s="8">
        <v>276126</v>
      </c>
      <c r="G41" s="8">
        <v>300166</v>
      </c>
      <c r="H41" s="8">
        <v>328250</v>
      </c>
      <c r="I41" s="8">
        <v>346910</v>
      </c>
      <c r="J41" s="8">
        <v>375837</v>
      </c>
      <c r="K41" s="8">
        <v>401255.5</v>
      </c>
      <c r="L41" s="8">
        <v>429103</v>
      </c>
      <c r="M41" s="8">
        <v>449591</v>
      </c>
      <c r="N41" s="8">
        <v>477157</v>
      </c>
      <c r="O41" s="8">
        <v>498936</v>
      </c>
      <c r="P41" s="8">
        <v>522779</v>
      </c>
      <c r="Q41" s="8">
        <v>544690.66666666663</v>
      </c>
      <c r="R41" s="8">
        <v>540562.33333333337</v>
      </c>
      <c r="S41" s="8">
        <v>574564.5</v>
      </c>
      <c r="T41" s="8">
        <v>607804</v>
      </c>
      <c r="U41" s="8">
        <v>627558</v>
      </c>
      <c r="V41" s="8">
        <v>647922</v>
      </c>
      <c r="W41" s="8">
        <v>669488</v>
      </c>
      <c r="X41" s="8">
        <v>692751</v>
      </c>
      <c r="Y41" s="8">
        <v>711267</v>
      </c>
      <c r="Z41" s="8">
        <v>741775</v>
      </c>
      <c r="AA41" s="8">
        <v>771079</v>
      </c>
      <c r="AB41" s="8">
        <v>796643</v>
      </c>
      <c r="AC41" s="8">
        <v>821281</v>
      </c>
      <c r="AD41" s="8">
        <v>843550</v>
      </c>
      <c r="AE41" s="8">
        <v>874717</v>
      </c>
      <c r="AF41" s="8">
        <v>896013</v>
      </c>
      <c r="AG41" s="8">
        <v>920789</v>
      </c>
      <c r="AH41">
        <v>934887</v>
      </c>
      <c r="AI41" s="235">
        <v>955878</v>
      </c>
      <c r="AJ41">
        <v>974004</v>
      </c>
      <c r="AK41">
        <v>990794</v>
      </c>
    </row>
    <row r="42" spans="2:37">
      <c r="B42" s="565" t="s">
        <v>229</v>
      </c>
      <c r="D42" s="8">
        <v>7414</v>
      </c>
      <c r="E42" s="8">
        <v>7297</v>
      </c>
      <c r="F42" s="8">
        <v>7239</v>
      </c>
      <c r="G42" s="8">
        <v>6593</v>
      </c>
      <c r="H42" s="8">
        <v>6504</v>
      </c>
      <c r="I42" s="8">
        <v>6348</v>
      </c>
      <c r="J42" s="8">
        <v>6164</v>
      </c>
      <c r="K42" s="8">
        <v>6161.5</v>
      </c>
      <c r="L42" s="8">
        <v>6163</v>
      </c>
      <c r="M42" s="8">
        <v>6161</v>
      </c>
      <c r="N42" s="8">
        <v>4235</v>
      </c>
      <c r="O42" s="8">
        <v>4214</v>
      </c>
      <c r="P42" s="8">
        <v>4155</v>
      </c>
      <c r="Q42" s="8">
        <v>4095</v>
      </c>
      <c r="R42" s="8">
        <v>2098</v>
      </c>
      <c r="S42" s="8">
        <v>2080</v>
      </c>
      <c r="T42" s="8">
        <v>2057</v>
      </c>
      <c r="U42" s="8">
        <v>2015</v>
      </c>
      <c r="V42" s="8">
        <v>1993</v>
      </c>
      <c r="W42" s="8">
        <v>1914</v>
      </c>
      <c r="X42" s="8">
        <v>1827</v>
      </c>
      <c r="Y42" s="8">
        <v>1742</v>
      </c>
      <c r="Z42" s="8">
        <v>1638</v>
      </c>
      <c r="AA42" s="8">
        <v>1583</v>
      </c>
      <c r="AB42" s="8">
        <v>1539</v>
      </c>
      <c r="AC42" s="8">
        <v>1492</v>
      </c>
      <c r="AD42" s="8">
        <v>1444</v>
      </c>
      <c r="AE42" s="8">
        <v>1397</v>
      </c>
      <c r="AF42" s="8">
        <v>1373</v>
      </c>
      <c r="AG42" s="8">
        <v>1344</v>
      </c>
      <c r="AH42">
        <v>1325</v>
      </c>
      <c r="AI42" s="235">
        <v>1277</v>
      </c>
      <c r="AJ42">
        <v>1258</v>
      </c>
      <c r="AK42">
        <v>1214</v>
      </c>
    </row>
    <row r="43" spans="2:37">
      <c r="B43" s="565" t="s">
        <v>230</v>
      </c>
      <c r="D43" s="8">
        <v>1323</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v>0</v>
      </c>
      <c r="AI43" s="235">
        <v>0</v>
      </c>
      <c r="AJ43">
        <v>0</v>
      </c>
      <c r="AK43">
        <v>0</v>
      </c>
    </row>
    <row r="44" spans="2:37">
      <c r="B44" s="565" t="s">
        <v>231</v>
      </c>
      <c r="D44" s="8">
        <v>14098</v>
      </c>
      <c r="E44" s="8">
        <v>15205</v>
      </c>
      <c r="F44" s="8">
        <v>19894</v>
      </c>
      <c r="G44" s="8">
        <v>14792</v>
      </c>
      <c r="H44" s="8">
        <v>14660</v>
      </c>
      <c r="I44" s="8">
        <v>14481</v>
      </c>
      <c r="J44" s="8">
        <v>14382</v>
      </c>
      <c r="K44" s="8">
        <v>14281</v>
      </c>
      <c r="L44" s="8">
        <v>14180.5</v>
      </c>
      <c r="M44" s="8">
        <v>14120</v>
      </c>
      <c r="N44" s="8">
        <v>16082</v>
      </c>
      <c r="O44" s="8">
        <v>16024</v>
      </c>
      <c r="P44" s="8">
        <v>15909</v>
      </c>
      <c r="Q44" s="8">
        <v>15775</v>
      </c>
      <c r="R44" s="8">
        <v>12448</v>
      </c>
      <c r="S44" s="8">
        <v>12280</v>
      </c>
      <c r="T44" s="8">
        <v>12286</v>
      </c>
      <c r="U44" s="8">
        <v>12199</v>
      </c>
      <c r="V44" s="8">
        <v>12109</v>
      </c>
      <c r="W44" s="8">
        <v>11878</v>
      </c>
      <c r="X44" s="8">
        <v>11675</v>
      </c>
      <c r="Y44" s="8">
        <v>11426</v>
      </c>
      <c r="Z44" s="8">
        <v>11191</v>
      </c>
      <c r="AA44" s="8">
        <v>10903</v>
      </c>
      <c r="AB44" s="8">
        <v>10735</v>
      </c>
      <c r="AC44" s="8">
        <v>10537</v>
      </c>
      <c r="AD44" s="8">
        <v>10337</v>
      </c>
      <c r="AE44" s="8">
        <v>9968</v>
      </c>
      <c r="AF44" s="8">
        <v>9751</v>
      </c>
      <c r="AG44" s="8">
        <v>9411</v>
      </c>
      <c r="AH44">
        <v>9285</v>
      </c>
      <c r="AI44" s="235">
        <v>9064</v>
      </c>
      <c r="AJ44">
        <v>8878</v>
      </c>
      <c r="AK44">
        <v>8550</v>
      </c>
    </row>
    <row r="45" spans="2:37">
      <c r="B45" s="565" t="s">
        <v>131</v>
      </c>
      <c r="D45" s="8">
        <v>0</v>
      </c>
      <c r="E45" s="8">
        <v>0</v>
      </c>
      <c r="F45" s="8">
        <v>0</v>
      </c>
      <c r="G45" s="8">
        <v>0</v>
      </c>
      <c r="H45" s="8">
        <v>0</v>
      </c>
      <c r="I45" s="8">
        <v>0</v>
      </c>
      <c r="J45" s="8">
        <v>0</v>
      </c>
      <c r="K45" s="8">
        <v>0</v>
      </c>
      <c r="L45" s="8">
        <v>0</v>
      </c>
      <c r="M45" s="8">
        <v>0</v>
      </c>
      <c r="N45" s="8">
        <v>79449</v>
      </c>
      <c r="O45" s="8">
        <v>77088</v>
      </c>
      <c r="P45" s="8">
        <v>90048</v>
      </c>
      <c r="Q45" s="8">
        <v>89911</v>
      </c>
      <c r="R45" s="8">
        <v>244773</v>
      </c>
      <c r="S45" s="8">
        <v>172327</v>
      </c>
      <c r="T45" s="8">
        <v>124524</v>
      </c>
      <c r="U45" s="8">
        <v>118486</v>
      </c>
      <c r="V45" s="8">
        <v>116845</v>
      </c>
      <c r="W45" s="8">
        <v>112735</v>
      </c>
      <c r="X45" s="8">
        <v>105536</v>
      </c>
      <c r="Y45" s="8">
        <v>103713</v>
      </c>
      <c r="Z45" s="8">
        <v>100348</v>
      </c>
      <c r="AA45" s="8">
        <v>95366</v>
      </c>
      <c r="AB45" s="8">
        <v>95690</v>
      </c>
      <c r="AC45" s="8">
        <v>97872</v>
      </c>
      <c r="AD45" s="8">
        <v>102975</v>
      </c>
      <c r="AE45" s="8">
        <v>101824</v>
      </c>
      <c r="AF45" s="8">
        <v>105361</v>
      </c>
      <c r="AG45" s="8">
        <v>96072</v>
      </c>
      <c r="AH45">
        <v>96000</v>
      </c>
      <c r="AI45" s="235">
        <v>93946</v>
      </c>
      <c r="AJ45">
        <v>92617</v>
      </c>
      <c r="AK45">
        <v>91919</v>
      </c>
    </row>
    <row r="46" spans="2:37">
      <c r="B46" s="567" t="s">
        <v>189</v>
      </c>
      <c r="C46" s="617"/>
      <c r="D46" s="621">
        <f>SUM(D37:D45)</f>
        <v>984898</v>
      </c>
      <c r="E46" s="621">
        <f>SUM(E37:E45)</f>
        <v>993135</v>
      </c>
      <c r="F46" s="621">
        <f t="shared" ref="F46:AK46" si="49">SUM(F37:F45)</f>
        <v>1006923</v>
      </c>
      <c r="G46" s="621">
        <f t="shared" si="49"/>
        <v>1014015</v>
      </c>
      <c r="H46" s="621">
        <f t="shared" si="49"/>
        <v>1028049</v>
      </c>
      <c r="I46" s="621">
        <f t="shared" si="49"/>
        <v>1045460</v>
      </c>
      <c r="J46" s="621">
        <f t="shared" si="49"/>
        <v>1053778</v>
      </c>
      <c r="K46" s="621">
        <f t="shared" si="49"/>
        <v>1069958</v>
      </c>
      <c r="L46" s="621">
        <f t="shared" si="49"/>
        <v>1089671</v>
      </c>
      <c r="M46" s="621">
        <f t="shared" si="49"/>
        <v>1103363</v>
      </c>
      <c r="N46" s="621">
        <f t="shared" si="49"/>
        <v>1191103</v>
      </c>
      <c r="O46" s="621">
        <f t="shared" si="49"/>
        <v>1203684</v>
      </c>
      <c r="P46" s="621">
        <f t="shared" si="49"/>
        <v>1233685</v>
      </c>
      <c r="Q46" s="621">
        <f t="shared" si="49"/>
        <v>1246447.6666666665</v>
      </c>
      <c r="R46" s="621">
        <f t="shared" si="49"/>
        <v>1255373.3333333335</v>
      </c>
      <c r="S46" s="621">
        <f t="shared" si="49"/>
        <v>1224377.5</v>
      </c>
      <c r="T46" s="621">
        <f t="shared" si="49"/>
        <v>1222457</v>
      </c>
      <c r="U46" s="621">
        <f t="shared" si="49"/>
        <v>1230363</v>
      </c>
      <c r="V46" s="621">
        <f t="shared" si="49"/>
        <v>1240586</v>
      </c>
      <c r="W46" s="621">
        <f t="shared" si="49"/>
        <v>1245332</v>
      </c>
      <c r="X46" s="621">
        <f t="shared" si="49"/>
        <v>1245850</v>
      </c>
      <c r="Y46" s="621">
        <f t="shared" si="49"/>
        <v>1252018</v>
      </c>
      <c r="Z46" s="621">
        <f t="shared" si="49"/>
        <v>1265696</v>
      </c>
      <c r="AA46" s="621">
        <f t="shared" si="49"/>
        <v>1281569</v>
      </c>
      <c r="AB46" s="621">
        <f t="shared" si="49"/>
        <v>1295096</v>
      </c>
      <c r="AC46" s="621">
        <f t="shared" si="49"/>
        <v>1309474</v>
      </c>
      <c r="AD46" s="621">
        <f t="shared" si="49"/>
        <v>1323581</v>
      </c>
      <c r="AE46" s="621">
        <f t="shared" si="49"/>
        <v>1336678</v>
      </c>
      <c r="AF46" s="621">
        <f t="shared" si="49"/>
        <v>1348782</v>
      </c>
      <c r="AG46" s="621">
        <f t="shared" si="49"/>
        <v>1352943</v>
      </c>
      <c r="AH46" s="621">
        <f t="shared" si="49"/>
        <v>1361430</v>
      </c>
      <c r="AI46" s="1308">
        <f t="shared" si="49"/>
        <v>1368087</v>
      </c>
      <c r="AJ46" s="1308">
        <f t="shared" si="49"/>
        <v>1372770</v>
      </c>
      <c r="AK46" s="1308">
        <f t="shared" si="49"/>
        <v>1377734</v>
      </c>
    </row>
    <row r="47" spans="2:37">
      <c r="B47" s="145" t="s">
        <v>233</v>
      </c>
      <c r="C47" s="163"/>
      <c r="D47" s="1343">
        <v>12524.575278870005</v>
      </c>
      <c r="E47" s="1343">
        <v>12665.656245839999</v>
      </c>
      <c r="F47" s="1343">
        <v>13160.063954369998</v>
      </c>
      <c r="G47" s="1343">
        <v>13233.642916320001</v>
      </c>
      <c r="H47" s="1343">
        <v>13439.578405499999</v>
      </c>
      <c r="I47" s="1343">
        <v>13676.953771020002</v>
      </c>
      <c r="J47" s="1343">
        <v>13838.086025460001</v>
      </c>
      <c r="K47" s="1343">
        <v>14087.717480745001</v>
      </c>
      <c r="L47" s="1343">
        <v>14422.496123264998</v>
      </c>
      <c r="M47" s="1343">
        <v>14653.073808210002</v>
      </c>
      <c r="N47" s="1343">
        <v>12363.213294360001</v>
      </c>
      <c r="O47" s="1343">
        <v>12566.536527270004</v>
      </c>
      <c r="P47" s="1343">
        <v>13460.061880949997</v>
      </c>
      <c r="Q47" s="1343">
        <v>12096.435699510004</v>
      </c>
      <c r="R47" s="1343">
        <v>12870.658168580001</v>
      </c>
      <c r="S47" s="1343">
        <v>15486.943016399999</v>
      </c>
      <c r="T47" s="1343">
        <v>14182.072052219999</v>
      </c>
      <c r="U47" s="1343">
        <v>15868.640948130002</v>
      </c>
      <c r="V47" s="1343">
        <v>14623.088825849998</v>
      </c>
      <c r="W47" s="1343">
        <v>14323.49202729</v>
      </c>
      <c r="X47" s="1349"/>
      <c r="Y47" s="1349"/>
      <c r="Z47" s="1349"/>
      <c r="AA47" s="1349"/>
      <c r="AB47" s="1349"/>
      <c r="AC47" s="1349"/>
      <c r="AD47" s="1349"/>
      <c r="AE47" s="1349"/>
      <c r="AF47" s="1349"/>
      <c r="AG47" s="1349"/>
      <c r="AH47" s="1349"/>
      <c r="AI47" s="1349"/>
      <c r="AJ47" s="1349"/>
      <c r="AK47" s="1349"/>
    </row>
    <row r="48" spans="2:37">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63"/>
    </row>
    <row r="49" spans="2:37">
      <c r="B49" s="27" t="s">
        <v>234</v>
      </c>
      <c r="C49" s="163"/>
      <c r="D49" s="1345">
        <f>D34+D47</f>
        <v>30154.575278870005</v>
      </c>
      <c r="E49" s="1345">
        <f t="shared" ref="E49:W49" si="50">E34+E47</f>
        <v>30361.65624584</v>
      </c>
      <c r="F49" s="1345">
        <f t="shared" si="50"/>
        <v>31121.563954369998</v>
      </c>
      <c r="G49" s="1345">
        <f t="shared" si="50"/>
        <v>31307.642916320001</v>
      </c>
      <c r="H49" s="1345">
        <f t="shared" si="50"/>
        <v>31809.578405499997</v>
      </c>
      <c r="I49" s="1345">
        <f t="shared" si="50"/>
        <v>32301.953771020002</v>
      </c>
      <c r="J49" s="1345">
        <f t="shared" si="50"/>
        <v>32643.086025460001</v>
      </c>
      <c r="K49" s="1345">
        <f t="shared" si="50"/>
        <v>33132.217480744999</v>
      </c>
      <c r="L49" s="1345">
        <f t="shared" si="50"/>
        <v>33700.496123264995</v>
      </c>
      <c r="M49" s="1345">
        <f t="shared" si="50"/>
        <v>34159.07380821</v>
      </c>
      <c r="N49" s="1345">
        <f t="shared" si="50"/>
        <v>32089.213294360001</v>
      </c>
      <c r="O49" s="1345">
        <f t="shared" si="50"/>
        <v>32604.536527270004</v>
      </c>
      <c r="P49" s="1345">
        <f t="shared" si="50"/>
        <v>33694.061880950001</v>
      </c>
      <c r="Q49" s="1345">
        <f t="shared" si="50"/>
        <v>32473.60236284334</v>
      </c>
      <c r="R49" s="1345">
        <f t="shared" si="50"/>
        <v>33557.025505246667</v>
      </c>
      <c r="S49" s="1345">
        <f t="shared" si="50"/>
        <v>36441.311016400003</v>
      </c>
      <c r="T49" s="1345">
        <f t="shared" si="50"/>
        <v>34958.841052219999</v>
      </c>
      <c r="U49" s="1345">
        <f t="shared" si="50"/>
        <v>36771.655948130006</v>
      </c>
      <c r="V49" s="1345">
        <f t="shared" si="50"/>
        <v>35645.947825850002</v>
      </c>
      <c r="W49" s="1345">
        <f t="shared" si="50"/>
        <v>35392.187027289998</v>
      </c>
      <c r="X49" s="1343">
        <v>35401.088303199998</v>
      </c>
      <c r="Y49" s="1343">
        <v>35519.832007600002</v>
      </c>
      <c r="Z49" s="1343">
        <v>35886.5311363</v>
      </c>
      <c r="AA49" s="1343">
        <v>36225.664007599997</v>
      </c>
      <c r="AB49" s="1343">
        <v>36582.883446799999</v>
      </c>
      <c r="AC49" s="1343">
        <v>36799.687842599997</v>
      </c>
      <c r="AD49" s="1343">
        <v>37006.886060500001</v>
      </c>
      <c r="AE49" s="1343">
        <v>37233.474543600001</v>
      </c>
      <c r="AF49" s="1343">
        <v>37397.770299199998</v>
      </c>
      <c r="AG49" s="1343">
        <v>37574.726820000003</v>
      </c>
      <c r="AH49" s="1343">
        <v>37091.3598069</v>
      </c>
      <c r="AI49" s="1344">
        <v>37164.978393899997</v>
      </c>
      <c r="AJ49" s="1344">
        <v>37410.699999999997</v>
      </c>
      <c r="AK49" s="1344">
        <v>39887.800000000003</v>
      </c>
    </row>
    <row r="50" spans="2:37">
      <c r="E50" s="145"/>
    </row>
    <row r="51" spans="2:37">
      <c r="B51" s="620" t="s">
        <v>235</v>
      </c>
      <c r="C51" s="620"/>
      <c r="D51" s="992">
        <v>1990</v>
      </c>
      <c r="E51" s="992">
        <f>D51+1</f>
        <v>1991</v>
      </c>
      <c r="F51" s="992">
        <f t="shared" ref="F51" si="51">E51+1</f>
        <v>1992</v>
      </c>
      <c r="G51" s="992">
        <f t="shared" ref="G51" si="52">F51+1</f>
        <v>1993</v>
      </c>
      <c r="H51" s="992">
        <f t="shared" ref="H51" si="53">G51+1</f>
        <v>1994</v>
      </c>
      <c r="I51" s="992">
        <f t="shared" ref="I51" si="54">H51+1</f>
        <v>1995</v>
      </c>
      <c r="J51" s="992">
        <f t="shared" ref="J51" si="55">I51+1</f>
        <v>1996</v>
      </c>
      <c r="K51" s="992">
        <f t="shared" ref="K51" si="56">J51+1</f>
        <v>1997</v>
      </c>
      <c r="L51" s="992">
        <f t="shared" ref="L51" si="57">K51+1</f>
        <v>1998</v>
      </c>
      <c r="M51" s="992">
        <f t="shared" ref="M51" si="58">L51+1</f>
        <v>1999</v>
      </c>
      <c r="N51" s="992">
        <f t="shared" ref="N51" si="59">M51+1</f>
        <v>2000</v>
      </c>
      <c r="O51" s="992">
        <f t="shared" ref="O51" si="60">N51+1</f>
        <v>2001</v>
      </c>
      <c r="P51" s="992">
        <f t="shared" ref="P51" si="61">O51+1</f>
        <v>2002</v>
      </c>
      <c r="Q51" s="992">
        <f t="shared" ref="Q51" si="62">P51+1</f>
        <v>2003</v>
      </c>
      <c r="R51" s="992">
        <f t="shared" ref="R51" si="63">Q51+1</f>
        <v>2004</v>
      </c>
      <c r="S51" s="992">
        <f t="shared" ref="S51" si="64">R51+1</f>
        <v>2005</v>
      </c>
      <c r="T51" s="992">
        <f t="shared" ref="T51" si="65">S51+1</f>
        <v>2006</v>
      </c>
      <c r="U51" s="992">
        <f t="shared" ref="U51" si="66">T51+1</f>
        <v>2007</v>
      </c>
      <c r="V51" s="992">
        <f t="shared" ref="V51" si="67">U51+1</f>
        <v>2008</v>
      </c>
      <c r="W51" s="992">
        <f t="shared" ref="W51" si="68">V51+1</f>
        <v>2009</v>
      </c>
      <c r="X51" s="992">
        <f t="shared" ref="X51" si="69">W51+1</f>
        <v>2010</v>
      </c>
      <c r="Y51" s="992">
        <f t="shared" ref="Y51" si="70">X51+1</f>
        <v>2011</v>
      </c>
      <c r="Z51" s="992">
        <f t="shared" ref="Z51" si="71">Y51+1</f>
        <v>2012</v>
      </c>
      <c r="AA51" s="992">
        <f t="shared" ref="AA51" si="72">Z51+1</f>
        <v>2013</v>
      </c>
      <c r="AB51" s="992">
        <f t="shared" ref="AB51" si="73">AA51+1</f>
        <v>2014</v>
      </c>
      <c r="AC51" s="992">
        <f t="shared" ref="AC51" si="74">AB51+1</f>
        <v>2015</v>
      </c>
      <c r="AD51" s="992">
        <f t="shared" ref="AD51" si="75">AC51+1</f>
        <v>2016</v>
      </c>
      <c r="AE51" s="992">
        <f t="shared" ref="AE51" si="76">AD51+1</f>
        <v>2017</v>
      </c>
      <c r="AF51" s="992">
        <f t="shared" ref="AF51:AJ51" si="77">AE51+1</f>
        <v>2018</v>
      </c>
      <c r="AG51" s="992">
        <f t="shared" ref="AG51:AK51" si="78">AF51+1</f>
        <v>2019</v>
      </c>
      <c r="AH51" s="992">
        <f t="shared" si="77"/>
        <v>2020</v>
      </c>
      <c r="AI51" s="992">
        <f t="shared" si="78"/>
        <v>2021</v>
      </c>
      <c r="AJ51" s="992">
        <f t="shared" si="77"/>
        <v>2022</v>
      </c>
      <c r="AK51" s="992">
        <f t="shared" si="78"/>
        <v>2023</v>
      </c>
    </row>
    <row r="52" spans="2:37">
      <c r="B52" s="562" t="s">
        <v>236</v>
      </c>
      <c r="C52" s="615"/>
      <c r="D52" s="615">
        <v>54</v>
      </c>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615">
        <v>92</v>
      </c>
      <c r="AC52" s="615">
        <v>86</v>
      </c>
      <c r="AD52" s="807">
        <v>94</v>
      </c>
      <c r="AE52" s="807">
        <v>94</v>
      </c>
      <c r="AF52" s="807">
        <v>94</v>
      </c>
      <c r="AG52" s="807">
        <v>94</v>
      </c>
      <c r="AH52" s="235">
        <v>96</v>
      </c>
      <c r="AI52" s="235">
        <v>95</v>
      </c>
      <c r="AJ52" s="235">
        <v>95</v>
      </c>
      <c r="AK52" s="235">
        <v>93</v>
      </c>
    </row>
    <row r="53" spans="2:37">
      <c r="B53" s="565" t="s">
        <v>237</v>
      </c>
      <c r="D53">
        <v>2</v>
      </c>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v>2</v>
      </c>
      <c r="AC53">
        <v>7</v>
      </c>
      <c r="AD53" s="235">
        <v>2</v>
      </c>
      <c r="AE53" s="235">
        <v>2</v>
      </c>
      <c r="AF53" s="235">
        <v>2</v>
      </c>
      <c r="AG53" s="235">
        <v>2</v>
      </c>
      <c r="AH53" s="235">
        <v>2</v>
      </c>
      <c r="AI53" s="235">
        <v>2</v>
      </c>
      <c r="AJ53" s="235">
        <v>2</v>
      </c>
      <c r="AK53" s="235">
        <v>2</v>
      </c>
    </row>
    <row r="54" spans="2:37">
      <c r="B54" s="567" t="s">
        <v>238</v>
      </c>
      <c r="C54" s="617"/>
      <c r="D54" s="617">
        <v>0</v>
      </c>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617">
        <v>0</v>
      </c>
      <c r="AC54" s="617">
        <v>0</v>
      </c>
      <c r="AD54" s="808">
        <v>0</v>
      </c>
      <c r="AE54" s="808">
        <v>0</v>
      </c>
      <c r="AF54" s="808">
        <v>0</v>
      </c>
      <c r="AG54" s="808">
        <v>0</v>
      </c>
      <c r="AH54" s="808">
        <v>0</v>
      </c>
      <c r="AI54" s="808">
        <v>0</v>
      </c>
      <c r="AJ54" s="808">
        <v>0</v>
      </c>
      <c r="AK54" s="808">
        <v>0</v>
      </c>
    </row>
    <row r="55" spans="2:37">
      <c r="B55" s="565" t="s">
        <v>239</v>
      </c>
      <c r="D55">
        <v>6</v>
      </c>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v>10</v>
      </c>
      <c r="AC55">
        <v>18</v>
      </c>
      <c r="AD55" s="235">
        <v>12</v>
      </c>
      <c r="AE55" s="235">
        <v>12</v>
      </c>
      <c r="AF55" s="235">
        <v>10</v>
      </c>
      <c r="AG55" s="235">
        <v>10</v>
      </c>
      <c r="AH55" s="235">
        <v>13</v>
      </c>
      <c r="AI55" s="235">
        <v>10</v>
      </c>
      <c r="AJ55" s="235">
        <v>9</v>
      </c>
      <c r="AK55" s="235">
        <v>16</v>
      </c>
    </row>
    <row r="56" spans="2:37">
      <c r="B56" s="565" t="s">
        <v>240</v>
      </c>
      <c r="D56">
        <v>3</v>
      </c>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v>4</v>
      </c>
      <c r="AC56">
        <v>4</v>
      </c>
      <c r="AD56" s="235">
        <v>4</v>
      </c>
      <c r="AE56" s="235">
        <v>5</v>
      </c>
      <c r="AF56" s="235">
        <v>4</v>
      </c>
      <c r="AG56" s="235">
        <v>4</v>
      </c>
      <c r="AH56" s="235">
        <v>4</v>
      </c>
      <c r="AI56" s="235">
        <v>4</v>
      </c>
      <c r="AJ56" s="235">
        <v>4</v>
      </c>
      <c r="AK56" s="235">
        <v>4</v>
      </c>
    </row>
    <row r="57" spans="2:37">
      <c r="B57" s="565" t="s">
        <v>241</v>
      </c>
      <c r="D57">
        <v>52</v>
      </c>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v>76</v>
      </c>
      <c r="AC57">
        <v>72</v>
      </c>
      <c r="AD57" s="235">
        <v>96</v>
      </c>
      <c r="AE57" s="235">
        <v>99</v>
      </c>
      <c r="AF57" s="235">
        <v>103</v>
      </c>
      <c r="AG57" s="235">
        <v>103</v>
      </c>
      <c r="AH57" s="235">
        <v>99</v>
      </c>
      <c r="AI57" s="235">
        <v>111</v>
      </c>
      <c r="AJ57" s="235">
        <v>97</v>
      </c>
      <c r="AK57" s="235">
        <v>101</v>
      </c>
    </row>
    <row r="58" spans="2:37">
      <c r="B58" s="565" t="s">
        <v>242</v>
      </c>
      <c r="D58">
        <v>74</v>
      </c>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v>162</v>
      </c>
      <c r="AC58">
        <v>165</v>
      </c>
      <c r="AD58" s="235">
        <v>184</v>
      </c>
      <c r="AE58" s="235">
        <v>178</v>
      </c>
      <c r="AF58" s="235">
        <v>178</v>
      </c>
      <c r="AG58" s="235">
        <v>177</v>
      </c>
      <c r="AH58" s="235">
        <v>184</v>
      </c>
      <c r="AI58" s="235">
        <v>189</v>
      </c>
      <c r="AJ58" s="235">
        <v>168</v>
      </c>
      <c r="AK58" s="235">
        <v>163</v>
      </c>
    </row>
    <row r="59" spans="2:37">
      <c r="B59" s="565" t="s">
        <v>243</v>
      </c>
      <c r="D59">
        <v>98</v>
      </c>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v>116</v>
      </c>
      <c r="AC59">
        <v>114</v>
      </c>
      <c r="AD59" s="235">
        <v>108</v>
      </c>
      <c r="AE59" s="235">
        <v>110</v>
      </c>
      <c r="AF59" s="235">
        <v>112</v>
      </c>
      <c r="AG59" s="235">
        <v>113</v>
      </c>
      <c r="AH59" s="235">
        <v>110</v>
      </c>
      <c r="AI59" s="235">
        <v>101</v>
      </c>
      <c r="AJ59" s="235">
        <v>101</v>
      </c>
      <c r="AK59" s="235">
        <v>98</v>
      </c>
    </row>
    <row r="60" spans="2:37">
      <c r="B60" s="565" t="s">
        <v>244</v>
      </c>
      <c r="D60">
        <v>299</v>
      </c>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v>454</v>
      </c>
      <c r="AC60">
        <v>464</v>
      </c>
      <c r="AD60" s="235">
        <v>467</v>
      </c>
      <c r="AE60" s="235">
        <v>463</v>
      </c>
      <c r="AF60" s="235">
        <v>443</v>
      </c>
      <c r="AG60" s="235">
        <v>441</v>
      </c>
      <c r="AH60" s="235">
        <v>454</v>
      </c>
      <c r="AI60" s="235">
        <v>410</v>
      </c>
      <c r="AJ60" s="235">
        <v>433</v>
      </c>
      <c r="AK60" s="235">
        <v>379</v>
      </c>
    </row>
    <row r="61" spans="2:37">
      <c r="B61" s="567" t="s">
        <v>245</v>
      </c>
      <c r="C61" s="617"/>
      <c r="D61" s="617">
        <v>201</v>
      </c>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617">
        <v>279</v>
      </c>
      <c r="AC61" s="617">
        <v>265</v>
      </c>
      <c r="AD61" s="808">
        <v>217</v>
      </c>
      <c r="AE61" s="808">
        <v>216</v>
      </c>
      <c r="AF61" s="808">
        <v>215</v>
      </c>
      <c r="AG61" s="808">
        <v>215</v>
      </c>
      <c r="AH61" s="808">
        <v>219</v>
      </c>
      <c r="AI61" s="808">
        <v>217</v>
      </c>
      <c r="AJ61" s="808">
        <v>215</v>
      </c>
      <c r="AK61" s="808">
        <v>278</v>
      </c>
    </row>
    <row r="62" spans="2:37">
      <c r="B62" s="145" t="s">
        <v>25</v>
      </c>
      <c r="C62" s="617"/>
      <c r="D62" s="617">
        <f>SUM(D52:D61)</f>
        <v>789</v>
      </c>
      <c r="E62" s="1581"/>
      <c r="F62" s="1581"/>
      <c r="G62" s="1581"/>
      <c r="H62" s="1581"/>
      <c r="I62" s="1581"/>
      <c r="J62" s="1581"/>
      <c r="K62" s="1581"/>
      <c r="L62" s="1581"/>
      <c r="M62" s="1581"/>
      <c r="N62" s="1581"/>
      <c r="O62" s="1581"/>
      <c r="P62" s="1581"/>
      <c r="Q62" s="1581"/>
      <c r="R62" s="1581"/>
      <c r="S62" s="1581"/>
      <c r="T62" s="1581"/>
      <c r="U62" s="1581"/>
      <c r="V62" s="1581"/>
      <c r="W62" s="1581"/>
      <c r="X62" s="1581"/>
      <c r="Y62" s="1581"/>
      <c r="Z62" s="1581"/>
      <c r="AA62" s="27"/>
      <c r="AB62" s="617">
        <f t="shared" ref="AB62:AI62" si="79">SUM(AB52:AB61)</f>
        <v>1195</v>
      </c>
      <c r="AC62" s="617">
        <f t="shared" si="79"/>
        <v>1195</v>
      </c>
      <c r="AD62" s="617">
        <f t="shared" si="79"/>
        <v>1184</v>
      </c>
      <c r="AE62" s="617">
        <f t="shared" si="79"/>
        <v>1179</v>
      </c>
      <c r="AF62" s="617">
        <f t="shared" si="79"/>
        <v>1161</v>
      </c>
      <c r="AG62" s="617">
        <f t="shared" si="79"/>
        <v>1159</v>
      </c>
      <c r="AH62" s="808">
        <f t="shared" si="79"/>
        <v>1181</v>
      </c>
      <c r="AI62" s="808">
        <f t="shared" si="79"/>
        <v>1139</v>
      </c>
      <c r="AJ62" s="808">
        <v>1124</v>
      </c>
      <c r="AK62" s="808">
        <v>1134</v>
      </c>
    </row>
    <row r="64" spans="2:37">
      <c r="B64" s="620" t="s">
        <v>246</v>
      </c>
      <c r="C64" s="620"/>
      <c r="F64" s="581" t="s">
        <v>247</v>
      </c>
      <c r="AH64" s="1196"/>
      <c r="AI64" s="1196"/>
      <c r="AJ64" s="1196"/>
      <c r="AK64" s="1196"/>
    </row>
    <row r="65" spans="2:37">
      <c r="B65" s="562" t="s">
        <v>127</v>
      </c>
      <c r="C65" s="615"/>
      <c r="D65" s="614">
        <v>1118429</v>
      </c>
      <c r="E65" s="614">
        <v>1127536</v>
      </c>
      <c r="F65" s="614">
        <v>1137911</v>
      </c>
      <c r="G65" s="614">
        <v>1155443</v>
      </c>
      <c r="H65" s="614">
        <v>1179869</v>
      </c>
      <c r="I65" s="614">
        <v>1180860</v>
      </c>
      <c r="J65" s="614">
        <v>1188317</v>
      </c>
      <c r="K65" s="614">
        <v>1204494</v>
      </c>
      <c r="L65" s="614">
        <v>1212486</v>
      </c>
      <c r="M65" s="614">
        <v>1232887</v>
      </c>
      <c r="N65" s="614">
        <v>1278781</v>
      </c>
      <c r="O65" s="614">
        <v>1283008</v>
      </c>
      <c r="P65" s="614">
        <v>1295952</v>
      </c>
      <c r="Q65" s="614">
        <v>1324715</v>
      </c>
      <c r="R65" s="614">
        <v>1306142</v>
      </c>
      <c r="S65" s="614">
        <v>1297508</v>
      </c>
      <c r="T65" s="614">
        <v>1348848</v>
      </c>
      <c r="U65" s="614">
        <v>1361470</v>
      </c>
      <c r="V65" s="622">
        <f>AVERAGE(U65,W65)</f>
        <v>1365911.5</v>
      </c>
      <c r="W65" s="614">
        <v>1370353</v>
      </c>
      <c r="X65" s="614">
        <v>1389592</v>
      </c>
      <c r="Y65" s="614">
        <v>1408314</v>
      </c>
      <c r="Z65" s="614">
        <v>1447947</v>
      </c>
      <c r="AA65" s="614">
        <v>1467578</v>
      </c>
      <c r="AB65" s="614">
        <v>1461350</v>
      </c>
      <c r="AC65" s="614">
        <v>1478072</v>
      </c>
      <c r="AD65" s="614">
        <v>1494568</v>
      </c>
      <c r="AE65" s="614">
        <v>1510872</v>
      </c>
      <c r="AF65" s="614">
        <v>1532732</v>
      </c>
      <c r="AG65" s="614">
        <v>1548127</v>
      </c>
      <c r="AH65" s="614">
        <v>1865886</v>
      </c>
      <c r="AI65" s="614">
        <v>1581946</v>
      </c>
      <c r="AJ65" s="614">
        <v>1790157</v>
      </c>
      <c r="AK65" s="614"/>
    </row>
    <row r="66" spans="2:37">
      <c r="B66" s="565" t="s">
        <v>159</v>
      </c>
      <c r="D66" s="8">
        <v>85775</v>
      </c>
      <c r="E66" s="8">
        <v>88746</v>
      </c>
      <c r="F66" s="8">
        <v>85873</v>
      </c>
      <c r="G66" s="8">
        <v>102187</v>
      </c>
      <c r="H66" s="8">
        <v>92744</v>
      </c>
      <c r="I66" s="8">
        <v>104453</v>
      </c>
      <c r="J66" s="8">
        <v>105889</v>
      </c>
      <c r="K66" s="8">
        <v>107926</v>
      </c>
      <c r="L66" s="8">
        <v>108832</v>
      </c>
      <c r="M66" s="8">
        <v>113177</v>
      </c>
      <c r="N66" s="8">
        <v>117993</v>
      </c>
      <c r="O66" s="8">
        <v>120984</v>
      </c>
      <c r="P66" s="8">
        <v>122447</v>
      </c>
      <c r="Q66" s="8">
        <v>123006</v>
      </c>
      <c r="R66" s="8">
        <v>125107</v>
      </c>
      <c r="S66" s="8">
        <v>120167</v>
      </c>
      <c r="T66" s="8">
        <v>126713</v>
      </c>
      <c r="U66" s="8">
        <v>128965</v>
      </c>
      <c r="V66" s="340">
        <f>U66+(X66-U66)/3</f>
        <v>134139</v>
      </c>
      <c r="W66" s="340">
        <f>U66+(X66-U66)*2/3</f>
        <v>139313</v>
      </c>
      <c r="X66" s="8">
        <v>144487</v>
      </c>
      <c r="Y66" s="8">
        <v>138225</v>
      </c>
      <c r="Z66" s="8">
        <v>142825</v>
      </c>
      <c r="AA66" s="8">
        <v>144246</v>
      </c>
      <c r="AB66" s="8">
        <v>139556</v>
      </c>
      <c r="AC66" s="8">
        <v>140553</v>
      </c>
      <c r="AD66" s="8">
        <v>141870</v>
      </c>
      <c r="AE66" s="8">
        <v>142863</v>
      </c>
      <c r="AF66" s="8">
        <v>144592</v>
      </c>
      <c r="AG66" s="8">
        <v>144769</v>
      </c>
      <c r="AH66" s="8">
        <v>176165</v>
      </c>
      <c r="AI66" s="8">
        <v>145927</v>
      </c>
      <c r="AJ66" s="8">
        <v>164459</v>
      </c>
      <c r="AK66" s="8"/>
    </row>
    <row r="67" spans="2:37">
      <c r="B67" s="567" t="s">
        <v>160</v>
      </c>
      <c r="C67" s="617"/>
      <c r="D67" s="621">
        <v>6539</v>
      </c>
      <c r="E67" s="621">
        <v>5006</v>
      </c>
      <c r="F67" s="621">
        <v>8723</v>
      </c>
      <c r="G67" s="621">
        <v>7283</v>
      </c>
      <c r="H67" s="621">
        <v>8019</v>
      </c>
      <c r="I67" s="621">
        <v>10447</v>
      </c>
      <c r="J67" s="621">
        <v>10952</v>
      </c>
      <c r="K67" s="621">
        <v>11058</v>
      </c>
      <c r="L67" s="621">
        <v>11245</v>
      </c>
      <c r="M67" s="621">
        <v>8027</v>
      </c>
      <c r="N67" s="621">
        <v>8794</v>
      </c>
      <c r="O67" s="621">
        <v>9750</v>
      </c>
      <c r="P67" s="621">
        <v>9090</v>
      </c>
      <c r="Q67" s="621">
        <v>11272</v>
      </c>
      <c r="R67" s="621">
        <v>10949</v>
      </c>
      <c r="S67" s="621">
        <v>12019</v>
      </c>
      <c r="T67" s="621">
        <v>12456</v>
      </c>
      <c r="U67" s="621">
        <v>12678</v>
      </c>
      <c r="V67" s="623">
        <f>U67+(X67-U67)/3</f>
        <v>12702.333333333334</v>
      </c>
      <c r="W67" s="623">
        <f>U67+(X67-U67)*2/3</f>
        <v>12726.666666666666</v>
      </c>
      <c r="X67" s="621">
        <v>12751</v>
      </c>
      <c r="Y67" s="621">
        <v>10721</v>
      </c>
      <c r="Z67" s="621">
        <v>10840</v>
      </c>
      <c r="AA67" s="621">
        <v>11063</v>
      </c>
      <c r="AB67" s="621">
        <v>10946</v>
      </c>
      <c r="AC67" s="621">
        <v>11266</v>
      </c>
      <c r="AD67" s="621">
        <v>11334</v>
      </c>
      <c r="AE67" s="621">
        <v>11196</v>
      </c>
      <c r="AF67" s="621">
        <v>11205</v>
      </c>
      <c r="AG67" s="621">
        <v>11196</v>
      </c>
      <c r="AH67" s="621">
        <v>12240</v>
      </c>
      <c r="AI67" s="621">
        <v>11089</v>
      </c>
      <c r="AJ67" s="621">
        <v>11823</v>
      </c>
      <c r="AK67" s="621"/>
    </row>
    <row r="68" spans="2:37">
      <c r="D68" s="8"/>
      <c r="E68" s="8"/>
      <c r="F68" s="8"/>
      <c r="G68" s="8"/>
      <c r="H68" s="8"/>
      <c r="I68" s="8"/>
      <c r="J68" s="8"/>
      <c r="K68" s="8"/>
      <c r="L68" s="8"/>
      <c r="M68" s="8"/>
      <c r="N68" s="8"/>
      <c r="O68" s="8"/>
      <c r="P68" s="8"/>
      <c r="Q68" s="8"/>
      <c r="R68" s="8"/>
      <c r="S68" s="8"/>
      <c r="T68" s="8"/>
      <c r="U68" s="8"/>
      <c r="V68" s="340"/>
      <c r="W68" s="340"/>
      <c r="X68" s="8"/>
      <c r="Y68" s="8"/>
      <c r="Z68" s="8"/>
      <c r="AA68" s="8"/>
      <c r="AB68" s="8"/>
      <c r="AC68" s="8"/>
      <c r="AD68" s="8"/>
      <c r="AE68" s="8"/>
      <c r="AF68" s="8"/>
      <c r="AG68" s="8"/>
      <c r="AH68" s="8"/>
      <c r="AI68" s="8"/>
      <c r="AJ68" s="8"/>
      <c r="AK68" s="8"/>
    </row>
    <row r="69" spans="2:37">
      <c r="B69" s="620" t="s">
        <v>248</v>
      </c>
      <c r="C69" s="620"/>
      <c r="D69" s="6"/>
      <c r="E69" s="6"/>
      <c r="F69" s="6"/>
      <c r="G69" s="6"/>
      <c r="H69" s="6"/>
      <c r="I69" s="6"/>
      <c r="J69" s="6"/>
      <c r="K69" s="6"/>
      <c r="L69" s="6"/>
      <c r="M69" s="6"/>
      <c r="N69" s="6"/>
      <c r="O69" s="6"/>
      <c r="P69" s="6"/>
      <c r="Q69" s="6"/>
      <c r="R69" s="6"/>
      <c r="S69" s="6"/>
      <c r="T69" s="6"/>
      <c r="U69" s="6"/>
      <c r="V69" s="6"/>
      <c r="W69" s="6"/>
      <c r="X69" s="6"/>
      <c r="Y69" s="6"/>
      <c r="Z69" s="6"/>
      <c r="AA69" s="6"/>
      <c r="AB69" s="626"/>
      <c r="AC69" s="6"/>
      <c r="AD69" s="235"/>
      <c r="AH69" s="1262"/>
      <c r="AI69" s="1281"/>
      <c r="AJ69" s="1281"/>
      <c r="AK69" s="1281"/>
    </row>
    <row r="70" spans="2:37">
      <c r="B70" s="562" t="s">
        <v>249</v>
      </c>
      <c r="C70" s="131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77">
        <v>1885300</v>
      </c>
      <c r="AF70" s="1386">
        <f>AVERAGE(AE70,AG70)</f>
        <v>1933050</v>
      </c>
      <c r="AG70" s="1277">
        <v>1980800</v>
      </c>
      <c r="AH70" s="1386">
        <f>AVERAGE(AG70,AI70)</f>
        <v>1987450</v>
      </c>
      <c r="AI70" s="1309">
        <v>1994100</v>
      </c>
      <c r="AJ70" s="1587">
        <f>AI70</f>
        <v>1994100</v>
      </c>
      <c r="AK70" s="1685"/>
    </row>
    <row r="71" spans="2:37">
      <c r="B71" s="565" t="s">
        <v>939</v>
      </c>
      <c r="C71" s="1261"/>
      <c r="D71">
        <v>60894</v>
      </c>
      <c r="E71">
        <v>60774</v>
      </c>
      <c r="F71">
        <v>75486</v>
      </c>
      <c r="G71">
        <v>77781</v>
      </c>
      <c r="H71">
        <v>100149</v>
      </c>
      <c r="I71">
        <v>128212</v>
      </c>
      <c r="J71">
        <v>102639</v>
      </c>
      <c r="K71">
        <v>117259</v>
      </c>
      <c r="L71">
        <v>101682</v>
      </c>
      <c r="M71">
        <v>93126</v>
      </c>
      <c r="N71">
        <v>88089</v>
      </c>
      <c r="O71">
        <v>96294</v>
      </c>
      <c r="P71">
        <v>128852</v>
      </c>
      <c r="Q71">
        <v>169252</v>
      </c>
      <c r="R71">
        <v>157400</v>
      </c>
      <c r="S71">
        <v>152429</v>
      </c>
      <c r="T71">
        <v>168970</v>
      </c>
      <c r="U71">
        <v>183231</v>
      </c>
      <c r="V71">
        <v>154984</v>
      </c>
      <c r="W71">
        <v>150161</v>
      </c>
      <c r="X71">
        <v>185842</v>
      </c>
      <c r="Y71">
        <v>185903</v>
      </c>
      <c r="Z71">
        <v>179598</v>
      </c>
      <c r="AA71">
        <v>154217</v>
      </c>
      <c r="AB71">
        <v>134858</v>
      </c>
      <c r="AC71">
        <v>156795</v>
      </c>
      <c r="AD71">
        <v>156433</v>
      </c>
      <c r="AE71">
        <v>162964</v>
      </c>
      <c r="AF71">
        <v>133711</v>
      </c>
      <c r="AG71">
        <v>112746</v>
      </c>
      <c r="AH71">
        <v>104718</v>
      </c>
      <c r="AI71">
        <v>111475</v>
      </c>
      <c r="AJ71">
        <v>119079</v>
      </c>
      <c r="AK71">
        <v>109583</v>
      </c>
    </row>
    <row r="72" spans="2:37">
      <c r="B72" s="565" t="s">
        <v>940</v>
      </c>
      <c r="C72" s="1261"/>
      <c r="D72">
        <v>44326</v>
      </c>
      <c r="E72">
        <v>54750</v>
      </c>
      <c r="F72">
        <v>70872</v>
      </c>
      <c r="G72">
        <v>71087</v>
      </c>
      <c r="H72">
        <v>65451</v>
      </c>
      <c r="I72">
        <v>63526</v>
      </c>
      <c r="J72">
        <v>61822</v>
      </c>
      <c r="K72">
        <v>64821</v>
      </c>
      <c r="L72">
        <v>63033</v>
      </c>
      <c r="M72">
        <v>78074</v>
      </c>
      <c r="N72">
        <v>74864</v>
      </c>
      <c r="O72">
        <v>81184</v>
      </c>
      <c r="P72">
        <v>85951</v>
      </c>
      <c r="Q72">
        <v>44128</v>
      </c>
      <c r="R72">
        <v>43546</v>
      </c>
      <c r="S72">
        <v>47774</v>
      </c>
      <c r="T72">
        <v>43316</v>
      </c>
      <c r="U72">
        <v>46334</v>
      </c>
      <c r="V72">
        <v>44700</v>
      </c>
      <c r="W72">
        <v>39400</v>
      </c>
      <c r="X72">
        <v>44239</v>
      </c>
      <c r="Y72">
        <v>47590</v>
      </c>
      <c r="Z72">
        <v>43928</v>
      </c>
      <c r="AA72">
        <v>46677</v>
      </c>
      <c r="AB72">
        <v>45581</v>
      </c>
      <c r="AC72">
        <v>44554</v>
      </c>
      <c r="AD72">
        <v>45721</v>
      </c>
      <c r="AE72">
        <v>47004</v>
      </c>
      <c r="AF72">
        <v>47524</v>
      </c>
      <c r="AG72">
        <v>48770</v>
      </c>
      <c r="AH72">
        <v>45758</v>
      </c>
      <c r="AI72">
        <v>47538</v>
      </c>
      <c r="AJ72" s="8">
        <v>47687</v>
      </c>
      <c r="AK72" s="8">
        <v>43147</v>
      </c>
    </row>
    <row r="73" spans="2:37">
      <c r="B73" s="565" t="s">
        <v>250</v>
      </c>
      <c r="C73" s="1261"/>
      <c r="D73" s="6">
        <f>SUM(D71:D72)</f>
        <v>105220</v>
      </c>
      <c r="E73" s="6">
        <f t="shared" ref="E73:AI73" si="80">SUM(E71:E72)</f>
        <v>115524</v>
      </c>
      <c r="F73" s="6">
        <f t="shared" si="80"/>
        <v>146358</v>
      </c>
      <c r="G73" s="6">
        <f t="shared" si="80"/>
        <v>148868</v>
      </c>
      <c r="H73" s="6">
        <f t="shared" si="80"/>
        <v>165600</v>
      </c>
      <c r="I73" s="6">
        <f t="shared" si="80"/>
        <v>191738</v>
      </c>
      <c r="J73" s="6">
        <f t="shared" si="80"/>
        <v>164461</v>
      </c>
      <c r="K73" s="6">
        <f t="shared" si="80"/>
        <v>182080</v>
      </c>
      <c r="L73" s="6">
        <f t="shared" si="80"/>
        <v>164715</v>
      </c>
      <c r="M73" s="6">
        <f t="shared" si="80"/>
        <v>171200</v>
      </c>
      <c r="N73" s="6">
        <f t="shared" si="80"/>
        <v>162953</v>
      </c>
      <c r="O73" s="6">
        <f t="shared" si="80"/>
        <v>177478</v>
      </c>
      <c r="P73" s="6">
        <f t="shared" si="80"/>
        <v>214803</v>
      </c>
      <c r="Q73" s="6">
        <f t="shared" si="80"/>
        <v>213380</v>
      </c>
      <c r="R73" s="6">
        <f t="shared" si="80"/>
        <v>200946</v>
      </c>
      <c r="S73" s="6">
        <f t="shared" si="80"/>
        <v>200203</v>
      </c>
      <c r="T73" s="6">
        <f t="shared" si="80"/>
        <v>212286</v>
      </c>
      <c r="U73" s="6">
        <f t="shared" si="80"/>
        <v>229565</v>
      </c>
      <c r="V73" s="6">
        <f t="shared" si="80"/>
        <v>199684</v>
      </c>
      <c r="W73" s="6">
        <f t="shared" si="80"/>
        <v>189561</v>
      </c>
      <c r="X73" s="6">
        <f t="shared" si="80"/>
        <v>230081</v>
      </c>
      <c r="Y73" s="6">
        <f t="shared" si="80"/>
        <v>233493</v>
      </c>
      <c r="Z73" s="6">
        <f t="shared" si="80"/>
        <v>223526</v>
      </c>
      <c r="AA73" s="6">
        <f t="shared" si="80"/>
        <v>200894</v>
      </c>
      <c r="AB73" s="6">
        <f t="shared" si="80"/>
        <v>180439</v>
      </c>
      <c r="AC73" s="6">
        <f t="shared" si="80"/>
        <v>201349</v>
      </c>
      <c r="AD73" s="6">
        <f t="shared" si="80"/>
        <v>202154</v>
      </c>
      <c r="AE73" s="6">
        <f t="shared" si="80"/>
        <v>209968</v>
      </c>
      <c r="AF73" s="6">
        <f t="shared" si="80"/>
        <v>181235</v>
      </c>
      <c r="AG73" s="6">
        <f t="shared" si="80"/>
        <v>161516</v>
      </c>
      <c r="AH73" s="6">
        <f t="shared" si="80"/>
        <v>150476</v>
      </c>
      <c r="AI73" s="6">
        <f t="shared" si="80"/>
        <v>159013</v>
      </c>
      <c r="AJ73" s="6">
        <f t="shared" ref="AJ73:AK73" si="81">SUM(AJ71:AJ72)</f>
        <v>166766</v>
      </c>
      <c r="AK73" s="6">
        <f t="shared" si="81"/>
        <v>152730</v>
      </c>
    </row>
    <row r="74" spans="2:37">
      <c r="B74" s="565" t="s">
        <v>251</v>
      </c>
      <c r="C74" s="1261"/>
      <c r="D74" s="6">
        <f>D73/1000</f>
        <v>105.22</v>
      </c>
      <c r="E74" s="6">
        <f t="shared" ref="E74:AI74" si="82">E73/1000</f>
        <v>115.524</v>
      </c>
      <c r="F74" s="6">
        <f t="shared" si="82"/>
        <v>146.358</v>
      </c>
      <c r="G74" s="6">
        <f t="shared" si="82"/>
        <v>148.86799999999999</v>
      </c>
      <c r="H74" s="6">
        <f t="shared" si="82"/>
        <v>165.6</v>
      </c>
      <c r="I74" s="6">
        <f t="shared" si="82"/>
        <v>191.738</v>
      </c>
      <c r="J74" s="6">
        <f t="shared" si="82"/>
        <v>164.46100000000001</v>
      </c>
      <c r="K74" s="6">
        <f t="shared" si="82"/>
        <v>182.08</v>
      </c>
      <c r="L74" s="6">
        <f t="shared" si="82"/>
        <v>164.715</v>
      </c>
      <c r="M74" s="6">
        <f t="shared" si="82"/>
        <v>171.2</v>
      </c>
      <c r="N74" s="6">
        <f t="shared" si="82"/>
        <v>162.953</v>
      </c>
      <c r="O74" s="6">
        <f t="shared" si="82"/>
        <v>177.47800000000001</v>
      </c>
      <c r="P74" s="6">
        <f t="shared" si="82"/>
        <v>214.803</v>
      </c>
      <c r="Q74" s="6">
        <f t="shared" si="82"/>
        <v>213.38</v>
      </c>
      <c r="R74" s="6">
        <f t="shared" si="82"/>
        <v>200.946</v>
      </c>
      <c r="S74" s="6">
        <f t="shared" si="82"/>
        <v>200.203</v>
      </c>
      <c r="T74" s="6">
        <f t="shared" si="82"/>
        <v>212.286</v>
      </c>
      <c r="U74" s="6">
        <f t="shared" si="82"/>
        <v>229.565</v>
      </c>
      <c r="V74" s="6">
        <f t="shared" si="82"/>
        <v>199.684</v>
      </c>
      <c r="W74" s="6">
        <f t="shared" si="82"/>
        <v>189.56100000000001</v>
      </c>
      <c r="X74" s="6">
        <f t="shared" si="82"/>
        <v>230.08099999999999</v>
      </c>
      <c r="Y74" s="6">
        <f t="shared" si="82"/>
        <v>233.49299999999999</v>
      </c>
      <c r="Z74" s="6">
        <f t="shared" si="82"/>
        <v>223.52600000000001</v>
      </c>
      <c r="AA74" s="6">
        <f t="shared" si="82"/>
        <v>200.89400000000001</v>
      </c>
      <c r="AB74" s="6">
        <f t="shared" si="82"/>
        <v>180.43899999999999</v>
      </c>
      <c r="AC74" s="6">
        <f t="shared" si="82"/>
        <v>201.34899999999999</v>
      </c>
      <c r="AD74" s="6">
        <f t="shared" si="82"/>
        <v>202.154</v>
      </c>
      <c r="AE74" s="6">
        <f t="shared" si="82"/>
        <v>209.96799999999999</v>
      </c>
      <c r="AF74" s="6">
        <f t="shared" si="82"/>
        <v>181.23500000000001</v>
      </c>
      <c r="AG74" s="6">
        <f t="shared" si="82"/>
        <v>161.51599999999999</v>
      </c>
      <c r="AH74" s="6">
        <f t="shared" si="82"/>
        <v>150.476</v>
      </c>
      <c r="AI74" s="6">
        <f t="shared" si="82"/>
        <v>159.01300000000001</v>
      </c>
      <c r="AJ74" s="6">
        <f t="shared" ref="AJ74:AK74" si="83">AJ73/1000</f>
        <v>166.76599999999999</v>
      </c>
      <c r="AK74" s="6">
        <f t="shared" si="83"/>
        <v>152.72999999999999</v>
      </c>
    </row>
    <row r="75" spans="2:37">
      <c r="B75" s="567" t="s">
        <v>252</v>
      </c>
      <c r="C75" s="1319"/>
      <c r="D75" s="624">
        <v>0</v>
      </c>
      <c r="E75" s="1267"/>
      <c r="F75" s="1267"/>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624">
        <v>868</v>
      </c>
      <c r="AG75" s="624">
        <v>894</v>
      </c>
      <c r="AH75" s="624">
        <v>843</v>
      </c>
      <c r="AI75" s="624">
        <v>771</v>
      </c>
      <c r="AJ75" s="624">
        <v>779</v>
      </c>
      <c r="AK75" s="624">
        <v>811</v>
      </c>
    </row>
    <row r="76" spans="2:37">
      <c r="B76" s="1261"/>
      <c r="C76" s="1261"/>
      <c r="D76" s="6"/>
      <c r="E76" s="1317"/>
      <c r="F76" s="1317"/>
      <c r="G76" s="1317"/>
      <c r="H76" s="1317"/>
      <c r="I76" s="1317"/>
      <c r="J76" s="1317"/>
      <c r="K76" s="1317"/>
      <c r="L76" s="1317"/>
      <c r="M76" s="1317"/>
      <c r="N76" s="1317"/>
      <c r="O76" s="1317"/>
      <c r="P76" s="1317"/>
      <c r="Q76" s="1317"/>
      <c r="R76" s="1317"/>
      <c r="S76" s="1317"/>
      <c r="T76" s="1317"/>
      <c r="U76" s="1317"/>
      <c r="V76" s="1317"/>
      <c r="W76" s="1317"/>
      <c r="X76" s="1317"/>
      <c r="Y76" s="1317"/>
      <c r="Z76" s="1317"/>
      <c r="AA76" s="1317"/>
      <c r="AB76" s="1317"/>
      <c r="AC76" s="1317"/>
      <c r="AD76" s="1317"/>
      <c r="AE76" s="1317"/>
      <c r="AF76" s="6"/>
      <c r="AG76" s="6"/>
      <c r="AH76" s="6"/>
      <c r="AI76" s="6"/>
      <c r="AJ76" s="6"/>
      <c r="AK76" s="6"/>
    </row>
    <row r="77" spans="2:37" ht="21.5">
      <c r="B77" s="89" t="s">
        <v>253</v>
      </c>
      <c r="C77" s="1261"/>
      <c r="D77" s="6"/>
      <c r="E77" s="1317"/>
      <c r="F77" s="1317"/>
      <c r="G77" s="1317"/>
      <c r="H77" s="1317"/>
      <c r="I77" s="1317"/>
      <c r="J77" s="1317"/>
      <c r="K77" s="1317"/>
      <c r="L77" s="1317"/>
      <c r="M77" s="1317"/>
      <c r="N77" s="1317"/>
      <c r="O77" s="1317"/>
      <c r="P77" s="1317"/>
      <c r="Q77" s="1317"/>
      <c r="R77" s="1317"/>
      <c r="S77" s="1317"/>
      <c r="T77" s="1317"/>
      <c r="U77" s="1317"/>
      <c r="V77" s="1317"/>
      <c r="W77" s="1317"/>
      <c r="X77" s="1317"/>
      <c r="Y77" s="1317"/>
      <c r="Z77" s="1317"/>
      <c r="AA77" s="1317"/>
      <c r="AB77" s="1317"/>
      <c r="AC77" s="1317"/>
      <c r="AD77" s="1317"/>
      <c r="AE77" s="1317"/>
      <c r="AF77" s="6"/>
      <c r="AG77" s="6"/>
      <c r="AH77" s="6"/>
      <c r="AI77" s="6"/>
      <c r="AJ77" s="6"/>
    </row>
    <row r="78" spans="2:37" ht="15.5">
      <c r="B78" s="916" t="s">
        <v>254</v>
      </c>
      <c r="C78" s="1261"/>
      <c r="D78" s="234"/>
      <c r="E78" s="1317"/>
      <c r="F78" s="1317"/>
      <c r="G78" s="1317"/>
      <c r="H78" s="1317"/>
      <c r="I78" s="1317"/>
      <c r="J78" s="1317"/>
      <c r="K78" s="1317"/>
      <c r="L78" s="1317"/>
      <c r="M78" s="1317"/>
      <c r="N78" s="1317"/>
      <c r="O78" s="1317"/>
      <c r="P78" s="1317"/>
      <c r="Q78" s="1317"/>
      <c r="R78" s="1317"/>
      <c r="S78" s="1317"/>
      <c r="T78" s="1317"/>
      <c r="U78" s="1317"/>
      <c r="V78" s="1317"/>
      <c r="W78" s="1317"/>
      <c r="X78" s="1317"/>
      <c r="Y78" s="1317"/>
      <c r="Z78" s="1317"/>
      <c r="AA78" s="1317"/>
      <c r="AB78" s="1317"/>
      <c r="AC78" s="1317"/>
      <c r="AD78" s="1317"/>
      <c r="AE78" s="1317"/>
      <c r="AF78" s="6"/>
      <c r="AG78" s="6"/>
      <c r="AH78" s="6"/>
      <c r="AI78" s="6"/>
    </row>
    <row r="79" spans="2:37" ht="15.5">
      <c r="B79" s="1755" t="s">
        <v>255</v>
      </c>
      <c r="C79" s="1755"/>
      <c r="D79" s="1755"/>
      <c r="E79" s="1755"/>
      <c r="F79" s="1755"/>
      <c r="G79" s="1755"/>
      <c r="H79" s="1755"/>
      <c r="I79" s="1317"/>
      <c r="J79" s="1317"/>
      <c r="K79" s="1317"/>
      <c r="L79" s="1317"/>
      <c r="M79" s="1317"/>
      <c r="N79" s="1317"/>
      <c r="O79" s="1317"/>
      <c r="P79" s="1317"/>
      <c r="Q79" s="1317"/>
      <c r="R79" s="1317"/>
      <c r="S79" s="1317"/>
      <c r="T79" s="1317"/>
      <c r="U79" s="1317"/>
      <c r="V79" s="1317"/>
      <c r="W79" s="1317"/>
      <c r="X79" s="1317"/>
      <c r="Y79" s="1317"/>
      <c r="Z79" s="1317"/>
      <c r="AA79" s="1317"/>
      <c r="AB79" s="1317"/>
      <c r="AC79" s="1317"/>
      <c r="AD79" s="1317"/>
      <c r="AE79" s="1317"/>
      <c r="AF79" s="6"/>
      <c r="AG79" s="6"/>
      <c r="AH79" s="6"/>
      <c r="AI79" s="6"/>
      <c r="AJ79" s="6"/>
      <c r="AK79" s="6"/>
    </row>
    <row r="80" spans="2:37">
      <c r="B80" s="1323" t="s">
        <v>256</v>
      </c>
      <c r="C80" s="1323" t="s">
        <v>257</v>
      </c>
      <c r="D80" s="1324">
        <v>1990</v>
      </c>
      <c r="E80" s="1324">
        <v>1991</v>
      </c>
      <c r="F80" s="1324">
        <v>1992</v>
      </c>
      <c r="G80" s="1324">
        <v>1993</v>
      </c>
      <c r="H80" s="1324">
        <v>1994</v>
      </c>
      <c r="I80" s="1324">
        <v>1995</v>
      </c>
      <c r="J80" s="1324">
        <v>1996</v>
      </c>
      <c r="K80" s="1324">
        <v>1997</v>
      </c>
      <c r="L80" s="1324">
        <v>1998</v>
      </c>
      <c r="M80" s="1324">
        <v>1999</v>
      </c>
      <c r="N80" s="1324">
        <v>2000</v>
      </c>
      <c r="O80" s="1324">
        <v>2001</v>
      </c>
      <c r="P80" s="1324">
        <v>2002</v>
      </c>
      <c r="Q80" s="1324">
        <v>2003</v>
      </c>
      <c r="R80" s="1324">
        <v>2004</v>
      </c>
      <c r="S80" s="1324">
        <v>2005</v>
      </c>
      <c r="T80" s="1324">
        <v>2006</v>
      </c>
      <c r="U80" s="1324">
        <v>2007</v>
      </c>
      <c r="V80" s="1324">
        <v>2008</v>
      </c>
      <c r="W80" s="1324">
        <v>2009</v>
      </c>
      <c r="X80" s="1324">
        <v>2010</v>
      </c>
      <c r="Y80" s="1324">
        <v>2011</v>
      </c>
      <c r="Z80" s="1324">
        <v>2012</v>
      </c>
      <c r="AA80" s="1324">
        <v>2013</v>
      </c>
      <c r="AB80" s="1324">
        <v>2014</v>
      </c>
      <c r="AC80" s="1324">
        <v>2015</v>
      </c>
      <c r="AD80" s="1324">
        <v>2016</v>
      </c>
      <c r="AE80" s="1324">
        <v>2017</v>
      </c>
      <c r="AF80" s="1324">
        <v>2018</v>
      </c>
      <c r="AG80" s="1324">
        <v>2019</v>
      </c>
      <c r="AH80" s="1324">
        <v>2020</v>
      </c>
      <c r="AI80" s="1324">
        <v>2021</v>
      </c>
      <c r="AJ80" s="1324">
        <v>2022</v>
      </c>
      <c r="AK80" s="1324">
        <v>2023</v>
      </c>
    </row>
    <row r="81" spans="2:37">
      <c r="B81" s="1322" t="s">
        <v>258</v>
      </c>
      <c r="C81" s="1329"/>
      <c r="D81" s="1329"/>
      <c r="E81" s="1329"/>
      <c r="F81" s="1329"/>
      <c r="G81" s="1329"/>
      <c r="H81" s="1329"/>
      <c r="I81" s="1329"/>
      <c r="J81" s="1329"/>
      <c r="K81" s="1329"/>
      <c r="L81" s="1329"/>
      <c r="M81" s="1329"/>
      <c r="N81" s="1329"/>
      <c r="O81" s="1329"/>
      <c r="P81" s="1329"/>
      <c r="Q81" s="1329"/>
      <c r="R81" s="1329"/>
      <c r="S81" s="1329"/>
      <c r="T81" s="1329"/>
      <c r="U81" s="1329"/>
      <c r="V81" s="1329"/>
      <c r="W81" s="1329"/>
      <c r="X81" s="1329"/>
      <c r="Y81" s="1329"/>
      <c r="Z81" s="1329"/>
      <c r="AA81" s="1329"/>
      <c r="AB81" s="1329"/>
      <c r="AC81" s="1329"/>
      <c r="AD81" s="1329"/>
      <c r="AE81" s="1329"/>
      <c r="AF81" s="1329"/>
      <c r="AG81" s="1329"/>
      <c r="AH81" s="1329"/>
      <c r="AI81" s="1329"/>
      <c r="AJ81" s="1329"/>
      <c r="AK81" s="1329"/>
    </row>
    <row r="82" spans="2:37" ht="15.5">
      <c r="B82" s="1315" t="s">
        <v>259</v>
      </c>
      <c r="D82" s="951"/>
      <c r="E82" s="951"/>
      <c r="F82" s="951"/>
      <c r="G82" s="951"/>
      <c r="H82" s="951"/>
      <c r="I82" s="951"/>
      <c r="J82" s="951"/>
      <c r="K82" s="951"/>
      <c r="L82" s="951"/>
      <c r="M82" s="951"/>
      <c r="N82" s="951"/>
      <c r="O82" s="951"/>
      <c r="P82" s="951"/>
      <c r="Q82" s="951"/>
      <c r="R82" s="951"/>
      <c r="S82" s="951"/>
      <c r="T82" s="951"/>
      <c r="U82" s="951"/>
      <c r="V82" s="951"/>
      <c r="W82" s="951"/>
      <c r="X82" s="951"/>
      <c r="Y82" s="951"/>
      <c r="Z82" s="951"/>
      <c r="AA82" s="951"/>
      <c r="AB82" s="951"/>
      <c r="AC82" s="951"/>
      <c r="AD82" s="951"/>
      <c r="AE82" s="951"/>
      <c r="AF82" s="951"/>
      <c r="AG82" s="951"/>
      <c r="AH82" s="620"/>
      <c r="AI82" s="345"/>
      <c r="AJ82" s="620"/>
    </row>
    <row r="83" spans="2:37">
      <c r="B83" s="1181" t="s">
        <v>260</v>
      </c>
      <c r="C83" s="1316" t="s">
        <v>261</v>
      </c>
      <c r="D83" s="1159">
        <v>4597.3619999999992</v>
      </c>
      <c r="E83" s="1159">
        <v>4597.3620000000001</v>
      </c>
      <c r="F83" s="1159">
        <v>4597.3619999999992</v>
      </c>
      <c r="G83" s="1159">
        <v>4416.3044299410021</v>
      </c>
      <c r="H83" s="1159">
        <v>4235.2468598820033</v>
      </c>
      <c r="I83" s="1159">
        <v>4054.1892898230058</v>
      </c>
      <c r="J83" s="1159">
        <v>3873.1317197640074</v>
      </c>
      <c r="K83" s="1159">
        <v>3692.0741497050108</v>
      </c>
      <c r="L83" s="1159">
        <v>3511.0165796460124</v>
      </c>
      <c r="M83" s="1159">
        <v>3329.9590095870144</v>
      </c>
      <c r="N83" s="1159">
        <v>3148.9014395280169</v>
      </c>
      <c r="O83" s="1159">
        <v>2967.843869469019</v>
      </c>
      <c r="P83" s="1159">
        <v>2786.786299410021</v>
      </c>
      <c r="Q83" s="1159">
        <v>2605.7287293510226</v>
      </c>
      <c r="R83" s="1159">
        <v>2424.6711592920251</v>
      </c>
      <c r="S83" s="1159">
        <v>2243.6135892330276</v>
      </c>
      <c r="T83" s="1159">
        <v>2062.5560191740292</v>
      </c>
      <c r="U83" s="1159">
        <v>1881.4984491150312</v>
      </c>
      <c r="V83" s="1159">
        <v>1700.4408790560335</v>
      </c>
      <c r="W83" s="1159">
        <v>1519.3833089970362</v>
      </c>
      <c r="X83" s="1159">
        <v>1338.3257389380376</v>
      </c>
      <c r="Y83" s="1159">
        <v>1157.2681688790399</v>
      </c>
      <c r="Z83" s="1159">
        <v>1157.2681688790401</v>
      </c>
      <c r="AA83" s="1159">
        <v>1157.2681688790401</v>
      </c>
      <c r="AB83" s="1159">
        <v>1157.2681688790399</v>
      </c>
      <c r="AC83" s="1159">
        <v>1157.2681688790401</v>
      </c>
      <c r="AD83" s="1159">
        <v>1157.2681688790399</v>
      </c>
      <c r="AE83" s="1159">
        <v>1157.2681688790401</v>
      </c>
      <c r="AF83" s="1159">
        <v>1157.2681688790399</v>
      </c>
      <c r="AG83" s="1159">
        <v>1157.2681688790399</v>
      </c>
      <c r="AH83" s="1159">
        <v>1157.2681688790401</v>
      </c>
      <c r="AI83" s="1159">
        <v>1157.2681688790399</v>
      </c>
      <c r="AJ83" s="1159">
        <v>1157.2681688790399</v>
      </c>
      <c r="AK83" s="1666">
        <v>1157.2681688790399</v>
      </c>
    </row>
    <row r="84" spans="2:37">
      <c r="B84" s="1316" t="s">
        <v>262</v>
      </c>
      <c r="C84" s="1316" t="s">
        <v>261</v>
      </c>
      <c r="D84" s="1159">
        <v>2122.2573367552886</v>
      </c>
      <c r="E84" s="1159">
        <v>2122.2573367552886</v>
      </c>
      <c r="F84" s="1159">
        <v>2122.2573367552886</v>
      </c>
      <c r="G84" s="1159">
        <v>2055.8924572132933</v>
      </c>
      <c r="H84" s="1159">
        <v>1989.5275776712983</v>
      </c>
      <c r="I84" s="1159">
        <v>1923.1626981293032</v>
      </c>
      <c r="J84" s="1159">
        <v>1856.797818587308</v>
      </c>
      <c r="K84" s="1159">
        <v>1790.4329390453127</v>
      </c>
      <c r="L84" s="1159">
        <v>1724.0680595033177</v>
      </c>
      <c r="M84" s="1159">
        <v>1657.7031799613221</v>
      </c>
      <c r="N84" s="1159">
        <v>1591.338300419327</v>
      </c>
      <c r="O84" s="1159">
        <v>1524.9734208773318</v>
      </c>
      <c r="P84" s="1159">
        <v>1458.6085413353364</v>
      </c>
      <c r="Q84" s="1159">
        <v>1392.2436617933417</v>
      </c>
      <c r="R84" s="1159">
        <v>1325.8787822513461</v>
      </c>
      <c r="S84" s="1159">
        <v>1259.513902709351</v>
      </c>
      <c r="T84" s="1159">
        <v>1193.1490231673554</v>
      </c>
      <c r="U84" s="1159">
        <v>1126.7841436253605</v>
      </c>
      <c r="V84" s="1159">
        <v>1060.4192640833653</v>
      </c>
      <c r="W84" s="1159">
        <v>994.05438454137027</v>
      </c>
      <c r="X84" s="1159">
        <v>927.68950499937489</v>
      </c>
      <c r="Y84" s="1159">
        <v>861.32462545737985</v>
      </c>
      <c r="Z84" s="1159">
        <v>861.32462545737985</v>
      </c>
      <c r="AA84" s="1159">
        <v>861.32462545737985</v>
      </c>
      <c r="AB84" s="1159">
        <v>861.32462545737985</v>
      </c>
      <c r="AC84" s="1159">
        <v>861.32462545737974</v>
      </c>
      <c r="AD84" s="1159">
        <v>861.32462545737997</v>
      </c>
      <c r="AE84" s="1159">
        <v>861.32462545738008</v>
      </c>
      <c r="AF84" s="1159">
        <v>861.32462545737985</v>
      </c>
      <c r="AG84" s="1159">
        <v>861.32462545737997</v>
      </c>
      <c r="AH84" s="1159">
        <v>861.32462545737985</v>
      </c>
      <c r="AI84" s="1159">
        <v>861.32462545737985</v>
      </c>
      <c r="AJ84" s="1159">
        <v>861.32462545737997</v>
      </c>
      <c r="AK84" s="1666">
        <v>861.32462545737997</v>
      </c>
    </row>
    <row r="85" spans="2:37">
      <c r="B85" s="1316" t="s">
        <v>263</v>
      </c>
      <c r="C85" s="1316" t="s">
        <v>261</v>
      </c>
      <c r="D85" s="1159">
        <v>59.068582931162041</v>
      </c>
      <c r="E85" s="1159">
        <v>59.068582931162034</v>
      </c>
      <c r="F85" s="1159">
        <v>59.068582931162034</v>
      </c>
      <c r="G85" s="1159">
        <v>61.051758494564261</v>
      </c>
      <c r="H85" s="1159">
        <v>63.034934057966481</v>
      </c>
      <c r="I85" s="1159">
        <v>65.018109621368694</v>
      </c>
      <c r="J85" s="1159">
        <v>67.001285184770921</v>
      </c>
      <c r="K85" s="1159">
        <v>68.984460748173149</v>
      </c>
      <c r="L85" s="1159">
        <v>70.967636311575376</v>
      </c>
      <c r="M85" s="1159">
        <v>72.950811874977589</v>
      </c>
      <c r="N85" s="1159">
        <v>74.93398743837983</v>
      </c>
      <c r="O85" s="1159">
        <v>76.917163001782043</v>
      </c>
      <c r="P85" s="1159">
        <v>78.900338565184256</v>
      </c>
      <c r="Q85" s="1159">
        <v>80.883514128586469</v>
      </c>
      <c r="R85" s="1159">
        <v>82.866689691988697</v>
      </c>
      <c r="S85" s="1159">
        <v>84.849865255390938</v>
      </c>
      <c r="T85" s="1159">
        <v>86.833040818793151</v>
      </c>
      <c r="U85" s="1159">
        <v>88.816216382195364</v>
      </c>
      <c r="V85" s="1159">
        <v>90.799391945597591</v>
      </c>
      <c r="W85" s="1159">
        <v>92.782567508999819</v>
      </c>
      <c r="X85" s="1159">
        <v>94.765743072402032</v>
      </c>
      <c r="Y85" s="1159">
        <v>96.748918635804259</v>
      </c>
      <c r="Z85" s="1159">
        <v>96.748918635804259</v>
      </c>
      <c r="AA85" s="1159">
        <v>96.748918635804273</v>
      </c>
      <c r="AB85" s="1159">
        <v>96.748918635804259</v>
      </c>
      <c r="AC85" s="1159">
        <v>96.748918635804245</v>
      </c>
      <c r="AD85" s="1159">
        <v>96.748918635804245</v>
      </c>
      <c r="AE85" s="1159">
        <v>96.74891863580423</v>
      </c>
      <c r="AF85" s="1159">
        <v>96.748918635804259</v>
      </c>
      <c r="AG85" s="1159">
        <v>96.748918635804273</v>
      </c>
      <c r="AH85" s="1159">
        <v>96.748918635804259</v>
      </c>
      <c r="AI85" s="1159">
        <v>96.748918635804273</v>
      </c>
      <c r="AJ85" s="1159">
        <v>96.748918635804273</v>
      </c>
      <c r="AK85" s="1666">
        <v>96.748918635804273</v>
      </c>
    </row>
    <row r="86" spans="2:37">
      <c r="B86" s="1316" t="s">
        <v>264</v>
      </c>
      <c r="C86" s="1316" t="s">
        <v>261</v>
      </c>
      <c r="D86" s="1159">
        <v>190.86660000000001</v>
      </c>
      <c r="E86" s="1159">
        <v>190.86659999999998</v>
      </c>
      <c r="F86" s="1159">
        <v>190.86660000000001</v>
      </c>
      <c r="G86" s="1159">
        <v>182.3392713859686</v>
      </c>
      <c r="H86" s="1159">
        <v>173.8119427719372</v>
      </c>
      <c r="I86" s="1159">
        <v>165.28461415790582</v>
      </c>
      <c r="J86" s="1159">
        <v>156.75728554387442</v>
      </c>
      <c r="K86" s="1159">
        <v>148.22995692984298</v>
      </c>
      <c r="L86" s="1159">
        <v>139.70262831581161</v>
      </c>
      <c r="M86" s="1159">
        <v>131.1752997017802</v>
      </c>
      <c r="N86" s="1159">
        <v>122.64797108774883</v>
      </c>
      <c r="O86" s="1159">
        <v>114.12064247371741</v>
      </c>
      <c r="P86" s="1159">
        <v>105.59331385968602</v>
      </c>
      <c r="Q86" s="1159">
        <v>97.065985245654645</v>
      </c>
      <c r="R86" s="1159">
        <v>88.53865663162324</v>
      </c>
      <c r="S86" s="1159">
        <v>80.011328017591836</v>
      </c>
      <c r="T86" s="1159">
        <v>71.48399940356046</v>
      </c>
      <c r="U86" s="1159">
        <v>62.956670789529056</v>
      </c>
      <c r="V86" s="1159">
        <v>54.429342175497659</v>
      </c>
      <c r="W86" s="1159">
        <v>45.902013561466248</v>
      </c>
      <c r="X86" s="1159">
        <v>37.374684947434851</v>
      </c>
      <c r="Y86" s="1159">
        <v>28.847356333403471</v>
      </c>
      <c r="Z86" s="1159">
        <v>28.847356333403471</v>
      </c>
      <c r="AA86" s="1159">
        <v>28.847356333403471</v>
      </c>
      <c r="AB86" s="1159">
        <v>28.847356333403475</v>
      </c>
      <c r="AC86" s="1159">
        <v>28.847356333403471</v>
      </c>
      <c r="AD86" s="1159">
        <v>28.847356333403471</v>
      </c>
      <c r="AE86" s="1159">
        <v>28.847356333403475</v>
      </c>
      <c r="AF86" s="1159">
        <v>28.847356333403471</v>
      </c>
      <c r="AG86" s="1159">
        <v>28.847356333403468</v>
      </c>
      <c r="AH86" s="1159">
        <v>28.847356333403471</v>
      </c>
      <c r="AI86" s="1159">
        <v>28.847356333403464</v>
      </c>
      <c r="AJ86" s="1159">
        <v>28.847356333403471</v>
      </c>
      <c r="AK86" s="1666">
        <v>28.847356333403471</v>
      </c>
    </row>
    <row r="87" spans="2:37">
      <c r="B87" s="1316" t="s">
        <v>265</v>
      </c>
      <c r="C87" s="1316" t="s">
        <v>266</v>
      </c>
      <c r="D87" s="1159">
        <v>32.756785223365263</v>
      </c>
      <c r="E87" s="1159">
        <v>32.756785223365263</v>
      </c>
      <c r="F87" s="1159">
        <v>32.756785223365263</v>
      </c>
      <c r="G87" s="1159">
        <v>31.795199551624755</v>
      </c>
      <c r="H87" s="1159">
        <v>30.833613879884247</v>
      </c>
      <c r="I87" s="1159">
        <v>29.872028208143746</v>
      </c>
      <c r="J87" s="1159">
        <v>28.910442536403242</v>
      </c>
      <c r="K87" s="1159">
        <v>27.948856864662726</v>
      </c>
      <c r="L87" s="1159">
        <v>26.987271192922222</v>
      </c>
      <c r="M87" s="1159">
        <v>26.025685521181721</v>
      </c>
      <c r="N87" s="1159">
        <v>25.064099849441217</v>
      </c>
      <c r="O87" s="1159">
        <v>24.102514177700709</v>
      </c>
      <c r="P87" s="1159">
        <v>23.140928505960201</v>
      </c>
      <c r="Q87" s="1159">
        <v>22.179342834219693</v>
      </c>
      <c r="R87" s="1159">
        <v>21.217757162479192</v>
      </c>
      <c r="S87" s="1159">
        <v>20.256171490738687</v>
      </c>
      <c r="T87" s="1159">
        <v>19.294585818998176</v>
      </c>
      <c r="U87" s="1159">
        <v>18.333000147257671</v>
      </c>
      <c r="V87" s="1159">
        <v>17.371414475517167</v>
      </c>
      <c r="W87" s="1159">
        <v>16.409828803776659</v>
      </c>
      <c r="X87" s="1159">
        <v>15.448243132036156</v>
      </c>
      <c r="Y87" s="1159">
        <v>14.486657460295646</v>
      </c>
      <c r="Z87" s="1159">
        <v>14.486657460295646</v>
      </c>
      <c r="AA87" s="1159">
        <v>14.486657460295648</v>
      </c>
      <c r="AB87" s="1159">
        <v>14.486657460295644</v>
      </c>
      <c r="AC87" s="1159">
        <v>14.486657460295646</v>
      </c>
      <c r="AD87" s="1159">
        <v>14.486657460295643</v>
      </c>
      <c r="AE87" s="1159">
        <v>14.486657460295646</v>
      </c>
      <c r="AF87" s="1159">
        <v>14.486657460295648</v>
      </c>
      <c r="AG87" s="1159">
        <v>14.486657460295646</v>
      </c>
      <c r="AH87" s="1159">
        <v>14.486657460295648</v>
      </c>
      <c r="AI87" s="1159">
        <v>14.486657460295646</v>
      </c>
      <c r="AJ87" s="1159">
        <v>14.486657460295646</v>
      </c>
      <c r="AK87" s="1666">
        <v>14.486657460295646</v>
      </c>
    </row>
    <row r="88" spans="2:37">
      <c r="B88" s="1316" t="s">
        <v>267</v>
      </c>
      <c r="C88" s="1316" t="s">
        <v>266</v>
      </c>
      <c r="D88" s="1159">
        <v>3.3993082289156336</v>
      </c>
      <c r="E88" s="1159">
        <v>3.3993082289156336</v>
      </c>
      <c r="F88" s="1159">
        <v>3.399308228915634</v>
      </c>
      <c r="G88" s="1159">
        <v>3.2885686485546768</v>
      </c>
      <c r="H88" s="1159">
        <v>3.1778290681937196</v>
      </c>
      <c r="I88" s="1159">
        <v>3.0670894878327641</v>
      </c>
      <c r="J88" s="1159">
        <v>2.9563499074718074</v>
      </c>
      <c r="K88" s="1159">
        <v>2.8456103271108506</v>
      </c>
      <c r="L88" s="1159">
        <v>2.7348707467498938</v>
      </c>
      <c r="M88" s="1159">
        <v>2.6241311663889371</v>
      </c>
      <c r="N88" s="1159">
        <v>2.5133915860279799</v>
      </c>
      <c r="O88" s="1159">
        <v>2.402652005667024</v>
      </c>
      <c r="P88" s="1159">
        <v>2.2919124253060672</v>
      </c>
      <c r="Q88" s="1159">
        <v>2.1811728449451104</v>
      </c>
      <c r="R88" s="1159">
        <v>2.0704332645841537</v>
      </c>
      <c r="S88" s="1159">
        <v>1.9596936842231971</v>
      </c>
      <c r="T88" s="1159">
        <v>1.8489541038622404</v>
      </c>
      <c r="U88" s="1159">
        <v>1.738214523501284</v>
      </c>
      <c r="V88" s="1159">
        <v>1.6274749431403275</v>
      </c>
      <c r="W88" s="1159">
        <v>1.5167353627793705</v>
      </c>
      <c r="X88" s="1159">
        <v>1.4059957824184142</v>
      </c>
      <c r="Y88" s="1159">
        <v>1.2952562020574574</v>
      </c>
      <c r="Z88" s="1159">
        <v>1.2952562020574574</v>
      </c>
      <c r="AA88" s="1159">
        <v>1.2952562020574574</v>
      </c>
      <c r="AB88" s="1159">
        <v>1.2952562020574574</v>
      </c>
      <c r="AC88" s="1159">
        <v>1.2952562020574574</v>
      </c>
      <c r="AD88" s="1159">
        <v>1.2952562020574572</v>
      </c>
      <c r="AE88" s="1159">
        <v>1.2952562020574572</v>
      </c>
      <c r="AF88" s="1159">
        <v>1.2952562020574574</v>
      </c>
      <c r="AG88" s="1159">
        <v>1.2952562020574574</v>
      </c>
      <c r="AH88" s="1159">
        <v>1.2952562020574574</v>
      </c>
      <c r="AI88" s="1159">
        <v>1.2952562020574574</v>
      </c>
      <c r="AJ88" s="1159">
        <v>1.2952562020574572</v>
      </c>
      <c r="AK88" s="1666">
        <v>1.2952562020574572</v>
      </c>
    </row>
    <row r="89" spans="2:37">
      <c r="B89" s="1316" t="s">
        <v>268</v>
      </c>
      <c r="C89" s="1316" t="s">
        <v>266</v>
      </c>
      <c r="D89" s="1159">
        <v>0.17908210200439584</v>
      </c>
      <c r="E89" s="1159">
        <v>0.17908210200439587</v>
      </c>
      <c r="F89" s="1159">
        <v>0.17908210200439587</v>
      </c>
      <c r="G89" s="1159">
        <v>0.18349851771977316</v>
      </c>
      <c r="H89" s="1159">
        <v>0.18791493343515048</v>
      </c>
      <c r="I89" s="1159">
        <v>0.19233134915052774</v>
      </c>
      <c r="J89" s="1159">
        <v>0.19674776486590506</v>
      </c>
      <c r="K89" s="1159">
        <v>0.20116418058128233</v>
      </c>
      <c r="L89" s="1159">
        <v>0.20558059629665965</v>
      </c>
      <c r="M89" s="1159">
        <v>0.20999701201203694</v>
      </c>
      <c r="N89" s="1159">
        <v>0.21441342772741426</v>
      </c>
      <c r="O89" s="1159">
        <v>0.21882984344279155</v>
      </c>
      <c r="P89" s="1159">
        <v>0.22324625915816884</v>
      </c>
      <c r="Q89" s="1159">
        <v>0.22766267487354616</v>
      </c>
      <c r="R89" s="1159">
        <v>0.23207909058892345</v>
      </c>
      <c r="S89" s="1159">
        <v>0.23649550630430075</v>
      </c>
      <c r="T89" s="1159">
        <v>0.24091192201967807</v>
      </c>
      <c r="U89" s="1159">
        <v>0.24532833773505533</v>
      </c>
      <c r="V89" s="1159">
        <v>0.24974475345043262</v>
      </c>
      <c r="W89" s="1159">
        <v>0.25416116916580994</v>
      </c>
      <c r="X89" s="1159">
        <v>0.25857758488118726</v>
      </c>
      <c r="Y89" s="1159">
        <v>0.26299400059656458</v>
      </c>
      <c r="Z89" s="1159">
        <v>0.26299400059656447</v>
      </c>
      <c r="AA89" s="1159">
        <v>0.26299400059656453</v>
      </c>
      <c r="AB89" s="1159">
        <v>0.26299400059656458</v>
      </c>
      <c r="AC89" s="1159">
        <v>0.26299400059656453</v>
      </c>
      <c r="AD89" s="1159">
        <v>0.26299400059656458</v>
      </c>
      <c r="AE89" s="1159">
        <v>0.26299400059656458</v>
      </c>
      <c r="AF89" s="1159">
        <v>0.26299400059656453</v>
      </c>
      <c r="AG89" s="1159">
        <v>0.26299400059656453</v>
      </c>
      <c r="AH89" s="1159">
        <v>0.26299400059656453</v>
      </c>
      <c r="AI89" s="1159">
        <v>0.26299400059656458</v>
      </c>
      <c r="AJ89" s="1159">
        <v>0.26299400059656458</v>
      </c>
      <c r="AK89" s="1666">
        <v>0.26299400059656458</v>
      </c>
    </row>
    <row r="90" spans="2:37">
      <c r="B90" s="1183" t="s">
        <v>269</v>
      </c>
      <c r="C90" s="1183" t="s">
        <v>266</v>
      </c>
      <c r="D90" s="1325">
        <v>4.8983152757174828</v>
      </c>
      <c r="E90" s="1325">
        <v>4.8983152757174828</v>
      </c>
      <c r="F90" s="1325">
        <v>4.8983152757174828</v>
      </c>
      <c r="G90" s="1325">
        <v>4.8983152757174828</v>
      </c>
      <c r="H90" s="1325">
        <v>4.8983152757174828</v>
      </c>
      <c r="I90" s="1325">
        <v>4.8983152757174828</v>
      </c>
      <c r="J90" s="1325">
        <v>4.8983152757174837</v>
      </c>
      <c r="K90" s="1325">
        <v>4.8983152757174837</v>
      </c>
      <c r="L90" s="1325">
        <v>4.8983152757174828</v>
      </c>
      <c r="M90" s="1325">
        <v>4.8983152757174828</v>
      </c>
      <c r="N90" s="1325">
        <v>4.8983152757174837</v>
      </c>
      <c r="O90" s="1325">
        <v>4.8983152757174828</v>
      </c>
      <c r="P90" s="1325">
        <v>4.8983152757174837</v>
      </c>
      <c r="Q90" s="1325">
        <v>4.8983152757174828</v>
      </c>
      <c r="R90" s="1325">
        <v>4.8983152757174828</v>
      </c>
      <c r="S90" s="1325">
        <v>4.8983152757174828</v>
      </c>
      <c r="T90" s="1325">
        <v>4.8983152757174837</v>
      </c>
      <c r="U90" s="1325">
        <v>4.8983152757174828</v>
      </c>
      <c r="V90" s="1325">
        <v>4.8983152757174837</v>
      </c>
      <c r="W90" s="1325">
        <v>4.8983152757174837</v>
      </c>
      <c r="X90" s="1325">
        <v>4.8983152757174828</v>
      </c>
      <c r="Y90" s="1325">
        <v>4.8983152757174837</v>
      </c>
      <c r="Z90" s="1325">
        <v>4.8983152757174837</v>
      </c>
      <c r="AA90" s="1325">
        <v>4.8983152757174837</v>
      </c>
      <c r="AB90" s="1325">
        <v>4.8983152757174837</v>
      </c>
      <c r="AC90" s="1325">
        <v>4.8983152757174837</v>
      </c>
      <c r="AD90" s="1325">
        <v>4.8983152757174837</v>
      </c>
      <c r="AE90" s="1325">
        <v>4.8983152757174828</v>
      </c>
      <c r="AF90" s="1325">
        <v>4.8983152757174828</v>
      </c>
      <c r="AG90" s="1325">
        <v>4.8983152757174837</v>
      </c>
      <c r="AH90" s="1325">
        <v>4.8983152757174837</v>
      </c>
      <c r="AI90" s="1325">
        <v>4.8983152757174828</v>
      </c>
      <c r="AJ90" s="1325">
        <v>4.8983152757174828</v>
      </c>
      <c r="AK90" s="1667">
        <v>4.8983152757174828</v>
      </c>
    </row>
    <row r="91" spans="2:37">
      <c r="B91" s="1315" t="s">
        <v>270</v>
      </c>
      <c r="C91" s="1320"/>
      <c r="D91" s="1326"/>
      <c r="E91" s="1326"/>
      <c r="F91" s="1326"/>
      <c r="G91" s="1326"/>
      <c r="H91" s="1326"/>
      <c r="I91" s="1326"/>
      <c r="J91" s="1326"/>
      <c r="K91" s="1326"/>
      <c r="L91" s="1326"/>
      <c r="M91" s="1326"/>
      <c r="N91" s="1326"/>
      <c r="O91" s="1326"/>
      <c r="P91" s="1326"/>
      <c r="Q91" s="1326"/>
      <c r="R91" s="1326"/>
      <c r="S91" s="1326"/>
      <c r="T91" s="1326"/>
      <c r="U91" s="1326"/>
      <c r="V91" s="1326"/>
      <c r="W91" s="1326"/>
      <c r="X91" s="1326"/>
      <c r="Y91" s="1326"/>
      <c r="Z91" s="1326"/>
      <c r="AA91" s="1326"/>
      <c r="AB91" s="1326"/>
      <c r="AC91" s="1326"/>
      <c r="AD91" s="1326"/>
      <c r="AE91" s="1326"/>
      <c r="AF91" s="1326"/>
      <c r="AG91" s="1326"/>
      <c r="AH91" s="1326"/>
      <c r="AI91" s="1326"/>
      <c r="AJ91" s="1326"/>
      <c r="AK91" s="1668"/>
    </row>
    <row r="92" spans="2:37">
      <c r="B92" s="1321" t="s">
        <v>271</v>
      </c>
      <c r="C92" s="1181" t="s">
        <v>272</v>
      </c>
      <c r="D92" s="1257">
        <v>30335.424480000005</v>
      </c>
      <c r="E92" s="1257">
        <v>30335.424480000001</v>
      </c>
      <c r="F92" s="1257">
        <v>30335.424479999998</v>
      </c>
      <c r="G92" s="1257">
        <v>28851.597587368418</v>
      </c>
      <c r="H92" s="1257">
        <v>27367.770694736839</v>
      </c>
      <c r="I92" s="1257">
        <v>25883.943802105263</v>
      </c>
      <c r="J92" s="1257">
        <v>24400.116909473683</v>
      </c>
      <c r="K92" s="1257">
        <v>22916.290016842107</v>
      </c>
      <c r="L92" s="1257">
        <v>21432.463124210524</v>
      </c>
      <c r="M92" s="1257">
        <v>19948.636231578945</v>
      </c>
      <c r="N92" s="1257">
        <v>18464.809338947365</v>
      </c>
      <c r="O92" s="1257">
        <v>16980.982446315789</v>
      </c>
      <c r="P92" s="1257">
        <v>15497.155553684212</v>
      </c>
      <c r="Q92" s="1257">
        <v>14013.32866105263</v>
      </c>
      <c r="R92" s="1257">
        <v>12529.501768421058</v>
      </c>
      <c r="S92" s="1257">
        <v>11045.674875789473</v>
      </c>
      <c r="T92" s="1257">
        <v>9561.8479831578952</v>
      </c>
      <c r="U92" s="1257">
        <v>8078.0210905263157</v>
      </c>
      <c r="V92" s="1257">
        <v>6594.1941978947352</v>
      </c>
      <c r="W92" s="1257">
        <v>5110.3673052631566</v>
      </c>
      <c r="X92" s="1257">
        <v>3626.5404126315775</v>
      </c>
      <c r="Y92" s="1257">
        <v>2142.7135199999998</v>
      </c>
      <c r="Z92" s="1257">
        <v>2142.7135199999998</v>
      </c>
      <c r="AA92" s="1257">
        <v>2142.7135199999998</v>
      </c>
      <c r="AB92" s="1257">
        <v>2142.7135199999998</v>
      </c>
      <c r="AC92" s="1257">
        <v>2142.7135199999998</v>
      </c>
      <c r="AD92" s="1257">
        <v>2142.7135199999998</v>
      </c>
      <c r="AE92" s="1257">
        <v>2142.7135199999998</v>
      </c>
      <c r="AF92" s="1257">
        <v>2142.7135199999998</v>
      </c>
      <c r="AG92" s="1257">
        <v>2142.7135199999998</v>
      </c>
      <c r="AH92" s="1257">
        <v>2142.7135200000002</v>
      </c>
      <c r="AI92" s="1257">
        <v>2142.7135199999993</v>
      </c>
      <c r="AJ92" s="1257">
        <v>2142.7135200000002</v>
      </c>
      <c r="AK92" s="1669">
        <v>2142.7135200000002</v>
      </c>
    </row>
    <row r="93" spans="2:37">
      <c r="B93" s="1316" t="s">
        <v>273</v>
      </c>
      <c r="C93" s="1316" t="s">
        <v>272</v>
      </c>
      <c r="D93" s="1159">
        <v>16129.402560000002</v>
      </c>
      <c r="E93" s="1159">
        <v>16129.402559999999</v>
      </c>
      <c r="F93" s="1159">
        <v>16129.402559999999</v>
      </c>
      <c r="G93" s="1159">
        <v>15332.877890526313</v>
      </c>
      <c r="H93" s="1159">
        <v>14536.353221052628</v>
      </c>
      <c r="I93" s="1159">
        <v>13739.828551578947</v>
      </c>
      <c r="J93" s="1159">
        <v>12943.303882105261</v>
      </c>
      <c r="K93" s="1159">
        <v>12146.779212631576</v>
      </c>
      <c r="L93" s="1159">
        <v>11350.254543157893</v>
      </c>
      <c r="M93" s="1159">
        <v>10553.729873684211</v>
      </c>
      <c r="N93" s="1159">
        <v>9757.2052042105261</v>
      </c>
      <c r="O93" s="1159">
        <v>8960.6805347368409</v>
      </c>
      <c r="P93" s="1159">
        <v>8164.1558652631593</v>
      </c>
      <c r="Q93" s="1159">
        <v>7367.6311957894723</v>
      </c>
      <c r="R93" s="1159">
        <v>6571.1065263157889</v>
      </c>
      <c r="S93" s="1159">
        <v>5774.5818568421064</v>
      </c>
      <c r="T93" s="1159">
        <v>4978.0571873684221</v>
      </c>
      <c r="U93" s="1159">
        <v>4181.5325178947369</v>
      </c>
      <c r="V93" s="1159">
        <v>3385.0078484210535</v>
      </c>
      <c r="W93" s="1159">
        <v>2588.4831789473697</v>
      </c>
      <c r="X93" s="1159">
        <v>1791.958509473684</v>
      </c>
      <c r="Y93" s="1159">
        <v>995.43384000000003</v>
      </c>
      <c r="Z93" s="1159">
        <v>995.43384000000003</v>
      </c>
      <c r="AA93" s="1159">
        <v>995.43384000000015</v>
      </c>
      <c r="AB93" s="1159">
        <v>995.43383999999992</v>
      </c>
      <c r="AC93" s="1159">
        <v>995.43384000000003</v>
      </c>
      <c r="AD93" s="1159">
        <v>995.43384000000015</v>
      </c>
      <c r="AE93" s="1159">
        <v>995.4338399999998</v>
      </c>
      <c r="AF93" s="1159">
        <v>995.43384000000003</v>
      </c>
      <c r="AG93" s="1159">
        <v>995.43384000000003</v>
      </c>
      <c r="AH93" s="1159">
        <v>995.43383999999992</v>
      </c>
      <c r="AI93" s="1159">
        <v>995.43383999999992</v>
      </c>
      <c r="AJ93" s="1159">
        <v>995.43384000000003</v>
      </c>
      <c r="AK93" s="1666">
        <v>995.43384000000003</v>
      </c>
    </row>
    <row r="94" spans="2:37">
      <c r="B94" s="1316" t="s">
        <v>274</v>
      </c>
      <c r="C94" s="1316" t="s">
        <v>272</v>
      </c>
      <c r="D94" s="1159">
        <v>727.17285600000002</v>
      </c>
      <c r="E94" s="1159">
        <v>727.17285599999991</v>
      </c>
      <c r="F94" s="1159">
        <v>727.17285599999991</v>
      </c>
      <c r="G94" s="1159">
        <v>727.17285599999991</v>
      </c>
      <c r="H94" s="1159">
        <v>727.17285599999991</v>
      </c>
      <c r="I94" s="1159">
        <v>727.17285600000002</v>
      </c>
      <c r="J94" s="1159">
        <v>727.17285599999991</v>
      </c>
      <c r="K94" s="1159">
        <v>727.17285599999991</v>
      </c>
      <c r="L94" s="1159">
        <v>727.17285599999991</v>
      </c>
      <c r="M94" s="1159">
        <v>727.17285599999991</v>
      </c>
      <c r="N94" s="1159">
        <v>727.17285599999991</v>
      </c>
      <c r="O94" s="1159">
        <v>727.17285599999991</v>
      </c>
      <c r="P94" s="1159">
        <v>727.17285599999991</v>
      </c>
      <c r="Q94" s="1159">
        <v>727.1728559999998</v>
      </c>
      <c r="R94" s="1159">
        <v>727.17285599999991</v>
      </c>
      <c r="S94" s="1159">
        <v>727.17285599999991</v>
      </c>
      <c r="T94" s="1159">
        <v>727.17285599999991</v>
      </c>
      <c r="U94" s="1159">
        <v>727.1728559999998</v>
      </c>
      <c r="V94" s="1159">
        <v>727.17285599999991</v>
      </c>
      <c r="W94" s="1159">
        <v>727.17285599999991</v>
      </c>
      <c r="X94" s="1159">
        <v>727.17285599999991</v>
      </c>
      <c r="Y94" s="1159">
        <v>727.17285599999991</v>
      </c>
      <c r="Z94" s="1159">
        <v>727.17285599999991</v>
      </c>
      <c r="AA94" s="1159">
        <v>727.17285599999991</v>
      </c>
      <c r="AB94" s="1159">
        <v>727.1728559999998</v>
      </c>
      <c r="AC94" s="1159">
        <v>727.17285600000002</v>
      </c>
      <c r="AD94" s="1159">
        <v>727.17285599999991</v>
      </c>
      <c r="AE94" s="1159">
        <v>727.17285599999991</v>
      </c>
      <c r="AF94" s="1159">
        <v>727.1728559999998</v>
      </c>
      <c r="AG94" s="1159">
        <v>727.17285600000002</v>
      </c>
      <c r="AH94" s="1159">
        <v>727.17285599999991</v>
      </c>
      <c r="AI94" s="1159">
        <v>727.17285600000002</v>
      </c>
      <c r="AJ94" s="1159">
        <v>727.17285599999991</v>
      </c>
      <c r="AK94" s="1666">
        <v>727.17285599999991</v>
      </c>
    </row>
    <row r="95" spans="2:37">
      <c r="B95" s="1316" t="s">
        <v>275</v>
      </c>
      <c r="C95" s="1316" t="s">
        <v>272</v>
      </c>
      <c r="D95" s="1159">
        <v>27315.379440000001</v>
      </c>
      <c r="E95" s="1159">
        <v>27315.379440000004</v>
      </c>
      <c r="F95" s="1159">
        <v>27315.379440000001</v>
      </c>
      <c r="G95" s="1159">
        <v>25923.45924</v>
      </c>
      <c r="H95" s="1159">
        <v>24531.53904</v>
      </c>
      <c r="I95" s="1159">
        <v>23139.618839999999</v>
      </c>
      <c r="J95" s="1159">
        <v>21747.698639999999</v>
      </c>
      <c r="K95" s="1159">
        <v>20355.778440000002</v>
      </c>
      <c r="L95" s="1159">
        <v>18963.858240000001</v>
      </c>
      <c r="M95" s="1159">
        <v>17571.938039999997</v>
      </c>
      <c r="N95" s="1159">
        <v>16180.017839999999</v>
      </c>
      <c r="O95" s="1159">
        <v>14788.097639999998</v>
      </c>
      <c r="P95" s="1159">
        <v>13396.177440000001</v>
      </c>
      <c r="Q95" s="1159">
        <v>12004.257240000003</v>
      </c>
      <c r="R95" s="1159">
        <v>10612.337040000002</v>
      </c>
      <c r="S95" s="1159">
        <v>9220.4168400000017</v>
      </c>
      <c r="T95" s="1159">
        <v>7828.4966400000012</v>
      </c>
      <c r="U95" s="1159">
        <v>6436.5764400000007</v>
      </c>
      <c r="V95" s="1159">
        <v>5044.6562400000012</v>
      </c>
      <c r="W95" s="1159">
        <v>3652.7360400000011</v>
      </c>
      <c r="X95" s="1159">
        <v>2260.8158400000007</v>
      </c>
      <c r="Y95" s="1159">
        <v>868.89564000000007</v>
      </c>
      <c r="Z95" s="1159">
        <v>868.89564000000007</v>
      </c>
      <c r="AA95" s="1159">
        <v>868.89564000000007</v>
      </c>
      <c r="AB95" s="1159">
        <v>868.89564000000007</v>
      </c>
      <c r="AC95" s="1159">
        <v>868.89564000000007</v>
      </c>
      <c r="AD95" s="1159">
        <v>868.89563999999996</v>
      </c>
      <c r="AE95" s="1159">
        <v>868.89563999999996</v>
      </c>
      <c r="AF95" s="1159">
        <v>868.89564000000007</v>
      </c>
      <c r="AG95" s="1159">
        <v>868.89564000000007</v>
      </c>
      <c r="AH95" s="1159">
        <v>868.89563999999996</v>
      </c>
      <c r="AI95" s="1159">
        <v>868.89564000000018</v>
      </c>
      <c r="AJ95" s="1159">
        <v>868.89564000000007</v>
      </c>
      <c r="AK95" s="1666">
        <v>868.89564000000007</v>
      </c>
    </row>
    <row r="96" spans="2:37">
      <c r="B96" s="1316" t="s">
        <v>276</v>
      </c>
      <c r="C96" s="1316" t="s">
        <v>272</v>
      </c>
      <c r="D96" s="1159">
        <v>219.33287999999999</v>
      </c>
      <c r="E96" s="1159">
        <v>219.33288000000002</v>
      </c>
      <c r="F96" s="1159">
        <v>219.33287999999999</v>
      </c>
      <c r="G96" s="1159">
        <v>210.45300631578948</v>
      </c>
      <c r="H96" s="1159">
        <v>201.57313263157891</v>
      </c>
      <c r="I96" s="1159">
        <v>192.69325894736843</v>
      </c>
      <c r="J96" s="1159">
        <v>183.81338526315787</v>
      </c>
      <c r="K96" s="1159">
        <v>174.93351157894739</v>
      </c>
      <c r="L96" s="1159">
        <v>166.05363789473682</v>
      </c>
      <c r="M96" s="1159">
        <v>157.17376421052631</v>
      </c>
      <c r="N96" s="1159">
        <v>148.29389052631578</v>
      </c>
      <c r="O96" s="1159">
        <v>139.4140168421053</v>
      </c>
      <c r="P96" s="1159">
        <v>130.53414315789473</v>
      </c>
      <c r="Q96" s="1159">
        <v>121.65426947368422</v>
      </c>
      <c r="R96" s="1159">
        <v>112.77439578947369</v>
      </c>
      <c r="S96" s="1159">
        <v>103.89452210526318</v>
      </c>
      <c r="T96" s="1159">
        <v>95.014648421052641</v>
      </c>
      <c r="U96" s="1159">
        <v>86.134774736842104</v>
      </c>
      <c r="V96" s="1159">
        <v>77.254901052631595</v>
      </c>
      <c r="W96" s="1159">
        <v>68.375027368421073</v>
      </c>
      <c r="X96" s="1159">
        <v>59.495153684210543</v>
      </c>
      <c r="Y96" s="1159">
        <v>50.615279999999998</v>
      </c>
      <c r="Z96" s="1159">
        <v>50.615279999999998</v>
      </c>
      <c r="AA96" s="1159">
        <v>50.615279999999998</v>
      </c>
      <c r="AB96" s="1159">
        <v>50.615279999999998</v>
      </c>
      <c r="AC96" s="1159">
        <v>50.615279999999991</v>
      </c>
      <c r="AD96" s="1159">
        <v>50.615279999999998</v>
      </c>
      <c r="AE96" s="1159">
        <v>50.615279999999998</v>
      </c>
      <c r="AF96" s="1159">
        <v>50.615279999999998</v>
      </c>
      <c r="AG96" s="1159">
        <v>50.615279999999998</v>
      </c>
      <c r="AH96" s="1159">
        <v>50.615279999999991</v>
      </c>
      <c r="AI96" s="1159">
        <v>50.615279999999998</v>
      </c>
      <c r="AJ96" s="1159">
        <v>50.615279999999998</v>
      </c>
      <c r="AK96" s="1666">
        <v>50.615279999999998</v>
      </c>
    </row>
    <row r="97" spans="2:37">
      <c r="B97" s="1316" t="s">
        <v>277</v>
      </c>
      <c r="C97" s="1316" t="s">
        <v>272</v>
      </c>
      <c r="D97" s="1159">
        <v>6833.0627999999988</v>
      </c>
      <c r="E97" s="1159">
        <v>6833.0627999999997</v>
      </c>
      <c r="F97" s="1159">
        <v>6833.0627999999988</v>
      </c>
      <c r="G97" s="1159">
        <v>6480.9758084210516</v>
      </c>
      <c r="H97" s="1159">
        <v>6128.8888168421054</v>
      </c>
      <c r="I97" s="1159">
        <v>5776.8018252631573</v>
      </c>
      <c r="J97" s="1159">
        <v>5424.714833684211</v>
      </c>
      <c r="K97" s="1159">
        <v>5072.6278421052639</v>
      </c>
      <c r="L97" s="1159">
        <v>4720.5408505263158</v>
      </c>
      <c r="M97" s="1159">
        <v>4368.4538589473677</v>
      </c>
      <c r="N97" s="1159">
        <v>4016.3668673684215</v>
      </c>
      <c r="O97" s="1159">
        <v>3664.2798757894734</v>
      </c>
      <c r="P97" s="1159">
        <v>3312.1928842105272</v>
      </c>
      <c r="Q97" s="1159">
        <v>2960.10589263158</v>
      </c>
      <c r="R97" s="1159">
        <v>2608.0189010526319</v>
      </c>
      <c r="S97" s="1159">
        <v>2255.9319094736848</v>
      </c>
      <c r="T97" s="1159">
        <v>1903.8449178947374</v>
      </c>
      <c r="U97" s="1159">
        <v>1551.7579263157902</v>
      </c>
      <c r="V97" s="1159">
        <v>1199.6709347368428</v>
      </c>
      <c r="W97" s="1159">
        <v>847.58394315789531</v>
      </c>
      <c r="X97" s="1159">
        <v>495.49695157894774</v>
      </c>
      <c r="Y97" s="1159">
        <v>143.40995999999998</v>
      </c>
      <c r="Z97" s="1159">
        <v>143.40995999999998</v>
      </c>
      <c r="AA97" s="1159">
        <v>143.40995999999998</v>
      </c>
      <c r="AB97" s="1159">
        <v>143.40995999999998</v>
      </c>
      <c r="AC97" s="1159">
        <v>143.40995999999998</v>
      </c>
      <c r="AD97" s="1159">
        <v>143.40995999999998</v>
      </c>
      <c r="AE97" s="1159">
        <v>143.40995999999998</v>
      </c>
      <c r="AF97" s="1159">
        <v>143.40995999999998</v>
      </c>
      <c r="AG97" s="1159">
        <v>143.40995999999998</v>
      </c>
      <c r="AH97" s="1159">
        <v>143.40995999999998</v>
      </c>
      <c r="AI97" s="1159">
        <v>143.40995999999998</v>
      </c>
      <c r="AJ97" s="1159">
        <v>143.40996000000001</v>
      </c>
      <c r="AK97" s="1666">
        <v>143.40996000000001</v>
      </c>
    </row>
    <row r="98" spans="2:37">
      <c r="B98" s="1316" t="s">
        <v>278</v>
      </c>
      <c r="C98" s="1316" t="s">
        <v>272</v>
      </c>
      <c r="D98" s="1159">
        <v>30.369167999999998</v>
      </c>
      <c r="E98" s="1159">
        <v>30.369167999999998</v>
      </c>
      <c r="F98" s="1159">
        <v>30.369168000000002</v>
      </c>
      <c r="G98" s="1159">
        <v>31.434752842105258</v>
      </c>
      <c r="H98" s="1159">
        <v>32.500337684210521</v>
      </c>
      <c r="I98" s="1159">
        <v>33.565922526315788</v>
      </c>
      <c r="J98" s="1159">
        <v>34.631507368421047</v>
      </c>
      <c r="K98" s="1159">
        <v>35.697092210526307</v>
      </c>
      <c r="L98" s="1159">
        <v>36.762677052631581</v>
      </c>
      <c r="M98" s="1159">
        <v>37.828261894736841</v>
      </c>
      <c r="N98" s="1159">
        <v>38.893846736842114</v>
      </c>
      <c r="O98" s="1159">
        <v>39.95943157894736</v>
      </c>
      <c r="P98" s="1159">
        <v>41.025016421052626</v>
      </c>
      <c r="Q98" s="1159">
        <v>42.090601263157886</v>
      </c>
      <c r="R98" s="1159">
        <v>43.15618610526316</v>
      </c>
      <c r="S98" s="1159">
        <v>44.22177094736842</v>
      </c>
      <c r="T98" s="1159">
        <v>45.287355789473679</v>
      </c>
      <c r="U98" s="1159">
        <v>46.352940631578946</v>
      </c>
      <c r="V98" s="1159">
        <v>47.418525473684198</v>
      </c>
      <c r="W98" s="1159">
        <v>48.484110315789458</v>
      </c>
      <c r="X98" s="1159">
        <v>49.549695157894739</v>
      </c>
      <c r="Y98" s="1159">
        <v>50.615279999999991</v>
      </c>
      <c r="Z98" s="1159">
        <v>50.615279999999991</v>
      </c>
      <c r="AA98" s="1159">
        <v>50.615279999999998</v>
      </c>
      <c r="AB98" s="1159">
        <v>50.615279999999998</v>
      </c>
      <c r="AC98" s="1159">
        <v>50.615279999999998</v>
      </c>
      <c r="AD98" s="1159">
        <v>50.615279999999991</v>
      </c>
      <c r="AE98" s="1159">
        <v>50.615279999999998</v>
      </c>
      <c r="AF98" s="1159">
        <v>50.615279999999998</v>
      </c>
      <c r="AG98" s="1159">
        <v>50.615279999999991</v>
      </c>
      <c r="AH98" s="1159">
        <v>50.615279999999998</v>
      </c>
      <c r="AI98" s="1159">
        <v>50.615279999999984</v>
      </c>
      <c r="AJ98" s="1159">
        <v>50.615279999999998</v>
      </c>
      <c r="AK98" s="1666">
        <v>50.615279999999998</v>
      </c>
    </row>
    <row r="99" spans="2:37">
      <c r="B99" s="1316" t="s">
        <v>279</v>
      </c>
      <c r="C99" s="1316" t="s">
        <v>272</v>
      </c>
      <c r="D99" s="1159">
        <v>175.46630400000001</v>
      </c>
      <c r="E99" s="1159">
        <v>175.46630400000001</v>
      </c>
      <c r="F99" s="1159">
        <v>175.46630400000001</v>
      </c>
      <c r="G99" s="1159">
        <v>174.84471284210528</v>
      </c>
      <c r="H99" s="1159">
        <v>174.22312168421053</v>
      </c>
      <c r="I99" s="1159">
        <v>173.60153052631577</v>
      </c>
      <c r="J99" s="1159">
        <v>172.97993936842107</v>
      </c>
      <c r="K99" s="1159">
        <v>172.35834821052632</v>
      </c>
      <c r="L99" s="1159">
        <v>171.73675705263156</v>
      </c>
      <c r="M99" s="1159">
        <v>171.11516589473686</v>
      </c>
      <c r="N99" s="1159">
        <v>170.49357473684208</v>
      </c>
      <c r="O99" s="1159">
        <v>169.87198357894741</v>
      </c>
      <c r="P99" s="1159">
        <v>169.25039242105262</v>
      </c>
      <c r="Q99" s="1159">
        <v>168.6288012631579</v>
      </c>
      <c r="R99" s="1159">
        <v>168.00721010526314</v>
      </c>
      <c r="S99" s="1159">
        <v>167.38561894736841</v>
      </c>
      <c r="T99" s="1159">
        <v>166.76402778947369</v>
      </c>
      <c r="U99" s="1159">
        <v>166.14243663157896</v>
      </c>
      <c r="V99" s="1159">
        <v>165.5208454736842</v>
      </c>
      <c r="W99" s="1159">
        <v>164.89925431578945</v>
      </c>
      <c r="X99" s="1159">
        <v>164.27766315789472</v>
      </c>
      <c r="Y99" s="1159">
        <v>163.65607199999999</v>
      </c>
      <c r="Z99" s="1159">
        <v>163.65607199999999</v>
      </c>
      <c r="AA99" s="1159">
        <v>163.65607199999999</v>
      </c>
      <c r="AB99" s="1159">
        <v>163.65607199999999</v>
      </c>
      <c r="AC99" s="1159">
        <v>163.65607199999999</v>
      </c>
      <c r="AD99" s="1159">
        <v>163.65607200000002</v>
      </c>
      <c r="AE99" s="1159">
        <v>163.65607199999999</v>
      </c>
      <c r="AF99" s="1159">
        <v>163.65607199999999</v>
      </c>
      <c r="AG99" s="1159">
        <v>163.65607199999999</v>
      </c>
      <c r="AH99" s="1159">
        <v>163.65607199999999</v>
      </c>
      <c r="AI99" s="1159">
        <v>163.65607199999999</v>
      </c>
      <c r="AJ99" s="1159">
        <v>163.65607199999999</v>
      </c>
      <c r="AK99" s="1666">
        <v>163.65607199999999</v>
      </c>
    </row>
    <row r="100" spans="2:37">
      <c r="B100" s="1316" t="s">
        <v>280</v>
      </c>
      <c r="C100" s="1316" t="s">
        <v>272</v>
      </c>
      <c r="D100" s="1159">
        <v>14.594072399999996</v>
      </c>
      <c r="E100" s="1159">
        <v>14.594072399999998</v>
      </c>
      <c r="F100" s="1159">
        <v>14.594072399999998</v>
      </c>
      <c r="G100" s="1159">
        <v>16.489925431578946</v>
      </c>
      <c r="H100" s="1159">
        <v>18.385778463157894</v>
      </c>
      <c r="I100" s="1159">
        <v>20.281631494736839</v>
      </c>
      <c r="J100" s="1159">
        <v>22.177484526315787</v>
      </c>
      <c r="K100" s="1159">
        <v>24.073337557894732</v>
      </c>
      <c r="L100" s="1159">
        <v>25.969190589473687</v>
      </c>
      <c r="M100" s="1159">
        <v>27.865043621052632</v>
      </c>
      <c r="N100" s="1159">
        <v>29.76089665263158</v>
      </c>
      <c r="O100" s="1159">
        <v>31.656749684210531</v>
      </c>
      <c r="P100" s="1159">
        <v>33.552602715789476</v>
      </c>
      <c r="Q100" s="1159">
        <v>35.448455747368421</v>
      </c>
      <c r="R100" s="1159">
        <v>37.344308778947372</v>
      </c>
      <c r="S100" s="1159">
        <v>39.24016181052631</v>
      </c>
      <c r="T100" s="1159">
        <v>41.136014842105268</v>
      </c>
      <c r="U100" s="1159">
        <v>43.031867873684213</v>
      </c>
      <c r="V100" s="1159">
        <v>44.927720905263158</v>
      </c>
      <c r="W100" s="1159">
        <v>46.823573936842102</v>
      </c>
      <c r="X100" s="1159">
        <v>48.719426968421047</v>
      </c>
      <c r="Y100" s="1159">
        <v>50.615279999999991</v>
      </c>
      <c r="Z100" s="1159">
        <v>50.615279999999998</v>
      </c>
      <c r="AA100" s="1159">
        <v>50.615279999999991</v>
      </c>
      <c r="AB100" s="1159">
        <v>50.615280000000006</v>
      </c>
      <c r="AC100" s="1159">
        <v>50.615280000000006</v>
      </c>
      <c r="AD100" s="1159">
        <v>50.615280000000006</v>
      </c>
      <c r="AE100" s="1159">
        <v>50.615279999999998</v>
      </c>
      <c r="AF100" s="1159">
        <v>50.615279999999991</v>
      </c>
      <c r="AG100" s="1159">
        <v>50.615280000000006</v>
      </c>
      <c r="AH100" s="1159">
        <v>50.615279999999991</v>
      </c>
      <c r="AI100" s="1159">
        <v>50.615279999999998</v>
      </c>
      <c r="AJ100" s="1159">
        <v>50.615279999999991</v>
      </c>
      <c r="AK100" s="1666">
        <v>50.615279999999991</v>
      </c>
    </row>
    <row r="101" spans="2:37">
      <c r="B101" s="1183" t="s">
        <v>281</v>
      </c>
      <c r="C101" s="1183" t="s">
        <v>272</v>
      </c>
      <c r="D101" s="1325">
        <v>22.4394408</v>
      </c>
      <c r="E101" s="1325">
        <v>22.4394408</v>
      </c>
      <c r="F101" s="1325">
        <v>22.4394408</v>
      </c>
      <c r="G101" s="1325">
        <v>22.4394408</v>
      </c>
      <c r="H101" s="1325">
        <v>22.4394408</v>
      </c>
      <c r="I101" s="1325">
        <v>22.439440800000003</v>
      </c>
      <c r="J101" s="1325">
        <v>22.4394408</v>
      </c>
      <c r="K101" s="1325">
        <v>22.4394408</v>
      </c>
      <c r="L101" s="1325">
        <v>22.4394408</v>
      </c>
      <c r="M101" s="1325">
        <v>22.4394408</v>
      </c>
      <c r="N101" s="1325">
        <v>22.4394408</v>
      </c>
      <c r="O101" s="1325">
        <v>22.4394408</v>
      </c>
      <c r="P101" s="1325">
        <v>22.4394408</v>
      </c>
      <c r="Q101" s="1325">
        <v>22.439440799999996</v>
      </c>
      <c r="R101" s="1325">
        <v>22.439440800000003</v>
      </c>
      <c r="S101" s="1325">
        <v>22.4394408</v>
      </c>
      <c r="T101" s="1325">
        <v>22.439440799999993</v>
      </c>
      <c r="U101" s="1325">
        <v>22.4394408</v>
      </c>
      <c r="V101" s="1325">
        <v>22.4394408</v>
      </c>
      <c r="W101" s="1325">
        <v>22.4394408</v>
      </c>
      <c r="X101" s="1325">
        <v>22.4394408</v>
      </c>
      <c r="Y101" s="1325">
        <v>22.439440800000003</v>
      </c>
      <c r="Z101" s="1325">
        <v>22.4394408</v>
      </c>
      <c r="AA101" s="1325">
        <v>22.439440800000003</v>
      </c>
      <c r="AB101" s="1325">
        <v>22.439440800000003</v>
      </c>
      <c r="AC101" s="1325">
        <v>22.439440799999996</v>
      </c>
      <c r="AD101" s="1325">
        <v>22.4394408</v>
      </c>
      <c r="AE101" s="1325">
        <v>22.4394408</v>
      </c>
      <c r="AF101" s="1325">
        <v>22.439440800000003</v>
      </c>
      <c r="AG101" s="1325">
        <v>22.439440800000003</v>
      </c>
      <c r="AH101" s="1325">
        <v>22.439440800000003</v>
      </c>
      <c r="AI101" s="1325">
        <v>22.439440799999996</v>
      </c>
      <c r="AJ101" s="1325">
        <v>22.4394408</v>
      </c>
      <c r="AK101" s="1667">
        <v>22.4394408</v>
      </c>
    </row>
    <row r="102" spans="2:37">
      <c r="B102" s="1315" t="s">
        <v>282</v>
      </c>
      <c r="C102" s="1320"/>
      <c r="D102" s="1326"/>
      <c r="E102" s="1326"/>
      <c r="F102" s="1326"/>
      <c r="G102" s="1326"/>
      <c r="H102" s="1326"/>
      <c r="I102" s="1326"/>
      <c r="J102" s="1326"/>
      <c r="K102" s="1326"/>
      <c r="L102" s="1326"/>
      <c r="M102" s="1326"/>
      <c r="N102" s="1326"/>
      <c r="O102" s="1326"/>
      <c r="P102" s="1326"/>
      <c r="Q102" s="1326"/>
      <c r="R102" s="1326"/>
      <c r="S102" s="1326"/>
      <c r="T102" s="1326"/>
      <c r="U102" s="1326"/>
      <c r="V102" s="1326"/>
      <c r="W102" s="1326"/>
      <c r="X102" s="1326"/>
      <c r="Y102" s="1326"/>
      <c r="Z102" s="1326"/>
      <c r="AA102" s="1326"/>
      <c r="AB102" s="1326"/>
      <c r="AC102" s="1326"/>
      <c r="AD102" s="1326"/>
      <c r="AE102" s="1326"/>
      <c r="AF102" s="1326"/>
      <c r="AG102" s="1326"/>
      <c r="AH102" s="1326"/>
      <c r="AI102" s="1326"/>
      <c r="AJ102" s="1326"/>
      <c r="AK102" s="1668"/>
    </row>
    <row r="103" spans="2:37">
      <c r="B103" s="1181" t="s">
        <v>127</v>
      </c>
      <c r="C103" s="1181" t="s">
        <v>283</v>
      </c>
      <c r="D103" s="1257">
        <v>1.4890336534748914</v>
      </c>
      <c r="E103" s="1257">
        <v>1.4890336534748914</v>
      </c>
      <c r="F103" s="1257">
        <v>1.4890336534748914</v>
      </c>
      <c r="G103" s="1257">
        <v>1.4890336534748914</v>
      </c>
      <c r="H103" s="1257">
        <v>1.4890336534748914</v>
      </c>
      <c r="I103" s="1257">
        <v>1.4890336534748914</v>
      </c>
      <c r="J103" s="1257">
        <v>1.4890336534748916</v>
      </c>
      <c r="K103" s="1257">
        <v>1.4890336534748914</v>
      </c>
      <c r="L103" s="1257">
        <v>1.4890336534748911</v>
      </c>
      <c r="M103" s="1257">
        <v>1.4890336534748916</v>
      </c>
      <c r="N103" s="1257">
        <v>1.4890336534748916</v>
      </c>
      <c r="O103" s="1257">
        <v>1.4890336534748916</v>
      </c>
      <c r="P103" s="1257">
        <v>1.4890336534748911</v>
      </c>
      <c r="Q103" s="1257">
        <v>1.4890336534748914</v>
      </c>
      <c r="R103" s="1257">
        <v>1.4890336534748914</v>
      </c>
      <c r="S103" s="1257">
        <v>1.4890336534748914</v>
      </c>
      <c r="T103" s="1257">
        <v>1.4890336534748918</v>
      </c>
      <c r="U103" s="1257">
        <v>1.4890336534748916</v>
      </c>
      <c r="V103" s="1257">
        <v>1.4890336534748916</v>
      </c>
      <c r="W103" s="1257">
        <v>1.4890336534748914</v>
      </c>
      <c r="X103" s="1257">
        <v>1.4890336534748914</v>
      </c>
      <c r="Y103" s="1257">
        <v>1.4890336534748914</v>
      </c>
      <c r="Z103" s="1257">
        <v>1.4890336534748916</v>
      </c>
      <c r="AA103" s="1257">
        <v>1.4890336534748916</v>
      </c>
      <c r="AB103" s="1257">
        <v>1.4890336534748914</v>
      </c>
      <c r="AC103" s="1257">
        <v>1.4890336534748916</v>
      </c>
      <c r="AD103" s="1257">
        <v>1.4890336534748914</v>
      </c>
      <c r="AE103" s="1257">
        <v>1.4890336534748914</v>
      </c>
      <c r="AF103" s="1257">
        <v>1.4890336534748916</v>
      </c>
      <c r="AG103" s="1257">
        <v>1.4890336534748916</v>
      </c>
      <c r="AH103" s="1257">
        <v>1.4890336534748914</v>
      </c>
      <c r="AI103" s="1257">
        <v>1.4890336534748911</v>
      </c>
      <c r="AJ103" s="1257">
        <v>1.4890336534748914</v>
      </c>
      <c r="AK103" s="1669">
        <v>1.4890336534748914</v>
      </c>
    </row>
    <row r="104" spans="2:37">
      <c r="B104" s="1182" t="s">
        <v>284</v>
      </c>
      <c r="C104" s="1181" t="s">
        <v>283</v>
      </c>
      <c r="D104" s="1257">
        <v>23.4</v>
      </c>
      <c r="E104" s="1257">
        <v>23.4</v>
      </c>
      <c r="F104" s="1257">
        <v>23.4</v>
      </c>
      <c r="G104" s="1257">
        <v>23.4</v>
      </c>
      <c r="H104" s="1257">
        <v>23.4</v>
      </c>
      <c r="I104" s="1257">
        <v>23.4</v>
      </c>
      <c r="J104" s="1257">
        <v>23.4</v>
      </c>
      <c r="K104" s="1257">
        <v>23.4</v>
      </c>
      <c r="L104" s="1257">
        <v>23.4</v>
      </c>
      <c r="M104" s="1257">
        <v>23.4</v>
      </c>
      <c r="N104" s="1257">
        <v>23.4</v>
      </c>
      <c r="O104" s="1257">
        <v>23.4</v>
      </c>
      <c r="P104" s="1257">
        <v>23.4</v>
      </c>
      <c r="Q104" s="1257">
        <v>23.4</v>
      </c>
      <c r="R104" s="1257">
        <v>23.4</v>
      </c>
      <c r="S104" s="1257">
        <v>23.4</v>
      </c>
      <c r="T104" s="1257">
        <v>23.4</v>
      </c>
      <c r="U104" s="1257">
        <v>23.4</v>
      </c>
      <c r="V104" s="1257">
        <v>23.399999999999995</v>
      </c>
      <c r="W104" s="1257">
        <v>23.4</v>
      </c>
      <c r="X104" s="1257">
        <v>23.4</v>
      </c>
      <c r="Y104" s="1257">
        <v>23.4</v>
      </c>
      <c r="Z104" s="1257">
        <v>23.399999999999995</v>
      </c>
      <c r="AA104" s="1257">
        <v>23.4</v>
      </c>
      <c r="AB104" s="1257">
        <v>23.400000000000002</v>
      </c>
      <c r="AC104" s="1257">
        <v>23.399999999999995</v>
      </c>
      <c r="AD104" s="1257">
        <v>23.399999999999995</v>
      </c>
      <c r="AE104" s="1257">
        <v>23.400000000000002</v>
      </c>
      <c r="AF104" s="1257">
        <v>23.399999999999995</v>
      </c>
      <c r="AG104" s="1257">
        <v>23.400000000000002</v>
      </c>
      <c r="AH104" s="1257">
        <v>23.4</v>
      </c>
      <c r="AI104" s="1257">
        <v>23.4</v>
      </c>
      <c r="AJ104" s="1257">
        <v>23.4</v>
      </c>
      <c r="AK104" s="1669">
        <v>23.4</v>
      </c>
    </row>
    <row r="105" spans="2:37">
      <c r="B105" s="1183" t="s">
        <v>160</v>
      </c>
      <c r="C105" s="1181" t="s">
        <v>283</v>
      </c>
      <c r="D105" s="1257">
        <v>105</v>
      </c>
      <c r="E105" s="1257">
        <v>105.00000000000001</v>
      </c>
      <c r="F105" s="1257">
        <v>105</v>
      </c>
      <c r="G105" s="1257">
        <v>105</v>
      </c>
      <c r="H105" s="1257">
        <v>105</v>
      </c>
      <c r="I105" s="1257">
        <v>105</v>
      </c>
      <c r="J105" s="1257">
        <v>105</v>
      </c>
      <c r="K105" s="1257">
        <v>105</v>
      </c>
      <c r="L105" s="1257">
        <v>105</v>
      </c>
      <c r="M105" s="1257">
        <v>105</v>
      </c>
      <c r="N105" s="1257">
        <v>104.99999999999999</v>
      </c>
      <c r="O105" s="1257">
        <v>105</v>
      </c>
      <c r="P105" s="1257">
        <v>105</v>
      </c>
      <c r="Q105" s="1257">
        <v>105</v>
      </c>
      <c r="R105" s="1257">
        <v>105</v>
      </c>
      <c r="S105" s="1257">
        <v>105.00000000000001</v>
      </c>
      <c r="T105" s="1257">
        <v>105</v>
      </c>
      <c r="U105" s="1257">
        <v>105</v>
      </c>
      <c r="V105" s="1257">
        <v>105</v>
      </c>
      <c r="W105" s="1257">
        <v>105</v>
      </c>
      <c r="X105" s="1257">
        <v>105</v>
      </c>
      <c r="Y105" s="1257">
        <v>104.99999999999999</v>
      </c>
      <c r="Z105" s="1257">
        <v>105</v>
      </c>
      <c r="AA105" s="1257">
        <v>105.00000000000001</v>
      </c>
      <c r="AB105" s="1257">
        <v>105</v>
      </c>
      <c r="AC105" s="1257">
        <v>105</v>
      </c>
      <c r="AD105" s="1257">
        <v>104.99999999999999</v>
      </c>
      <c r="AE105" s="1257">
        <v>105</v>
      </c>
      <c r="AF105" s="1257">
        <v>105</v>
      </c>
      <c r="AG105" s="1257">
        <v>105</v>
      </c>
      <c r="AH105" s="1257">
        <v>105</v>
      </c>
      <c r="AI105" s="1257">
        <v>105</v>
      </c>
      <c r="AJ105" s="1257">
        <v>105.00000000000001</v>
      </c>
      <c r="AK105" s="1669">
        <v>105.00000000000001</v>
      </c>
    </row>
    <row r="106" spans="2:37">
      <c r="B106" s="1315" t="s">
        <v>285</v>
      </c>
      <c r="C106" s="1320"/>
      <c r="D106" s="1326"/>
      <c r="E106" s="1326"/>
      <c r="F106" s="1326"/>
      <c r="G106" s="1326"/>
      <c r="H106" s="1326"/>
      <c r="I106" s="1326"/>
      <c r="J106" s="1326"/>
      <c r="K106" s="1326"/>
      <c r="L106" s="1326"/>
      <c r="M106" s="1326"/>
      <c r="N106" s="1326"/>
      <c r="O106" s="1326"/>
      <c r="P106" s="1326"/>
      <c r="Q106" s="1326"/>
      <c r="R106" s="1326"/>
      <c r="S106" s="1326"/>
      <c r="T106" s="1326"/>
      <c r="U106" s="1326"/>
      <c r="V106" s="1326"/>
      <c r="W106" s="1326"/>
      <c r="X106" s="1326"/>
      <c r="Y106" s="1326"/>
      <c r="Z106" s="1326"/>
      <c r="AA106" s="1326"/>
      <c r="AB106" s="1326"/>
      <c r="AC106" s="1326"/>
      <c r="AD106" s="1326"/>
      <c r="AE106" s="1326"/>
      <c r="AF106" s="1326"/>
      <c r="AG106" s="1326"/>
      <c r="AH106" s="1326"/>
      <c r="AI106" s="1326"/>
      <c r="AJ106" s="1326"/>
      <c r="AK106" s="1668"/>
    </row>
    <row r="107" spans="2:37">
      <c r="B107" s="1181" t="s">
        <v>286</v>
      </c>
      <c r="C107" s="1181" t="s">
        <v>261</v>
      </c>
      <c r="D107" s="1257">
        <v>0.96299999999999997</v>
      </c>
      <c r="E107" s="1257">
        <v>0.96300000000000008</v>
      </c>
      <c r="F107" s="1257">
        <v>0.96299999999999986</v>
      </c>
      <c r="G107" s="1257">
        <v>0.96300000000000008</v>
      </c>
      <c r="H107" s="1257">
        <v>0.96300000000000019</v>
      </c>
      <c r="I107" s="1257">
        <v>0.96300000000000008</v>
      </c>
      <c r="J107" s="1257">
        <v>0.96292099911913609</v>
      </c>
      <c r="K107" s="1257">
        <v>0.96281980127617361</v>
      </c>
      <c r="L107" s="1257">
        <v>0.77399131608054783</v>
      </c>
      <c r="M107" s="1257">
        <v>0.96292333618931913</v>
      </c>
      <c r="N107" s="1257">
        <v>0.9629265225539706</v>
      </c>
      <c r="O107" s="1257">
        <v>0.96292990864651107</v>
      </c>
      <c r="P107" s="1257">
        <v>0</v>
      </c>
      <c r="Q107" s="1257">
        <v>0.96300000000000008</v>
      </c>
      <c r="R107" s="1257">
        <v>0.96299999999999986</v>
      </c>
      <c r="S107" s="1257">
        <v>0.96217165565648222</v>
      </c>
      <c r="T107" s="1257">
        <v>0.95494014437436092</v>
      </c>
      <c r="U107" s="1257">
        <v>0.96300000000000008</v>
      </c>
      <c r="V107" s="1257">
        <v>0.84441749380166309</v>
      </c>
      <c r="W107" s="1257">
        <v>0.96298418911330985</v>
      </c>
      <c r="X107" s="1257">
        <v>0.96295296014067966</v>
      </c>
      <c r="Y107" s="1257">
        <v>0.96300000000000008</v>
      </c>
      <c r="Z107" s="1257">
        <v>0.96299999999999997</v>
      </c>
      <c r="AA107" s="1257">
        <v>0.96300000000000019</v>
      </c>
      <c r="AB107" s="1257">
        <v>0.9629847732470852</v>
      </c>
      <c r="AC107" s="1327">
        <v>0.96299984853376963</v>
      </c>
      <c r="AD107" s="1328">
        <v>0.96300000000000008</v>
      </c>
      <c r="AE107" s="1328">
        <v>0.35285554338935626</v>
      </c>
      <c r="AF107" s="1328">
        <v>0.92313021841760479</v>
      </c>
      <c r="AG107" s="1328">
        <v>0.92727302309161241</v>
      </c>
      <c r="AH107" s="1328">
        <v>0.93426037566186892</v>
      </c>
      <c r="AI107" s="1328">
        <v>0.92956414329627846</v>
      </c>
      <c r="AJ107" s="1328">
        <v>0.92993669422716774</v>
      </c>
      <c r="AK107" s="1670">
        <v>0.92993669422716774</v>
      </c>
    </row>
    <row r="108" spans="2:37">
      <c r="B108" s="1183" t="s">
        <v>287</v>
      </c>
      <c r="C108" s="1183" t="s">
        <v>261</v>
      </c>
      <c r="D108" s="1325">
        <v>1.9645199999999998</v>
      </c>
      <c r="E108" s="1325">
        <v>1.9645199999999998</v>
      </c>
      <c r="F108" s="1325">
        <v>1.9645199999999998</v>
      </c>
      <c r="G108" s="1325">
        <v>1.3674856823041119</v>
      </c>
      <c r="H108" s="1325">
        <v>0.92227837692571257</v>
      </c>
      <c r="I108" s="1325">
        <v>1.2244516495752644</v>
      </c>
      <c r="J108" s="1325">
        <v>1.0472714791183464</v>
      </c>
      <c r="K108" s="1325">
        <v>0</v>
      </c>
      <c r="L108" s="1325">
        <v>1.1573345876388028</v>
      </c>
      <c r="M108" s="1325">
        <v>1.0860500599802325</v>
      </c>
      <c r="N108" s="1325">
        <v>1.1242904191559955</v>
      </c>
      <c r="O108" s="1325">
        <v>1.0901525126410194</v>
      </c>
      <c r="P108" s="1325">
        <v>0.32678976193171877</v>
      </c>
      <c r="Q108" s="1325">
        <v>0.55229315100872689</v>
      </c>
      <c r="R108" s="1325">
        <v>9.0654525213029274E-2</v>
      </c>
      <c r="S108" s="1325">
        <v>0</v>
      </c>
      <c r="T108" s="1325">
        <v>0</v>
      </c>
      <c r="U108" s="1325">
        <v>0.47173834241565094</v>
      </c>
      <c r="V108" s="1325">
        <v>0.50231472829247992</v>
      </c>
      <c r="W108" s="1325">
        <v>0.69366896278266643</v>
      </c>
      <c r="X108" s="1325">
        <v>0.52784521119076777</v>
      </c>
      <c r="Y108" s="1325">
        <v>0.92724159068142775</v>
      </c>
      <c r="Z108" s="1325">
        <v>1.0347520579981291</v>
      </c>
      <c r="AA108" s="1325">
        <v>0.95506768796814967</v>
      </c>
      <c r="AB108" s="1325">
        <v>1.102160297320657</v>
      </c>
      <c r="AC108" s="1325">
        <v>0.92270589608434039</v>
      </c>
      <c r="AD108" s="1325">
        <v>1.0503448105606714</v>
      </c>
      <c r="AE108" s="1325">
        <v>0.91415304394620589</v>
      </c>
      <c r="AF108" s="1325">
        <v>0.35532792230515736</v>
      </c>
      <c r="AG108" s="1325">
        <v>0.9071809563943295</v>
      </c>
      <c r="AH108" s="1325">
        <v>0.87511206419687493</v>
      </c>
      <c r="AI108" s="1325">
        <v>0.75692548601001008</v>
      </c>
      <c r="AJ108" s="1325">
        <v>0.76760314980053301</v>
      </c>
      <c r="AK108" s="1667">
        <v>0.76760314980053301</v>
      </c>
    </row>
    <row r="109" spans="2:37">
      <c r="B109" s="1315" t="s">
        <v>288</v>
      </c>
      <c r="C109" s="1320"/>
      <c r="D109" s="1326"/>
      <c r="E109" s="1326"/>
      <c r="F109" s="1326"/>
      <c r="G109" s="1326"/>
      <c r="H109" s="1326"/>
      <c r="I109" s="1326"/>
      <c r="J109" s="1326"/>
      <c r="K109" s="1326"/>
      <c r="L109" s="1326"/>
      <c r="M109" s="1326"/>
      <c r="N109" s="1326"/>
      <c r="O109" s="1326"/>
      <c r="P109" s="1326"/>
      <c r="Q109" s="1326"/>
      <c r="R109" s="1326"/>
      <c r="S109" s="1326"/>
      <c r="T109" s="1326"/>
      <c r="U109" s="1326"/>
      <c r="V109" s="1326"/>
      <c r="W109" s="1326"/>
      <c r="X109" s="1326"/>
      <c r="Y109" s="1326"/>
      <c r="Z109" s="1326"/>
      <c r="AA109" s="1326"/>
      <c r="AB109" s="1326"/>
      <c r="AC109" s="1326"/>
      <c r="AD109" s="1326"/>
      <c r="AE109" s="1326"/>
      <c r="AF109" s="1326"/>
      <c r="AG109" s="1326"/>
      <c r="AH109" s="1326"/>
      <c r="AI109" s="1326"/>
      <c r="AJ109" s="1326"/>
      <c r="AK109" s="1668"/>
    </row>
    <row r="110" spans="2:37">
      <c r="B110" s="1181" t="s">
        <v>289</v>
      </c>
      <c r="C110" s="1181" t="s">
        <v>261</v>
      </c>
      <c r="D110" s="1257">
        <v>30.623399999999993</v>
      </c>
      <c r="E110" s="1257">
        <v>30.623400000000004</v>
      </c>
      <c r="F110" s="1257">
        <v>30.623399999999997</v>
      </c>
      <c r="G110" s="1257">
        <v>30.623400000000004</v>
      </c>
      <c r="H110" s="1257">
        <v>30.6234</v>
      </c>
      <c r="I110" s="1257">
        <v>30.615584769485871</v>
      </c>
      <c r="J110" s="1257">
        <v>30.612798007061663</v>
      </c>
      <c r="K110" s="1257">
        <v>30.601168931176929</v>
      </c>
      <c r="L110" s="1257">
        <v>30.602362332953426</v>
      </c>
      <c r="M110" s="1257">
        <v>30.588824795691661</v>
      </c>
      <c r="N110" s="1257">
        <v>30.61596786684807</v>
      </c>
      <c r="O110" s="1257">
        <v>30.600455946735888</v>
      </c>
      <c r="P110" s="1257">
        <v>30.596798757375836</v>
      </c>
      <c r="Q110" s="1257">
        <v>30.57014761776259</v>
      </c>
      <c r="R110" s="1257">
        <v>30.445326672545221</v>
      </c>
      <c r="S110" s="1257">
        <v>30.30869964107136</v>
      </c>
      <c r="T110" s="1257">
        <v>30.220053751791124</v>
      </c>
      <c r="U110" s="1257">
        <v>29.44775648168488</v>
      </c>
      <c r="V110" s="1257">
        <v>30.092986654915137</v>
      </c>
      <c r="W110" s="1257">
        <v>29.906871058696336</v>
      </c>
      <c r="X110" s="1257">
        <v>29.865681197993041</v>
      </c>
      <c r="Y110" s="1257">
        <v>28.058426367581099</v>
      </c>
      <c r="Z110" s="1257">
        <v>29.961434340505143</v>
      </c>
      <c r="AA110" s="1257">
        <v>29.743591839406012</v>
      </c>
      <c r="AB110" s="1257">
        <v>29.676635885911839</v>
      </c>
      <c r="AC110" s="1257">
        <v>29.720440533325544</v>
      </c>
      <c r="AD110" s="1257">
        <v>29.634206185412246</v>
      </c>
      <c r="AE110" s="1257">
        <v>29.985713935097444</v>
      </c>
      <c r="AF110" s="1257">
        <v>30.02890455149155</v>
      </c>
      <c r="AG110" s="1257">
        <v>30.012597474990308</v>
      </c>
      <c r="AH110" s="1257">
        <v>30.017993017064793</v>
      </c>
      <c r="AI110" s="1257">
        <v>30.02227589058063</v>
      </c>
      <c r="AJ110" s="1257">
        <v>30.027591086254674</v>
      </c>
      <c r="AK110" s="1669">
        <v>30.027591086254674</v>
      </c>
    </row>
    <row r="111" spans="2:37">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1384"/>
      <c r="AJ111" s="1654"/>
      <c r="AK111" s="1384"/>
    </row>
    <row r="112" spans="2:37">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1384"/>
      <c r="AJ112" s="1384"/>
      <c r="AK112" s="1384"/>
    </row>
    <row r="113" spans="2:37" ht="15" thickBot="1">
      <c r="B113" s="1323" t="s">
        <v>256</v>
      </c>
      <c r="C113" s="956" t="s">
        <v>290</v>
      </c>
      <c r="D113" s="1324">
        <v>1990</v>
      </c>
      <c r="E113" s="1324">
        <v>1991</v>
      </c>
      <c r="F113" s="1324">
        <v>1992</v>
      </c>
      <c r="G113" s="1324">
        <v>1993</v>
      </c>
      <c r="H113" s="1324">
        <v>1994</v>
      </c>
      <c r="I113" s="1324">
        <v>1995</v>
      </c>
      <c r="J113" s="1324">
        <v>1996</v>
      </c>
      <c r="K113" s="1324">
        <v>1997</v>
      </c>
      <c r="L113" s="1324">
        <v>1998</v>
      </c>
      <c r="M113" s="1324">
        <v>1999</v>
      </c>
      <c r="N113" s="1324">
        <v>2000</v>
      </c>
      <c r="O113" s="1324">
        <v>2001</v>
      </c>
      <c r="P113" s="1324">
        <v>2002</v>
      </c>
      <c r="Q113" s="1324">
        <v>2003</v>
      </c>
      <c r="R113" s="1324">
        <v>2004</v>
      </c>
      <c r="S113" s="1324">
        <v>2005</v>
      </c>
      <c r="T113" s="1324">
        <v>2006</v>
      </c>
      <c r="U113" s="1324">
        <v>2007</v>
      </c>
      <c r="V113" s="1324">
        <v>2008</v>
      </c>
      <c r="W113" s="1324">
        <v>2009</v>
      </c>
      <c r="X113" s="1324">
        <v>2010</v>
      </c>
      <c r="Y113" s="1324">
        <v>2011</v>
      </c>
      <c r="Z113" s="1324">
        <v>2012</v>
      </c>
      <c r="AA113" s="1324">
        <v>2013</v>
      </c>
      <c r="AB113" s="1324">
        <v>2014</v>
      </c>
      <c r="AC113" s="1324">
        <v>2015</v>
      </c>
      <c r="AD113" s="1324">
        <v>2016</v>
      </c>
      <c r="AE113" s="1324">
        <v>2017</v>
      </c>
      <c r="AF113" s="1324">
        <v>2018</v>
      </c>
      <c r="AG113" s="1324">
        <v>2019</v>
      </c>
      <c r="AH113" s="1324">
        <v>2020</v>
      </c>
      <c r="AI113" s="1324">
        <v>2021</v>
      </c>
      <c r="AJ113" s="1324">
        <v>2022</v>
      </c>
      <c r="AK113" s="1324">
        <v>2023</v>
      </c>
    </row>
    <row r="114" spans="2:37" ht="15" thickBot="1">
      <c r="B114" s="1322" t="s">
        <v>258</v>
      </c>
      <c r="C114" s="999">
        <v>1E-3</v>
      </c>
      <c r="D114" s="1756" t="s">
        <v>291</v>
      </c>
      <c r="E114" s="1757"/>
      <c r="F114" s="1757"/>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row>
    <row r="115" spans="2:37">
      <c r="B115" s="1315" t="s">
        <v>259</v>
      </c>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row>
    <row r="116" spans="2:37">
      <c r="B116" s="1181" t="s">
        <v>260</v>
      </c>
      <c r="C116" s="1316" t="s">
        <v>292</v>
      </c>
      <c r="D116" s="1331">
        <f t="shared" ref="D116:AH116" si="84">D83*$C$114</f>
        <v>4.5973619999999995</v>
      </c>
      <c r="E116" s="1331">
        <f t="shared" si="84"/>
        <v>4.5973620000000004</v>
      </c>
      <c r="F116" s="1331">
        <f t="shared" si="84"/>
        <v>4.5973619999999995</v>
      </c>
      <c r="G116" s="1331">
        <f t="shared" si="84"/>
        <v>4.4163044299410021</v>
      </c>
      <c r="H116" s="1331">
        <f t="shared" si="84"/>
        <v>4.235246859882003</v>
      </c>
      <c r="I116" s="1331">
        <f t="shared" si="84"/>
        <v>4.0541892898230056</v>
      </c>
      <c r="J116" s="1331">
        <f t="shared" si="84"/>
        <v>3.8731317197640074</v>
      </c>
      <c r="K116" s="1331">
        <f t="shared" si="84"/>
        <v>3.6920741497050109</v>
      </c>
      <c r="L116" s="1331">
        <f t="shared" si="84"/>
        <v>3.5110165796460122</v>
      </c>
      <c r="M116" s="1331">
        <f t="shared" si="84"/>
        <v>3.3299590095870144</v>
      </c>
      <c r="N116" s="1331">
        <f t="shared" si="84"/>
        <v>3.148901439528017</v>
      </c>
      <c r="O116" s="1331">
        <f t="shared" si="84"/>
        <v>2.9678438694690192</v>
      </c>
      <c r="P116" s="1331">
        <f t="shared" si="84"/>
        <v>2.786786299410021</v>
      </c>
      <c r="Q116" s="1331">
        <f t="shared" si="84"/>
        <v>2.6057287293510227</v>
      </c>
      <c r="R116" s="1331">
        <f t="shared" si="84"/>
        <v>2.4246711592920249</v>
      </c>
      <c r="S116" s="1331">
        <f t="shared" si="84"/>
        <v>2.2436135892330276</v>
      </c>
      <c r="T116" s="1331">
        <f t="shared" si="84"/>
        <v>2.0625560191740293</v>
      </c>
      <c r="U116" s="1331">
        <f t="shared" si="84"/>
        <v>1.8814984491150313</v>
      </c>
      <c r="V116" s="1331">
        <f t="shared" si="84"/>
        <v>1.7004408790560335</v>
      </c>
      <c r="W116" s="1331">
        <f t="shared" si="84"/>
        <v>1.5193833089970363</v>
      </c>
      <c r="X116" s="1331">
        <f t="shared" si="84"/>
        <v>1.3383257389380376</v>
      </c>
      <c r="Y116" s="1331">
        <f t="shared" si="84"/>
        <v>1.1572681688790398</v>
      </c>
      <c r="Z116" s="1331">
        <f t="shared" si="84"/>
        <v>1.15726816887904</v>
      </c>
      <c r="AA116" s="1331">
        <f t="shared" si="84"/>
        <v>1.15726816887904</v>
      </c>
      <c r="AB116" s="1331">
        <f t="shared" si="84"/>
        <v>1.1572681688790398</v>
      </c>
      <c r="AC116" s="1331">
        <f t="shared" si="84"/>
        <v>1.15726816887904</v>
      </c>
      <c r="AD116" s="1331">
        <f t="shared" si="84"/>
        <v>1.1572681688790398</v>
      </c>
      <c r="AE116" s="1331">
        <f t="shared" si="84"/>
        <v>1.15726816887904</v>
      </c>
      <c r="AF116" s="1331">
        <f t="shared" si="84"/>
        <v>1.1572681688790398</v>
      </c>
      <c r="AG116" s="1331">
        <f t="shared" si="84"/>
        <v>1.1572681688790398</v>
      </c>
      <c r="AH116" s="1331">
        <f t="shared" si="84"/>
        <v>1.15726816887904</v>
      </c>
      <c r="AI116" s="1331">
        <f>AI83*$C$114</f>
        <v>1.1572681688790398</v>
      </c>
      <c r="AJ116" s="1331">
        <f t="shared" ref="AJ116:AK116" si="85">AJ83*$C$114</f>
        <v>1.1572681688790398</v>
      </c>
      <c r="AK116" s="1671">
        <f t="shared" si="85"/>
        <v>1.1572681688790398</v>
      </c>
    </row>
    <row r="117" spans="2:37">
      <c r="B117" s="1316" t="s">
        <v>262</v>
      </c>
      <c r="C117" s="1316" t="s">
        <v>292</v>
      </c>
      <c r="D117" s="1331">
        <f t="shared" ref="D117:AH117" si="86">D84*$C$114</f>
        <v>2.1222573367552888</v>
      </c>
      <c r="E117" s="1331">
        <f t="shared" si="86"/>
        <v>2.1222573367552888</v>
      </c>
      <c r="F117" s="1331">
        <f t="shared" si="86"/>
        <v>2.1222573367552888</v>
      </c>
      <c r="G117" s="1331">
        <f t="shared" si="86"/>
        <v>2.0558924572132935</v>
      </c>
      <c r="H117" s="1331">
        <f t="shared" si="86"/>
        <v>1.9895275776712984</v>
      </c>
      <c r="I117" s="1331">
        <f t="shared" si="86"/>
        <v>1.9231626981293033</v>
      </c>
      <c r="J117" s="1331">
        <f t="shared" si="86"/>
        <v>1.856797818587308</v>
      </c>
      <c r="K117" s="1331">
        <f t="shared" si="86"/>
        <v>1.7904329390453126</v>
      </c>
      <c r="L117" s="1331">
        <f t="shared" si="86"/>
        <v>1.7240680595033178</v>
      </c>
      <c r="M117" s="1331">
        <f t="shared" si="86"/>
        <v>1.6577031799613222</v>
      </c>
      <c r="N117" s="1331">
        <f t="shared" si="86"/>
        <v>1.5913383004193271</v>
      </c>
      <c r="O117" s="1331">
        <f t="shared" si="86"/>
        <v>1.5249734208773318</v>
      </c>
      <c r="P117" s="1331">
        <f t="shared" si="86"/>
        <v>1.4586085413353365</v>
      </c>
      <c r="Q117" s="1331">
        <f t="shared" si="86"/>
        <v>1.3922436617933418</v>
      </c>
      <c r="R117" s="1331">
        <f t="shared" si="86"/>
        <v>1.3258787822513463</v>
      </c>
      <c r="S117" s="1331">
        <f t="shared" si="86"/>
        <v>1.2595139027093509</v>
      </c>
      <c r="T117" s="1331">
        <f t="shared" si="86"/>
        <v>1.1931490231673554</v>
      </c>
      <c r="U117" s="1331">
        <f t="shared" si="86"/>
        <v>1.1267841436253605</v>
      </c>
      <c r="V117" s="1331">
        <f t="shared" si="86"/>
        <v>1.0604192640833654</v>
      </c>
      <c r="W117" s="1331">
        <f t="shared" si="86"/>
        <v>0.9940543845413703</v>
      </c>
      <c r="X117" s="1331">
        <f t="shared" si="86"/>
        <v>0.92768950499937486</v>
      </c>
      <c r="Y117" s="1331">
        <f t="shared" si="86"/>
        <v>0.86132462545737987</v>
      </c>
      <c r="Z117" s="1331">
        <f t="shared" si="86"/>
        <v>0.86132462545737987</v>
      </c>
      <c r="AA117" s="1331">
        <f t="shared" si="86"/>
        <v>0.86132462545737987</v>
      </c>
      <c r="AB117" s="1331">
        <f t="shared" si="86"/>
        <v>0.86132462545737987</v>
      </c>
      <c r="AC117" s="1331">
        <f t="shared" si="86"/>
        <v>0.86132462545737976</v>
      </c>
      <c r="AD117" s="1331">
        <f t="shared" si="86"/>
        <v>0.86132462545737998</v>
      </c>
      <c r="AE117" s="1331">
        <f t="shared" si="86"/>
        <v>0.86132462545738009</v>
      </c>
      <c r="AF117" s="1331">
        <f t="shared" si="86"/>
        <v>0.86132462545737987</v>
      </c>
      <c r="AG117" s="1331">
        <f t="shared" si="86"/>
        <v>0.86132462545737998</v>
      </c>
      <c r="AH117" s="1331">
        <f t="shared" si="86"/>
        <v>0.86132462545737987</v>
      </c>
      <c r="AI117" s="1331">
        <f t="shared" ref="AI117:AJ117" si="87">AI84*$C$114</f>
        <v>0.86132462545737987</v>
      </c>
      <c r="AJ117" s="1331">
        <f t="shared" si="87"/>
        <v>0.86132462545737998</v>
      </c>
      <c r="AK117" s="1671">
        <f t="shared" ref="AK117" si="88">AK84*$C$114</f>
        <v>0.86132462545737998</v>
      </c>
    </row>
    <row r="118" spans="2:37">
      <c r="B118" s="1316" t="s">
        <v>263</v>
      </c>
      <c r="C118" s="1316" t="s">
        <v>292</v>
      </c>
      <c r="D118" s="1331">
        <f t="shared" ref="D118:AH118" si="89">D85*$C$114</f>
        <v>5.9068582931162045E-2</v>
      </c>
      <c r="E118" s="1331">
        <f t="shared" si="89"/>
        <v>5.9068582931162038E-2</v>
      </c>
      <c r="F118" s="1331">
        <f t="shared" si="89"/>
        <v>5.9068582931162038E-2</v>
      </c>
      <c r="G118" s="1331">
        <f t="shared" si="89"/>
        <v>6.1051758494564262E-2</v>
      </c>
      <c r="H118" s="1331">
        <f t="shared" si="89"/>
        <v>6.303493405796648E-2</v>
      </c>
      <c r="I118" s="1331">
        <f t="shared" si="89"/>
        <v>6.5018109621368697E-2</v>
      </c>
      <c r="J118" s="1331">
        <f t="shared" si="89"/>
        <v>6.7001285184770928E-2</v>
      </c>
      <c r="K118" s="1331">
        <f t="shared" si="89"/>
        <v>6.8984460748173146E-2</v>
      </c>
      <c r="L118" s="1331">
        <f t="shared" si="89"/>
        <v>7.0967636311575377E-2</v>
      </c>
      <c r="M118" s="1331">
        <f t="shared" si="89"/>
        <v>7.2950811874977595E-2</v>
      </c>
      <c r="N118" s="1331">
        <f t="shared" si="89"/>
        <v>7.4933987438379826E-2</v>
      </c>
      <c r="O118" s="1331">
        <f t="shared" si="89"/>
        <v>7.6917163001782043E-2</v>
      </c>
      <c r="P118" s="1331">
        <f t="shared" si="89"/>
        <v>7.8900338565184261E-2</v>
      </c>
      <c r="Q118" s="1331">
        <f t="shared" si="89"/>
        <v>8.0883514128586464E-2</v>
      </c>
      <c r="R118" s="1331">
        <f t="shared" si="89"/>
        <v>8.2866689691988696E-2</v>
      </c>
      <c r="S118" s="1331">
        <f t="shared" si="89"/>
        <v>8.4849865255390941E-2</v>
      </c>
      <c r="T118" s="1331">
        <f t="shared" si="89"/>
        <v>8.6833040818793158E-2</v>
      </c>
      <c r="U118" s="1331">
        <f t="shared" si="89"/>
        <v>8.8816216382195362E-2</v>
      </c>
      <c r="V118" s="1331">
        <f t="shared" si="89"/>
        <v>9.0799391945597593E-2</v>
      </c>
      <c r="W118" s="1331">
        <f t="shared" si="89"/>
        <v>9.2782567508999825E-2</v>
      </c>
      <c r="X118" s="1331">
        <f t="shared" si="89"/>
        <v>9.4765743072402028E-2</v>
      </c>
      <c r="Y118" s="1331">
        <f t="shared" si="89"/>
        <v>9.674891863580426E-2</v>
      </c>
      <c r="Z118" s="1331">
        <f t="shared" si="89"/>
        <v>9.674891863580426E-2</v>
      </c>
      <c r="AA118" s="1331">
        <f t="shared" si="89"/>
        <v>9.6748918635804274E-2</v>
      </c>
      <c r="AB118" s="1331">
        <f t="shared" si="89"/>
        <v>9.674891863580426E-2</v>
      </c>
      <c r="AC118" s="1331">
        <f t="shared" si="89"/>
        <v>9.6748918635804246E-2</v>
      </c>
      <c r="AD118" s="1331">
        <f t="shared" si="89"/>
        <v>9.6748918635804246E-2</v>
      </c>
      <c r="AE118" s="1331">
        <f t="shared" si="89"/>
        <v>9.6748918635804232E-2</v>
      </c>
      <c r="AF118" s="1331">
        <f t="shared" si="89"/>
        <v>9.674891863580426E-2</v>
      </c>
      <c r="AG118" s="1331">
        <f t="shared" si="89"/>
        <v>9.6748918635804274E-2</v>
      </c>
      <c r="AH118" s="1331">
        <f t="shared" si="89"/>
        <v>9.674891863580426E-2</v>
      </c>
      <c r="AI118" s="1331">
        <f t="shared" ref="AI118:AJ118" si="90">AI85*$C$114</f>
        <v>9.6748918635804274E-2</v>
      </c>
      <c r="AJ118" s="1331">
        <f t="shared" si="90"/>
        <v>9.6748918635804274E-2</v>
      </c>
      <c r="AK118" s="1671">
        <f t="shared" ref="AK118" si="91">AK85*$C$114</f>
        <v>9.6748918635804274E-2</v>
      </c>
    </row>
    <row r="119" spans="2:37">
      <c r="B119" s="1316" t="s">
        <v>264</v>
      </c>
      <c r="C119" s="1316" t="s">
        <v>292</v>
      </c>
      <c r="D119" s="1331">
        <f t="shared" ref="D119:AH119" si="92">D86*$C$114</f>
        <v>0.1908666</v>
      </c>
      <c r="E119" s="1331">
        <f t="shared" si="92"/>
        <v>0.19086659999999997</v>
      </c>
      <c r="F119" s="1331">
        <f t="shared" si="92"/>
        <v>0.1908666</v>
      </c>
      <c r="G119" s="1331">
        <f t="shared" si="92"/>
        <v>0.18233927138596862</v>
      </c>
      <c r="H119" s="1331">
        <f t="shared" si="92"/>
        <v>0.17381194277193721</v>
      </c>
      <c r="I119" s="1331">
        <f t="shared" si="92"/>
        <v>0.16528461415790582</v>
      </c>
      <c r="J119" s="1331">
        <f t="shared" si="92"/>
        <v>0.15675728554387441</v>
      </c>
      <c r="K119" s="1331">
        <f t="shared" si="92"/>
        <v>0.14822995692984298</v>
      </c>
      <c r="L119" s="1331">
        <f t="shared" si="92"/>
        <v>0.13970262831581162</v>
      </c>
      <c r="M119" s="1331">
        <f t="shared" si="92"/>
        <v>0.13117529970178021</v>
      </c>
      <c r="N119" s="1331">
        <f t="shared" si="92"/>
        <v>0.12264797108774883</v>
      </c>
      <c r="O119" s="1331">
        <f t="shared" si="92"/>
        <v>0.11412064247371741</v>
      </c>
      <c r="P119" s="1331">
        <f t="shared" si="92"/>
        <v>0.10559331385968602</v>
      </c>
      <c r="Q119" s="1331">
        <f t="shared" si="92"/>
        <v>9.7065985245654643E-2</v>
      </c>
      <c r="R119" s="1331">
        <f t="shared" si="92"/>
        <v>8.8538656631623247E-2</v>
      </c>
      <c r="S119" s="1331">
        <f t="shared" si="92"/>
        <v>8.0011328017591837E-2</v>
      </c>
      <c r="T119" s="1331">
        <f t="shared" si="92"/>
        <v>7.1483999403560455E-2</v>
      </c>
      <c r="U119" s="1331">
        <f t="shared" si="92"/>
        <v>6.2956670789529059E-2</v>
      </c>
      <c r="V119" s="1331">
        <f t="shared" si="92"/>
        <v>5.4429342175497664E-2</v>
      </c>
      <c r="W119" s="1331">
        <f t="shared" si="92"/>
        <v>4.5902013561466247E-2</v>
      </c>
      <c r="X119" s="1331">
        <f t="shared" si="92"/>
        <v>3.7374684947434851E-2</v>
      </c>
      <c r="Y119" s="1331">
        <f t="shared" si="92"/>
        <v>2.8847356333403473E-2</v>
      </c>
      <c r="Z119" s="1331">
        <f t="shared" si="92"/>
        <v>2.8847356333403473E-2</v>
      </c>
      <c r="AA119" s="1331">
        <f t="shared" si="92"/>
        <v>2.8847356333403473E-2</v>
      </c>
      <c r="AB119" s="1331">
        <f t="shared" si="92"/>
        <v>2.8847356333403476E-2</v>
      </c>
      <c r="AC119" s="1331">
        <f t="shared" si="92"/>
        <v>2.8847356333403473E-2</v>
      </c>
      <c r="AD119" s="1331">
        <f t="shared" si="92"/>
        <v>2.8847356333403473E-2</v>
      </c>
      <c r="AE119" s="1331">
        <f t="shared" si="92"/>
        <v>2.8847356333403476E-2</v>
      </c>
      <c r="AF119" s="1331">
        <f t="shared" si="92"/>
        <v>2.8847356333403473E-2</v>
      </c>
      <c r="AG119" s="1331">
        <f t="shared" si="92"/>
        <v>2.8847356333403469E-2</v>
      </c>
      <c r="AH119" s="1331">
        <f t="shared" si="92"/>
        <v>2.8847356333403473E-2</v>
      </c>
      <c r="AI119" s="1331">
        <f t="shared" ref="AI119:AJ119" si="93">AI86*$C$114</f>
        <v>2.8847356333403466E-2</v>
      </c>
      <c r="AJ119" s="1331">
        <f t="shared" si="93"/>
        <v>2.8847356333403473E-2</v>
      </c>
      <c r="AK119" s="1671">
        <f t="shared" ref="AK119" si="94">AK86*$C$114</f>
        <v>2.8847356333403473E-2</v>
      </c>
    </row>
    <row r="120" spans="2:37">
      <c r="B120" s="1316" t="s">
        <v>265</v>
      </c>
      <c r="C120" s="1316" t="s">
        <v>293</v>
      </c>
      <c r="D120" s="1331">
        <f t="shared" ref="D120:AG120" si="95">D87*$C$114</f>
        <v>3.275678522336526E-2</v>
      </c>
      <c r="E120" s="1331">
        <f t="shared" si="95"/>
        <v>3.275678522336526E-2</v>
      </c>
      <c r="F120" s="1331">
        <f t="shared" si="95"/>
        <v>3.275678522336526E-2</v>
      </c>
      <c r="G120" s="1331">
        <f t="shared" si="95"/>
        <v>3.1795199551624756E-2</v>
      </c>
      <c r="H120" s="1331">
        <f t="shared" si="95"/>
        <v>3.0833613879884248E-2</v>
      </c>
      <c r="I120" s="1331">
        <f t="shared" si="95"/>
        <v>2.9872028208143747E-2</v>
      </c>
      <c r="J120" s="1331">
        <f t="shared" si="95"/>
        <v>2.8910442536403243E-2</v>
      </c>
      <c r="K120" s="1331">
        <f t="shared" si="95"/>
        <v>2.7948856864662728E-2</v>
      </c>
      <c r="L120" s="1331">
        <f t="shared" si="95"/>
        <v>2.6987271192922224E-2</v>
      </c>
      <c r="M120" s="1331">
        <f t="shared" si="95"/>
        <v>2.6025685521181723E-2</v>
      </c>
      <c r="N120" s="1331">
        <f t="shared" si="95"/>
        <v>2.5064099849441218E-2</v>
      </c>
      <c r="O120" s="1331">
        <f t="shared" si="95"/>
        <v>2.410251417770071E-2</v>
      </c>
      <c r="P120" s="1331">
        <f t="shared" si="95"/>
        <v>2.3140928505960202E-2</v>
      </c>
      <c r="Q120" s="1331">
        <f t="shared" si="95"/>
        <v>2.2179342834219695E-2</v>
      </c>
      <c r="R120" s="1331">
        <f t="shared" si="95"/>
        <v>2.1217757162479194E-2</v>
      </c>
      <c r="S120" s="1331">
        <f t="shared" si="95"/>
        <v>2.0256171490738689E-2</v>
      </c>
      <c r="T120" s="1331">
        <f t="shared" si="95"/>
        <v>1.9294585818998174E-2</v>
      </c>
      <c r="U120" s="1331">
        <f t="shared" si="95"/>
        <v>1.833300014725767E-2</v>
      </c>
      <c r="V120" s="1331">
        <f t="shared" si="95"/>
        <v>1.7371414475517166E-2</v>
      </c>
      <c r="W120" s="1331">
        <f t="shared" si="95"/>
        <v>1.6409828803776658E-2</v>
      </c>
      <c r="X120" s="1331">
        <f t="shared" si="95"/>
        <v>1.5448243132036157E-2</v>
      </c>
      <c r="Y120" s="1331">
        <f t="shared" si="95"/>
        <v>1.4486657460295647E-2</v>
      </c>
      <c r="Z120" s="1331">
        <f t="shared" si="95"/>
        <v>1.4486657460295647E-2</v>
      </c>
      <c r="AA120" s="1331">
        <f t="shared" si="95"/>
        <v>1.4486657460295649E-2</v>
      </c>
      <c r="AB120" s="1331">
        <f t="shared" si="95"/>
        <v>1.4486657460295645E-2</v>
      </c>
      <c r="AC120" s="1331">
        <f t="shared" si="95"/>
        <v>1.4486657460295647E-2</v>
      </c>
      <c r="AD120" s="1331">
        <f t="shared" si="95"/>
        <v>1.4486657460295644E-2</v>
      </c>
      <c r="AE120" s="1331">
        <f t="shared" si="95"/>
        <v>1.4486657460295647E-2</v>
      </c>
      <c r="AF120" s="1331">
        <f t="shared" si="95"/>
        <v>1.4486657460295649E-2</v>
      </c>
      <c r="AG120" s="1331">
        <f t="shared" si="95"/>
        <v>1.4486657460295647E-2</v>
      </c>
      <c r="AH120" s="1331">
        <f t="shared" ref="AH120:AI120" si="96">AH87*$C$114</f>
        <v>1.4486657460295649E-2</v>
      </c>
      <c r="AI120" s="1331">
        <f t="shared" si="96"/>
        <v>1.4486657460295647E-2</v>
      </c>
      <c r="AJ120" s="1331">
        <f t="shared" ref="AJ120:AK120" si="97">AJ87*$C$114</f>
        <v>1.4486657460295647E-2</v>
      </c>
      <c r="AK120" s="1671">
        <f t="shared" si="97"/>
        <v>1.4486657460295647E-2</v>
      </c>
    </row>
    <row r="121" spans="2:37">
      <c r="B121" s="1316" t="s">
        <v>267</v>
      </c>
      <c r="C121" s="1316" t="s">
        <v>293</v>
      </c>
      <c r="D121" s="1331">
        <f t="shared" ref="D121:AG121" si="98">D88*$C$114</f>
        <v>3.3993082289156336E-3</v>
      </c>
      <c r="E121" s="1331">
        <f t="shared" si="98"/>
        <v>3.3993082289156336E-3</v>
      </c>
      <c r="F121" s="1331">
        <f t="shared" si="98"/>
        <v>3.399308228915634E-3</v>
      </c>
      <c r="G121" s="1331">
        <f t="shared" si="98"/>
        <v>3.2885686485546769E-3</v>
      </c>
      <c r="H121" s="1331">
        <f t="shared" si="98"/>
        <v>3.1778290681937198E-3</v>
      </c>
      <c r="I121" s="1331">
        <f t="shared" si="98"/>
        <v>3.067089487832764E-3</v>
      </c>
      <c r="J121" s="1331">
        <f t="shared" si="98"/>
        <v>2.9563499074718074E-3</v>
      </c>
      <c r="K121" s="1331">
        <f t="shared" si="98"/>
        <v>2.8456103271108507E-3</v>
      </c>
      <c r="L121" s="1331">
        <f t="shared" si="98"/>
        <v>2.734870746749894E-3</v>
      </c>
      <c r="M121" s="1331">
        <f t="shared" si="98"/>
        <v>2.6241311663889369E-3</v>
      </c>
      <c r="N121" s="1331">
        <f t="shared" si="98"/>
        <v>2.5133915860279799E-3</v>
      </c>
      <c r="O121" s="1331">
        <f t="shared" si="98"/>
        <v>2.4026520056670241E-3</v>
      </c>
      <c r="P121" s="1331">
        <f t="shared" si="98"/>
        <v>2.2919124253060674E-3</v>
      </c>
      <c r="Q121" s="1331">
        <f t="shared" si="98"/>
        <v>2.1811728449451103E-3</v>
      </c>
      <c r="R121" s="1331">
        <f t="shared" si="98"/>
        <v>2.0704332645841536E-3</v>
      </c>
      <c r="S121" s="1331">
        <f t="shared" si="98"/>
        <v>1.959693684223197E-3</v>
      </c>
      <c r="T121" s="1331">
        <f t="shared" si="98"/>
        <v>1.8489541038622403E-3</v>
      </c>
      <c r="U121" s="1331">
        <f t="shared" si="98"/>
        <v>1.7382145235012841E-3</v>
      </c>
      <c r="V121" s="1331">
        <f t="shared" si="98"/>
        <v>1.6274749431403276E-3</v>
      </c>
      <c r="W121" s="1331">
        <f t="shared" si="98"/>
        <v>1.5167353627793705E-3</v>
      </c>
      <c r="X121" s="1331">
        <f t="shared" si="98"/>
        <v>1.4059957824184143E-3</v>
      </c>
      <c r="Y121" s="1331">
        <f t="shared" si="98"/>
        <v>1.2952562020574574E-3</v>
      </c>
      <c r="Z121" s="1331">
        <f t="shared" si="98"/>
        <v>1.2952562020574574E-3</v>
      </c>
      <c r="AA121" s="1331">
        <f t="shared" si="98"/>
        <v>1.2952562020574574E-3</v>
      </c>
      <c r="AB121" s="1331">
        <f t="shared" si="98"/>
        <v>1.2952562020574574E-3</v>
      </c>
      <c r="AC121" s="1331">
        <f t="shared" si="98"/>
        <v>1.2952562020574574E-3</v>
      </c>
      <c r="AD121" s="1331">
        <f t="shared" si="98"/>
        <v>1.2952562020574572E-3</v>
      </c>
      <c r="AE121" s="1331">
        <f t="shared" si="98"/>
        <v>1.2952562020574572E-3</v>
      </c>
      <c r="AF121" s="1331">
        <f t="shared" si="98"/>
        <v>1.2952562020574574E-3</v>
      </c>
      <c r="AG121" s="1331">
        <f t="shared" si="98"/>
        <v>1.2952562020574574E-3</v>
      </c>
      <c r="AH121" s="1331">
        <f t="shared" ref="AH121:AI121" si="99">AH88*$C$114</f>
        <v>1.2952562020574574E-3</v>
      </c>
      <c r="AI121" s="1331">
        <f t="shared" si="99"/>
        <v>1.2952562020574574E-3</v>
      </c>
      <c r="AJ121" s="1331">
        <f t="shared" ref="AJ121:AK121" si="100">AJ88*$C$114</f>
        <v>1.2952562020574572E-3</v>
      </c>
      <c r="AK121" s="1671">
        <f t="shared" si="100"/>
        <v>1.2952562020574572E-3</v>
      </c>
    </row>
    <row r="122" spans="2:37">
      <c r="B122" s="1316" t="s">
        <v>268</v>
      </c>
      <c r="C122" s="1316" t="s">
        <v>293</v>
      </c>
      <c r="D122" s="1331">
        <f t="shared" ref="D122:AG122" si="101">D89*$C$114</f>
        <v>1.7908210200439585E-4</v>
      </c>
      <c r="E122" s="1331">
        <f t="shared" si="101"/>
        <v>1.7908210200439587E-4</v>
      </c>
      <c r="F122" s="1331">
        <f t="shared" si="101"/>
        <v>1.7908210200439587E-4</v>
      </c>
      <c r="G122" s="1331">
        <f t="shared" si="101"/>
        <v>1.8349851771977315E-4</v>
      </c>
      <c r="H122" s="1331">
        <f t="shared" si="101"/>
        <v>1.8791493343515048E-4</v>
      </c>
      <c r="I122" s="1331">
        <f t="shared" si="101"/>
        <v>1.9233134915052776E-4</v>
      </c>
      <c r="J122" s="1331">
        <f t="shared" si="101"/>
        <v>1.9674776486590506E-4</v>
      </c>
      <c r="K122" s="1331">
        <f t="shared" si="101"/>
        <v>2.0116418058128234E-4</v>
      </c>
      <c r="L122" s="1331">
        <f t="shared" si="101"/>
        <v>2.0558059629665964E-4</v>
      </c>
      <c r="M122" s="1331">
        <f t="shared" si="101"/>
        <v>2.0999701201203694E-4</v>
      </c>
      <c r="N122" s="1331">
        <f t="shared" si="101"/>
        <v>2.1441342772741427E-4</v>
      </c>
      <c r="O122" s="1331">
        <f t="shared" si="101"/>
        <v>2.1882984344279155E-4</v>
      </c>
      <c r="P122" s="1331">
        <f t="shared" si="101"/>
        <v>2.2324625915816885E-4</v>
      </c>
      <c r="Q122" s="1331">
        <f t="shared" si="101"/>
        <v>2.2766267487354616E-4</v>
      </c>
      <c r="R122" s="1331">
        <f t="shared" si="101"/>
        <v>2.3207909058892346E-4</v>
      </c>
      <c r="S122" s="1331">
        <f t="shared" si="101"/>
        <v>2.3649550630430076E-4</v>
      </c>
      <c r="T122" s="1331">
        <f t="shared" si="101"/>
        <v>2.4091192201967807E-4</v>
      </c>
      <c r="U122" s="1331">
        <f t="shared" si="101"/>
        <v>2.4532833773505532E-4</v>
      </c>
      <c r="V122" s="1331">
        <f t="shared" si="101"/>
        <v>2.4974475345043262E-4</v>
      </c>
      <c r="W122" s="1331">
        <f t="shared" si="101"/>
        <v>2.5416116916580992E-4</v>
      </c>
      <c r="X122" s="1331">
        <f t="shared" si="101"/>
        <v>2.5857758488118728E-4</v>
      </c>
      <c r="Y122" s="1331">
        <f t="shared" si="101"/>
        <v>2.6299400059656458E-4</v>
      </c>
      <c r="Z122" s="1331">
        <f t="shared" si="101"/>
        <v>2.6299400059656447E-4</v>
      </c>
      <c r="AA122" s="1331">
        <f t="shared" si="101"/>
        <v>2.6299400059656453E-4</v>
      </c>
      <c r="AB122" s="1331">
        <f t="shared" si="101"/>
        <v>2.6299400059656458E-4</v>
      </c>
      <c r="AC122" s="1331">
        <f t="shared" si="101"/>
        <v>2.6299400059656453E-4</v>
      </c>
      <c r="AD122" s="1331">
        <f t="shared" si="101"/>
        <v>2.6299400059656458E-4</v>
      </c>
      <c r="AE122" s="1331">
        <f t="shared" si="101"/>
        <v>2.6299400059656458E-4</v>
      </c>
      <c r="AF122" s="1331">
        <f t="shared" si="101"/>
        <v>2.6299400059656453E-4</v>
      </c>
      <c r="AG122" s="1331">
        <f t="shared" si="101"/>
        <v>2.6299400059656453E-4</v>
      </c>
      <c r="AH122" s="1331">
        <f t="shared" ref="AH122:AI122" si="102">AH89*$C$114</f>
        <v>2.6299400059656453E-4</v>
      </c>
      <c r="AI122" s="1331">
        <f t="shared" si="102"/>
        <v>2.6299400059656458E-4</v>
      </c>
      <c r="AJ122" s="1331">
        <f t="shared" ref="AJ122:AK122" si="103">AJ89*$C$114</f>
        <v>2.6299400059656458E-4</v>
      </c>
      <c r="AK122" s="1671">
        <f t="shared" si="103"/>
        <v>2.6299400059656458E-4</v>
      </c>
    </row>
    <row r="123" spans="2:37">
      <c r="B123" s="1183" t="s">
        <v>269</v>
      </c>
      <c r="C123" s="1316" t="s">
        <v>293</v>
      </c>
      <c r="D123" s="1332">
        <f t="shared" ref="D123:AG123" si="104">D90*$C$114</f>
        <v>4.898315275717483E-3</v>
      </c>
      <c r="E123" s="1332">
        <f t="shared" si="104"/>
        <v>4.898315275717483E-3</v>
      </c>
      <c r="F123" s="1332">
        <f t="shared" si="104"/>
        <v>4.898315275717483E-3</v>
      </c>
      <c r="G123" s="1332">
        <f t="shared" si="104"/>
        <v>4.898315275717483E-3</v>
      </c>
      <c r="H123" s="1332">
        <f t="shared" si="104"/>
        <v>4.898315275717483E-3</v>
      </c>
      <c r="I123" s="1332">
        <f t="shared" si="104"/>
        <v>4.898315275717483E-3</v>
      </c>
      <c r="J123" s="1332">
        <f t="shared" si="104"/>
        <v>4.8983152757174839E-3</v>
      </c>
      <c r="K123" s="1332">
        <f t="shared" si="104"/>
        <v>4.8983152757174839E-3</v>
      </c>
      <c r="L123" s="1332">
        <f t="shared" si="104"/>
        <v>4.898315275717483E-3</v>
      </c>
      <c r="M123" s="1332">
        <f t="shared" si="104"/>
        <v>4.898315275717483E-3</v>
      </c>
      <c r="N123" s="1332">
        <f t="shared" si="104"/>
        <v>4.8983152757174839E-3</v>
      </c>
      <c r="O123" s="1332">
        <f t="shared" si="104"/>
        <v>4.898315275717483E-3</v>
      </c>
      <c r="P123" s="1332">
        <f t="shared" si="104"/>
        <v>4.8983152757174839E-3</v>
      </c>
      <c r="Q123" s="1332">
        <f t="shared" si="104"/>
        <v>4.898315275717483E-3</v>
      </c>
      <c r="R123" s="1332">
        <f t="shared" si="104"/>
        <v>4.898315275717483E-3</v>
      </c>
      <c r="S123" s="1332">
        <f t="shared" si="104"/>
        <v>4.898315275717483E-3</v>
      </c>
      <c r="T123" s="1332">
        <f t="shared" si="104"/>
        <v>4.8983152757174839E-3</v>
      </c>
      <c r="U123" s="1332">
        <f t="shared" si="104"/>
        <v>4.898315275717483E-3</v>
      </c>
      <c r="V123" s="1332">
        <f t="shared" si="104"/>
        <v>4.8983152757174839E-3</v>
      </c>
      <c r="W123" s="1332">
        <f t="shared" si="104"/>
        <v>4.8983152757174839E-3</v>
      </c>
      <c r="X123" s="1332">
        <f t="shared" si="104"/>
        <v>4.898315275717483E-3</v>
      </c>
      <c r="Y123" s="1332">
        <f t="shared" si="104"/>
        <v>4.8983152757174839E-3</v>
      </c>
      <c r="Z123" s="1332">
        <f t="shared" si="104"/>
        <v>4.8983152757174839E-3</v>
      </c>
      <c r="AA123" s="1332">
        <f t="shared" si="104"/>
        <v>4.8983152757174839E-3</v>
      </c>
      <c r="AB123" s="1332">
        <f t="shared" si="104"/>
        <v>4.8983152757174839E-3</v>
      </c>
      <c r="AC123" s="1332">
        <f t="shared" si="104"/>
        <v>4.8983152757174839E-3</v>
      </c>
      <c r="AD123" s="1332">
        <f t="shared" si="104"/>
        <v>4.8983152757174839E-3</v>
      </c>
      <c r="AE123" s="1332">
        <f t="shared" si="104"/>
        <v>4.898315275717483E-3</v>
      </c>
      <c r="AF123" s="1332">
        <f t="shared" si="104"/>
        <v>4.898315275717483E-3</v>
      </c>
      <c r="AG123" s="1332">
        <f t="shared" si="104"/>
        <v>4.8983152757174839E-3</v>
      </c>
      <c r="AH123" s="1332">
        <f t="shared" ref="AH123:AI123" si="105">AH90*$C$114</f>
        <v>4.8983152757174839E-3</v>
      </c>
      <c r="AI123" s="1332">
        <f t="shared" si="105"/>
        <v>4.898315275717483E-3</v>
      </c>
      <c r="AJ123" s="1332">
        <f t="shared" ref="AJ123:AK123" si="106">AJ90*$C$114</f>
        <v>4.898315275717483E-3</v>
      </c>
      <c r="AK123" s="1672">
        <f t="shared" si="106"/>
        <v>4.898315275717483E-3</v>
      </c>
    </row>
    <row r="124" spans="2:37">
      <c r="B124" s="1315" t="s">
        <v>270</v>
      </c>
      <c r="C124" s="1320"/>
      <c r="D124" s="1333"/>
      <c r="E124" s="1333"/>
      <c r="F124" s="1333"/>
      <c r="G124" s="1333"/>
      <c r="H124" s="1333"/>
      <c r="I124" s="1333"/>
      <c r="J124" s="1333"/>
      <c r="K124" s="1333"/>
      <c r="L124" s="1333"/>
      <c r="M124" s="1333"/>
      <c r="N124" s="1333"/>
      <c r="O124" s="1333"/>
      <c r="P124" s="1333"/>
      <c r="Q124" s="1333"/>
      <c r="R124" s="1333"/>
      <c r="S124" s="1333"/>
      <c r="T124" s="1333"/>
      <c r="U124" s="1333"/>
      <c r="V124" s="1333"/>
      <c r="W124" s="1333"/>
      <c r="X124" s="1333"/>
      <c r="Y124" s="1333"/>
      <c r="Z124" s="1333"/>
      <c r="AA124" s="1333"/>
      <c r="AB124" s="1333"/>
      <c r="AC124" s="1333"/>
      <c r="AD124" s="1333"/>
      <c r="AE124" s="1333"/>
      <c r="AF124" s="1333"/>
      <c r="AG124" s="1333"/>
      <c r="AH124" s="1333"/>
      <c r="AI124" s="1333"/>
      <c r="AJ124" s="1333"/>
      <c r="AK124" s="1673"/>
    </row>
    <row r="125" spans="2:37">
      <c r="B125" s="1321" t="s">
        <v>271</v>
      </c>
      <c r="C125" s="1181" t="s">
        <v>294</v>
      </c>
      <c r="D125" s="1334">
        <f t="shared" ref="D125:M125" si="107">D92*$C$114</f>
        <v>30.335424480000007</v>
      </c>
      <c r="E125" s="1334">
        <f t="shared" si="107"/>
        <v>30.33542448</v>
      </c>
      <c r="F125" s="1334">
        <f t="shared" si="107"/>
        <v>30.335424479999997</v>
      </c>
      <c r="G125" s="1334">
        <f t="shared" si="107"/>
        <v>28.851597587368421</v>
      </c>
      <c r="H125" s="1334">
        <f t="shared" si="107"/>
        <v>27.367770694736841</v>
      </c>
      <c r="I125" s="1334">
        <f t="shared" si="107"/>
        <v>25.883943802105264</v>
      </c>
      <c r="J125" s="1334">
        <f t="shared" si="107"/>
        <v>24.400116909473685</v>
      </c>
      <c r="K125" s="1334">
        <f t="shared" si="107"/>
        <v>22.916290016842108</v>
      </c>
      <c r="L125" s="1334">
        <f t="shared" si="107"/>
        <v>21.432463124210525</v>
      </c>
      <c r="M125" s="1334">
        <f t="shared" si="107"/>
        <v>19.948636231578945</v>
      </c>
      <c r="N125" s="1334">
        <f t="shared" ref="E125:AG134" si="108">N92*$C$114</f>
        <v>18.464809338947365</v>
      </c>
      <c r="O125" s="1334">
        <f t="shared" si="108"/>
        <v>16.980982446315789</v>
      </c>
      <c r="P125" s="1334">
        <f t="shared" si="108"/>
        <v>15.497155553684212</v>
      </c>
      <c r="Q125" s="1334">
        <f t="shared" si="108"/>
        <v>14.013328661052631</v>
      </c>
      <c r="R125" s="1334">
        <f t="shared" si="108"/>
        <v>12.529501768421058</v>
      </c>
      <c r="S125" s="1334">
        <f t="shared" si="108"/>
        <v>11.045674875789473</v>
      </c>
      <c r="T125" s="1334">
        <f t="shared" si="108"/>
        <v>9.5618479831578949</v>
      </c>
      <c r="U125" s="1334">
        <f t="shared" si="108"/>
        <v>8.078021090526315</v>
      </c>
      <c r="V125" s="1334">
        <f t="shared" si="108"/>
        <v>6.5941941978947352</v>
      </c>
      <c r="W125" s="1334">
        <f t="shared" si="108"/>
        <v>5.1103673052631571</v>
      </c>
      <c r="X125" s="1334">
        <f t="shared" si="108"/>
        <v>3.6265404126315777</v>
      </c>
      <c r="Y125" s="1334">
        <f t="shared" si="108"/>
        <v>2.14271352</v>
      </c>
      <c r="Z125" s="1334">
        <f t="shared" si="108"/>
        <v>2.14271352</v>
      </c>
      <c r="AA125" s="1334">
        <f t="shared" si="108"/>
        <v>2.14271352</v>
      </c>
      <c r="AB125" s="1334">
        <f t="shared" si="108"/>
        <v>2.14271352</v>
      </c>
      <c r="AC125" s="1334">
        <f t="shared" si="108"/>
        <v>2.14271352</v>
      </c>
      <c r="AD125" s="1334">
        <f t="shared" si="108"/>
        <v>2.14271352</v>
      </c>
      <c r="AE125" s="1334">
        <f t="shared" si="108"/>
        <v>2.14271352</v>
      </c>
      <c r="AF125" s="1334">
        <f t="shared" si="108"/>
        <v>2.14271352</v>
      </c>
      <c r="AG125" s="1334">
        <f t="shared" si="108"/>
        <v>2.14271352</v>
      </c>
      <c r="AH125" s="1334">
        <f t="shared" ref="AH125:AI125" si="109">AH92*$C$114</f>
        <v>2.1427135200000005</v>
      </c>
      <c r="AI125" s="1334">
        <f t="shared" si="109"/>
        <v>2.1427135199999996</v>
      </c>
      <c r="AJ125" s="1334">
        <f t="shared" ref="AJ125:AK125" si="110">AJ92*$C$114</f>
        <v>2.1427135200000005</v>
      </c>
      <c r="AK125" s="1674">
        <f t="shared" si="110"/>
        <v>2.1427135200000005</v>
      </c>
    </row>
    <row r="126" spans="2:37">
      <c r="B126" s="1316" t="s">
        <v>273</v>
      </c>
      <c r="C126" s="1181" t="s">
        <v>294</v>
      </c>
      <c r="D126" s="1331">
        <f t="shared" ref="D126:D134" si="111">D93*$C$114</f>
        <v>16.129402560000003</v>
      </c>
      <c r="E126" s="1331">
        <f t="shared" si="108"/>
        <v>16.129402559999999</v>
      </c>
      <c r="F126" s="1331">
        <f t="shared" si="108"/>
        <v>16.129402559999999</v>
      </c>
      <c r="G126" s="1331">
        <f t="shared" si="108"/>
        <v>15.332877890526314</v>
      </c>
      <c r="H126" s="1331">
        <f t="shared" si="108"/>
        <v>14.536353221052629</v>
      </c>
      <c r="I126" s="1331">
        <f t="shared" si="108"/>
        <v>13.739828551578947</v>
      </c>
      <c r="J126" s="1331">
        <f t="shared" si="108"/>
        <v>12.943303882105262</v>
      </c>
      <c r="K126" s="1331">
        <f t="shared" si="108"/>
        <v>12.146779212631577</v>
      </c>
      <c r="L126" s="1331">
        <f t="shared" si="108"/>
        <v>11.350254543157893</v>
      </c>
      <c r="M126" s="1331">
        <f t="shared" si="108"/>
        <v>10.553729873684212</v>
      </c>
      <c r="N126" s="1331">
        <f t="shared" si="108"/>
        <v>9.7572052042105266</v>
      </c>
      <c r="O126" s="1331">
        <f t="shared" si="108"/>
        <v>8.9606805347368415</v>
      </c>
      <c r="P126" s="1331">
        <f t="shared" si="108"/>
        <v>8.1641558652631598</v>
      </c>
      <c r="Q126" s="1331">
        <f t="shared" si="108"/>
        <v>7.367631195789472</v>
      </c>
      <c r="R126" s="1331">
        <f t="shared" si="108"/>
        <v>6.5711065263157886</v>
      </c>
      <c r="S126" s="1331">
        <f t="shared" si="108"/>
        <v>5.7745818568421061</v>
      </c>
      <c r="T126" s="1331">
        <f t="shared" si="108"/>
        <v>4.9780571873684218</v>
      </c>
      <c r="U126" s="1331">
        <f t="shared" si="108"/>
        <v>4.1815325178947367</v>
      </c>
      <c r="V126" s="1331">
        <f t="shared" si="108"/>
        <v>3.3850078484210537</v>
      </c>
      <c r="W126" s="1331">
        <f t="shared" si="108"/>
        <v>2.5884831789473699</v>
      </c>
      <c r="X126" s="1331">
        <f t="shared" si="108"/>
        <v>1.7919585094736841</v>
      </c>
      <c r="Y126" s="1331">
        <f t="shared" si="108"/>
        <v>0.99543384000000001</v>
      </c>
      <c r="Z126" s="1331">
        <f t="shared" si="108"/>
        <v>0.99543384000000001</v>
      </c>
      <c r="AA126" s="1331">
        <f t="shared" si="108"/>
        <v>0.99543384000000013</v>
      </c>
      <c r="AB126" s="1331">
        <f t="shared" si="108"/>
        <v>0.9954338399999999</v>
      </c>
      <c r="AC126" s="1331">
        <f t="shared" si="108"/>
        <v>0.99543384000000001</v>
      </c>
      <c r="AD126" s="1331">
        <f t="shared" si="108"/>
        <v>0.99543384000000013</v>
      </c>
      <c r="AE126" s="1331">
        <f t="shared" si="108"/>
        <v>0.99543383999999979</v>
      </c>
      <c r="AF126" s="1331">
        <f t="shared" si="108"/>
        <v>0.99543384000000001</v>
      </c>
      <c r="AG126" s="1331">
        <f t="shared" si="108"/>
        <v>0.99543384000000001</v>
      </c>
      <c r="AH126" s="1331">
        <f t="shared" ref="AH126:AI126" si="112">AH93*$C$114</f>
        <v>0.9954338399999999</v>
      </c>
      <c r="AI126" s="1331">
        <f t="shared" si="112"/>
        <v>0.9954338399999999</v>
      </c>
      <c r="AJ126" s="1331">
        <f t="shared" ref="AJ126:AK126" si="113">AJ93*$C$114</f>
        <v>0.99543384000000001</v>
      </c>
      <c r="AK126" s="1671">
        <f t="shared" si="113"/>
        <v>0.99543384000000001</v>
      </c>
    </row>
    <row r="127" spans="2:37">
      <c r="B127" s="1316" t="s">
        <v>274</v>
      </c>
      <c r="C127" s="1181" t="s">
        <v>294</v>
      </c>
      <c r="D127" s="1331">
        <f t="shared" si="111"/>
        <v>0.72717285600000003</v>
      </c>
      <c r="E127" s="1331">
        <f t="shared" si="108"/>
        <v>0.72717285599999992</v>
      </c>
      <c r="F127" s="1331">
        <f t="shared" si="108"/>
        <v>0.72717285599999992</v>
      </c>
      <c r="G127" s="1331">
        <f t="shared" si="108"/>
        <v>0.72717285599999992</v>
      </c>
      <c r="H127" s="1331">
        <f t="shared" si="108"/>
        <v>0.72717285599999992</v>
      </c>
      <c r="I127" s="1331">
        <f t="shared" si="108"/>
        <v>0.72717285600000003</v>
      </c>
      <c r="J127" s="1331">
        <f t="shared" si="108"/>
        <v>0.72717285599999992</v>
      </c>
      <c r="K127" s="1331">
        <f t="shared" si="108"/>
        <v>0.72717285599999992</v>
      </c>
      <c r="L127" s="1331">
        <f t="shared" si="108"/>
        <v>0.72717285599999992</v>
      </c>
      <c r="M127" s="1331">
        <f t="shared" si="108"/>
        <v>0.72717285599999992</v>
      </c>
      <c r="N127" s="1331">
        <f t="shared" si="108"/>
        <v>0.72717285599999992</v>
      </c>
      <c r="O127" s="1331">
        <f t="shared" si="108"/>
        <v>0.72717285599999992</v>
      </c>
      <c r="P127" s="1331">
        <f t="shared" si="108"/>
        <v>0.72717285599999992</v>
      </c>
      <c r="Q127" s="1331">
        <f t="shared" si="108"/>
        <v>0.72717285599999981</v>
      </c>
      <c r="R127" s="1331">
        <f t="shared" si="108"/>
        <v>0.72717285599999992</v>
      </c>
      <c r="S127" s="1331">
        <f t="shared" si="108"/>
        <v>0.72717285599999992</v>
      </c>
      <c r="T127" s="1331">
        <f t="shared" si="108"/>
        <v>0.72717285599999992</v>
      </c>
      <c r="U127" s="1331">
        <f t="shared" si="108"/>
        <v>0.72717285599999981</v>
      </c>
      <c r="V127" s="1331">
        <f t="shared" si="108"/>
        <v>0.72717285599999992</v>
      </c>
      <c r="W127" s="1331">
        <f t="shared" si="108"/>
        <v>0.72717285599999992</v>
      </c>
      <c r="X127" s="1331">
        <f t="shared" si="108"/>
        <v>0.72717285599999992</v>
      </c>
      <c r="Y127" s="1331">
        <f t="shared" si="108"/>
        <v>0.72717285599999992</v>
      </c>
      <c r="Z127" s="1331">
        <f t="shared" si="108"/>
        <v>0.72717285599999992</v>
      </c>
      <c r="AA127" s="1331">
        <f t="shared" si="108"/>
        <v>0.72717285599999992</v>
      </c>
      <c r="AB127" s="1331">
        <f t="shared" si="108"/>
        <v>0.72717285599999981</v>
      </c>
      <c r="AC127" s="1331">
        <f t="shared" si="108"/>
        <v>0.72717285600000003</v>
      </c>
      <c r="AD127" s="1331">
        <f t="shared" si="108"/>
        <v>0.72717285599999992</v>
      </c>
      <c r="AE127" s="1331">
        <f t="shared" si="108"/>
        <v>0.72717285599999992</v>
      </c>
      <c r="AF127" s="1331">
        <f t="shared" si="108"/>
        <v>0.72717285599999981</v>
      </c>
      <c r="AG127" s="1331">
        <f t="shared" si="108"/>
        <v>0.72717285600000003</v>
      </c>
      <c r="AH127" s="1331">
        <f t="shared" ref="AH127:AI127" si="114">AH94*$C$114</f>
        <v>0.72717285599999992</v>
      </c>
      <c r="AI127" s="1331">
        <f t="shared" si="114"/>
        <v>0.72717285600000003</v>
      </c>
      <c r="AJ127" s="1331">
        <f t="shared" ref="AJ127:AK127" si="115">AJ94*$C$114</f>
        <v>0.72717285599999992</v>
      </c>
      <c r="AK127" s="1671">
        <f t="shared" si="115"/>
        <v>0.72717285599999992</v>
      </c>
    </row>
    <row r="128" spans="2:37">
      <c r="B128" s="1316" t="s">
        <v>275</v>
      </c>
      <c r="C128" s="1181" t="s">
        <v>294</v>
      </c>
      <c r="D128" s="1331">
        <f t="shared" si="111"/>
        <v>27.315379440000001</v>
      </c>
      <c r="E128" s="1331">
        <f t="shared" si="108"/>
        <v>27.315379440000005</v>
      </c>
      <c r="F128" s="1331">
        <f t="shared" si="108"/>
        <v>27.315379440000001</v>
      </c>
      <c r="G128" s="1331">
        <f t="shared" si="108"/>
        <v>25.92345924</v>
      </c>
      <c r="H128" s="1331">
        <f t="shared" si="108"/>
        <v>24.531539039999998</v>
      </c>
      <c r="I128" s="1331">
        <f t="shared" si="108"/>
        <v>23.139618840000001</v>
      </c>
      <c r="J128" s="1331">
        <f t="shared" si="108"/>
        <v>21.747698639999999</v>
      </c>
      <c r="K128" s="1331">
        <f t="shared" si="108"/>
        <v>20.355778440000002</v>
      </c>
      <c r="L128" s="1331">
        <f t="shared" si="108"/>
        <v>18.96385824</v>
      </c>
      <c r="M128" s="1331">
        <f t="shared" si="108"/>
        <v>17.571938039999999</v>
      </c>
      <c r="N128" s="1331">
        <f t="shared" si="108"/>
        <v>16.180017839999998</v>
      </c>
      <c r="O128" s="1331">
        <f t="shared" si="108"/>
        <v>14.788097639999998</v>
      </c>
      <c r="P128" s="1331">
        <f t="shared" si="108"/>
        <v>13.396177440000002</v>
      </c>
      <c r="Q128" s="1331">
        <f t="shared" si="108"/>
        <v>12.004257240000003</v>
      </c>
      <c r="R128" s="1331">
        <f t="shared" si="108"/>
        <v>10.612337040000002</v>
      </c>
      <c r="S128" s="1331">
        <f t="shared" si="108"/>
        <v>9.2204168400000022</v>
      </c>
      <c r="T128" s="1331">
        <f t="shared" si="108"/>
        <v>7.8284966400000018</v>
      </c>
      <c r="U128" s="1331">
        <f t="shared" si="108"/>
        <v>6.4365764400000005</v>
      </c>
      <c r="V128" s="1331">
        <f t="shared" si="108"/>
        <v>5.044656240000001</v>
      </c>
      <c r="W128" s="1331">
        <f t="shared" si="108"/>
        <v>3.6527360400000011</v>
      </c>
      <c r="X128" s="1331">
        <f t="shared" si="108"/>
        <v>2.2608158400000007</v>
      </c>
      <c r="Y128" s="1331">
        <f t="shared" si="108"/>
        <v>0.86889564000000008</v>
      </c>
      <c r="Z128" s="1331">
        <f t="shared" si="108"/>
        <v>0.86889564000000008</v>
      </c>
      <c r="AA128" s="1331">
        <f t="shared" si="108"/>
        <v>0.86889564000000008</v>
      </c>
      <c r="AB128" s="1331">
        <f t="shared" si="108"/>
        <v>0.86889564000000008</v>
      </c>
      <c r="AC128" s="1331">
        <f t="shared" si="108"/>
        <v>0.86889564000000008</v>
      </c>
      <c r="AD128" s="1331">
        <f t="shared" si="108"/>
        <v>0.86889563999999997</v>
      </c>
      <c r="AE128" s="1331">
        <f t="shared" si="108"/>
        <v>0.86889563999999997</v>
      </c>
      <c r="AF128" s="1331">
        <f t="shared" si="108"/>
        <v>0.86889564000000008</v>
      </c>
      <c r="AG128" s="1331">
        <f t="shared" si="108"/>
        <v>0.86889564000000008</v>
      </c>
      <c r="AH128" s="1331">
        <f t="shared" ref="AH128:AI128" si="116">AH95*$C$114</f>
        <v>0.86889563999999997</v>
      </c>
      <c r="AI128" s="1331">
        <f t="shared" si="116"/>
        <v>0.86889564000000019</v>
      </c>
      <c r="AJ128" s="1331">
        <f t="shared" ref="AJ128:AK128" si="117">AJ95*$C$114</f>
        <v>0.86889564000000008</v>
      </c>
      <c r="AK128" s="1671">
        <f t="shared" si="117"/>
        <v>0.86889564000000008</v>
      </c>
    </row>
    <row r="129" spans="1:37">
      <c r="B129" s="1316" t="s">
        <v>276</v>
      </c>
      <c r="C129" s="1181" t="s">
        <v>294</v>
      </c>
      <c r="D129" s="1331">
        <f t="shared" si="111"/>
        <v>0.21933287999999998</v>
      </c>
      <c r="E129" s="1331">
        <f t="shared" si="108"/>
        <v>0.21933288000000004</v>
      </c>
      <c r="F129" s="1331">
        <f t="shared" si="108"/>
        <v>0.21933287999999998</v>
      </c>
      <c r="G129" s="1331">
        <f t="shared" si="108"/>
        <v>0.21045300631578948</v>
      </c>
      <c r="H129" s="1331">
        <f t="shared" si="108"/>
        <v>0.20157313263157892</v>
      </c>
      <c r="I129" s="1331">
        <f t="shared" si="108"/>
        <v>0.19269325894736844</v>
      </c>
      <c r="J129" s="1331">
        <f t="shared" si="108"/>
        <v>0.18381338526315788</v>
      </c>
      <c r="K129" s="1331">
        <f t="shared" si="108"/>
        <v>0.1749335115789474</v>
      </c>
      <c r="L129" s="1331">
        <f t="shared" si="108"/>
        <v>0.16605363789473682</v>
      </c>
      <c r="M129" s="1331">
        <f t="shared" si="108"/>
        <v>0.15717376421052631</v>
      </c>
      <c r="N129" s="1331">
        <f t="shared" si="108"/>
        <v>0.14829389052631578</v>
      </c>
      <c r="O129" s="1331">
        <f t="shared" si="108"/>
        <v>0.1394140168421053</v>
      </c>
      <c r="P129" s="1331">
        <f t="shared" si="108"/>
        <v>0.13053414315789474</v>
      </c>
      <c r="Q129" s="1331">
        <f t="shared" si="108"/>
        <v>0.12165426947368423</v>
      </c>
      <c r="R129" s="1331">
        <f t="shared" si="108"/>
        <v>0.11277439578947369</v>
      </c>
      <c r="S129" s="1331">
        <f t="shared" si="108"/>
        <v>0.10389452210526318</v>
      </c>
      <c r="T129" s="1331">
        <f t="shared" si="108"/>
        <v>9.5014648421052644E-2</v>
      </c>
      <c r="U129" s="1331">
        <f t="shared" si="108"/>
        <v>8.6134774736842112E-2</v>
      </c>
      <c r="V129" s="1331">
        <f t="shared" si="108"/>
        <v>7.7254901052631594E-2</v>
      </c>
      <c r="W129" s="1331">
        <f t="shared" si="108"/>
        <v>6.8375027368421076E-2</v>
      </c>
      <c r="X129" s="1331">
        <f t="shared" si="108"/>
        <v>5.9495153684210544E-2</v>
      </c>
      <c r="Y129" s="1331">
        <f t="shared" si="108"/>
        <v>5.0615279999999999E-2</v>
      </c>
      <c r="Z129" s="1331">
        <f t="shared" si="108"/>
        <v>5.0615279999999999E-2</v>
      </c>
      <c r="AA129" s="1331">
        <f t="shared" si="108"/>
        <v>5.0615279999999999E-2</v>
      </c>
      <c r="AB129" s="1331">
        <f t="shared" si="108"/>
        <v>5.0615279999999999E-2</v>
      </c>
      <c r="AC129" s="1331">
        <f t="shared" si="108"/>
        <v>5.0615279999999992E-2</v>
      </c>
      <c r="AD129" s="1331">
        <f t="shared" si="108"/>
        <v>5.0615279999999999E-2</v>
      </c>
      <c r="AE129" s="1331">
        <f t="shared" si="108"/>
        <v>5.0615279999999999E-2</v>
      </c>
      <c r="AF129" s="1331">
        <f t="shared" si="108"/>
        <v>5.0615279999999999E-2</v>
      </c>
      <c r="AG129" s="1331">
        <f t="shared" si="108"/>
        <v>5.0615279999999999E-2</v>
      </c>
      <c r="AH129" s="1331">
        <f t="shared" ref="AH129:AI129" si="118">AH96*$C$114</f>
        <v>5.0615279999999992E-2</v>
      </c>
      <c r="AI129" s="1331">
        <f t="shared" si="118"/>
        <v>5.0615279999999999E-2</v>
      </c>
      <c r="AJ129" s="1331">
        <f t="shared" ref="AJ129:AK129" si="119">AJ96*$C$114</f>
        <v>5.0615279999999999E-2</v>
      </c>
      <c r="AK129" s="1671">
        <f t="shared" si="119"/>
        <v>5.0615279999999999E-2</v>
      </c>
    </row>
    <row r="130" spans="1:37">
      <c r="B130" s="1316" t="s">
        <v>277</v>
      </c>
      <c r="C130" s="1181" t="s">
        <v>294</v>
      </c>
      <c r="D130" s="1331">
        <f t="shared" si="111"/>
        <v>6.8330627999999987</v>
      </c>
      <c r="E130" s="1331">
        <f t="shared" si="108"/>
        <v>6.8330627999999995</v>
      </c>
      <c r="F130" s="1331">
        <f t="shared" si="108"/>
        <v>6.8330627999999987</v>
      </c>
      <c r="G130" s="1331">
        <f t="shared" si="108"/>
        <v>6.4809758084210518</v>
      </c>
      <c r="H130" s="1331">
        <f t="shared" si="108"/>
        <v>6.1288888168421058</v>
      </c>
      <c r="I130" s="1331">
        <f t="shared" si="108"/>
        <v>5.7768018252631572</v>
      </c>
      <c r="J130" s="1331">
        <f t="shared" si="108"/>
        <v>5.4247148336842113</v>
      </c>
      <c r="K130" s="1331">
        <f t="shared" si="108"/>
        <v>5.0726278421052644</v>
      </c>
      <c r="L130" s="1331">
        <f t="shared" si="108"/>
        <v>4.7205408505263158</v>
      </c>
      <c r="M130" s="1331">
        <f t="shared" si="108"/>
        <v>4.368453858947368</v>
      </c>
      <c r="N130" s="1331">
        <f t="shared" si="108"/>
        <v>4.0163668673684212</v>
      </c>
      <c r="O130" s="1331">
        <f t="shared" si="108"/>
        <v>3.6642798757894735</v>
      </c>
      <c r="P130" s="1331">
        <f t="shared" si="108"/>
        <v>3.312192884210527</v>
      </c>
      <c r="Q130" s="1331">
        <f t="shared" si="108"/>
        <v>2.9601058926315802</v>
      </c>
      <c r="R130" s="1331">
        <f t="shared" si="108"/>
        <v>2.608018901052632</v>
      </c>
      <c r="S130" s="1331">
        <f t="shared" si="108"/>
        <v>2.2559319094736847</v>
      </c>
      <c r="T130" s="1331">
        <f t="shared" si="108"/>
        <v>1.9038449178947374</v>
      </c>
      <c r="U130" s="1331">
        <f t="shared" si="108"/>
        <v>1.5517579263157901</v>
      </c>
      <c r="V130" s="1331">
        <f t="shared" si="108"/>
        <v>1.1996709347368428</v>
      </c>
      <c r="W130" s="1331">
        <f t="shared" si="108"/>
        <v>0.84758394315789531</v>
      </c>
      <c r="X130" s="1331">
        <f t="shared" si="108"/>
        <v>0.49549695157894774</v>
      </c>
      <c r="Y130" s="1331">
        <f t="shared" si="108"/>
        <v>0.14340995999999998</v>
      </c>
      <c r="Z130" s="1331">
        <f t="shared" si="108"/>
        <v>0.14340995999999998</v>
      </c>
      <c r="AA130" s="1331">
        <f t="shared" si="108"/>
        <v>0.14340995999999998</v>
      </c>
      <c r="AB130" s="1331">
        <f t="shared" si="108"/>
        <v>0.14340995999999998</v>
      </c>
      <c r="AC130" s="1331">
        <f t="shared" si="108"/>
        <v>0.14340995999999998</v>
      </c>
      <c r="AD130" s="1331">
        <f t="shared" si="108"/>
        <v>0.14340995999999998</v>
      </c>
      <c r="AE130" s="1331">
        <f t="shared" si="108"/>
        <v>0.14340995999999998</v>
      </c>
      <c r="AF130" s="1331">
        <f t="shared" si="108"/>
        <v>0.14340995999999998</v>
      </c>
      <c r="AG130" s="1331">
        <f t="shared" si="108"/>
        <v>0.14340995999999998</v>
      </c>
      <c r="AH130" s="1331">
        <f t="shared" ref="AH130:AI130" si="120">AH97*$C$114</f>
        <v>0.14340995999999998</v>
      </c>
      <c r="AI130" s="1331">
        <f t="shared" si="120"/>
        <v>0.14340995999999998</v>
      </c>
      <c r="AJ130" s="1331">
        <f t="shared" ref="AJ130:AK130" si="121">AJ97*$C$114</f>
        <v>0.14340996</v>
      </c>
      <c r="AK130" s="1671">
        <f t="shared" si="121"/>
        <v>0.14340996</v>
      </c>
    </row>
    <row r="131" spans="1:37">
      <c r="B131" s="1316" t="s">
        <v>278</v>
      </c>
      <c r="C131" s="1181" t="s">
        <v>294</v>
      </c>
      <c r="D131" s="1331">
        <f t="shared" si="111"/>
        <v>3.0369167999999998E-2</v>
      </c>
      <c r="E131" s="1331">
        <f t="shared" si="108"/>
        <v>3.0369167999999998E-2</v>
      </c>
      <c r="F131" s="1331">
        <f t="shared" si="108"/>
        <v>3.0369168000000002E-2</v>
      </c>
      <c r="G131" s="1331">
        <f t="shared" si="108"/>
        <v>3.1434752842105257E-2</v>
      </c>
      <c r="H131" s="1331">
        <f t="shared" si="108"/>
        <v>3.2500337684210519E-2</v>
      </c>
      <c r="I131" s="1331">
        <f t="shared" si="108"/>
        <v>3.3565922526315788E-2</v>
      </c>
      <c r="J131" s="1331">
        <f t="shared" si="108"/>
        <v>3.4631507368421049E-2</v>
      </c>
      <c r="K131" s="1331">
        <f t="shared" si="108"/>
        <v>3.5697092210526304E-2</v>
      </c>
      <c r="L131" s="1331">
        <f t="shared" si="108"/>
        <v>3.676267705263158E-2</v>
      </c>
      <c r="M131" s="1331">
        <f t="shared" si="108"/>
        <v>3.7828261894736842E-2</v>
      </c>
      <c r="N131" s="1331">
        <f t="shared" si="108"/>
        <v>3.8893846736842118E-2</v>
      </c>
      <c r="O131" s="1331">
        <f t="shared" si="108"/>
        <v>3.9959431578947359E-2</v>
      </c>
      <c r="P131" s="1331">
        <f t="shared" si="108"/>
        <v>4.1025016421052628E-2</v>
      </c>
      <c r="Q131" s="1331">
        <f t="shared" si="108"/>
        <v>4.209060126315789E-2</v>
      </c>
      <c r="R131" s="1331">
        <f t="shared" si="108"/>
        <v>4.3156186105263158E-2</v>
      </c>
      <c r="S131" s="1331">
        <f t="shared" si="108"/>
        <v>4.422177094736842E-2</v>
      </c>
      <c r="T131" s="1331">
        <f t="shared" si="108"/>
        <v>4.5287355789473682E-2</v>
      </c>
      <c r="U131" s="1331">
        <f t="shared" si="108"/>
        <v>4.6352940631578944E-2</v>
      </c>
      <c r="V131" s="1331">
        <f t="shared" si="108"/>
        <v>4.7418525473684199E-2</v>
      </c>
      <c r="W131" s="1331">
        <f t="shared" si="108"/>
        <v>4.8484110315789461E-2</v>
      </c>
      <c r="X131" s="1331">
        <f t="shared" si="108"/>
        <v>4.9549695157894737E-2</v>
      </c>
      <c r="Y131" s="1331">
        <f t="shared" si="108"/>
        <v>5.0615279999999992E-2</v>
      </c>
      <c r="Z131" s="1331">
        <f t="shared" si="108"/>
        <v>5.0615279999999992E-2</v>
      </c>
      <c r="AA131" s="1331">
        <f t="shared" si="108"/>
        <v>5.0615279999999999E-2</v>
      </c>
      <c r="AB131" s="1331">
        <f t="shared" si="108"/>
        <v>5.0615279999999999E-2</v>
      </c>
      <c r="AC131" s="1331">
        <f t="shared" si="108"/>
        <v>5.0615279999999999E-2</v>
      </c>
      <c r="AD131" s="1331">
        <f t="shared" si="108"/>
        <v>5.0615279999999992E-2</v>
      </c>
      <c r="AE131" s="1331">
        <f t="shared" si="108"/>
        <v>5.0615279999999999E-2</v>
      </c>
      <c r="AF131" s="1331">
        <f t="shared" si="108"/>
        <v>5.0615279999999999E-2</v>
      </c>
      <c r="AG131" s="1331">
        <f t="shared" si="108"/>
        <v>5.0615279999999992E-2</v>
      </c>
      <c r="AH131" s="1331">
        <f t="shared" ref="AH131:AI131" si="122">AH98*$C$114</f>
        <v>5.0615279999999999E-2</v>
      </c>
      <c r="AI131" s="1331">
        <f t="shared" si="122"/>
        <v>5.0615279999999985E-2</v>
      </c>
      <c r="AJ131" s="1331">
        <f t="shared" ref="AJ131:AK131" si="123">AJ98*$C$114</f>
        <v>5.0615279999999999E-2</v>
      </c>
      <c r="AK131" s="1671">
        <f t="shared" si="123"/>
        <v>5.0615279999999999E-2</v>
      </c>
    </row>
    <row r="132" spans="1:37">
      <c r="B132" s="1316" t="s">
        <v>279</v>
      </c>
      <c r="C132" s="1181" t="s">
        <v>294</v>
      </c>
      <c r="D132" s="1331">
        <f t="shared" si="111"/>
        <v>0.17546630400000002</v>
      </c>
      <c r="E132" s="1331">
        <f t="shared" si="108"/>
        <v>0.17546630400000002</v>
      </c>
      <c r="F132" s="1331">
        <f t="shared" si="108"/>
        <v>0.17546630400000002</v>
      </c>
      <c r="G132" s="1331">
        <f t="shared" si="108"/>
        <v>0.17484471284210529</v>
      </c>
      <c r="H132" s="1331">
        <f t="shared" si="108"/>
        <v>0.17422312168421053</v>
      </c>
      <c r="I132" s="1331">
        <f t="shared" si="108"/>
        <v>0.17360153052631577</v>
      </c>
      <c r="J132" s="1331">
        <f t="shared" si="108"/>
        <v>0.17297993936842107</v>
      </c>
      <c r="K132" s="1331">
        <f t="shared" si="108"/>
        <v>0.17235834821052631</v>
      </c>
      <c r="L132" s="1331">
        <f t="shared" si="108"/>
        <v>0.17173675705263156</v>
      </c>
      <c r="M132" s="1331">
        <f t="shared" si="108"/>
        <v>0.17111516589473685</v>
      </c>
      <c r="N132" s="1331">
        <f t="shared" si="108"/>
        <v>0.17049357473684207</v>
      </c>
      <c r="O132" s="1331">
        <f t="shared" si="108"/>
        <v>0.16987198357894742</v>
      </c>
      <c r="P132" s="1331">
        <f t="shared" si="108"/>
        <v>0.16925039242105264</v>
      </c>
      <c r="Q132" s="1331">
        <f t="shared" si="108"/>
        <v>0.16862880126315791</v>
      </c>
      <c r="R132" s="1331">
        <f t="shared" si="108"/>
        <v>0.16800721010526315</v>
      </c>
      <c r="S132" s="1331">
        <f t="shared" si="108"/>
        <v>0.16738561894736842</v>
      </c>
      <c r="T132" s="1331">
        <f t="shared" si="108"/>
        <v>0.16676402778947369</v>
      </c>
      <c r="U132" s="1331">
        <f t="shared" si="108"/>
        <v>0.16614243663157896</v>
      </c>
      <c r="V132" s="1331">
        <f t="shared" si="108"/>
        <v>0.1655208454736842</v>
      </c>
      <c r="W132" s="1331">
        <f t="shared" si="108"/>
        <v>0.16489925431578945</v>
      </c>
      <c r="X132" s="1331">
        <f t="shared" si="108"/>
        <v>0.16427766315789472</v>
      </c>
      <c r="Y132" s="1331">
        <f t="shared" si="108"/>
        <v>0.16365607199999999</v>
      </c>
      <c r="Z132" s="1331">
        <f t="shared" si="108"/>
        <v>0.16365607199999999</v>
      </c>
      <c r="AA132" s="1331">
        <f t="shared" si="108"/>
        <v>0.16365607199999999</v>
      </c>
      <c r="AB132" s="1331">
        <f t="shared" si="108"/>
        <v>0.16365607199999999</v>
      </c>
      <c r="AC132" s="1331">
        <f t="shared" si="108"/>
        <v>0.16365607199999999</v>
      </c>
      <c r="AD132" s="1331">
        <f t="shared" si="108"/>
        <v>0.16365607200000001</v>
      </c>
      <c r="AE132" s="1331">
        <f t="shared" si="108"/>
        <v>0.16365607199999999</v>
      </c>
      <c r="AF132" s="1331">
        <f t="shared" si="108"/>
        <v>0.16365607199999999</v>
      </c>
      <c r="AG132" s="1331">
        <f t="shared" si="108"/>
        <v>0.16365607199999999</v>
      </c>
      <c r="AH132" s="1331">
        <f t="shared" ref="AH132:AI132" si="124">AH99*$C$114</f>
        <v>0.16365607199999999</v>
      </c>
      <c r="AI132" s="1331">
        <f t="shared" si="124"/>
        <v>0.16365607199999999</v>
      </c>
      <c r="AJ132" s="1331">
        <f t="shared" ref="AJ132:AK132" si="125">AJ99*$C$114</f>
        <v>0.16365607199999999</v>
      </c>
      <c r="AK132" s="1671">
        <f t="shared" si="125"/>
        <v>0.16365607199999999</v>
      </c>
    </row>
    <row r="133" spans="1:37">
      <c r="B133" s="1316" t="s">
        <v>280</v>
      </c>
      <c r="C133" s="1181" t="s">
        <v>294</v>
      </c>
      <c r="D133" s="1331">
        <f t="shared" si="111"/>
        <v>1.4594072399999996E-2</v>
      </c>
      <c r="E133" s="1331">
        <f t="shared" si="108"/>
        <v>1.4594072399999998E-2</v>
      </c>
      <c r="F133" s="1331">
        <f t="shared" si="108"/>
        <v>1.4594072399999998E-2</v>
      </c>
      <c r="G133" s="1331">
        <f t="shared" si="108"/>
        <v>1.6489925431578945E-2</v>
      </c>
      <c r="H133" s="1331">
        <f t="shared" si="108"/>
        <v>1.8385778463157896E-2</v>
      </c>
      <c r="I133" s="1331">
        <f t="shared" si="108"/>
        <v>2.028163149473684E-2</v>
      </c>
      <c r="J133" s="1331">
        <f t="shared" si="108"/>
        <v>2.2177484526315787E-2</v>
      </c>
      <c r="K133" s="1331">
        <f t="shared" si="108"/>
        <v>2.4073337557894731E-2</v>
      </c>
      <c r="L133" s="1331">
        <f t="shared" si="108"/>
        <v>2.5969190589473688E-2</v>
      </c>
      <c r="M133" s="1331">
        <f t="shared" si="108"/>
        <v>2.7865043621052632E-2</v>
      </c>
      <c r="N133" s="1331">
        <f t="shared" si="108"/>
        <v>2.9760896652631579E-2</v>
      </c>
      <c r="O133" s="1331">
        <f t="shared" si="108"/>
        <v>3.1656749684210533E-2</v>
      </c>
      <c r="P133" s="1331">
        <f t="shared" si="108"/>
        <v>3.3552602715789477E-2</v>
      </c>
      <c r="Q133" s="1331">
        <f t="shared" si="108"/>
        <v>3.5448455747368421E-2</v>
      </c>
      <c r="R133" s="1331">
        <f t="shared" si="108"/>
        <v>3.7344308778947372E-2</v>
      </c>
      <c r="S133" s="1331">
        <f t="shared" si="108"/>
        <v>3.9240161810526308E-2</v>
      </c>
      <c r="T133" s="1331">
        <f t="shared" si="108"/>
        <v>4.1136014842105266E-2</v>
      </c>
      <c r="U133" s="1331">
        <f t="shared" si="108"/>
        <v>4.3031867873684217E-2</v>
      </c>
      <c r="V133" s="1331">
        <f t="shared" si="108"/>
        <v>4.492772090526316E-2</v>
      </c>
      <c r="W133" s="1331">
        <f t="shared" si="108"/>
        <v>4.6823573936842104E-2</v>
      </c>
      <c r="X133" s="1331">
        <f t="shared" si="108"/>
        <v>4.8719426968421048E-2</v>
      </c>
      <c r="Y133" s="1331">
        <f t="shared" si="108"/>
        <v>5.0615279999999992E-2</v>
      </c>
      <c r="Z133" s="1331">
        <f t="shared" si="108"/>
        <v>5.0615279999999999E-2</v>
      </c>
      <c r="AA133" s="1331">
        <f t="shared" si="108"/>
        <v>5.0615279999999992E-2</v>
      </c>
      <c r="AB133" s="1331">
        <f t="shared" si="108"/>
        <v>5.0615280000000006E-2</v>
      </c>
      <c r="AC133" s="1331">
        <f t="shared" si="108"/>
        <v>5.0615280000000006E-2</v>
      </c>
      <c r="AD133" s="1331">
        <f t="shared" si="108"/>
        <v>5.0615280000000006E-2</v>
      </c>
      <c r="AE133" s="1331">
        <f t="shared" si="108"/>
        <v>5.0615279999999999E-2</v>
      </c>
      <c r="AF133" s="1331">
        <f t="shared" si="108"/>
        <v>5.0615279999999992E-2</v>
      </c>
      <c r="AG133" s="1331">
        <f t="shared" si="108"/>
        <v>5.0615280000000006E-2</v>
      </c>
      <c r="AH133" s="1331">
        <f t="shared" ref="AH133:AI133" si="126">AH100*$C$114</f>
        <v>5.0615279999999992E-2</v>
      </c>
      <c r="AI133" s="1331">
        <f t="shared" si="126"/>
        <v>5.0615279999999999E-2</v>
      </c>
      <c r="AJ133" s="1331">
        <f t="shared" ref="AJ133:AK133" si="127">AJ100*$C$114</f>
        <v>5.0615279999999992E-2</v>
      </c>
      <c r="AK133" s="1671">
        <f t="shared" si="127"/>
        <v>5.0615279999999992E-2</v>
      </c>
    </row>
    <row r="134" spans="1:37">
      <c r="B134" s="1183" t="s">
        <v>281</v>
      </c>
      <c r="C134" s="1181" t="s">
        <v>294</v>
      </c>
      <c r="D134" s="1332">
        <f t="shared" si="111"/>
        <v>2.2439440800000002E-2</v>
      </c>
      <c r="E134" s="1332">
        <f t="shared" si="108"/>
        <v>2.2439440800000002E-2</v>
      </c>
      <c r="F134" s="1332">
        <f t="shared" si="108"/>
        <v>2.2439440800000002E-2</v>
      </c>
      <c r="G134" s="1332">
        <f t="shared" si="108"/>
        <v>2.2439440800000002E-2</v>
      </c>
      <c r="H134" s="1332">
        <f t="shared" ref="H134:AG134" si="128">H101*$C$114</f>
        <v>2.2439440800000002E-2</v>
      </c>
      <c r="I134" s="1332">
        <f t="shared" si="128"/>
        <v>2.2439440800000005E-2</v>
      </c>
      <c r="J134" s="1332">
        <f t="shared" si="128"/>
        <v>2.2439440800000002E-2</v>
      </c>
      <c r="K134" s="1332">
        <f t="shared" si="128"/>
        <v>2.2439440800000002E-2</v>
      </c>
      <c r="L134" s="1332">
        <f t="shared" si="128"/>
        <v>2.2439440800000002E-2</v>
      </c>
      <c r="M134" s="1332">
        <f t="shared" si="128"/>
        <v>2.2439440800000002E-2</v>
      </c>
      <c r="N134" s="1332">
        <f t="shared" si="128"/>
        <v>2.2439440800000002E-2</v>
      </c>
      <c r="O134" s="1332">
        <f t="shared" si="128"/>
        <v>2.2439440800000002E-2</v>
      </c>
      <c r="P134" s="1332">
        <f t="shared" si="128"/>
        <v>2.2439440800000002E-2</v>
      </c>
      <c r="Q134" s="1332">
        <f t="shared" si="128"/>
        <v>2.2439440799999998E-2</v>
      </c>
      <c r="R134" s="1332">
        <f t="shared" si="128"/>
        <v>2.2439440800000005E-2</v>
      </c>
      <c r="S134" s="1332">
        <f t="shared" si="128"/>
        <v>2.2439440800000002E-2</v>
      </c>
      <c r="T134" s="1332">
        <f t="shared" si="128"/>
        <v>2.2439440799999995E-2</v>
      </c>
      <c r="U134" s="1332">
        <f t="shared" si="128"/>
        <v>2.2439440800000002E-2</v>
      </c>
      <c r="V134" s="1332">
        <f t="shared" si="128"/>
        <v>2.2439440800000002E-2</v>
      </c>
      <c r="W134" s="1332">
        <f t="shared" si="128"/>
        <v>2.2439440800000002E-2</v>
      </c>
      <c r="X134" s="1332">
        <f t="shared" si="128"/>
        <v>2.2439440800000002E-2</v>
      </c>
      <c r="Y134" s="1332">
        <f t="shared" si="128"/>
        <v>2.2439440800000005E-2</v>
      </c>
      <c r="Z134" s="1332">
        <f t="shared" si="128"/>
        <v>2.2439440800000002E-2</v>
      </c>
      <c r="AA134" s="1332">
        <f t="shared" si="128"/>
        <v>2.2439440800000005E-2</v>
      </c>
      <c r="AB134" s="1332">
        <f t="shared" si="128"/>
        <v>2.2439440800000005E-2</v>
      </c>
      <c r="AC134" s="1332">
        <f t="shared" si="128"/>
        <v>2.2439440799999998E-2</v>
      </c>
      <c r="AD134" s="1332">
        <f t="shared" si="128"/>
        <v>2.2439440800000002E-2</v>
      </c>
      <c r="AE134" s="1332">
        <f t="shared" si="128"/>
        <v>2.2439440800000002E-2</v>
      </c>
      <c r="AF134" s="1332">
        <f t="shared" si="128"/>
        <v>2.2439440800000005E-2</v>
      </c>
      <c r="AG134" s="1332">
        <f t="shared" si="128"/>
        <v>2.2439440800000005E-2</v>
      </c>
      <c r="AH134" s="1332">
        <f t="shared" ref="AH134:AI134" si="129">AH101*$C$114</f>
        <v>2.2439440800000005E-2</v>
      </c>
      <c r="AI134" s="1332">
        <f t="shared" si="129"/>
        <v>2.2439440799999998E-2</v>
      </c>
      <c r="AJ134" s="1332">
        <f t="shared" ref="AJ134:AK134" si="130">AJ101*$C$114</f>
        <v>2.2439440800000002E-2</v>
      </c>
      <c r="AK134" s="1672">
        <f t="shared" si="130"/>
        <v>2.2439440800000002E-2</v>
      </c>
    </row>
    <row r="135" spans="1:37">
      <c r="B135" s="1315" t="s">
        <v>282</v>
      </c>
      <c r="C135" s="1320"/>
      <c r="D135" s="1333"/>
      <c r="E135" s="1333"/>
      <c r="F135" s="1333"/>
      <c r="G135" s="1333"/>
      <c r="H135" s="1333"/>
      <c r="I135" s="1333"/>
      <c r="J135" s="1333"/>
      <c r="K135" s="1333"/>
      <c r="L135" s="1333"/>
      <c r="M135" s="1333"/>
      <c r="N135" s="1333"/>
      <c r="O135" s="1333"/>
      <c r="P135" s="1333"/>
      <c r="Q135" s="1333"/>
      <c r="R135" s="1333"/>
      <c r="S135" s="1333"/>
      <c r="T135" s="1333"/>
      <c r="U135" s="1333"/>
      <c r="V135" s="1333"/>
      <c r="W135" s="1333"/>
      <c r="X135" s="1333"/>
      <c r="Y135" s="1333"/>
      <c r="Z135" s="1333"/>
      <c r="AA135" s="1333"/>
      <c r="AB135" s="1333"/>
      <c r="AC135" s="1333"/>
      <c r="AD135" s="1333"/>
      <c r="AE135" s="1333"/>
      <c r="AF135" s="1333"/>
      <c r="AG135" s="1333"/>
      <c r="AH135" s="1333"/>
      <c r="AI135" s="1333"/>
      <c r="AJ135" s="1333"/>
      <c r="AK135" s="1673"/>
    </row>
    <row r="136" spans="1:37">
      <c r="B136" s="1181" t="s">
        <v>127</v>
      </c>
      <c r="C136" s="1181" t="s">
        <v>295</v>
      </c>
      <c r="D136" s="1334">
        <f t="shared" ref="D136:AG136" si="131">D103*$C$114</f>
        <v>1.4890336534748915E-3</v>
      </c>
      <c r="E136" s="1334">
        <f t="shared" si="131"/>
        <v>1.4890336534748915E-3</v>
      </c>
      <c r="F136" s="1334">
        <f t="shared" si="131"/>
        <v>1.4890336534748915E-3</v>
      </c>
      <c r="G136" s="1334">
        <f t="shared" si="131"/>
        <v>1.4890336534748915E-3</v>
      </c>
      <c r="H136" s="1334">
        <f t="shared" si="131"/>
        <v>1.4890336534748915E-3</v>
      </c>
      <c r="I136" s="1334">
        <f t="shared" si="131"/>
        <v>1.4890336534748915E-3</v>
      </c>
      <c r="J136" s="1334">
        <f t="shared" si="131"/>
        <v>1.4890336534748917E-3</v>
      </c>
      <c r="K136" s="1334">
        <f t="shared" si="131"/>
        <v>1.4890336534748915E-3</v>
      </c>
      <c r="L136" s="1334">
        <f t="shared" si="131"/>
        <v>1.4890336534748912E-3</v>
      </c>
      <c r="M136" s="1334">
        <f t="shared" si="131"/>
        <v>1.4890336534748917E-3</v>
      </c>
      <c r="N136" s="1334">
        <f t="shared" si="131"/>
        <v>1.4890336534748917E-3</v>
      </c>
      <c r="O136" s="1334">
        <f t="shared" si="131"/>
        <v>1.4890336534748917E-3</v>
      </c>
      <c r="P136" s="1334">
        <f t="shared" si="131"/>
        <v>1.4890336534748912E-3</v>
      </c>
      <c r="Q136" s="1334">
        <f t="shared" si="131"/>
        <v>1.4890336534748915E-3</v>
      </c>
      <c r="R136" s="1334">
        <f t="shared" si="131"/>
        <v>1.4890336534748915E-3</v>
      </c>
      <c r="S136" s="1334">
        <f t="shared" si="131"/>
        <v>1.4890336534748915E-3</v>
      </c>
      <c r="T136" s="1334">
        <f t="shared" si="131"/>
        <v>1.4890336534748919E-3</v>
      </c>
      <c r="U136" s="1334">
        <f t="shared" si="131"/>
        <v>1.4890336534748917E-3</v>
      </c>
      <c r="V136" s="1334">
        <f t="shared" si="131"/>
        <v>1.4890336534748917E-3</v>
      </c>
      <c r="W136" s="1334">
        <f t="shared" si="131"/>
        <v>1.4890336534748915E-3</v>
      </c>
      <c r="X136" s="1334">
        <f t="shared" si="131"/>
        <v>1.4890336534748915E-3</v>
      </c>
      <c r="Y136" s="1334">
        <f t="shared" si="131"/>
        <v>1.4890336534748915E-3</v>
      </c>
      <c r="Z136" s="1334">
        <f t="shared" si="131"/>
        <v>1.4890336534748917E-3</v>
      </c>
      <c r="AA136" s="1334">
        <f t="shared" si="131"/>
        <v>1.4890336534748917E-3</v>
      </c>
      <c r="AB136" s="1334">
        <f t="shared" si="131"/>
        <v>1.4890336534748915E-3</v>
      </c>
      <c r="AC136" s="1334">
        <f t="shared" si="131"/>
        <v>1.4890336534748917E-3</v>
      </c>
      <c r="AD136" s="1334">
        <f t="shared" si="131"/>
        <v>1.4890336534748915E-3</v>
      </c>
      <c r="AE136" s="1334">
        <f t="shared" si="131"/>
        <v>1.4890336534748915E-3</v>
      </c>
      <c r="AF136" s="1334">
        <f t="shared" si="131"/>
        <v>1.4890336534748917E-3</v>
      </c>
      <c r="AG136" s="1334">
        <f t="shared" si="131"/>
        <v>1.4890336534748917E-3</v>
      </c>
      <c r="AH136" s="1334">
        <f t="shared" ref="AH136:AI136" si="132">AH103*$C$114</f>
        <v>1.4890336534748915E-3</v>
      </c>
      <c r="AI136" s="1334">
        <f t="shared" si="132"/>
        <v>1.4890336534748912E-3</v>
      </c>
      <c r="AJ136" s="1334">
        <f t="shared" ref="AJ136:AK136" si="133">AJ103*$C$114</f>
        <v>1.4890336534748915E-3</v>
      </c>
      <c r="AK136" s="1674">
        <f t="shared" si="133"/>
        <v>1.4890336534748915E-3</v>
      </c>
    </row>
    <row r="137" spans="1:37">
      <c r="B137" s="1182" t="s">
        <v>284</v>
      </c>
      <c r="C137" s="1181" t="s">
        <v>295</v>
      </c>
      <c r="D137" s="1334">
        <f t="shared" ref="D137:AG137" si="134">D104*$C$114</f>
        <v>2.3400000000000001E-2</v>
      </c>
      <c r="E137" s="1334">
        <f t="shared" si="134"/>
        <v>2.3400000000000001E-2</v>
      </c>
      <c r="F137" s="1334">
        <f t="shared" si="134"/>
        <v>2.3400000000000001E-2</v>
      </c>
      <c r="G137" s="1334">
        <f t="shared" si="134"/>
        <v>2.3400000000000001E-2</v>
      </c>
      <c r="H137" s="1334">
        <f t="shared" si="134"/>
        <v>2.3400000000000001E-2</v>
      </c>
      <c r="I137" s="1334">
        <f t="shared" si="134"/>
        <v>2.3400000000000001E-2</v>
      </c>
      <c r="J137" s="1334">
        <f t="shared" si="134"/>
        <v>2.3400000000000001E-2</v>
      </c>
      <c r="K137" s="1334">
        <f t="shared" si="134"/>
        <v>2.3400000000000001E-2</v>
      </c>
      <c r="L137" s="1334">
        <f t="shared" si="134"/>
        <v>2.3400000000000001E-2</v>
      </c>
      <c r="M137" s="1334">
        <f t="shared" si="134"/>
        <v>2.3400000000000001E-2</v>
      </c>
      <c r="N137" s="1334">
        <f t="shared" si="134"/>
        <v>2.3400000000000001E-2</v>
      </c>
      <c r="O137" s="1334">
        <f t="shared" si="134"/>
        <v>2.3400000000000001E-2</v>
      </c>
      <c r="P137" s="1334">
        <f t="shared" si="134"/>
        <v>2.3400000000000001E-2</v>
      </c>
      <c r="Q137" s="1334">
        <f t="shared" si="134"/>
        <v>2.3400000000000001E-2</v>
      </c>
      <c r="R137" s="1334">
        <f t="shared" si="134"/>
        <v>2.3400000000000001E-2</v>
      </c>
      <c r="S137" s="1334">
        <f t="shared" si="134"/>
        <v>2.3400000000000001E-2</v>
      </c>
      <c r="T137" s="1334">
        <f t="shared" si="134"/>
        <v>2.3400000000000001E-2</v>
      </c>
      <c r="U137" s="1334">
        <f t="shared" si="134"/>
        <v>2.3400000000000001E-2</v>
      </c>
      <c r="V137" s="1334">
        <f t="shared" si="134"/>
        <v>2.3399999999999997E-2</v>
      </c>
      <c r="W137" s="1334">
        <f t="shared" si="134"/>
        <v>2.3400000000000001E-2</v>
      </c>
      <c r="X137" s="1334">
        <f t="shared" si="134"/>
        <v>2.3400000000000001E-2</v>
      </c>
      <c r="Y137" s="1334">
        <f t="shared" si="134"/>
        <v>2.3400000000000001E-2</v>
      </c>
      <c r="Z137" s="1334">
        <f t="shared" si="134"/>
        <v>2.3399999999999997E-2</v>
      </c>
      <c r="AA137" s="1334">
        <f t="shared" si="134"/>
        <v>2.3400000000000001E-2</v>
      </c>
      <c r="AB137" s="1334">
        <f t="shared" si="134"/>
        <v>2.3400000000000004E-2</v>
      </c>
      <c r="AC137" s="1334">
        <f t="shared" si="134"/>
        <v>2.3399999999999997E-2</v>
      </c>
      <c r="AD137" s="1334">
        <f t="shared" si="134"/>
        <v>2.3399999999999997E-2</v>
      </c>
      <c r="AE137" s="1334">
        <f t="shared" si="134"/>
        <v>2.3400000000000004E-2</v>
      </c>
      <c r="AF137" s="1334">
        <f t="shared" si="134"/>
        <v>2.3399999999999997E-2</v>
      </c>
      <c r="AG137" s="1334">
        <f t="shared" si="134"/>
        <v>2.3400000000000004E-2</v>
      </c>
      <c r="AH137" s="1334">
        <f t="shared" ref="AH137:AI137" si="135">AH104*$C$114</f>
        <v>2.3400000000000001E-2</v>
      </c>
      <c r="AI137" s="1334">
        <f t="shared" si="135"/>
        <v>2.3400000000000001E-2</v>
      </c>
      <c r="AJ137" s="1334">
        <f t="shared" ref="AJ137:AK137" si="136">AJ104*$C$114</f>
        <v>2.3400000000000001E-2</v>
      </c>
      <c r="AK137" s="1674">
        <f t="shared" si="136"/>
        <v>2.3400000000000001E-2</v>
      </c>
    </row>
    <row r="138" spans="1:37">
      <c r="B138" s="1183" t="s">
        <v>160</v>
      </c>
      <c r="C138" s="1181" t="s">
        <v>295</v>
      </c>
      <c r="D138" s="1334">
        <f t="shared" ref="D138:AG138" si="137">D105*$C$114</f>
        <v>0.105</v>
      </c>
      <c r="E138" s="1334">
        <f t="shared" si="137"/>
        <v>0.10500000000000001</v>
      </c>
      <c r="F138" s="1334">
        <f t="shared" si="137"/>
        <v>0.105</v>
      </c>
      <c r="G138" s="1334">
        <f t="shared" si="137"/>
        <v>0.105</v>
      </c>
      <c r="H138" s="1334">
        <f t="shared" si="137"/>
        <v>0.105</v>
      </c>
      <c r="I138" s="1334">
        <f t="shared" si="137"/>
        <v>0.105</v>
      </c>
      <c r="J138" s="1334">
        <f t="shared" si="137"/>
        <v>0.105</v>
      </c>
      <c r="K138" s="1334">
        <f t="shared" si="137"/>
        <v>0.105</v>
      </c>
      <c r="L138" s="1334">
        <f t="shared" si="137"/>
        <v>0.105</v>
      </c>
      <c r="M138" s="1334">
        <f t="shared" si="137"/>
        <v>0.105</v>
      </c>
      <c r="N138" s="1334">
        <f t="shared" si="137"/>
        <v>0.10499999999999998</v>
      </c>
      <c r="O138" s="1334">
        <f t="shared" si="137"/>
        <v>0.105</v>
      </c>
      <c r="P138" s="1334">
        <f t="shared" si="137"/>
        <v>0.105</v>
      </c>
      <c r="Q138" s="1334">
        <f t="shared" si="137"/>
        <v>0.105</v>
      </c>
      <c r="R138" s="1334">
        <f t="shared" si="137"/>
        <v>0.105</v>
      </c>
      <c r="S138" s="1334">
        <f t="shared" si="137"/>
        <v>0.10500000000000001</v>
      </c>
      <c r="T138" s="1334">
        <f t="shared" si="137"/>
        <v>0.105</v>
      </c>
      <c r="U138" s="1334">
        <f t="shared" si="137"/>
        <v>0.105</v>
      </c>
      <c r="V138" s="1334">
        <f t="shared" si="137"/>
        <v>0.105</v>
      </c>
      <c r="W138" s="1334">
        <f t="shared" si="137"/>
        <v>0.105</v>
      </c>
      <c r="X138" s="1334">
        <f t="shared" si="137"/>
        <v>0.105</v>
      </c>
      <c r="Y138" s="1334">
        <f t="shared" si="137"/>
        <v>0.10499999999999998</v>
      </c>
      <c r="Z138" s="1334">
        <f t="shared" si="137"/>
        <v>0.105</v>
      </c>
      <c r="AA138" s="1334">
        <f t="shared" si="137"/>
        <v>0.10500000000000001</v>
      </c>
      <c r="AB138" s="1334">
        <f t="shared" si="137"/>
        <v>0.105</v>
      </c>
      <c r="AC138" s="1334">
        <f t="shared" si="137"/>
        <v>0.105</v>
      </c>
      <c r="AD138" s="1334">
        <f t="shared" si="137"/>
        <v>0.10499999999999998</v>
      </c>
      <c r="AE138" s="1334">
        <f t="shared" si="137"/>
        <v>0.105</v>
      </c>
      <c r="AF138" s="1334">
        <f t="shared" si="137"/>
        <v>0.105</v>
      </c>
      <c r="AG138" s="1334">
        <f t="shared" si="137"/>
        <v>0.105</v>
      </c>
      <c r="AH138" s="1334">
        <f t="shared" ref="AH138:AI138" si="138">AH105*$C$114</f>
        <v>0.105</v>
      </c>
      <c r="AI138" s="1334">
        <f t="shared" si="138"/>
        <v>0.105</v>
      </c>
      <c r="AJ138" s="1334">
        <f t="shared" ref="AJ138:AK138" si="139">AJ105*$C$114</f>
        <v>0.10500000000000001</v>
      </c>
      <c r="AK138" s="1674">
        <f t="shared" si="139"/>
        <v>0.10500000000000001</v>
      </c>
    </row>
    <row r="139" spans="1:37">
      <c r="B139" s="1315" t="s">
        <v>285</v>
      </c>
      <c r="C139" s="1320"/>
      <c r="D139" s="1333"/>
      <c r="E139" s="1333"/>
      <c r="F139" s="1333"/>
      <c r="G139" s="1333"/>
      <c r="H139" s="1333"/>
      <c r="I139" s="1333"/>
      <c r="J139" s="1333"/>
      <c r="K139" s="1333"/>
      <c r="L139" s="1333"/>
      <c r="M139" s="1333"/>
      <c r="N139" s="1333"/>
      <c r="O139" s="1333"/>
      <c r="P139" s="1333"/>
      <c r="Q139" s="1333"/>
      <c r="R139" s="1333"/>
      <c r="S139" s="1333"/>
      <c r="T139" s="1333"/>
      <c r="U139" s="1333"/>
      <c r="V139" s="1333"/>
      <c r="W139" s="1333"/>
      <c r="X139" s="1333"/>
      <c r="Y139" s="1333"/>
      <c r="Z139" s="1333"/>
      <c r="AA139" s="1333"/>
      <c r="AB139" s="1333"/>
      <c r="AC139" s="1333"/>
      <c r="AD139" s="1333"/>
      <c r="AE139" s="1333"/>
      <c r="AF139" s="1333"/>
      <c r="AG139" s="1333"/>
      <c r="AH139" s="1333"/>
      <c r="AI139" s="1333"/>
      <c r="AJ139" s="1333"/>
      <c r="AK139" s="1673"/>
    </row>
    <row r="140" spans="1:37">
      <c r="B140" s="1181" t="s">
        <v>286</v>
      </c>
      <c r="C140" s="1181" t="s">
        <v>292</v>
      </c>
      <c r="D140" s="1334">
        <f t="shared" ref="D140:AG140" si="140">D107*$C$114</f>
        <v>9.6299999999999999E-4</v>
      </c>
      <c r="E140" s="1334">
        <f t="shared" si="140"/>
        <v>9.630000000000001E-4</v>
      </c>
      <c r="F140" s="1334">
        <f t="shared" si="140"/>
        <v>9.6299999999999988E-4</v>
      </c>
      <c r="G140" s="1334">
        <f t="shared" si="140"/>
        <v>9.630000000000001E-4</v>
      </c>
      <c r="H140" s="1334">
        <f t="shared" si="140"/>
        <v>9.6300000000000021E-4</v>
      </c>
      <c r="I140" s="1334">
        <f t="shared" si="140"/>
        <v>9.630000000000001E-4</v>
      </c>
      <c r="J140" s="1334">
        <f t="shared" si="140"/>
        <v>9.6292099911913609E-4</v>
      </c>
      <c r="K140" s="1334">
        <f t="shared" si="140"/>
        <v>9.6281980127617363E-4</v>
      </c>
      <c r="L140" s="1334">
        <f t="shared" si="140"/>
        <v>7.7399131608054783E-4</v>
      </c>
      <c r="M140" s="1334">
        <f t="shared" si="140"/>
        <v>9.6292333618931919E-4</v>
      </c>
      <c r="N140" s="1334">
        <f t="shared" si="140"/>
        <v>9.629265225539706E-4</v>
      </c>
      <c r="O140" s="1334">
        <f t="shared" si="140"/>
        <v>9.6292990864651107E-4</v>
      </c>
      <c r="P140" s="1334">
        <f t="shared" si="140"/>
        <v>0</v>
      </c>
      <c r="Q140" s="1334">
        <f t="shared" si="140"/>
        <v>9.630000000000001E-4</v>
      </c>
      <c r="R140" s="1334">
        <f t="shared" si="140"/>
        <v>9.6299999999999988E-4</v>
      </c>
      <c r="S140" s="1334">
        <f t="shared" si="140"/>
        <v>9.6217165565648229E-4</v>
      </c>
      <c r="T140" s="1334">
        <f t="shared" si="140"/>
        <v>9.5494014437436092E-4</v>
      </c>
      <c r="U140" s="1334">
        <f t="shared" si="140"/>
        <v>9.630000000000001E-4</v>
      </c>
      <c r="V140" s="1334">
        <f t="shared" si="140"/>
        <v>8.4441749380166306E-4</v>
      </c>
      <c r="W140" s="1334">
        <f t="shared" si="140"/>
        <v>9.6298418911330982E-4</v>
      </c>
      <c r="X140" s="1334">
        <f t="shared" si="140"/>
        <v>9.6295296014067963E-4</v>
      </c>
      <c r="Y140" s="1334">
        <f t="shared" si="140"/>
        <v>9.630000000000001E-4</v>
      </c>
      <c r="Z140" s="1334">
        <f t="shared" si="140"/>
        <v>9.6299999999999999E-4</v>
      </c>
      <c r="AA140" s="1334">
        <f t="shared" si="140"/>
        <v>9.6300000000000021E-4</v>
      </c>
      <c r="AB140" s="1334">
        <f t="shared" si="140"/>
        <v>9.6298477324708524E-4</v>
      </c>
      <c r="AC140" s="1335">
        <f t="shared" si="140"/>
        <v>9.629998485337697E-4</v>
      </c>
      <c r="AD140" s="1336">
        <f t="shared" si="140"/>
        <v>9.630000000000001E-4</v>
      </c>
      <c r="AE140" s="1336">
        <f t="shared" si="140"/>
        <v>3.5285554338935625E-4</v>
      </c>
      <c r="AF140" s="1336">
        <f t="shared" si="140"/>
        <v>9.2313021841760484E-4</v>
      </c>
      <c r="AG140" s="1336">
        <f t="shared" si="140"/>
        <v>9.2727302309161244E-4</v>
      </c>
      <c r="AH140" s="1336">
        <f t="shared" ref="AH140:AI140" si="141">AH107*$C$114</f>
        <v>9.3426037566186892E-4</v>
      </c>
      <c r="AI140" s="1336">
        <f t="shared" si="141"/>
        <v>9.2956414329627851E-4</v>
      </c>
      <c r="AJ140" s="1336">
        <f t="shared" ref="AJ140:AK140" si="142">AJ107*$C$114</f>
        <v>9.2993669422716775E-4</v>
      </c>
      <c r="AK140" s="1675">
        <f t="shared" si="142"/>
        <v>9.2993669422716775E-4</v>
      </c>
    </row>
    <row r="141" spans="1:37">
      <c r="B141" s="1183" t="s">
        <v>287</v>
      </c>
      <c r="C141" s="1183" t="s">
        <v>292</v>
      </c>
      <c r="D141" s="1332">
        <f t="shared" ref="D141:AG141" si="143">D108*$C$114</f>
        <v>1.96452E-3</v>
      </c>
      <c r="E141" s="1332">
        <f t="shared" si="143"/>
        <v>1.96452E-3</v>
      </c>
      <c r="F141" s="1332">
        <f t="shared" si="143"/>
        <v>1.96452E-3</v>
      </c>
      <c r="G141" s="1332">
        <f t="shared" si="143"/>
        <v>1.367485682304112E-3</v>
      </c>
      <c r="H141" s="1332">
        <f t="shared" si="143"/>
        <v>9.2227837692571255E-4</v>
      </c>
      <c r="I141" s="1332">
        <f t="shared" si="143"/>
        <v>1.2244516495752646E-3</v>
      </c>
      <c r="J141" s="1332">
        <f t="shared" si="143"/>
        <v>1.0472714791183464E-3</v>
      </c>
      <c r="K141" s="1332">
        <f t="shared" si="143"/>
        <v>0</v>
      </c>
      <c r="L141" s="1332">
        <f t="shared" si="143"/>
        <v>1.1573345876388027E-3</v>
      </c>
      <c r="M141" s="1332">
        <f t="shared" si="143"/>
        <v>1.0860500599802324E-3</v>
      </c>
      <c r="N141" s="1332">
        <f t="shared" si="143"/>
        <v>1.1242904191559955E-3</v>
      </c>
      <c r="O141" s="1332">
        <f t="shared" si="143"/>
        <v>1.0901525126410195E-3</v>
      </c>
      <c r="P141" s="1332">
        <f t="shared" si="143"/>
        <v>3.267897619317188E-4</v>
      </c>
      <c r="Q141" s="1332">
        <f t="shared" si="143"/>
        <v>5.5229315100872693E-4</v>
      </c>
      <c r="R141" s="1332">
        <f t="shared" si="143"/>
        <v>9.065452521302928E-5</v>
      </c>
      <c r="S141" s="1332">
        <f t="shared" si="143"/>
        <v>0</v>
      </c>
      <c r="T141" s="1332">
        <f t="shared" si="143"/>
        <v>0</v>
      </c>
      <c r="U141" s="1332">
        <f t="shared" si="143"/>
        <v>4.7173834241565093E-4</v>
      </c>
      <c r="V141" s="1332">
        <f t="shared" si="143"/>
        <v>5.0231472829247994E-4</v>
      </c>
      <c r="W141" s="1332">
        <f t="shared" si="143"/>
        <v>6.9366896278266646E-4</v>
      </c>
      <c r="X141" s="1332">
        <f t="shared" si="143"/>
        <v>5.2784521119076777E-4</v>
      </c>
      <c r="Y141" s="1332">
        <f t="shared" si="143"/>
        <v>9.272415906814278E-4</v>
      </c>
      <c r="Z141" s="1332">
        <f t="shared" si="143"/>
        <v>1.0347520579981292E-3</v>
      </c>
      <c r="AA141" s="1332">
        <f t="shared" si="143"/>
        <v>9.5506768796814966E-4</v>
      </c>
      <c r="AB141" s="1332">
        <f t="shared" si="143"/>
        <v>1.1021602973206571E-3</v>
      </c>
      <c r="AC141" s="1332">
        <f t="shared" si="143"/>
        <v>9.2270589608434042E-4</v>
      </c>
      <c r="AD141" s="1332">
        <f t="shared" si="143"/>
        <v>1.0503448105606715E-3</v>
      </c>
      <c r="AE141" s="1332">
        <f t="shared" si="143"/>
        <v>9.1415304394620595E-4</v>
      </c>
      <c r="AF141" s="1332">
        <f t="shared" si="143"/>
        <v>3.5532792230515739E-4</v>
      </c>
      <c r="AG141" s="1332">
        <f t="shared" si="143"/>
        <v>9.0718095639432956E-4</v>
      </c>
      <c r="AH141" s="1332">
        <f t="shared" ref="AH141:AI141" si="144">AH108*$C$114</f>
        <v>8.7511206419687497E-4</v>
      </c>
      <c r="AI141" s="1332">
        <f t="shared" si="144"/>
        <v>7.569254860100101E-4</v>
      </c>
      <c r="AJ141" s="1332">
        <f t="shared" ref="AJ141:AK141" si="145">AJ108*$C$114</f>
        <v>7.6760314980053304E-4</v>
      </c>
      <c r="AK141" s="1672">
        <f t="shared" si="145"/>
        <v>7.6760314980053304E-4</v>
      </c>
    </row>
    <row r="142" spans="1:37">
      <c r="B142" s="1315" t="s">
        <v>288</v>
      </c>
      <c r="C142" s="1320"/>
      <c r="D142" s="1333"/>
      <c r="E142" s="1333"/>
      <c r="F142" s="1333"/>
      <c r="G142" s="1333"/>
      <c r="H142" s="1333"/>
      <c r="I142" s="1333"/>
      <c r="J142" s="1333"/>
      <c r="K142" s="1333"/>
      <c r="L142" s="1333"/>
      <c r="M142" s="1333"/>
      <c r="N142" s="1333"/>
      <c r="O142" s="1333"/>
      <c r="P142" s="1333"/>
      <c r="Q142" s="1333"/>
      <c r="R142" s="1333"/>
      <c r="S142" s="1333"/>
      <c r="T142" s="1333"/>
      <c r="U142" s="1333"/>
      <c r="V142" s="1333"/>
      <c r="W142" s="1333"/>
      <c r="X142" s="1333"/>
      <c r="Y142" s="1333"/>
      <c r="Z142" s="1333"/>
      <c r="AA142" s="1333"/>
      <c r="AB142" s="1333"/>
      <c r="AC142" s="1333"/>
      <c r="AD142" s="1333"/>
      <c r="AE142" s="1333"/>
      <c r="AF142" s="1333"/>
      <c r="AG142" s="1333"/>
      <c r="AH142" s="1333"/>
      <c r="AI142" s="1333"/>
      <c r="AJ142" s="1333"/>
      <c r="AK142" s="1673"/>
    </row>
    <row r="143" spans="1:37">
      <c r="B143" s="1181" t="s">
        <v>289</v>
      </c>
      <c r="C143" s="1181" t="s">
        <v>292</v>
      </c>
      <c r="D143" s="1334">
        <f t="shared" ref="D143:AG143" si="146">D110*$C$114</f>
        <v>3.0623399999999995E-2</v>
      </c>
      <c r="E143" s="1334">
        <f t="shared" si="146"/>
        <v>3.0623400000000005E-2</v>
      </c>
      <c r="F143" s="1334">
        <f t="shared" si="146"/>
        <v>3.0623399999999999E-2</v>
      </c>
      <c r="G143" s="1334">
        <f t="shared" si="146"/>
        <v>3.0623400000000005E-2</v>
      </c>
      <c r="H143" s="1334">
        <f t="shared" si="146"/>
        <v>3.0623400000000002E-2</v>
      </c>
      <c r="I143" s="1334">
        <f t="shared" si="146"/>
        <v>3.0615584769485872E-2</v>
      </c>
      <c r="J143" s="1334">
        <f t="shared" si="146"/>
        <v>3.0612798007061664E-2</v>
      </c>
      <c r="K143" s="1334">
        <f t="shared" si="146"/>
        <v>3.0601168931176929E-2</v>
      </c>
      <c r="L143" s="1334">
        <f t="shared" si="146"/>
        <v>3.0602362332953426E-2</v>
      </c>
      <c r="M143" s="1334">
        <f t="shared" si="146"/>
        <v>3.0588824795691662E-2</v>
      </c>
      <c r="N143" s="1334">
        <f t="shared" si="146"/>
        <v>3.061596786684807E-2</v>
      </c>
      <c r="O143" s="1334">
        <f t="shared" si="146"/>
        <v>3.060045594673589E-2</v>
      </c>
      <c r="P143" s="1334">
        <f t="shared" si="146"/>
        <v>3.0596798757375837E-2</v>
      </c>
      <c r="Q143" s="1334">
        <f t="shared" si="146"/>
        <v>3.057014761776259E-2</v>
      </c>
      <c r="R143" s="1334">
        <f t="shared" si="146"/>
        <v>3.0445326672545223E-2</v>
      </c>
      <c r="S143" s="1334">
        <f t="shared" si="146"/>
        <v>3.0308699641071361E-2</v>
      </c>
      <c r="T143" s="1334">
        <f t="shared" si="146"/>
        <v>3.0220053751791123E-2</v>
      </c>
      <c r="U143" s="1334">
        <f t="shared" si="146"/>
        <v>2.9447756481684881E-2</v>
      </c>
      <c r="V143" s="1334">
        <f t="shared" si="146"/>
        <v>3.0092986654915138E-2</v>
      </c>
      <c r="W143" s="1334">
        <f t="shared" si="146"/>
        <v>2.9906871058696338E-2</v>
      </c>
      <c r="X143" s="1334">
        <f t="shared" si="146"/>
        <v>2.986568119799304E-2</v>
      </c>
      <c r="Y143" s="1334">
        <f t="shared" si="146"/>
        <v>2.8058426367581098E-2</v>
      </c>
      <c r="Z143" s="1334">
        <f t="shared" si="146"/>
        <v>2.9961434340505144E-2</v>
      </c>
      <c r="AA143" s="1334">
        <f t="shared" si="146"/>
        <v>2.9743591839406013E-2</v>
      </c>
      <c r="AB143" s="1334">
        <f t="shared" si="146"/>
        <v>2.967663588591184E-2</v>
      </c>
      <c r="AC143" s="1334">
        <f t="shared" si="146"/>
        <v>2.9720440533325544E-2</v>
      </c>
      <c r="AD143" s="1334">
        <f t="shared" si="146"/>
        <v>2.9634206185412248E-2</v>
      </c>
      <c r="AE143" s="1334">
        <f t="shared" si="146"/>
        <v>2.9985713935097445E-2</v>
      </c>
      <c r="AF143" s="1334">
        <f t="shared" si="146"/>
        <v>3.0028904551491549E-2</v>
      </c>
      <c r="AG143" s="1334">
        <f t="shared" si="146"/>
        <v>3.0012597474990309E-2</v>
      </c>
      <c r="AH143" s="1334">
        <f t="shared" ref="AH143:AI143" si="147">AH110*$C$114</f>
        <v>3.0017993017064794E-2</v>
      </c>
      <c r="AI143" s="1334">
        <f t="shared" si="147"/>
        <v>3.0022275890580631E-2</v>
      </c>
      <c r="AJ143" s="1334">
        <f t="shared" ref="AJ143:AK143" si="148">AJ110*$C$114</f>
        <v>3.0027591086254673E-2</v>
      </c>
      <c r="AK143" s="1674">
        <f t="shared" si="148"/>
        <v>3.0027591086254673E-2</v>
      </c>
    </row>
    <row r="144" spans="1:37" ht="21.5">
      <c r="A144" s="89"/>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625"/>
      <c r="AC144" s="625"/>
      <c r="AD144" s="625"/>
      <c r="AE144" s="625"/>
      <c r="AF144" s="625"/>
      <c r="AG144" s="625"/>
      <c r="AH144" s="625"/>
      <c r="AI144" s="625"/>
      <c r="AJ144" s="625"/>
    </row>
    <row r="145" spans="2:37" s="89" customFormat="1" ht="21.5">
      <c r="B145" s="89" t="s">
        <v>296</v>
      </c>
    </row>
    <row r="146" spans="2:37">
      <c r="B146" s="956" t="s">
        <v>297</v>
      </c>
      <c r="C146" s="956" t="s">
        <v>290</v>
      </c>
      <c r="D146" s="957">
        <v>1990</v>
      </c>
      <c r="E146" s="957">
        <v>1991</v>
      </c>
      <c r="F146" s="957">
        <v>1992</v>
      </c>
      <c r="G146" s="957">
        <v>1993</v>
      </c>
      <c r="H146" s="957">
        <v>1994</v>
      </c>
      <c r="I146" s="957">
        <v>1995</v>
      </c>
      <c r="J146" s="957">
        <v>1996</v>
      </c>
      <c r="K146" s="957">
        <v>1997</v>
      </c>
      <c r="L146" s="957">
        <v>1998</v>
      </c>
      <c r="M146" s="957">
        <v>1999</v>
      </c>
      <c r="N146" s="957">
        <v>2000</v>
      </c>
      <c r="O146" s="957">
        <v>2001</v>
      </c>
      <c r="P146" s="957">
        <v>2002</v>
      </c>
      <c r="Q146" s="957">
        <v>2003</v>
      </c>
      <c r="R146" s="957">
        <v>2004</v>
      </c>
      <c r="S146" s="957">
        <v>2005</v>
      </c>
      <c r="T146" s="957">
        <v>2006</v>
      </c>
      <c r="U146" s="957">
        <v>2007</v>
      </c>
      <c r="V146" s="957">
        <v>2008</v>
      </c>
      <c r="W146" s="957">
        <v>2009</v>
      </c>
      <c r="X146" s="957">
        <v>2010</v>
      </c>
      <c r="Y146" s="957">
        <v>2011</v>
      </c>
      <c r="Z146" s="957">
        <v>2012</v>
      </c>
      <c r="AA146" s="957">
        <v>2013</v>
      </c>
      <c r="AB146" s="957">
        <v>2014</v>
      </c>
      <c r="AC146" s="957">
        <v>2015</v>
      </c>
      <c r="AD146" s="957">
        <v>2016</v>
      </c>
      <c r="AE146" s="957">
        <v>2017</v>
      </c>
      <c r="AF146" s="957">
        <v>2018</v>
      </c>
      <c r="AG146" s="957">
        <v>2019</v>
      </c>
      <c r="AH146" s="1218">
        <v>2020</v>
      </c>
      <c r="AI146" s="1218">
        <v>2021</v>
      </c>
      <c r="AJ146" s="1218">
        <v>2022</v>
      </c>
      <c r="AK146" s="1218">
        <v>2023</v>
      </c>
    </row>
    <row r="147" spans="2:37">
      <c r="B147" s="620" t="s">
        <v>378</v>
      </c>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c r="AA147" s="270"/>
      <c r="AB147" s="625"/>
      <c r="AC147" s="625"/>
      <c r="AD147" s="625"/>
      <c r="AE147" s="625"/>
      <c r="AF147" s="625"/>
      <c r="AG147" s="625"/>
      <c r="AH147" s="625"/>
      <c r="AI147" s="625"/>
      <c r="AJ147" s="625"/>
    </row>
    <row r="148" spans="2:37">
      <c r="B148" s="562" t="s">
        <v>224</v>
      </c>
      <c r="C148" s="1316" t="s">
        <v>298</v>
      </c>
      <c r="D148" s="1159">
        <f t="shared" ref="D148:AH148" si="149">D25*D$117</f>
        <v>5908.3644255267245</v>
      </c>
      <c r="E148" s="1159">
        <f t="shared" si="149"/>
        <v>5808.6183306992252</v>
      </c>
      <c r="F148" s="1159">
        <f t="shared" si="149"/>
        <v>5619.7374277280051</v>
      </c>
      <c r="G148" s="1159">
        <f t="shared" si="149"/>
        <v>5320.6496792680036</v>
      </c>
      <c r="H148" s="1159">
        <f t="shared" si="149"/>
        <v>5031.515243930714</v>
      </c>
      <c r="I148" s="1159">
        <f t="shared" si="149"/>
        <v>4771.366654058801</v>
      </c>
      <c r="J148" s="1159">
        <f t="shared" si="149"/>
        <v>4523.1594860786818</v>
      </c>
      <c r="K148" s="1159">
        <f t="shared" si="149"/>
        <v>4285.4012396049557</v>
      </c>
      <c r="L148" s="1159">
        <f t="shared" si="149"/>
        <v>4049.8358717732935</v>
      </c>
      <c r="M148" s="1159">
        <f t="shared" si="149"/>
        <v>3860.7907061299193</v>
      </c>
      <c r="N148" s="1159">
        <f t="shared" si="149"/>
        <v>4143.049265141718</v>
      </c>
      <c r="O148" s="1159">
        <f t="shared" si="149"/>
        <v>3656.8862632638416</v>
      </c>
      <c r="P148" s="1159">
        <f t="shared" si="149"/>
        <v>3531.2912785728495</v>
      </c>
      <c r="Q148" s="1159">
        <f t="shared" si="149"/>
        <v>3242.5354883166929</v>
      </c>
      <c r="R148" s="1159">
        <f t="shared" si="149"/>
        <v>3012.3793568508895</v>
      </c>
      <c r="S148" s="1159">
        <f t="shared" si="149"/>
        <v>2739.4251051982001</v>
      </c>
      <c r="T148" s="1159">
        <f t="shared" si="149"/>
        <v>2535.4643440620703</v>
      </c>
      <c r="U148" s="1159">
        <f t="shared" si="149"/>
        <v>2314.4766041343896</v>
      </c>
      <c r="V148" s="1159">
        <f t="shared" si="149"/>
        <v>2109.1272578141939</v>
      </c>
      <c r="W148" s="1159">
        <f t="shared" si="149"/>
        <v>1902.4401681685804</v>
      </c>
      <c r="X148" s="1159">
        <f t="shared" si="149"/>
        <v>1706.2018991473249</v>
      </c>
      <c r="Y148" s="1159">
        <f t="shared" si="149"/>
        <v>1504.1406680071027</v>
      </c>
      <c r="Z148" s="1159">
        <f t="shared" si="149"/>
        <v>1397.2485593385909</v>
      </c>
      <c r="AA148" s="1159">
        <f t="shared" si="149"/>
        <v>1325.2056450160849</v>
      </c>
      <c r="AB148" s="1159">
        <f t="shared" si="149"/>
        <v>1280.8327842863966</v>
      </c>
      <c r="AC148" s="1159">
        <f t="shared" si="149"/>
        <v>1221.230842853997</v>
      </c>
      <c r="AD148" s="1159">
        <f t="shared" si="149"/>
        <v>1134.4523868391661</v>
      </c>
      <c r="AE148" s="1159">
        <f t="shared" si="149"/>
        <v>1038.7781700926112</v>
      </c>
      <c r="AF148" s="1159">
        <f t="shared" si="149"/>
        <v>986.96346459897165</v>
      </c>
      <c r="AG148" s="1159">
        <f t="shared" si="149"/>
        <v>928.02129782967211</v>
      </c>
      <c r="AH148" s="1159">
        <f t="shared" si="149"/>
        <v>871.16353665397946</v>
      </c>
      <c r="AI148" s="1159">
        <f>AI25*AI$117</f>
        <v>805.07495946726033</v>
      </c>
      <c r="AJ148" s="1159">
        <f t="shared" ref="AJ148:AK148" si="150">AJ25*AJ$117</f>
        <v>802.50648943414649</v>
      </c>
      <c r="AK148" s="1666">
        <f t="shared" si="150"/>
        <v>730.45668451463644</v>
      </c>
    </row>
    <row r="149" spans="2:37">
      <c r="B149" s="565" t="s">
        <v>225</v>
      </c>
      <c r="C149" s="1181" t="s">
        <v>298</v>
      </c>
      <c r="D149" s="1159">
        <f t="shared" ref="D149:AH149" si="151">D26*D$117</f>
        <v>6129.0791885492745</v>
      </c>
      <c r="E149" s="1159">
        <f t="shared" si="151"/>
        <v>5955.0540869353408</v>
      </c>
      <c r="F149" s="1159">
        <f t="shared" si="151"/>
        <v>5844.6967054240658</v>
      </c>
      <c r="G149" s="1159">
        <f t="shared" si="151"/>
        <v>5487.1769683022803</v>
      </c>
      <c r="H149" s="1159">
        <f t="shared" si="151"/>
        <v>5132.98115039195</v>
      </c>
      <c r="I149" s="1159">
        <f t="shared" si="151"/>
        <v>4830.9846977008101</v>
      </c>
      <c r="J149" s="1159">
        <f t="shared" si="151"/>
        <v>4365.3316714987614</v>
      </c>
      <c r="K149" s="1159">
        <f t="shared" si="151"/>
        <v>4140.3761715422852</v>
      </c>
      <c r="L149" s="1159">
        <f t="shared" si="151"/>
        <v>3883.4633040312233</v>
      </c>
      <c r="M149" s="1159">
        <f t="shared" si="151"/>
        <v>3602.1890100559531</v>
      </c>
      <c r="N149" s="1159">
        <f t="shared" si="151"/>
        <v>3370.454520288135</v>
      </c>
      <c r="O149" s="1159">
        <f t="shared" si="151"/>
        <v>2496.3814899761919</v>
      </c>
      <c r="P149" s="1159">
        <f t="shared" si="151"/>
        <v>2078.5171714028543</v>
      </c>
      <c r="Q149" s="1159">
        <f t="shared" si="151"/>
        <v>1749.122120433035</v>
      </c>
      <c r="R149" s="1159">
        <f t="shared" si="151"/>
        <v>1636.0504449752855</v>
      </c>
      <c r="S149" s="1159">
        <f t="shared" si="151"/>
        <v>1278.7605346566527</v>
      </c>
      <c r="T149" s="1159">
        <f t="shared" si="151"/>
        <v>1802.0750134388616</v>
      </c>
      <c r="U149" s="1159">
        <f t="shared" si="151"/>
        <v>1588.9177583711478</v>
      </c>
      <c r="V149" s="1159">
        <f t="shared" si="151"/>
        <v>1459.3829246479781</v>
      </c>
      <c r="W149" s="1159">
        <f t="shared" si="151"/>
        <v>1310.7382422597911</v>
      </c>
      <c r="X149" s="1159">
        <f t="shared" si="151"/>
        <v>1151.5140795600792</v>
      </c>
      <c r="Y149" s="1159">
        <f t="shared" si="151"/>
        <v>999.97205041725431</v>
      </c>
      <c r="Z149" s="1159">
        <f t="shared" si="151"/>
        <v>1001.5827274668595</v>
      </c>
      <c r="AA149" s="1159">
        <f t="shared" si="151"/>
        <v>990.2097971123203</v>
      </c>
      <c r="AB149" s="1159">
        <f t="shared" si="151"/>
        <v>962.01950344572595</v>
      </c>
      <c r="AC149" s="1159">
        <f t="shared" si="151"/>
        <v>958.98677943949019</v>
      </c>
      <c r="AD149" s="1159">
        <f t="shared" si="151"/>
        <v>940.5596004024552</v>
      </c>
      <c r="AE149" s="1159">
        <f t="shared" si="151"/>
        <v>900.38828119574873</v>
      </c>
      <c r="AF149" s="1159">
        <f t="shared" si="151"/>
        <v>870.89135807233492</v>
      </c>
      <c r="AG149" s="1159">
        <f t="shared" si="151"/>
        <v>842.84318296894105</v>
      </c>
      <c r="AH149" s="1159">
        <f t="shared" si="151"/>
        <v>826.05252072027463</v>
      </c>
      <c r="AI149" s="1159">
        <f t="shared" ref="AI149:AJ149" si="152">AI26*AI$117</f>
        <v>785.06638841788526</v>
      </c>
      <c r="AJ149" s="1159">
        <f t="shared" si="152"/>
        <v>773.39716239218876</v>
      </c>
      <c r="AK149" s="1666">
        <f t="shared" ref="AK149" si="153">AK26*AK$117</f>
        <v>746.36190504833246</v>
      </c>
    </row>
    <row r="150" spans="2:37">
      <c r="B150" s="565" t="s">
        <v>226</v>
      </c>
      <c r="C150" s="1181" t="s">
        <v>298</v>
      </c>
      <c r="D150" s="1159">
        <f t="shared" ref="D150:AH150" si="154">D27*D$118</f>
        <v>3.1306348953515886</v>
      </c>
      <c r="E150" s="1159">
        <f t="shared" si="154"/>
        <v>3.0715663124204258</v>
      </c>
      <c r="F150" s="1159">
        <f t="shared" si="154"/>
        <v>3.0715663124204258</v>
      </c>
      <c r="G150" s="1159">
        <f t="shared" si="154"/>
        <v>3.1746914417173415</v>
      </c>
      <c r="H150" s="1159">
        <f t="shared" si="154"/>
        <v>3.1517467028983241</v>
      </c>
      <c r="I150" s="1159">
        <f t="shared" si="154"/>
        <v>3.2509054810684348</v>
      </c>
      <c r="J150" s="1159">
        <f t="shared" si="154"/>
        <v>3.3500642592385463</v>
      </c>
      <c r="K150" s="1159">
        <f t="shared" si="154"/>
        <v>3.4492230374086574</v>
      </c>
      <c r="L150" s="1159">
        <f t="shared" si="154"/>
        <v>3.548381815578769</v>
      </c>
      <c r="M150" s="1159">
        <f t="shared" si="154"/>
        <v>3.5016389699989245</v>
      </c>
      <c r="N150" s="1159">
        <f t="shared" si="154"/>
        <v>3.5968313970422319</v>
      </c>
      <c r="O150" s="1159">
        <f t="shared" si="154"/>
        <v>17.306361675400961</v>
      </c>
      <c r="P150" s="1159">
        <f t="shared" si="154"/>
        <v>20.119586334121987</v>
      </c>
      <c r="Q150" s="1159">
        <f t="shared" si="154"/>
        <v>19.007625820217818</v>
      </c>
      <c r="R150" s="1159">
        <f t="shared" si="154"/>
        <v>19.954298877830876</v>
      </c>
      <c r="S150" s="1159">
        <f t="shared" si="154"/>
        <v>20.57354682847464</v>
      </c>
      <c r="T150" s="1159">
        <f t="shared" si="154"/>
        <v>17.228369962775115</v>
      </c>
      <c r="U150" s="1159">
        <f t="shared" si="154"/>
        <v>17.593693119365462</v>
      </c>
      <c r="V150" s="1159">
        <f t="shared" si="154"/>
        <v>17.385541174607464</v>
      </c>
      <c r="W150" s="1159">
        <f t="shared" si="154"/>
        <v>17.527925958395191</v>
      </c>
      <c r="X150" s="1159">
        <f t="shared" si="154"/>
        <v>15.724195450774451</v>
      </c>
      <c r="Y150" s="1159">
        <f t="shared" si="154"/>
        <v>15.063516384838813</v>
      </c>
      <c r="Z150" s="1159">
        <f t="shared" si="154"/>
        <v>15.245694598630037</v>
      </c>
      <c r="AA150" s="1159">
        <f t="shared" si="154"/>
        <v>15.407458790589104</v>
      </c>
      <c r="AB150" s="1159">
        <f t="shared" si="154"/>
        <v>14.636853653654919</v>
      </c>
      <c r="AC150" s="1159">
        <f t="shared" si="154"/>
        <v>14.372245361185991</v>
      </c>
      <c r="AD150" s="1159">
        <f t="shared" si="154"/>
        <v>14.026077730307083</v>
      </c>
      <c r="AE150" s="1159">
        <f t="shared" si="154"/>
        <v>13.846221490563124</v>
      </c>
      <c r="AF150" s="1159">
        <f t="shared" si="154"/>
        <v>13.746183108693703</v>
      </c>
      <c r="AG150" s="1159">
        <f t="shared" si="154"/>
        <v>13.576098509731963</v>
      </c>
      <c r="AH150" s="1159">
        <f t="shared" si="154"/>
        <v>13.444616729305903</v>
      </c>
      <c r="AI150" s="1159">
        <f>AI27*AI$118</f>
        <v>12.913658663832612</v>
      </c>
      <c r="AJ150" s="1159">
        <f t="shared" ref="AJ150:AK150" si="155">AJ27*AJ$118</f>
        <v>0</v>
      </c>
      <c r="AK150" s="1666">
        <f t="shared" si="155"/>
        <v>0</v>
      </c>
    </row>
    <row r="151" spans="2:37">
      <c r="B151" s="565" t="s">
        <v>227</v>
      </c>
      <c r="C151" s="1181" t="s">
        <v>298</v>
      </c>
      <c r="D151" s="1159">
        <f t="shared" ref="D151:AH151" si="156">D28*D$118</f>
        <v>256.65299283589906</v>
      </c>
      <c r="E151" s="1159">
        <f t="shared" si="156"/>
        <v>256.06230700658745</v>
      </c>
      <c r="F151" s="1159">
        <f t="shared" si="156"/>
        <v>267.66928355256078</v>
      </c>
      <c r="G151" s="1159">
        <f t="shared" si="156"/>
        <v>283.34121117327277</v>
      </c>
      <c r="H151" s="1159">
        <f t="shared" si="156"/>
        <v>298.5964826325872</v>
      </c>
      <c r="I151" s="1159">
        <f t="shared" si="156"/>
        <v>313.12721593651162</v>
      </c>
      <c r="J151" s="1159">
        <f t="shared" si="156"/>
        <v>333.93440536089832</v>
      </c>
      <c r="K151" s="1159">
        <f t="shared" si="156"/>
        <v>347.09531425443316</v>
      </c>
      <c r="L151" s="1159">
        <f t="shared" si="156"/>
        <v>362.25429955243652</v>
      </c>
      <c r="M151" s="1159">
        <f t="shared" si="156"/>
        <v>377.44750064113407</v>
      </c>
      <c r="N151" s="1159">
        <f t="shared" si="156"/>
        <v>368.00081230988332</v>
      </c>
      <c r="O151" s="1159">
        <f t="shared" si="156"/>
        <v>414.660425742607</v>
      </c>
      <c r="P151" s="1159">
        <f t="shared" si="156"/>
        <v>433.55736041568753</v>
      </c>
      <c r="Q151" s="1159">
        <f t="shared" si="156"/>
        <v>462.48923767011985</v>
      </c>
      <c r="R151" s="1159">
        <f t="shared" si="156"/>
        <v>477.67122161452016</v>
      </c>
      <c r="S151" s="1159">
        <f t="shared" si="156"/>
        <v>507.64520424132928</v>
      </c>
      <c r="T151" s="1159">
        <f t="shared" si="156"/>
        <v>471.49394684459764</v>
      </c>
      <c r="U151" s="1159">
        <f t="shared" si="156"/>
        <v>491.16593323140114</v>
      </c>
      <c r="V151" s="1159">
        <f t="shared" si="156"/>
        <v>505.6964083133642</v>
      </c>
      <c r="W151" s="1159">
        <f t="shared" si="156"/>
        <v>522.84275747266508</v>
      </c>
      <c r="X151" s="1159">
        <f t="shared" si="156"/>
        <v>544.32570975951455</v>
      </c>
      <c r="Y151" s="1159">
        <f t="shared" si="156"/>
        <v>560.31033290253595</v>
      </c>
      <c r="Z151" s="1159">
        <f t="shared" si="156"/>
        <v>558.0113850979119</v>
      </c>
      <c r="AA151" s="1159">
        <f t="shared" si="156"/>
        <v>555.82485953674279</v>
      </c>
      <c r="AB151" s="1159">
        <f t="shared" si="156"/>
        <v>565.50062214059085</v>
      </c>
      <c r="AC151" s="1159">
        <f t="shared" si="156"/>
        <v>560.18562354641404</v>
      </c>
      <c r="AD151" s="1159">
        <f t="shared" si="156"/>
        <v>559.30724011411974</v>
      </c>
      <c r="AE151" s="1159">
        <f t="shared" si="156"/>
        <v>556.80299110415058</v>
      </c>
      <c r="AF151" s="1159">
        <f t="shared" si="156"/>
        <v>555.98343101438672</v>
      </c>
      <c r="AG151" s="1159">
        <f t="shared" si="156"/>
        <v>554.55667471126469</v>
      </c>
      <c r="AH151" s="1159">
        <f t="shared" si="156"/>
        <v>552.88175743184149</v>
      </c>
      <c r="AI151" s="1159">
        <f t="shared" ref="AI151:AJ151" si="157">AI28*AI$118</f>
        <v>551.1695918187437</v>
      </c>
      <c r="AJ151" s="1159">
        <f t="shared" si="157"/>
        <v>556.75519713834467</v>
      </c>
      <c r="AK151" s="1666">
        <f t="shared" ref="AK151" si="158">AK28*AK$118</f>
        <v>556.04796254311702</v>
      </c>
    </row>
    <row r="152" spans="2:37">
      <c r="B152" s="565" t="s">
        <v>228</v>
      </c>
      <c r="C152" s="1316" t="s">
        <v>298</v>
      </c>
      <c r="D152" s="1159">
        <f t="shared" ref="D152:AH152" si="159">D29*D$119</f>
        <v>456.55290719999999</v>
      </c>
      <c r="E152" s="1159">
        <f t="shared" si="159"/>
        <v>506.55995639999992</v>
      </c>
      <c r="F152" s="1159">
        <f t="shared" si="159"/>
        <v>562.29300360000002</v>
      </c>
      <c r="G152" s="1159">
        <f t="shared" si="159"/>
        <v>600.07854213122266</v>
      </c>
      <c r="H152" s="1159">
        <f t="shared" si="159"/>
        <v>618.42289238255262</v>
      </c>
      <c r="I152" s="1159">
        <f t="shared" si="159"/>
        <v>642.29601061762207</v>
      </c>
      <c r="J152" s="1159">
        <f t="shared" si="159"/>
        <v>654.14815257458793</v>
      </c>
      <c r="K152" s="1159">
        <f t="shared" si="159"/>
        <v>664.81135683034574</v>
      </c>
      <c r="L152" s="1159">
        <f t="shared" si="159"/>
        <v>669.24544094689554</v>
      </c>
      <c r="M152" s="1159">
        <f t="shared" si="159"/>
        <v>666.89522368385065</v>
      </c>
      <c r="N152" s="1159">
        <f t="shared" si="159"/>
        <v>669.41262619693316</v>
      </c>
      <c r="O152" s="1159">
        <f t="shared" si="159"/>
        <v>670.34465389061609</v>
      </c>
      <c r="P152" s="1159">
        <f t="shared" si="159"/>
        <v>648.13176047075285</v>
      </c>
      <c r="Q152" s="1159">
        <f t="shared" si="159"/>
        <v>623.331872984862</v>
      </c>
      <c r="R152" s="1159">
        <f t="shared" si="159"/>
        <v>602.36200770291089</v>
      </c>
      <c r="S152" s="1159">
        <f t="shared" si="159"/>
        <v>579.42867561162109</v>
      </c>
      <c r="T152" s="1159">
        <f t="shared" si="159"/>
        <v>520.57872294045831</v>
      </c>
      <c r="U152" s="1159">
        <f t="shared" si="159"/>
        <v>473.6803878767164</v>
      </c>
      <c r="V152" s="1159">
        <f t="shared" si="159"/>
        <v>421.94671097815558</v>
      </c>
      <c r="W152" s="1159">
        <f t="shared" si="159"/>
        <v>364.63994978461977</v>
      </c>
      <c r="X152" s="1159">
        <f t="shared" si="159"/>
        <v>304.61881906899777</v>
      </c>
      <c r="Y152" s="1159">
        <f t="shared" si="159"/>
        <v>243.31069035822853</v>
      </c>
      <c r="Z152" s="1159">
        <f t="shared" si="159"/>
        <v>253.30520312821221</v>
      </c>
      <c r="AA152" s="1159">
        <f t="shared" si="159"/>
        <v>262.4276314688808</v>
      </c>
      <c r="AB152" s="1159">
        <f t="shared" si="159"/>
        <v>273.77248898883107</v>
      </c>
      <c r="AC152" s="1159">
        <f t="shared" si="159"/>
        <v>282.37837656699361</v>
      </c>
      <c r="AD152" s="1159">
        <f t="shared" si="159"/>
        <v>291.35798164645547</v>
      </c>
      <c r="AE152" s="1159">
        <f t="shared" si="159"/>
        <v>301.96267369760318</v>
      </c>
      <c r="AF152" s="1159">
        <f t="shared" si="159"/>
        <v>309.85202179180038</v>
      </c>
      <c r="AG152" s="1159">
        <f t="shared" si="159"/>
        <v>317.78481400463562</v>
      </c>
      <c r="AH152" s="1159">
        <f t="shared" si="159"/>
        <v>324.81739561573079</v>
      </c>
      <c r="AI152" s="1159">
        <f t="shared" ref="AI152:AJ152" si="160">AI29*AI$119</f>
        <v>332.92751252794739</v>
      </c>
      <c r="AJ152" s="1159">
        <f t="shared" si="160"/>
        <v>341.64786641604098</v>
      </c>
      <c r="AK152" s="1666">
        <f t="shared" ref="AK152" si="161">AK29*AK$119</f>
        <v>349.87559400002908</v>
      </c>
    </row>
    <row r="153" spans="2:37">
      <c r="B153" s="565" t="s">
        <v>229</v>
      </c>
      <c r="C153" s="1181" t="s">
        <v>298</v>
      </c>
      <c r="D153" s="1159">
        <f t="shared" ref="D153:AH153" si="162">D30*D$116</f>
        <v>23699.401109999999</v>
      </c>
      <c r="E153" s="1159">
        <f t="shared" si="162"/>
        <v>23441.948838</v>
      </c>
      <c r="F153" s="1159">
        <f t="shared" si="162"/>
        <v>23064.965153999998</v>
      </c>
      <c r="G153" s="1159">
        <f t="shared" si="162"/>
        <v>21286.58735231563</v>
      </c>
      <c r="H153" s="1159">
        <f t="shared" si="162"/>
        <v>20765.415354001459</v>
      </c>
      <c r="I153" s="1159">
        <f t="shared" si="162"/>
        <v>19731.739273568568</v>
      </c>
      <c r="J153" s="1159">
        <f t="shared" si="162"/>
        <v>18583.285991427707</v>
      </c>
      <c r="K153" s="1159">
        <f t="shared" si="162"/>
        <v>17555.812581847327</v>
      </c>
      <c r="L153" s="1159">
        <f t="shared" si="162"/>
        <v>16556.19868132077</v>
      </c>
      <c r="M153" s="1159">
        <f t="shared" si="162"/>
        <v>15600.857959915162</v>
      </c>
      <c r="N153" s="1159">
        <f t="shared" si="162"/>
        <v>14404.649635120913</v>
      </c>
      <c r="O153" s="1159">
        <f t="shared" si="162"/>
        <v>13358.265256480056</v>
      </c>
      <c r="P153" s="1159">
        <f t="shared" si="162"/>
        <v>12373.331169380494</v>
      </c>
      <c r="Q153" s="1159">
        <f t="shared" si="162"/>
        <v>11478.235052791255</v>
      </c>
      <c r="R153" s="1159">
        <f t="shared" si="162"/>
        <v>10551.548169422113</v>
      </c>
      <c r="S153" s="1159">
        <f t="shared" si="162"/>
        <v>9630.4914576510255</v>
      </c>
      <c r="T153" s="1159">
        <f t="shared" si="162"/>
        <v>8721.4376873926358</v>
      </c>
      <c r="U153" s="1159">
        <f t="shared" si="162"/>
        <v>7873.5554789713478</v>
      </c>
      <c r="V153" s="1159">
        <f t="shared" si="162"/>
        <v>7040.6125434189807</v>
      </c>
      <c r="W153" s="1159">
        <f t="shared" si="162"/>
        <v>6178.4263652387835</v>
      </c>
      <c r="X153" s="1159">
        <f t="shared" si="162"/>
        <v>5340.1030489890054</v>
      </c>
      <c r="Y153" s="1159">
        <f t="shared" si="162"/>
        <v>4514.8063310573816</v>
      </c>
      <c r="Z153" s="1159">
        <f t="shared" si="162"/>
        <v>4387.8667428812087</v>
      </c>
      <c r="AA153" s="1159">
        <f t="shared" si="162"/>
        <v>4271.6469297533631</v>
      </c>
      <c r="AB153" s="1159">
        <f t="shared" si="162"/>
        <v>3973.1620090997421</v>
      </c>
      <c r="AC153" s="1159">
        <f t="shared" si="162"/>
        <v>3836.5592317134297</v>
      </c>
      <c r="AD153" s="1159">
        <f t="shared" si="162"/>
        <v>3695.7497845332405</v>
      </c>
      <c r="AE153" s="1159">
        <f t="shared" si="162"/>
        <v>3528.633317338094</v>
      </c>
      <c r="AF153" s="1159">
        <f t="shared" si="162"/>
        <v>3385.5602536195775</v>
      </c>
      <c r="AG153" s="1159">
        <f t="shared" si="162"/>
        <v>3250.4086905170388</v>
      </c>
      <c r="AH153" s="1159">
        <f t="shared" si="162"/>
        <v>3139.1176825204493</v>
      </c>
      <c r="AI153" s="1159">
        <f>AI30*AI$116</f>
        <v>2963.1076094474661</v>
      </c>
      <c r="AJ153" s="1159">
        <f t="shared" ref="AJ153:AK153" si="163">AJ30*AJ$116</f>
        <v>2792.9996040357678</v>
      </c>
      <c r="AK153" s="1666">
        <f t="shared" si="163"/>
        <v>2622.0305911064224</v>
      </c>
    </row>
    <row r="154" spans="2:37">
      <c r="B154" s="565" t="s">
        <v>230</v>
      </c>
      <c r="C154" s="1181" t="s">
        <v>298</v>
      </c>
      <c r="D154" s="1159">
        <f t="shared" ref="D154:AH154" si="164">D31*D$116</f>
        <v>59.765705999999994</v>
      </c>
      <c r="E154" s="1159">
        <f t="shared" si="164"/>
        <v>59.765706000000009</v>
      </c>
      <c r="F154" s="1159">
        <f t="shared" si="164"/>
        <v>59.765705999999994</v>
      </c>
      <c r="G154" s="1159">
        <f t="shared" si="164"/>
        <v>57.411957589233026</v>
      </c>
      <c r="H154" s="1159">
        <f t="shared" si="164"/>
        <v>55.058209178466036</v>
      </c>
      <c r="I154" s="1159">
        <f t="shared" si="164"/>
        <v>52.704460767699075</v>
      </c>
      <c r="J154" s="1159">
        <f t="shared" si="164"/>
        <v>50.350712356932092</v>
      </c>
      <c r="K154" s="1159">
        <f t="shared" si="164"/>
        <v>47.996963946165138</v>
      </c>
      <c r="L154" s="1159">
        <f t="shared" si="164"/>
        <v>45.643215535398156</v>
      </c>
      <c r="M154" s="1159">
        <f t="shared" si="164"/>
        <v>43.289467124631187</v>
      </c>
      <c r="N154" s="1159">
        <f t="shared" si="164"/>
        <v>40.935718713864219</v>
      </c>
      <c r="O154" s="1159">
        <f t="shared" si="164"/>
        <v>8.9035316084070573</v>
      </c>
      <c r="P154" s="1159">
        <f t="shared" si="164"/>
        <v>8.3603588982300625</v>
      </c>
      <c r="Q154" s="1159">
        <f t="shared" si="164"/>
        <v>7.8171861880530678</v>
      </c>
      <c r="R154" s="1159">
        <f t="shared" si="164"/>
        <v>7.2740134778760748</v>
      </c>
      <c r="S154" s="1159">
        <f t="shared" si="164"/>
        <v>6.7308407676990827</v>
      </c>
      <c r="T154" s="1159">
        <f t="shared" si="164"/>
        <v>4.1251120383480586</v>
      </c>
      <c r="U154" s="1159">
        <f t="shared" si="164"/>
        <v>3.5748470533185595</v>
      </c>
      <c r="V154" s="1159">
        <f t="shared" si="164"/>
        <v>3.264846487787584</v>
      </c>
      <c r="W154" s="1159">
        <f t="shared" si="164"/>
        <v>2.9172159532743098</v>
      </c>
      <c r="X154" s="1159">
        <f t="shared" si="164"/>
        <v>2.5428189039822713</v>
      </c>
      <c r="Y154" s="1159">
        <f t="shared" si="164"/>
        <v>2.1872368391813852</v>
      </c>
      <c r="Z154" s="1159">
        <f t="shared" si="164"/>
        <v>2.1872368391813857</v>
      </c>
      <c r="AA154" s="1159">
        <f t="shared" si="164"/>
        <v>1.2729949857669443</v>
      </c>
      <c r="AB154" s="1159">
        <f t="shared" si="164"/>
        <v>1.7821929800737213</v>
      </c>
      <c r="AC154" s="1159">
        <f t="shared" si="164"/>
        <v>2.0830827039822721</v>
      </c>
      <c r="AD154" s="1159">
        <f t="shared" si="164"/>
        <v>2.0830827039822717</v>
      </c>
      <c r="AE154" s="1159">
        <f t="shared" si="164"/>
        <v>1.5854573913642851</v>
      </c>
      <c r="AF154" s="1159">
        <f t="shared" si="164"/>
        <v>1.5738847096754942</v>
      </c>
      <c r="AG154" s="1159">
        <f>AG31*AG$116</f>
        <v>1.7011842082521884</v>
      </c>
      <c r="AH154" s="1159">
        <f t="shared" si="164"/>
        <v>1.2729949857669443</v>
      </c>
      <c r="AI154" s="1159">
        <f t="shared" ref="AI154:AJ154" si="165">AI31*AI$116</f>
        <v>1.2382769407005727</v>
      </c>
      <c r="AJ154" s="1159">
        <f t="shared" si="165"/>
        <v>0.85637844497048943</v>
      </c>
      <c r="AK154" s="1666">
        <f t="shared" ref="AK154" si="166">AK31*AK$116</f>
        <v>0.56706140275072947</v>
      </c>
    </row>
    <row r="155" spans="2:37">
      <c r="B155" s="565" t="s">
        <v>231</v>
      </c>
      <c r="C155" s="1181" t="s">
        <v>298</v>
      </c>
      <c r="D155" s="1338">
        <f t="shared" ref="D155:AH155" si="167">D32*D$116</f>
        <v>0</v>
      </c>
      <c r="E155" s="1338">
        <f t="shared" si="167"/>
        <v>0</v>
      </c>
      <c r="F155" s="1338">
        <f t="shared" si="167"/>
        <v>0</v>
      </c>
      <c r="G155" s="1338">
        <f t="shared" si="167"/>
        <v>0</v>
      </c>
      <c r="H155" s="1338">
        <f t="shared" si="167"/>
        <v>0</v>
      </c>
      <c r="I155" s="1338">
        <f t="shared" si="167"/>
        <v>0</v>
      </c>
      <c r="J155" s="1338">
        <f t="shared" si="167"/>
        <v>0</v>
      </c>
      <c r="K155" s="1338">
        <f t="shared" si="167"/>
        <v>0</v>
      </c>
      <c r="L155" s="1338">
        <f t="shared" si="167"/>
        <v>0</v>
      </c>
      <c r="M155" s="1338">
        <f t="shared" si="167"/>
        <v>0</v>
      </c>
      <c r="N155" s="1338">
        <f t="shared" si="167"/>
        <v>0</v>
      </c>
      <c r="O155" s="1338">
        <f t="shared" si="167"/>
        <v>0</v>
      </c>
      <c r="P155" s="1338">
        <f t="shared" si="167"/>
        <v>5.573572598820042</v>
      </c>
      <c r="Q155" s="1338">
        <f t="shared" si="167"/>
        <v>0</v>
      </c>
      <c r="R155" s="1338">
        <f t="shared" si="167"/>
        <v>0</v>
      </c>
      <c r="S155" s="1338">
        <f t="shared" si="167"/>
        <v>0</v>
      </c>
      <c r="T155" s="1338">
        <f t="shared" si="167"/>
        <v>0.12169080513126772</v>
      </c>
      <c r="U155" s="1338">
        <f t="shared" si="167"/>
        <v>0.11100840849778684</v>
      </c>
      <c r="V155" s="1338">
        <f t="shared" si="167"/>
        <v>7.311895779940944E-2</v>
      </c>
      <c r="W155" s="1338">
        <f t="shared" si="167"/>
        <v>6.5333482286872552E-2</v>
      </c>
      <c r="X155" s="1338">
        <f t="shared" si="167"/>
        <v>8.6991173030972452E-2</v>
      </c>
      <c r="Y155" s="1338">
        <f t="shared" si="167"/>
        <v>7.5222430977137586E-2</v>
      </c>
      <c r="Z155" s="1338">
        <f t="shared" si="167"/>
        <v>7.52224309771376E-2</v>
      </c>
      <c r="AA155" s="1338">
        <f t="shared" si="167"/>
        <v>4.5133458586282559E-2</v>
      </c>
      <c r="AB155" s="1338">
        <f t="shared" si="167"/>
        <v>6.9436090132742392E-2</v>
      </c>
      <c r="AC155" s="1338">
        <f t="shared" si="167"/>
        <v>6.9436090132742406E-2</v>
      </c>
      <c r="AD155" s="1338">
        <f t="shared" si="167"/>
        <v>6.9436090132742392E-2</v>
      </c>
      <c r="AE155" s="1338">
        <f t="shared" si="167"/>
        <v>6.9436090132742406E-2</v>
      </c>
      <c r="AF155" s="1338">
        <f t="shared" si="167"/>
        <v>3.2403508728613119E-2</v>
      </c>
      <c r="AG155" s="1338">
        <f t="shared" si="167"/>
        <v>1.9673558870943679E-2</v>
      </c>
      <c r="AH155" s="1338">
        <f t="shared" si="167"/>
        <v>1.9673558870943682E-2</v>
      </c>
      <c r="AI155" s="1338">
        <f t="shared" ref="AI155:AJ155" si="168">AI32*AI$116</f>
        <v>1.9673558870943679E-2</v>
      </c>
      <c r="AJ155" s="1338">
        <f t="shared" si="168"/>
        <v>1.9673558870943679E-2</v>
      </c>
      <c r="AK155" s="1676">
        <f t="shared" ref="AK155" si="169">AK32*AK$116</f>
        <v>1.9673558870943679E-2</v>
      </c>
    </row>
    <row r="156" spans="2:37">
      <c r="B156" s="565" t="s">
        <v>131</v>
      </c>
      <c r="C156" s="1181" t="s">
        <v>298</v>
      </c>
      <c r="D156" s="1338">
        <f t="shared" ref="D156:AH156" si="170">D33*D$117</f>
        <v>0</v>
      </c>
      <c r="E156" s="1338">
        <f t="shared" si="170"/>
        <v>0</v>
      </c>
      <c r="F156" s="1338">
        <f t="shared" si="170"/>
        <v>0</v>
      </c>
      <c r="G156" s="1338">
        <f t="shared" si="170"/>
        <v>0</v>
      </c>
      <c r="H156" s="1338">
        <f t="shared" si="170"/>
        <v>0</v>
      </c>
      <c r="I156" s="1338">
        <f t="shared" si="170"/>
        <v>0</v>
      </c>
      <c r="J156" s="1338">
        <f t="shared" si="170"/>
        <v>0</v>
      </c>
      <c r="K156" s="1338">
        <f t="shared" si="170"/>
        <v>7.1617317561812506</v>
      </c>
      <c r="L156" s="1338">
        <f t="shared" si="170"/>
        <v>5.1722041785099533</v>
      </c>
      <c r="M156" s="1338">
        <f t="shared" si="170"/>
        <v>0</v>
      </c>
      <c r="N156" s="1338">
        <f t="shared" si="170"/>
        <v>0</v>
      </c>
      <c r="O156" s="1338">
        <f t="shared" si="170"/>
        <v>13.724760787895987</v>
      </c>
      <c r="P156" s="1338">
        <f t="shared" si="170"/>
        <v>80.223469773443512</v>
      </c>
      <c r="Q156" s="1338">
        <f t="shared" si="170"/>
        <v>12.715820803566984</v>
      </c>
      <c r="R156" s="1338">
        <f t="shared" si="170"/>
        <v>22.788766969337999</v>
      </c>
      <c r="S156" s="1338">
        <f t="shared" si="170"/>
        <v>1.9295752989507258</v>
      </c>
      <c r="T156" s="1338">
        <f t="shared" si="170"/>
        <v>0.15272307496542148</v>
      </c>
      <c r="U156" s="1338">
        <f t="shared" si="170"/>
        <v>0</v>
      </c>
      <c r="V156" s="1338">
        <f t="shared" si="170"/>
        <v>2.3329223809834039</v>
      </c>
      <c r="W156" s="1338">
        <f t="shared" si="170"/>
        <v>0</v>
      </c>
      <c r="X156" s="1338">
        <f t="shared" si="170"/>
        <v>0</v>
      </c>
      <c r="Y156" s="1338">
        <f t="shared" si="170"/>
        <v>0</v>
      </c>
      <c r="Z156" s="1338">
        <f t="shared" si="170"/>
        <v>0</v>
      </c>
      <c r="AA156" s="1338">
        <f t="shared" si="170"/>
        <v>0.55124776029272315</v>
      </c>
      <c r="AB156" s="1338">
        <f t="shared" si="170"/>
        <v>0.68905970036590392</v>
      </c>
      <c r="AC156" s="1338">
        <f t="shared" si="170"/>
        <v>0.6890597003659038</v>
      </c>
      <c r="AD156" s="1338">
        <f t="shared" si="170"/>
        <v>0.68905970036590403</v>
      </c>
      <c r="AE156" s="1338">
        <f t="shared" si="170"/>
        <v>0.68992102499136154</v>
      </c>
      <c r="AF156" s="1338">
        <f t="shared" si="170"/>
        <v>0.68992102499136132</v>
      </c>
      <c r="AG156" s="1338">
        <f t="shared" si="170"/>
        <v>0.60378856244562329</v>
      </c>
      <c r="AH156" s="1338">
        <f t="shared" si="170"/>
        <v>0.60378856244562329</v>
      </c>
      <c r="AI156" s="1338">
        <f t="shared" ref="AI156:AJ156" si="171">AI33*AI$117</f>
        <v>0.60292723782016588</v>
      </c>
      <c r="AJ156" s="1338">
        <f t="shared" si="171"/>
        <v>0.602927237820166</v>
      </c>
      <c r="AK156" s="1676">
        <f t="shared" ref="AK156" si="172">AK33*AK$117</f>
        <v>0.602927237820166</v>
      </c>
    </row>
    <row r="157" spans="2:37">
      <c r="B157" s="567" t="s">
        <v>189</v>
      </c>
      <c r="C157" s="1181" t="s">
        <v>298</v>
      </c>
      <c r="D157" s="1159">
        <f>SUM(D148:D156)</f>
        <v>36512.94696500725</v>
      </c>
      <c r="E157" s="1159">
        <f t="shared" ref="E157:AH157" si="173">SUM(E148:E156)</f>
        <v>36031.080791353575</v>
      </c>
      <c r="F157" s="1159">
        <f t="shared" si="173"/>
        <v>35422.198846617051</v>
      </c>
      <c r="G157" s="1159">
        <f t="shared" si="173"/>
        <v>33038.42040222136</v>
      </c>
      <c r="H157" s="1159">
        <f t="shared" si="173"/>
        <v>31905.14107922063</v>
      </c>
      <c r="I157" s="1159">
        <f t="shared" si="173"/>
        <v>30345.469218131078</v>
      </c>
      <c r="J157" s="1159">
        <f t="shared" si="173"/>
        <v>28513.560483556805</v>
      </c>
      <c r="K157" s="1159">
        <f t="shared" si="173"/>
        <v>27052.104582819102</v>
      </c>
      <c r="L157" s="1159">
        <f t="shared" si="173"/>
        <v>25575.361399154106</v>
      </c>
      <c r="M157" s="1159">
        <f t="shared" si="173"/>
        <v>24154.971506520647</v>
      </c>
      <c r="N157" s="1159">
        <f t="shared" si="173"/>
        <v>23000.099409168488</v>
      </c>
      <c r="O157" s="1159">
        <f t="shared" si="173"/>
        <v>20636.47274342502</v>
      </c>
      <c r="P157" s="1159">
        <f t="shared" si="173"/>
        <v>19179.105727847251</v>
      </c>
      <c r="Q157" s="1159">
        <f t="shared" si="173"/>
        <v>17595.254405007803</v>
      </c>
      <c r="R157" s="1159">
        <f t="shared" si="173"/>
        <v>16330.028279890765</v>
      </c>
      <c r="S157" s="1159">
        <f t="shared" si="173"/>
        <v>14764.984940253953</v>
      </c>
      <c r="T157" s="1159">
        <f t="shared" si="173"/>
        <v>14072.677610559844</v>
      </c>
      <c r="U157" s="1159">
        <f t="shared" si="173"/>
        <v>12763.075711166184</v>
      </c>
      <c r="V157" s="1159">
        <f t="shared" si="173"/>
        <v>11559.82227417385</v>
      </c>
      <c r="W157" s="1159">
        <f t="shared" si="173"/>
        <v>10299.597958318396</v>
      </c>
      <c r="X157" s="1159">
        <f t="shared" si="173"/>
        <v>9065.1175620527101</v>
      </c>
      <c r="Y157" s="1159">
        <f t="shared" si="173"/>
        <v>7839.8660483975</v>
      </c>
      <c r="Z157" s="1159">
        <f t="shared" si="173"/>
        <v>7615.5227717815715</v>
      </c>
      <c r="AA157" s="1159">
        <f t="shared" si="173"/>
        <v>7422.5916978826262</v>
      </c>
      <c r="AB157" s="1159">
        <f t="shared" si="173"/>
        <v>7072.4649503855126</v>
      </c>
      <c r="AC157" s="1159">
        <f t="shared" si="173"/>
        <v>6876.5546779759916</v>
      </c>
      <c r="AD157" s="1159">
        <f t="shared" si="173"/>
        <v>6638.2946497602243</v>
      </c>
      <c r="AE157" s="1159">
        <f t="shared" si="173"/>
        <v>6342.7564694252587</v>
      </c>
      <c r="AF157" s="1159">
        <f t="shared" si="173"/>
        <v>6125.2929214491596</v>
      </c>
      <c r="AG157" s="1159">
        <f t="shared" si="173"/>
        <v>5909.5154048708528</v>
      </c>
      <c r="AH157" s="1159">
        <f t="shared" si="173"/>
        <v>5729.373966778664</v>
      </c>
      <c r="AI157" s="1159">
        <f t="shared" ref="AI157:AJ157" si="174">SUM(AI148:AI156)</f>
        <v>5452.1205980805262</v>
      </c>
      <c r="AJ157" s="1159">
        <f t="shared" si="174"/>
        <v>5268.7852986581493</v>
      </c>
      <c r="AK157" s="1666">
        <f t="shared" ref="AK157" si="175">SUM(AK148:AK156)</f>
        <v>5005.9623994119784</v>
      </c>
    </row>
    <row r="158" spans="2:37">
      <c r="B158" s="620" t="s">
        <v>938</v>
      </c>
      <c r="C158" s="1181"/>
      <c r="D158" s="1339"/>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625"/>
      <c r="AC158" s="625"/>
      <c r="AD158" s="625"/>
      <c r="AE158" s="625"/>
      <c r="AF158" s="625"/>
      <c r="AG158" s="625"/>
      <c r="AH158" s="1339"/>
      <c r="AI158" s="1564"/>
      <c r="AJ158" s="1385"/>
      <c r="AK158" s="1385"/>
    </row>
    <row r="159" spans="2:37">
      <c r="B159" s="562" t="s">
        <v>224</v>
      </c>
      <c r="C159" s="1316" t="s">
        <v>298</v>
      </c>
      <c r="D159" s="1159">
        <f t="shared" ref="D159:AH159" si="176">D37*D$120</f>
        <v>15570.905099141453</v>
      </c>
      <c r="E159" s="1159">
        <f t="shared" si="176"/>
        <v>15300.432323552126</v>
      </c>
      <c r="F159" s="1159">
        <f t="shared" si="176"/>
        <v>14843.606196827075</v>
      </c>
      <c r="G159" s="1159">
        <f t="shared" si="176"/>
        <v>14093.826310049153</v>
      </c>
      <c r="H159" s="1159">
        <f t="shared" si="176"/>
        <v>13184.175792513586</v>
      </c>
      <c r="I159" s="1159">
        <f t="shared" si="176"/>
        <v>12785.586537424022</v>
      </c>
      <c r="J159" s="1159">
        <f t="shared" si="176"/>
        <v>12011.132456174091</v>
      </c>
      <c r="K159" s="1159">
        <f t="shared" si="176"/>
        <v>11445.615863216681</v>
      </c>
      <c r="L159" s="1159">
        <f t="shared" si="176"/>
        <v>10889.66078632724</v>
      </c>
      <c r="M159" s="1159">
        <f t="shared" si="176"/>
        <v>10377.768127256733</v>
      </c>
      <c r="N159" s="1159">
        <f t="shared" si="176"/>
        <v>7930.3563846627494</v>
      </c>
      <c r="O159" s="1159">
        <f t="shared" si="176"/>
        <v>7469.8752964671821</v>
      </c>
      <c r="P159" s="1159">
        <f t="shared" si="176"/>
        <v>7088.0895423041156</v>
      </c>
      <c r="Q159" s="1159">
        <f t="shared" si="176"/>
        <v>6647.2599441298134</v>
      </c>
      <c r="R159" s="1159">
        <f t="shared" si="176"/>
        <v>4681.6769001438715</v>
      </c>
      <c r="S159" s="1159">
        <f t="shared" si="176"/>
        <v>4399.7619848173881</v>
      </c>
      <c r="T159" s="1159">
        <f t="shared" si="176"/>
        <v>4344.6390672070947</v>
      </c>
      <c r="U159" s="1159">
        <f t="shared" si="176"/>
        <v>4050.2547235331954</v>
      </c>
      <c r="V159" s="1159">
        <f t="shared" si="176"/>
        <v>3735.8790256902462</v>
      </c>
      <c r="W159" s="1159">
        <f t="shared" si="176"/>
        <v>3401.1011178707499</v>
      </c>
      <c r="X159" s="1159">
        <f t="shared" si="176"/>
        <v>3100.9567403798819</v>
      </c>
      <c r="Y159" s="1159">
        <f t="shared" si="176"/>
        <v>2910.354997115935</v>
      </c>
      <c r="Z159" s="1159">
        <f t="shared" si="176"/>
        <v>2786.5809957751694</v>
      </c>
      <c r="AA159" s="1159">
        <f t="shared" si="176"/>
        <v>2731.3723441939828</v>
      </c>
      <c r="AB159" s="1159">
        <f t="shared" si="176"/>
        <v>2616.4062305890761</v>
      </c>
      <c r="AC159" s="1159">
        <f t="shared" si="176"/>
        <v>2500.4695109343302</v>
      </c>
      <c r="AD159" s="1159">
        <f t="shared" si="176"/>
        <v>2381.6354597875243</v>
      </c>
      <c r="AE159" s="1159">
        <f t="shared" si="176"/>
        <v>2245.4463930032857</v>
      </c>
      <c r="AF159" s="1159">
        <f t="shared" si="176"/>
        <v>2130.4657927409194</v>
      </c>
      <c r="AG159" s="1159">
        <f t="shared" si="176"/>
        <v>2036.577765740743</v>
      </c>
      <c r="AH159" s="1159">
        <f t="shared" si="176"/>
        <v>1986.830584022088</v>
      </c>
      <c r="AI159" s="1159">
        <f t="shared" ref="AI159:AJ159" si="177">AI37*AI$120</f>
        <v>1885.7716615790653</v>
      </c>
      <c r="AJ159" s="1159">
        <f t="shared" si="177"/>
        <v>1775.9917713449449</v>
      </c>
      <c r="AK159" s="1666">
        <f t="shared" ref="AK159" si="178">AK37*AK$120</f>
        <v>1680.3798321069935</v>
      </c>
    </row>
    <row r="160" spans="2:37">
      <c r="B160" s="565" t="s">
        <v>225</v>
      </c>
      <c r="C160" s="1181" t="s">
        <v>298</v>
      </c>
      <c r="D160" s="1159">
        <f t="shared" ref="D160:AH160" si="179">D38*D$120</f>
        <v>3268.2427320908223</v>
      </c>
      <c r="E160" s="1159">
        <f t="shared" si="179"/>
        <v>3272.3373302437426</v>
      </c>
      <c r="F160" s="1159">
        <f t="shared" si="179"/>
        <v>3146.2892207042332</v>
      </c>
      <c r="G160" s="1159">
        <f t="shared" si="179"/>
        <v>3014.0259414962688</v>
      </c>
      <c r="H160" s="1159">
        <f t="shared" si="179"/>
        <v>2852.5717880974912</v>
      </c>
      <c r="I160" s="1159">
        <f t="shared" si="179"/>
        <v>2734.4555901452704</v>
      </c>
      <c r="J160" s="1159">
        <f t="shared" si="179"/>
        <v>2610.9887967901859</v>
      </c>
      <c r="K160" s="1159">
        <f t="shared" si="179"/>
        <v>2436.5673670328642</v>
      </c>
      <c r="L160" s="1159">
        <f t="shared" si="179"/>
        <v>2298.020116619713</v>
      </c>
      <c r="M160" s="1159">
        <f t="shared" si="179"/>
        <v>2095.2238385682558</v>
      </c>
      <c r="N160" s="1159">
        <f t="shared" si="179"/>
        <v>1938.1065849578915</v>
      </c>
      <c r="O160" s="1159">
        <f t="shared" si="179"/>
        <v>1857.0987173918397</v>
      </c>
      <c r="P160" s="1159">
        <f t="shared" si="179"/>
        <v>1732.7233037407821</v>
      </c>
      <c r="Q160" s="1159">
        <f t="shared" si="179"/>
        <v>1636.7024251084081</v>
      </c>
      <c r="R160" s="1159">
        <f t="shared" si="179"/>
        <v>1540.4516055103145</v>
      </c>
      <c r="S160" s="1159">
        <f t="shared" si="179"/>
        <v>1500.1112920896351</v>
      </c>
      <c r="T160" s="1159">
        <f t="shared" si="179"/>
        <v>1398.0663938587886</v>
      </c>
      <c r="U160" s="1159">
        <f t="shared" si="179"/>
        <v>1307.0512454987356</v>
      </c>
      <c r="V160" s="1159">
        <f t="shared" si="179"/>
        <v>1216.016384700677</v>
      </c>
      <c r="W160" s="1159">
        <f t="shared" si="179"/>
        <v>1096.8001375868243</v>
      </c>
      <c r="X160" s="1159">
        <f t="shared" si="179"/>
        <v>1021.3605946745705</v>
      </c>
      <c r="Y160" s="1159">
        <f t="shared" si="179"/>
        <v>846.88999512888358</v>
      </c>
      <c r="Z160" s="1159">
        <f t="shared" si="179"/>
        <v>812.49867031814165</v>
      </c>
      <c r="AA160" s="1159">
        <f t="shared" si="179"/>
        <v>810.76027142290627</v>
      </c>
      <c r="AB160" s="1159">
        <f t="shared" si="179"/>
        <v>783.97444177881948</v>
      </c>
      <c r="AC160" s="1159">
        <f t="shared" si="179"/>
        <v>749.67003691283946</v>
      </c>
      <c r="AD160" s="1159">
        <f t="shared" si="179"/>
        <v>709.68686232242328</v>
      </c>
      <c r="AE160" s="1159">
        <f t="shared" si="179"/>
        <v>637.54330817015114</v>
      </c>
      <c r="AF160" s="1159">
        <f t="shared" si="179"/>
        <v>615.26282899621651</v>
      </c>
      <c r="AG160" s="1159">
        <f t="shared" si="179"/>
        <v>582.92860954483649</v>
      </c>
      <c r="AH160" s="1159">
        <f t="shared" si="179"/>
        <v>573.71509540008856</v>
      </c>
      <c r="AI160" s="1159">
        <f t="shared" ref="AI160:AJ160" si="180">AI38*AI$120</f>
        <v>538.10689136268184</v>
      </c>
      <c r="AJ160" s="1159">
        <f t="shared" si="180"/>
        <v>503.81697315416204</v>
      </c>
      <c r="AK160" s="1666">
        <f t="shared" ref="AK160" si="181">AK38*AK$120</f>
        <v>471.39583375802033</v>
      </c>
    </row>
    <row r="161" spans="2:37">
      <c r="B161" s="565" t="s">
        <v>226</v>
      </c>
      <c r="C161" s="1181" t="s">
        <v>298</v>
      </c>
      <c r="D161" s="1159">
        <f t="shared" ref="D161:AH161" si="182">D39*D$121</f>
        <v>1.5874769429036009</v>
      </c>
      <c r="E161" s="1159">
        <f t="shared" si="182"/>
        <v>1.5738797099879382</v>
      </c>
      <c r="F161" s="1159">
        <f t="shared" si="182"/>
        <v>1.5738797099879385</v>
      </c>
      <c r="G161" s="1159">
        <f t="shared" si="182"/>
        <v>1.5028758723894873</v>
      </c>
      <c r="H161" s="1159">
        <f t="shared" si="182"/>
        <v>1.4268452516189802</v>
      </c>
      <c r="I161" s="1159">
        <f t="shared" si="182"/>
        <v>1.377123180036911</v>
      </c>
      <c r="J161" s="1159">
        <f t="shared" si="182"/>
        <v>1.3274011084548416</v>
      </c>
      <c r="K161" s="1159">
        <f t="shared" si="182"/>
        <v>1.277679036872772</v>
      </c>
      <c r="L161" s="1159">
        <f t="shared" si="182"/>
        <v>1.2279569652907025</v>
      </c>
      <c r="M161" s="1159">
        <f t="shared" si="182"/>
        <v>1.1782348937086327</v>
      </c>
      <c r="N161" s="1159">
        <f t="shared" si="182"/>
        <v>1.128512822126563</v>
      </c>
      <c r="O161" s="1159">
        <f t="shared" si="182"/>
        <v>1.0787907505444938</v>
      </c>
      <c r="P161" s="1159">
        <f t="shared" si="182"/>
        <v>1.0290686789624242</v>
      </c>
      <c r="Q161" s="1159">
        <f t="shared" si="182"/>
        <v>0.97934660738035451</v>
      </c>
      <c r="R161" s="1159">
        <f t="shared" si="182"/>
        <v>0</v>
      </c>
      <c r="S161" s="1159">
        <f t="shared" si="182"/>
        <v>0</v>
      </c>
      <c r="T161" s="1159">
        <f t="shared" si="182"/>
        <v>0</v>
      </c>
      <c r="U161" s="1159">
        <f t="shared" si="182"/>
        <v>0</v>
      </c>
      <c r="V161" s="1159">
        <f t="shared" si="182"/>
        <v>0</v>
      </c>
      <c r="W161" s="1159">
        <f t="shared" si="182"/>
        <v>0</v>
      </c>
      <c r="X161" s="1159">
        <f t="shared" si="182"/>
        <v>6.3269810208828645E-2</v>
      </c>
      <c r="Y161" s="1159">
        <f t="shared" si="182"/>
        <v>0.43002505908307587</v>
      </c>
      <c r="Z161" s="1159">
        <f t="shared" si="182"/>
        <v>0.43132031528513332</v>
      </c>
      <c r="AA161" s="1159">
        <f t="shared" si="182"/>
        <v>8.8077421739907097E-2</v>
      </c>
      <c r="AB161" s="1159">
        <f t="shared" si="182"/>
        <v>7.90106283255049E-2</v>
      </c>
      <c r="AC161" s="1159">
        <f t="shared" si="182"/>
        <v>2.0724099232919319E-2</v>
      </c>
      <c r="AD161" s="1159">
        <f t="shared" si="182"/>
        <v>1.424781822263203E-2</v>
      </c>
      <c r="AE161" s="1159">
        <f t="shared" si="182"/>
        <v>1.424781822263203E-2</v>
      </c>
      <c r="AF161" s="1159">
        <f t="shared" si="182"/>
        <v>1.4247818222632032E-2</v>
      </c>
      <c r="AG161" s="1159">
        <f t="shared" si="182"/>
        <v>1.1657305818517117E-2</v>
      </c>
      <c r="AH161" s="1159">
        <f t="shared" si="182"/>
        <v>0</v>
      </c>
      <c r="AI161" s="1159">
        <f t="shared" ref="AI161:AJ161" si="183">AI39*AI$121</f>
        <v>0</v>
      </c>
      <c r="AJ161" s="1159">
        <f t="shared" si="183"/>
        <v>0</v>
      </c>
      <c r="AK161" s="1666">
        <f t="shared" ref="AK161" si="184">AK39*AK$121</f>
        <v>0</v>
      </c>
    </row>
    <row r="162" spans="2:37">
      <c r="B162" s="565" t="s">
        <v>227</v>
      </c>
      <c r="C162" s="1181" t="s">
        <v>298</v>
      </c>
      <c r="D162" s="1159">
        <f t="shared" ref="D162:AH162" si="185">D40*D$121</f>
        <v>510.07979698170647</v>
      </c>
      <c r="E162" s="1159">
        <f t="shared" si="185"/>
        <v>517.2149449542004</v>
      </c>
      <c r="F162" s="1159">
        <f t="shared" si="185"/>
        <v>523.5104637941522</v>
      </c>
      <c r="G162" s="1159">
        <f t="shared" si="185"/>
        <v>506.25212346445261</v>
      </c>
      <c r="H162" s="1159">
        <f t="shared" si="185"/>
        <v>502.35121910006325</v>
      </c>
      <c r="I162" s="1159">
        <f t="shared" si="185"/>
        <v>483.74442111047136</v>
      </c>
      <c r="J162" s="1159">
        <f t="shared" si="185"/>
        <v>446.92028456223551</v>
      </c>
      <c r="K162" s="1159">
        <f t="shared" si="185"/>
        <v>430.00444494521133</v>
      </c>
      <c r="L162" s="1159">
        <f t="shared" si="185"/>
        <v>413.27315571824334</v>
      </c>
      <c r="M162" s="1159">
        <f t="shared" si="185"/>
        <v>403.55201142312268</v>
      </c>
      <c r="N162" s="1159">
        <f t="shared" si="185"/>
        <v>552.95117570932757</v>
      </c>
      <c r="O162" s="1159">
        <f t="shared" si="185"/>
        <v>528.58824655075659</v>
      </c>
      <c r="P162" s="1159">
        <f t="shared" si="185"/>
        <v>502.31157051705486</v>
      </c>
      <c r="Q162" s="1159">
        <f t="shared" si="185"/>
        <v>475.55675303769249</v>
      </c>
      <c r="R162" s="1159">
        <f t="shared" si="185"/>
        <v>335.90916327939766</v>
      </c>
      <c r="S162" s="1159">
        <f t="shared" si="185"/>
        <v>336.7988356516513</v>
      </c>
      <c r="T162" s="1159">
        <f t="shared" si="185"/>
        <v>329.3967204653697</v>
      </c>
      <c r="U162" s="1159">
        <f t="shared" si="185"/>
        <v>309.1988140839789</v>
      </c>
      <c r="V162" s="1159">
        <f t="shared" si="185"/>
        <v>287.50484103034086</v>
      </c>
      <c r="W162" s="1159">
        <f t="shared" si="185"/>
        <v>265.76085353083852</v>
      </c>
      <c r="X162" s="1159">
        <f t="shared" si="185"/>
        <v>235.03890895110391</v>
      </c>
      <c r="Y162" s="1159">
        <f t="shared" si="185"/>
        <v>212.65386799759131</v>
      </c>
      <c r="Z162" s="1159">
        <f t="shared" si="185"/>
        <v>209.79264704724639</v>
      </c>
      <c r="AA162" s="1159">
        <f t="shared" si="185"/>
        <v>204.72819529720172</v>
      </c>
      <c r="AB162" s="1159">
        <f t="shared" si="185"/>
        <v>201.67527642895229</v>
      </c>
      <c r="AC162" s="1159">
        <f t="shared" si="185"/>
        <v>199.36842513308795</v>
      </c>
      <c r="AD162" s="1159">
        <f t="shared" si="185"/>
        <v>196.7144451750722</v>
      </c>
      <c r="AE162" s="1159">
        <f t="shared" si="185"/>
        <v>193.96591151430627</v>
      </c>
      <c r="AF162" s="1159">
        <f t="shared" si="185"/>
        <v>190.06330457750718</v>
      </c>
      <c r="AG162" s="1159">
        <f t="shared" si="185"/>
        <v>187.15934017249435</v>
      </c>
      <c r="AH162" s="1159">
        <f t="shared" si="185"/>
        <v>185.45607826678881</v>
      </c>
      <c r="AI162" s="1159">
        <f t="shared" ref="AI162:AJ162" si="186">AI40*AI$121</f>
        <v>182.11820303408675</v>
      </c>
      <c r="AJ162" s="1159">
        <f t="shared" si="186"/>
        <v>179.57431985324587</v>
      </c>
      <c r="AK162" s="1666">
        <f t="shared" ref="AK162" si="187">AK40*AK$121</f>
        <v>177.09001845769967</v>
      </c>
    </row>
    <row r="163" spans="2:37">
      <c r="B163" s="565" t="s">
        <v>228</v>
      </c>
      <c r="C163" s="1316" t="s">
        <v>298</v>
      </c>
      <c r="D163" s="1159">
        <f t="shared" ref="D163:AH163" si="188">D41*D$122</f>
        <v>42.338590555879264</v>
      </c>
      <c r="E163" s="1159">
        <f t="shared" si="188"/>
        <v>44.954442819857483</v>
      </c>
      <c r="F163" s="1159">
        <f t="shared" si="188"/>
        <v>49.449224498065817</v>
      </c>
      <c r="G163" s="1159">
        <f t="shared" si="188"/>
        <v>55.08001606987343</v>
      </c>
      <c r="H163" s="1159">
        <f t="shared" si="188"/>
        <v>61.683076900088146</v>
      </c>
      <c r="I163" s="1159">
        <f t="shared" si="188"/>
        <v>66.721668333809589</v>
      </c>
      <c r="J163" s="1159">
        <f t="shared" si="188"/>
        <v>73.945089703907158</v>
      </c>
      <c r="K163" s="1159">
        <f t="shared" si="188"/>
        <v>80.718233861232733</v>
      </c>
      <c r="L163" s="1159">
        <f t="shared" si="188"/>
        <v>88.215250612685537</v>
      </c>
      <c r="M163" s="1159">
        <f t="shared" si="188"/>
        <v>94.4127666275037</v>
      </c>
      <c r="N163" s="1159">
        <f t="shared" si="188"/>
        <v>102.30886793412981</v>
      </c>
      <c r="O163" s="1159">
        <f t="shared" si="188"/>
        <v>109.18208676797265</v>
      </c>
      <c r="P163" s="1159">
        <f t="shared" si="188"/>
        <v>116.70845611644836</v>
      </c>
      <c r="Q163" s="1159">
        <f t="shared" si="188"/>
        <v>124.00573415198843</v>
      </c>
      <c r="R163" s="1159">
        <f t="shared" si="188"/>
        <v>125.45321472662651</v>
      </c>
      <c r="S163" s="1159">
        <f t="shared" si="188"/>
        <v>135.88192233197742</v>
      </c>
      <c r="T163" s="1159">
        <f t="shared" si="188"/>
        <v>146.4272298512484</v>
      </c>
      <c r="U163" s="1159">
        <f t="shared" si="188"/>
        <v>153.95776097233585</v>
      </c>
      <c r="V163" s="1159">
        <f t="shared" si="188"/>
        <v>161.81512014511119</v>
      </c>
      <c r="W163" s="1159">
        <f t="shared" si="188"/>
        <v>170.15785282247975</v>
      </c>
      <c r="X163" s="1159">
        <f t="shared" si="188"/>
        <v>179.12988050402737</v>
      </c>
      <c r="Y163" s="1159">
        <f t="shared" si="188"/>
        <v>187.05895382231671</v>
      </c>
      <c r="Z163" s="1159">
        <f t="shared" si="188"/>
        <v>195.08237479251662</v>
      </c>
      <c r="AA163" s="1159">
        <f t="shared" si="188"/>
        <v>202.78915098599839</v>
      </c>
      <c r="AB163" s="1159">
        <f t="shared" si="188"/>
        <v>209.51232961724901</v>
      </c>
      <c r="AC163" s="1159">
        <f t="shared" si="188"/>
        <v>215.9919758039471</v>
      </c>
      <c r="AD163" s="1159">
        <f t="shared" si="188"/>
        <v>221.84858920323205</v>
      </c>
      <c r="AE163" s="1159">
        <f t="shared" si="188"/>
        <v>230.04532321982518</v>
      </c>
      <c r="AF163" s="1159">
        <f t="shared" si="188"/>
        <v>235.64604345652958</v>
      </c>
      <c r="AG163" s="1159">
        <f t="shared" si="188"/>
        <v>242.16198281531007</v>
      </c>
      <c r="AH163" s="1159">
        <f t="shared" si="188"/>
        <v>245.86967223572043</v>
      </c>
      <c r="AI163" s="1159">
        <f t="shared" ref="AI163:AJ163" si="189">AI41*AI$122</f>
        <v>251.39017930224296</v>
      </c>
      <c r="AJ163" s="1159">
        <f t="shared" si="189"/>
        <v>256.15720855705626</v>
      </c>
      <c r="AK163" s="1666">
        <f t="shared" ref="AK163" si="190">AK41*AK$122</f>
        <v>260.5728778270726</v>
      </c>
    </row>
    <row r="164" spans="2:37">
      <c r="B164" s="565" t="s">
        <v>229</v>
      </c>
      <c r="C164" s="1181" t="s">
        <v>298</v>
      </c>
      <c r="D164" s="1159">
        <f t="shared" ref="D164:AH164" si="191">D42*D$120</f>
        <v>242.85880564603005</v>
      </c>
      <c r="E164" s="1159">
        <f t="shared" si="191"/>
        <v>239.02626177489631</v>
      </c>
      <c r="F164" s="1159">
        <f t="shared" si="191"/>
        <v>237.12636823194111</v>
      </c>
      <c r="G164" s="1159">
        <f t="shared" si="191"/>
        <v>209.62575064386201</v>
      </c>
      <c r="H164" s="1159">
        <f t="shared" si="191"/>
        <v>200.54182467476716</v>
      </c>
      <c r="I164" s="1159">
        <f t="shared" si="191"/>
        <v>189.62763506529652</v>
      </c>
      <c r="J164" s="1159">
        <f t="shared" si="191"/>
        <v>178.2039677943896</v>
      </c>
      <c r="K164" s="1159">
        <f t="shared" si="191"/>
        <v>172.20688157161939</v>
      </c>
      <c r="L164" s="1159">
        <f t="shared" si="191"/>
        <v>166.32255236197966</v>
      </c>
      <c r="M164" s="1159">
        <f t="shared" si="191"/>
        <v>160.3442484960006</v>
      </c>
      <c r="N164" s="1159">
        <f t="shared" si="191"/>
        <v>106.14646286238356</v>
      </c>
      <c r="O164" s="1159">
        <f t="shared" si="191"/>
        <v>101.5679947448308</v>
      </c>
      <c r="P164" s="1159">
        <f t="shared" si="191"/>
        <v>96.150557942264641</v>
      </c>
      <c r="Q164" s="1159">
        <f t="shared" si="191"/>
        <v>90.824408906129648</v>
      </c>
      <c r="R164" s="1159">
        <f t="shared" si="191"/>
        <v>44.514854526881351</v>
      </c>
      <c r="S164" s="1159">
        <f t="shared" si="191"/>
        <v>42.132836700736476</v>
      </c>
      <c r="T164" s="1159">
        <f t="shared" si="191"/>
        <v>39.688963029679243</v>
      </c>
      <c r="U164" s="1159">
        <f t="shared" si="191"/>
        <v>36.940995296724203</v>
      </c>
      <c r="V164" s="1159">
        <f t="shared" si="191"/>
        <v>34.621229049705711</v>
      </c>
      <c r="W164" s="1159">
        <f t="shared" si="191"/>
        <v>31.408412330428522</v>
      </c>
      <c r="X164" s="1159">
        <f t="shared" si="191"/>
        <v>28.223940202230057</v>
      </c>
      <c r="Y164" s="1159">
        <f t="shared" si="191"/>
        <v>25.235757295835018</v>
      </c>
      <c r="Z164" s="1159">
        <f t="shared" si="191"/>
        <v>23.72914491996427</v>
      </c>
      <c r="AA164" s="1159">
        <f t="shared" si="191"/>
        <v>22.932378759648014</v>
      </c>
      <c r="AB164" s="1159">
        <f t="shared" si="191"/>
        <v>22.294965831394997</v>
      </c>
      <c r="AC164" s="1159">
        <f t="shared" si="191"/>
        <v>21.614092930761107</v>
      </c>
      <c r="AD164" s="1159">
        <f t="shared" si="191"/>
        <v>20.91873337266691</v>
      </c>
      <c r="AE164" s="1159">
        <f t="shared" si="191"/>
        <v>20.23786047203302</v>
      </c>
      <c r="AF164" s="1159">
        <f t="shared" si="191"/>
        <v>19.890180692985926</v>
      </c>
      <c r="AG164" s="1159">
        <f t="shared" si="191"/>
        <v>19.470067626637348</v>
      </c>
      <c r="AH164" s="1159">
        <f t="shared" si="191"/>
        <v>19.194821134891736</v>
      </c>
      <c r="AI164" s="1159">
        <f t="shared" ref="AI164:AJ164" si="192">AI42*AI$120</f>
        <v>18.49946157679754</v>
      </c>
      <c r="AJ164" s="1159">
        <f t="shared" si="192"/>
        <v>18.224215085051924</v>
      </c>
      <c r="AK164" s="1666">
        <f t="shared" ref="AK164" si="193">AK42*AK$120</f>
        <v>17.586802156798914</v>
      </c>
    </row>
    <row r="165" spans="2:37">
      <c r="B165" s="565" t="s">
        <v>230</v>
      </c>
      <c r="C165" s="1181" t="s">
        <v>298</v>
      </c>
      <c r="D165" s="1159">
        <f t="shared" ref="D165:AH165" si="194">D43*D$120</f>
        <v>43.337226850512238</v>
      </c>
      <c r="E165" s="1159">
        <f t="shared" si="194"/>
        <v>0</v>
      </c>
      <c r="F165" s="1159">
        <f t="shared" si="194"/>
        <v>0</v>
      </c>
      <c r="G165" s="1159">
        <f t="shared" si="194"/>
        <v>0</v>
      </c>
      <c r="H165" s="1159">
        <f t="shared" si="194"/>
        <v>0</v>
      </c>
      <c r="I165" s="1159">
        <f t="shared" si="194"/>
        <v>0</v>
      </c>
      <c r="J165" s="1159">
        <f t="shared" si="194"/>
        <v>0</v>
      </c>
      <c r="K165" s="1159">
        <f t="shared" si="194"/>
        <v>0</v>
      </c>
      <c r="L165" s="1159">
        <f t="shared" si="194"/>
        <v>0</v>
      </c>
      <c r="M165" s="1159">
        <f t="shared" si="194"/>
        <v>0</v>
      </c>
      <c r="N165" s="1159">
        <f t="shared" si="194"/>
        <v>0</v>
      </c>
      <c r="O165" s="1159">
        <f t="shared" si="194"/>
        <v>0</v>
      </c>
      <c r="P165" s="1159">
        <f t="shared" si="194"/>
        <v>0</v>
      </c>
      <c r="Q165" s="1159">
        <f t="shared" si="194"/>
        <v>0</v>
      </c>
      <c r="R165" s="1159">
        <f t="shared" si="194"/>
        <v>0</v>
      </c>
      <c r="S165" s="1159">
        <f t="shared" si="194"/>
        <v>0</v>
      </c>
      <c r="T165" s="1159">
        <f t="shared" si="194"/>
        <v>0</v>
      </c>
      <c r="U165" s="1159">
        <f t="shared" si="194"/>
        <v>0</v>
      </c>
      <c r="V165" s="1159">
        <f t="shared" si="194"/>
        <v>0</v>
      </c>
      <c r="W165" s="1159">
        <f t="shared" si="194"/>
        <v>0</v>
      </c>
      <c r="X165" s="1159">
        <f t="shared" si="194"/>
        <v>0</v>
      </c>
      <c r="Y165" s="1159">
        <f t="shared" si="194"/>
        <v>0</v>
      </c>
      <c r="Z165" s="1159">
        <f t="shared" si="194"/>
        <v>0</v>
      </c>
      <c r="AA165" s="1159">
        <f t="shared" si="194"/>
        <v>0</v>
      </c>
      <c r="AB165" s="1159">
        <f t="shared" si="194"/>
        <v>0</v>
      </c>
      <c r="AC165" s="1159">
        <f t="shared" si="194"/>
        <v>0</v>
      </c>
      <c r="AD165" s="1159">
        <f t="shared" si="194"/>
        <v>0</v>
      </c>
      <c r="AE165" s="1159">
        <f t="shared" si="194"/>
        <v>0</v>
      </c>
      <c r="AF165" s="1159">
        <f t="shared" si="194"/>
        <v>0</v>
      </c>
      <c r="AG165" s="1159">
        <f t="shared" si="194"/>
        <v>0</v>
      </c>
      <c r="AH165" s="1159">
        <f t="shared" si="194"/>
        <v>0</v>
      </c>
      <c r="AI165" s="1159">
        <f t="shared" ref="AI165:AJ165" si="195">AI43*AI$120</f>
        <v>0</v>
      </c>
      <c r="AJ165" s="1159">
        <f t="shared" si="195"/>
        <v>0</v>
      </c>
      <c r="AK165" s="1666">
        <f t="shared" ref="AK165" si="196">AK43*AK$120</f>
        <v>0</v>
      </c>
    </row>
    <row r="166" spans="2:37">
      <c r="B166" s="565" t="s">
        <v>231</v>
      </c>
      <c r="C166" s="1181" t="s">
        <v>298</v>
      </c>
      <c r="D166" s="1159">
        <f t="shared" ref="D166:AH166" si="197">D44*D$123</f>
        <v>69.05644875706507</v>
      </c>
      <c r="E166" s="1159">
        <f t="shared" si="197"/>
        <v>74.47888376728433</v>
      </c>
      <c r="F166" s="1159">
        <f t="shared" si="197"/>
        <v>97.4470840951236</v>
      </c>
      <c r="G166" s="1159">
        <f t="shared" si="197"/>
        <v>72.455879558413002</v>
      </c>
      <c r="H166" s="1159">
        <f t="shared" si="197"/>
        <v>71.809301942018294</v>
      </c>
      <c r="I166" s="1159">
        <f t="shared" si="197"/>
        <v>70.932503507664876</v>
      </c>
      <c r="J166" s="1159">
        <f t="shared" si="197"/>
        <v>70.447570295368848</v>
      </c>
      <c r="K166" s="1159">
        <f t="shared" si="197"/>
        <v>69.952840452521386</v>
      </c>
      <c r="L166" s="1159">
        <f t="shared" si="197"/>
        <v>69.460559767311764</v>
      </c>
      <c r="M166" s="1159">
        <f t="shared" si="197"/>
        <v>69.164211693130866</v>
      </c>
      <c r="N166" s="1159">
        <f t="shared" si="197"/>
        <v>78.774706264088579</v>
      </c>
      <c r="O166" s="1159">
        <f t="shared" si="197"/>
        <v>78.490603978096942</v>
      </c>
      <c r="P166" s="1159">
        <f t="shared" si="197"/>
        <v>77.927297721389451</v>
      </c>
      <c r="Q166" s="1159">
        <f t="shared" si="197"/>
        <v>77.270923474443293</v>
      </c>
      <c r="R166" s="1159">
        <f t="shared" si="197"/>
        <v>60.97422855213123</v>
      </c>
      <c r="S166" s="1159">
        <f t="shared" si="197"/>
        <v>60.151311585810689</v>
      </c>
      <c r="T166" s="1159">
        <f t="shared" si="197"/>
        <v>60.180701477465007</v>
      </c>
      <c r="U166" s="1159">
        <f t="shared" si="197"/>
        <v>59.754548048477574</v>
      </c>
      <c r="V166" s="1159">
        <f t="shared" si="197"/>
        <v>59.31369967366301</v>
      </c>
      <c r="W166" s="1159">
        <f t="shared" si="197"/>
        <v>58.182188844972274</v>
      </c>
      <c r="X166" s="1159">
        <f t="shared" si="197"/>
        <v>57.187830844001617</v>
      </c>
      <c r="Y166" s="1159">
        <f t="shared" si="197"/>
        <v>55.968150340347968</v>
      </c>
      <c r="Z166" s="1159">
        <f t="shared" si="197"/>
        <v>54.817046250554363</v>
      </c>
      <c r="AA166" s="1159">
        <f t="shared" si="197"/>
        <v>53.406331451147729</v>
      </c>
      <c r="AB166" s="1159">
        <f t="shared" si="197"/>
        <v>52.583414484827188</v>
      </c>
      <c r="AC166" s="1159">
        <f t="shared" si="197"/>
        <v>51.613548060235125</v>
      </c>
      <c r="AD166" s="1159">
        <f t="shared" si="197"/>
        <v>50.633885005091628</v>
      </c>
      <c r="AE166" s="1159">
        <f t="shared" si="197"/>
        <v>48.826406668351872</v>
      </c>
      <c r="AF166" s="1159">
        <f t="shared" si="197"/>
        <v>47.763472253521179</v>
      </c>
      <c r="AG166" s="1159">
        <f t="shared" si="197"/>
        <v>46.098045059777242</v>
      </c>
      <c r="AH166" s="1159">
        <f t="shared" si="197"/>
        <v>45.480857335036838</v>
      </c>
      <c r="AI166" s="1159">
        <f t="shared" ref="AI166:AJ166" si="198">AI44*AI$123</f>
        <v>44.398329659103268</v>
      </c>
      <c r="AJ166" s="1159">
        <f t="shared" si="198"/>
        <v>43.487243017819814</v>
      </c>
      <c r="AK166" s="1666">
        <f t="shared" ref="AK166" si="199">AK44*AK$123</f>
        <v>41.880595607384478</v>
      </c>
    </row>
    <row r="167" spans="2:37">
      <c r="B167" s="565" t="s">
        <v>131</v>
      </c>
      <c r="C167" s="1181" t="s">
        <v>298</v>
      </c>
      <c r="D167" s="1159">
        <f t="shared" ref="D167:AH167" si="200">D45*D$120</f>
        <v>0</v>
      </c>
      <c r="E167" s="1159">
        <f t="shared" si="200"/>
        <v>0</v>
      </c>
      <c r="F167" s="1159">
        <f t="shared" si="200"/>
        <v>0</v>
      </c>
      <c r="G167" s="1159">
        <f t="shared" si="200"/>
        <v>0</v>
      </c>
      <c r="H167" s="1159">
        <f t="shared" si="200"/>
        <v>0</v>
      </c>
      <c r="I167" s="1159">
        <f t="shared" si="200"/>
        <v>0</v>
      </c>
      <c r="J167" s="1159">
        <f t="shared" si="200"/>
        <v>0</v>
      </c>
      <c r="K167" s="1159">
        <f t="shared" si="200"/>
        <v>0</v>
      </c>
      <c r="L167" s="1159">
        <f t="shared" si="200"/>
        <v>0</v>
      </c>
      <c r="M167" s="1159">
        <f t="shared" si="200"/>
        <v>0</v>
      </c>
      <c r="N167" s="1159">
        <f t="shared" si="200"/>
        <v>1991.3176689382553</v>
      </c>
      <c r="O167" s="1159">
        <f t="shared" si="200"/>
        <v>1858.0146129305924</v>
      </c>
      <c r="P167" s="1159">
        <f t="shared" si="200"/>
        <v>2083.7943301047044</v>
      </c>
      <c r="Q167" s="1159">
        <f t="shared" si="200"/>
        <v>1994.166893567527</v>
      </c>
      <c r="R167" s="1159">
        <f t="shared" si="200"/>
        <v>5193.5340739315197</v>
      </c>
      <c r="S167" s="1159">
        <f t="shared" si="200"/>
        <v>3490.6852644845262</v>
      </c>
      <c r="T167" s="1159">
        <f t="shared" si="200"/>
        <v>2402.6390045249286</v>
      </c>
      <c r="U167" s="1159">
        <f t="shared" si="200"/>
        <v>2172.2038554479723</v>
      </c>
      <c r="V167" s="1159">
        <f t="shared" si="200"/>
        <v>2029.7629243918032</v>
      </c>
      <c r="W167" s="1159">
        <f t="shared" si="200"/>
        <v>1849.9620501937616</v>
      </c>
      <c r="X167" s="1159">
        <f t="shared" si="200"/>
        <v>1630.3457871825678</v>
      </c>
      <c r="Y167" s="1159">
        <f t="shared" si="200"/>
        <v>1502.4547051796424</v>
      </c>
      <c r="Z167" s="1159">
        <f t="shared" si="200"/>
        <v>1453.7071028257476</v>
      </c>
      <c r="AA167" s="1159">
        <f t="shared" si="200"/>
        <v>1381.5345753585548</v>
      </c>
      <c r="AB167" s="1159">
        <f t="shared" si="200"/>
        <v>1386.2282523756903</v>
      </c>
      <c r="AC167" s="1159">
        <f t="shared" si="200"/>
        <v>1417.8381389540555</v>
      </c>
      <c r="AD167" s="1159">
        <f t="shared" si="200"/>
        <v>1491.763551973944</v>
      </c>
      <c r="AE167" s="1159">
        <f t="shared" si="200"/>
        <v>1475.0894092371441</v>
      </c>
      <c r="AF167" s="1159">
        <f t="shared" si="200"/>
        <v>1526.3287166742098</v>
      </c>
      <c r="AG167" s="1159">
        <f t="shared" si="200"/>
        <v>1391.7621555255234</v>
      </c>
      <c r="AH167" s="1159">
        <f t="shared" si="200"/>
        <v>1390.7191161883823</v>
      </c>
      <c r="AI167" s="1159">
        <f t="shared" ref="AI167:AJ167" si="201">AI45*AI$120</f>
        <v>1360.963521764935</v>
      </c>
      <c r="AJ167" s="1159">
        <f t="shared" si="201"/>
        <v>1341.7107540002019</v>
      </c>
      <c r="AK167" s="1666">
        <f t="shared" ref="AK167" si="202">AK45*AK$120</f>
        <v>1331.5990670929157</v>
      </c>
    </row>
    <row r="168" spans="2:37">
      <c r="B168" s="567" t="s">
        <v>189</v>
      </c>
      <c r="C168" s="1181" t="s">
        <v>298</v>
      </c>
      <c r="D168" s="1159">
        <f>SUM(D159:D167)</f>
        <v>19748.406176966371</v>
      </c>
      <c r="E168" s="1159">
        <f t="shared" ref="E168:AH168" si="203">SUM(E159:E167)</f>
        <v>19450.018066822096</v>
      </c>
      <c r="F168" s="1159">
        <f t="shared" si="203"/>
        <v>18899.002437860578</v>
      </c>
      <c r="G168" s="1159">
        <f t="shared" si="203"/>
        <v>17952.768897154412</v>
      </c>
      <c r="H168" s="1159">
        <f t="shared" si="203"/>
        <v>16874.559848479636</v>
      </c>
      <c r="I168" s="1159">
        <f t="shared" si="203"/>
        <v>16332.445478766575</v>
      </c>
      <c r="J168" s="1159">
        <f t="shared" si="203"/>
        <v>15392.965566428633</v>
      </c>
      <c r="K168" s="1159">
        <f t="shared" si="203"/>
        <v>14636.343310117003</v>
      </c>
      <c r="L168" s="1159">
        <f t="shared" si="203"/>
        <v>13926.180378372466</v>
      </c>
      <c r="M168" s="1159">
        <f t="shared" si="203"/>
        <v>13201.643438958456</v>
      </c>
      <c r="N168" s="1159">
        <f t="shared" si="203"/>
        <v>12701.09036415095</v>
      </c>
      <c r="O168" s="1159">
        <f t="shared" si="203"/>
        <v>12003.896349581815</v>
      </c>
      <c r="P168" s="1159">
        <f t="shared" si="203"/>
        <v>11698.734127125721</v>
      </c>
      <c r="Q168" s="1159">
        <f t="shared" si="203"/>
        <v>11046.766428983381</v>
      </c>
      <c r="R168" s="1159">
        <f t="shared" si="203"/>
        <v>11982.514040670743</v>
      </c>
      <c r="S168" s="1159">
        <f t="shared" si="203"/>
        <v>9965.5234476617261</v>
      </c>
      <c r="T168" s="1159">
        <f t="shared" si="203"/>
        <v>8721.0380804145752</v>
      </c>
      <c r="U168" s="1159">
        <f t="shared" si="203"/>
        <v>8089.36194288142</v>
      </c>
      <c r="V168" s="1159">
        <f t="shared" si="203"/>
        <v>7524.9132246815479</v>
      </c>
      <c r="W168" s="1159">
        <f t="shared" si="203"/>
        <v>6873.3726131800549</v>
      </c>
      <c r="X168" s="1159">
        <f t="shared" si="203"/>
        <v>6252.3069525485917</v>
      </c>
      <c r="Y168" s="1159">
        <f t="shared" si="203"/>
        <v>5741.0464519396355</v>
      </c>
      <c r="Z168" s="1159">
        <f t="shared" si="203"/>
        <v>5536.6393022446255</v>
      </c>
      <c r="AA168" s="1159">
        <f t="shared" si="203"/>
        <v>5407.6113248911788</v>
      </c>
      <c r="AB168" s="1159">
        <f t="shared" si="203"/>
        <v>5272.7539217343347</v>
      </c>
      <c r="AC168" s="1159">
        <f t="shared" si="203"/>
        <v>5156.5864528284892</v>
      </c>
      <c r="AD168" s="1159">
        <f t="shared" si="203"/>
        <v>5073.215774658177</v>
      </c>
      <c r="AE168" s="1159">
        <f t="shared" si="203"/>
        <v>4851.1688601033202</v>
      </c>
      <c r="AF168" s="1159">
        <f t="shared" si="203"/>
        <v>4765.4345872101112</v>
      </c>
      <c r="AG168" s="1159">
        <f t="shared" si="203"/>
        <v>4506.169623791141</v>
      </c>
      <c r="AH168" s="1159">
        <f t="shared" si="203"/>
        <v>4447.2662245829961</v>
      </c>
      <c r="AI168" s="1159">
        <f t="shared" ref="AI168:AJ168" si="204">SUM(AI159:AI167)</f>
        <v>4281.2482482789128</v>
      </c>
      <c r="AJ168" s="1159">
        <f t="shared" si="204"/>
        <v>4118.9624850124828</v>
      </c>
      <c r="AK168" s="1666">
        <f t="shared" ref="AK168" si="205">SUM(AK159:AK167)</f>
        <v>3980.505027006885</v>
      </c>
    </row>
    <row r="169" spans="2:37">
      <c r="B169" s="1315" t="s">
        <v>270</v>
      </c>
      <c r="C169" s="1181"/>
      <c r="D169" s="1339"/>
      <c r="E169" s="1582" t="s">
        <v>911</v>
      </c>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625"/>
      <c r="AC169" s="625"/>
      <c r="AD169" s="625"/>
      <c r="AE169" s="625"/>
      <c r="AF169" s="625"/>
      <c r="AG169" s="625"/>
      <c r="AH169" s="1339"/>
      <c r="AI169" s="1564"/>
      <c r="AJ169" s="1385"/>
      <c r="AK169" s="1385"/>
    </row>
    <row r="170" spans="2:37">
      <c r="B170" s="1321" t="s">
        <v>271</v>
      </c>
      <c r="C170" s="1316" t="s">
        <v>298</v>
      </c>
      <c r="D170" s="1159">
        <f t="shared" ref="D170:D179" si="206">D52*D125</f>
        <v>1638.1129219200004</v>
      </c>
      <c r="E170" s="336">
        <f>$D170+((E$146-$D$146)*($D170-$AB170)/($D$146-$AB$146))</f>
        <v>1578.0719520000005</v>
      </c>
      <c r="F170" s="336">
        <f t="shared" ref="F170:AA180" si="207">$D170+((F$146-$D$146)*($D170-$AB170)/($D$146-$AB$146))</f>
        <v>1518.0309820800003</v>
      </c>
      <c r="G170" s="336">
        <f t="shared" si="207"/>
        <v>1457.9900121600003</v>
      </c>
      <c r="H170" s="336">
        <f t="shared" si="207"/>
        <v>1397.9490422400004</v>
      </c>
      <c r="I170" s="336">
        <f t="shared" si="207"/>
        <v>1337.9080723200004</v>
      </c>
      <c r="J170" s="336">
        <f t="shared" si="207"/>
        <v>1277.8671024000002</v>
      </c>
      <c r="K170" s="336">
        <f t="shared" si="207"/>
        <v>1217.8261324800003</v>
      </c>
      <c r="L170" s="336">
        <f t="shared" si="207"/>
        <v>1157.7851625600003</v>
      </c>
      <c r="M170" s="336">
        <f t="shared" si="207"/>
        <v>1097.7441926400002</v>
      </c>
      <c r="N170" s="336">
        <f t="shared" si="207"/>
        <v>1037.7032227200002</v>
      </c>
      <c r="O170" s="336">
        <f t="shared" si="207"/>
        <v>977.66225280000015</v>
      </c>
      <c r="P170" s="336">
        <f t="shared" si="207"/>
        <v>917.62128288000019</v>
      </c>
      <c r="Q170" s="336">
        <f t="shared" si="207"/>
        <v>857.58031296000013</v>
      </c>
      <c r="R170" s="336">
        <f t="shared" si="207"/>
        <v>797.53934304000018</v>
      </c>
      <c r="S170" s="336">
        <f t="shared" si="207"/>
        <v>737.49837312000011</v>
      </c>
      <c r="T170" s="336">
        <f t="shared" si="207"/>
        <v>677.45740320000016</v>
      </c>
      <c r="U170" s="336">
        <f t="shared" si="207"/>
        <v>617.41643328000021</v>
      </c>
      <c r="V170" s="336">
        <f t="shared" si="207"/>
        <v>557.37546336000014</v>
      </c>
      <c r="W170" s="336">
        <f t="shared" si="207"/>
        <v>497.33449344000019</v>
      </c>
      <c r="X170" s="336">
        <f t="shared" si="207"/>
        <v>437.29352352000001</v>
      </c>
      <c r="Y170" s="336">
        <f t="shared" si="207"/>
        <v>377.25255360000006</v>
      </c>
      <c r="Z170" s="336">
        <f t="shared" si="207"/>
        <v>317.21158367999988</v>
      </c>
      <c r="AA170" s="612">
        <f t="shared" si="207"/>
        <v>257.17061375999992</v>
      </c>
      <c r="AB170" s="1331">
        <f t="shared" ref="AB170:AB179" si="208">AB52*AB125</f>
        <v>197.12964384</v>
      </c>
      <c r="AC170" s="1159">
        <f t="shared" ref="AC170:AH170" si="209">AC52*AC125</f>
        <v>184.27336271999999</v>
      </c>
      <c r="AD170" s="1159">
        <f t="shared" si="209"/>
        <v>201.41507088</v>
      </c>
      <c r="AE170" s="1159">
        <f t="shared" si="209"/>
        <v>201.41507088</v>
      </c>
      <c r="AF170" s="1159">
        <f t="shared" si="209"/>
        <v>201.41507088</v>
      </c>
      <c r="AG170" s="1159">
        <f t="shared" si="209"/>
        <v>201.41507088</v>
      </c>
      <c r="AH170" s="1159">
        <f t="shared" si="209"/>
        <v>205.70049792000003</v>
      </c>
      <c r="AI170" s="1159">
        <f t="shared" ref="AI170:AJ170" si="210">AI52*AI125</f>
        <v>203.55778439999997</v>
      </c>
      <c r="AJ170" s="1159">
        <f t="shared" si="210"/>
        <v>203.55778440000006</v>
      </c>
      <c r="AK170" s="1666">
        <f t="shared" ref="AK170" si="211">AK52*AK125</f>
        <v>199.27235736000006</v>
      </c>
    </row>
    <row r="171" spans="2:37">
      <c r="B171" s="1316" t="s">
        <v>273</v>
      </c>
      <c r="C171" s="1181" t="s">
        <v>298</v>
      </c>
      <c r="D171" s="1159">
        <f t="shared" si="206"/>
        <v>32.258805120000005</v>
      </c>
      <c r="E171" s="336">
        <f t="shared" ref="E171:T180" si="212">$D171+((E$146-$D$146)*($D171-$AB171)/($D$146-$AB$146))</f>
        <v>30.997641060000007</v>
      </c>
      <c r="F171" s="336">
        <f t="shared" si="212"/>
        <v>29.736477000000004</v>
      </c>
      <c r="G171" s="336">
        <f t="shared" si="212"/>
        <v>28.475312940000006</v>
      </c>
      <c r="H171" s="336">
        <f t="shared" si="212"/>
        <v>27.214148880000003</v>
      </c>
      <c r="I171" s="336">
        <f t="shared" si="212"/>
        <v>25.952984820000005</v>
      </c>
      <c r="J171" s="336">
        <f t="shared" si="212"/>
        <v>24.691820760000002</v>
      </c>
      <c r="K171" s="336">
        <f t="shared" si="212"/>
        <v>23.430656700000004</v>
      </c>
      <c r="L171" s="336">
        <f t="shared" si="212"/>
        <v>22.169492640000001</v>
      </c>
      <c r="M171" s="336">
        <f t="shared" si="212"/>
        <v>20.908328580000003</v>
      </c>
      <c r="N171" s="336">
        <f t="shared" si="212"/>
        <v>19.647164520000004</v>
      </c>
      <c r="O171" s="336">
        <f t="shared" si="212"/>
        <v>18.386000460000005</v>
      </c>
      <c r="P171" s="336">
        <f t="shared" si="212"/>
        <v>17.1248364</v>
      </c>
      <c r="Q171" s="336">
        <f t="shared" si="212"/>
        <v>15.863672340000004</v>
      </c>
      <c r="R171" s="336">
        <f t="shared" si="212"/>
        <v>14.602508280000002</v>
      </c>
      <c r="S171" s="336">
        <f t="shared" si="212"/>
        <v>13.341344220000003</v>
      </c>
      <c r="T171" s="336">
        <f t="shared" si="212"/>
        <v>12.080180160000001</v>
      </c>
      <c r="U171" s="336">
        <f t="shared" si="207"/>
        <v>10.819016100000002</v>
      </c>
      <c r="V171" s="336">
        <f t="shared" si="207"/>
        <v>9.5578520400000002</v>
      </c>
      <c r="W171" s="336">
        <f t="shared" si="207"/>
        <v>8.2966879800000015</v>
      </c>
      <c r="X171" s="336">
        <f t="shared" si="207"/>
        <v>7.0355239200000028</v>
      </c>
      <c r="Y171" s="336">
        <f t="shared" si="207"/>
        <v>5.7743598600000006</v>
      </c>
      <c r="Z171" s="336">
        <f t="shared" si="207"/>
        <v>4.5131958000000019</v>
      </c>
      <c r="AA171" s="612">
        <f t="shared" si="207"/>
        <v>3.2520317400000032</v>
      </c>
      <c r="AB171" s="1331">
        <f t="shared" si="208"/>
        <v>1.9908676799999998</v>
      </c>
      <c r="AC171" s="1159">
        <f t="shared" ref="AC171:AH179" si="213">AC53*AC126</f>
        <v>6.9680368799999997</v>
      </c>
      <c r="AD171" s="1159">
        <f t="shared" si="213"/>
        <v>1.9908676800000003</v>
      </c>
      <c r="AE171" s="1159">
        <f t="shared" si="213"/>
        <v>1.9908676799999996</v>
      </c>
      <c r="AF171" s="1159">
        <f t="shared" si="213"/>
        <v>1.99086768</v>
      </c>
      <c r="AG171" s="1159">
        <f t="shared" si="213"/>
        <v>1.99086768</v>
      </c>
      <c r="AH171" s="1159">
        <f t="shared" si="213"/>
        <v>1.9908676799999998</v>
      </c>
      <c r="AI171" s="1159">
        <f t="shared" ref="AI171:AJ171" si="214">AI53*AI126</f>
        <v>1.9908676799999998</v>
      </c>
      <c r="AJ171" s="1159">
        <f t="shared" si="214"/>
        <v>1.99086768</v>
      </c>
      <c r="AK171" s="1666">
        <f t="shared" ref="AK171" si="215">AK53*AK126</f>
        <v>1.99086768</v>
      </c>
    </row>
    <row r="172" spans="2:37">
      <c r="B172" s="1316" t="s">
        <v>274</v>
      </c>
      <c r="C172" s="1181" t="s">
        <v>298</v>
      </c>
      <c r="D172" s="1159">
        <f t="shared" si="206"/>
        <v>0</v>
      </c>
      <c r="E172" s="336">
        <f t="shared" si="212"/>
        <v>0</v>
      </c>
      <c r="F172" s="336">
        <f t="shared" si="207"/>
        <v>0</v>
      </c>
      <c r="G172" s="336">
        <f t="shared" si="207"/>
        <v>0</v>
      </c>
      <c r="H172" s="336">
        <f t="shared" si="207"/>
        <v>0</v>
      </c>
      <c r="I172" s="336">
        <f t="shared" si="207"/>
        <v>0</v>
      </c>
      <c r="J172" s="336">
        <f t="shared" si="207"/>
        <v>0</v>
      </c>
      <c r="K172" s="336">
        <f t="shared" si="207"/>
        <v>0</v>
      </c>
      <c r="L172" s="336">
        <f t="shared" si="207"/>
        <v>0</v>
      </c>
      <c r="M172" s="336">
        <f t="shared" si="207"/>
        <v>0</v>
      </c>
      <c r="N172" s="336">
        <f t="shared" si="207"/>
        <v>0</v>
      </c>
      <c r="O172" s="336">
        <f t="shared" si="207"/>
        <v>0</v>
      </c>
      <c r="P172" s="336">
        <f t="shared" si="207"/>
        <v>0</v>
      </c>
      <c r="Q172" s="336">
        <f t="shared" si="207"/>
        <v>0</v>
      </c>
      <c r="R172" s="336">
        <f t="shared" si="207"/>
        <v>0</v>
      </c>
      <c r="S172" s="336">
        <f t="shared" si="207"/>
        <v>0</v>
      </c>
      <c r="T172" s="336">
        <f t="shared" si="207"/>
        <v>0</v>
      </c>
      <c r="U172" s="336">
        <f t="shared" si="207"/>
        <v>0</v>
      </c>
      <c r="V172" s="336">
        <f t="shared" si="207"/>
        <v>0</v>
      </c>
      <c r="W172" s="336">
        <f t="shared" si="207"/>
        <v>0</v>
      </c>
      <c r="X172" s="336">
        <f t="shared" si="207"/>
        <v>0</v>
      </c>
      <c r="Y172" s="336">
        <f t="shared" si="207"/>
        <v>0</v>
      </c>
      <c r="Z172" s="336">
        <f t="shared" si="207"/>
        <v>0</v>
      </c>
      <c r="AA172" s="612">
        <f t="shared" si="207"/>
        <v>0</v>
      </c>
      <c r="AB172" s="1331">
        <f t="shared" si="208"/>
        <v>0</v>
      </c>
      <c r="AC172" s="1159">
        <f t="shared" si="213"/>
        <v>0</v>
      </c>
      <c r="AD172" s="1159">
        <f t="shared" si="213"/>
        <v>0</v>
      </c>
      <c r="AE172" s="1159">
        <f t="shared" si="213"/>
        <v>0</v>
      </c>
      <c r="AF172" s="1159">
        <f t="shared" si="213"/>
        <v>0</v>
      </c>
      <c r="AG172" s="1159">
        <f t="shared" si="213"/>
        <v>0</v>
      </c>
      <c r="AH172" s="1159">
        <f t="shared" si="213"/>
        <v>0</v>
      </c>
      <c r="AI172" s="1159">
        <f t="shared" ref="AI172:AJ172" si="216">AI54*AI127</f>
        <v>0</v>
      </c>
      <c r="AJ172" s="1159">
        <f t="shared" si="216"/>
        <v>0</v>
      </c>
      <c r="AK172" s="1666">
        <f t="shared" ref="AK172" si="217">AK54*AK127</f>
        <v>0</v>
      </c>
    </row>
    <row r="173" spans="2:37">
      <c r="B173" s="1316" t="s">
        <v>275</v>
      </c>
      <c r="C173" s="1181" t="s">
        <v>298</v>
      </c>
      <c r="D173" s="1159">
        <f t="shared" si="206"/>
        <v>163.89227664000001</v>
      </c>
      <c r="E173" s="336">
        <f t="shared" si="212"/>
        <v>157.42547163</v>
      </c>
      <c r="F173" s="336">
        <f t="shared" si="207"/>
        <v>150.95866662</v>
      </c>
      <c r="G173" s="336">
        <f t="shared" si="207"/>
        <v>144.49186161</v>
      </c>
      <c r="H173" s="336">
        <f t="shared" si="207"/>
        <v>138.0250566</v>
      </c>
      <c r="I173" s="336">
        <f t="shared" si="207"/>
        <v>131.55825159</v>
      </c>
      <c r="J173" s="336">
        <f t="shared" si="207"/>
        <v>125.09144658</v>
      </c>
      <c r="K173" s="336">
        <f t="shared" si="207"/>
        <v>118.62464156999999</v>
      </c>
      <c r="L173" s="336">
        <f t="shared" si="207"/>
        <v>112.15783655999999</v>
      </c>
      <c r="M173" s="336">
        <f t="shared" si="207"/>
        <v>105.69103154999999</v>
      </c>
      <c r="N173" s="336">
        <f t="shared" si="207"/>
        <v>99.224226540000004</v>
      </c>
      <c r="O173" s="336">
        <f t="shared" si="207"/>
        <v>92.757421530000002</v>
      </c>
      <c r="P173" s="336">
        <f t="shared" si="207"/>
        <v>86.29061652</v>
      </c>
      <c r="Q173" s="336">
        <f t="shared" si="207"/>
        <v>79.823811509999999</v>
      </c>
      <c r="R173" s="336">
        <f t="shared" si="207"/>
        <v>73.357006499999997</v>
      </c>
      <c r="S173" s="336">
        <f t="shared" si="207"/>
        <v>66.890201489999995</v>
      </c>
      <c r="T173" s="336">
        <f t="shared" si="207"/>
        <v>60.423396479999994</v>
      </c>
      <c r="U173" s="336">
        <f t="shared" si="207"/>
        <v>53.956591470000006</v>
      </c>
      <c r="V173" s="336">
        <f t="shared" si="207"/>
        <v>47.489786459999991</v>
      </c>
      <c r="W173" s="336">
        <f t="shared" si="207"/>
        <v>41.022981450000003</v>
      </c>
      <c r="X173" s="336">
        <f t="shared" si="207"/>
        <v>34.556176440000002</v>
      </c>
      <c r="Y173" s="336">
        <f t="shared" si="207"/>
        <v>28.08937143</v>
      </c>
      <c r="Z173" s="336">
        <f t="shared" si="207"/>
        <v>21.622566419999998</v>
      </c>
      <c r="AA173" s="612">
        <f t="shared" si="207"/>
        <v>15.155761409999997</v>
      </c>
      <c r="AB173" s="1331">
        <f t="shared" si="208"/>
        <v>8.6889564000000004</v>
      </c>
      <c r="AC173" s="1159">
        <f t="shared" si="213"/>
        <v>15.640121520000001</v>
      </c>
      <c r="AD173" s="1159">
        <f t="shared" si="213"/>
        <v>10.42674768</v>
      </c>
      <c r="AE173" s="1159">
        <f t="shared" si="213"/>
        <v>10.42674768</v>
      </c>
      <c r="AF173" s="1159">
        <f t="shared" si="213"/>
        <v>8.6889564000000004</v>
      </c>
      <c r="AG173" s="1159">
        <f t="shared" si="213"/>
        <v>8.6889564000000004</v>
      </c>
      <c r="AH173" s="1159">
        <f t="shared" si="213"/>
        <v>11.29564332</v>
      </c>
      <c r="AI173" s="1159">
        <f t="shared" ref="AI173:AJ173" si="218">AI55*AI128</f>
        <v>8.6889564000000021</v>
      </c>
      <c r="AJ173" s="1159">
        <f t="shared" si="218"/>
        <v>7.8200607600000005</v>
      </c>
      <c r="AK173" s="1666">
        <f t="shared" ref="AK173" si="219">AK55*AK128</f>
        <v>13.902330240000001</v>
      </c>
    </row>
    <row r="174" spans="2:37">
      <c r="B174" s="1316" t="s">
        <v>276</v>
      </c>
      <c r="C174" s="1181" t="s">
        <v>298</v>
      </c>
      <c r="D174" s="1159">
        <f t="shared" si="206"/>
        <v>0.65799863999999997</v>
      </c>
      <c r="E174" s="336">
        <f t="shared" si="212"/>
        <v>0.63901790999999997</v>
      </c>
      <c r="F174" s="336">
        <f t="shared" si="207"/>
        <v>0.62003717999999997</v>
      </c>
      <c r="G174" s="336">
        <f t="shared" si="207"/>
        <v>0.60105644999999996</v>
      </c>
      <c r="H174" s="336">
        <f t="shared" si="207"/>
        <v>0.58207571999999996</v>
      </c>
      <c r="I174" s="336">
        <f t="shared" si="207"/>
        <v>0.56309498999999996</v>
      </c>
      <c r="J174" s="336">
        <f t="shared" si="207"/>
        <v>0.54411425999999996</v>
      </c>
      <c r="K174" s="336">
        <f t="shared" si="207"/>
        <v>0.52513352999999996</v>
      </c>
      <c r="L174" s="336">
        <f t="shared" si="207"/>
        <v>0.50615279999999996</v>
      </c>
      <c r="M174" s="336">
        <f t="shared" si="207"/>
        <v>0.48717206999999996</v>
      </c>
      <c r="N174" s="336">
        <f t="shared" si="207"/>
        <v>0.46819133999999996</v>
      </c>
      <c r="O174" s="336">
        <f t="shared" si="207"/>
        <v>0.44921060999999995</v>
      </c>
      <c r="P174" s="336">
        <f t="shared" si="207"/>
        <v>0.43022987999999995</v>
      </c>
      <c r="Q174" s="336">
        <f t="shared" si="207"/>
        <v>0.41124914999999995</v>
      </c>
      <c r="R174" s="336">
        <f t="shared" si="207"/>
        <v>0.39226842000000001</v>
      </c>
      <c r="S174" s="336">
        <f t="shared" si="207"/>
        <v>0.37328769000000001</v>
      </c>
      <c r="T174" s="336">
        <f t="shared" si="207"/>
        <v>0.35430696</v>
      </c>
      <c r="U174" s="336">
        <f t="shared" si="207"/>
        <v>0.33532623</v>
      </c>
      <c r="V174" s="336">
        <f t="shared" si="207"/>
        <v>0.3163455</v>
      </c>
      <c r="W174" s="336">
        <f t="shared" si="207"/>
        <v>0.29736477</v>
      </c>
      <c r="X174" s="336">
        <f t="shared" si="207"/>
        <v>0.27838404</v>
      </c>
      <c r="Y174" s="336">
        <f t="shared" si="207"/>
        <v>0.25940331</v>
      </c>
      <c r="Z174" s="336">
        <f t="shared" si="207"/>
        <v>0.24042258</v>
      </c>
      <c r="AA174" s="612">
        <f t="shared" si="207"/>
        <v>0.22144185</v>
      </c>
      <c r="AB174" s="1331">
        <f t="shared" si="208"/>
        <v>0.20246111999999999</v>
      </c>
      <c r="AC174" s="1159">
        <f t="shared" si="213"/>
        <v>0.20246111999999997</v>
      </c>
      <c r="AD174" s="1159">
        <f t="shared" si="213"/>
        <v>0.20246111999999999</v>
      </c>
      <c r="AE174" s="1159">
        <f t="shared" si="213"/>
        <v>0.25307639999999998</v>
      </c>
      <c r="AF174" s="1159">
        <f t="shared" si="213"/>
        <v>0.20246111999999999</v>
      </c>
      <c r="AG174" s="1159">
        <f t="shared" si="213"/>
        <v>0.20246111999999999</v>
      </c>
      <c r="AH174" s="1159">
        <f t="shared" si="213"/>
        <v>0.20246111999999997</v>
      </c>
      <c r="AI174" s="1159">
        <f t="shared" ref="AI174:AJ174" si="220">AI56*AI129</f>
        <v>0.20246111999999999</v>
      </c>
      <c r="AJ174" s="1159">
        <f t="shared" si="220"/>
        <v>0.20246111999999999</v>
      </c>
      <c r="AK174" s="1666">
        <f t="shared" ref="AK174" si="221">AK56*AK129</f>
        <v>0.20246111999999999</v>
      </c>
    </row>
    <row r="175" spans="2:37">
      <c r="B175" s="1316" t="s">
        <v>277</v>
      </c>
      <c r="C175" s="1181" t="s">
        <v>298</v>
      </c>
      <c r="D175" s="1159">
        <f t="shared" si="206"/>
        <v>355.31926559999994</v>
      </c>
      <c r="E175" s="336">
        <f t="shared" si="212"/>
        <v>340.96842773999992</v>
      </c>
      <c r="F175" s="336">
        <f t="shared" si="207"/>
        <v>326.61758987999997</v>
      </c>
      <c r="G175" s="336">
        <f t="shared" si="207"/>
        <v>312.26675201999996</v>
      </c>
      <c r="H175" s="336">
        <f t="shared" si="207"/>
        <v>297.91591415999994</v>
      </c>
      <c r="I175" s="336">
        <f t="shared" si="207"/>
        <v>283.56507629999993</v>
      </c>
      <c r="J175" s="336">
        <f t="shared" si="207"/>
        <v>269.21423843999992</v>
      </c>
      <c r="K175" s="336">
        <f t="shared" si="207"/>
        <v>254.86340057999996</v>
      </c>
      <c r="L175" s="336">
        <f t="shared" si="207"/>
        <v>240.51256271999995</v>
      </c>
      <c r="M175" s="336">
        <f t="shared" si="207"/>
        <v>226.16172485999996</v>
      </c>
      <c r="N175" s="336">
        <f t="shared" si="207"/>
        <v>211.81088699999995</v>
      </c>
      <c r="O175" s="336">
        <f t="shared" si="207"/>
        <v>197.46004913999994</v>
      </c>
      <c r="P175" s="336">
        <f t="shared" si="207"/>
        <v>183.10921127999993</v>
      </c>
      <c r="Q175" s="336">
        <f t="shared" si="207"/>
        <v>168.75837341999994</v>
      </c>
      <c r="R175" s="336">
        <f t="shared" si="207"/>
        <v>154.40753555999996</v>
      </c>
      <c r="S175" s="336">
        <f t="shared" si="207"/>
        <v>140.05669769999994</v>
      </c>
      <c r="T175" s="336">
        <f t="shared" si="207"/>
        <v>125.70585983999996</v>
      </c>
      <c r="U175" s="336">
        <f t="shared" si="207"/>
        <v>111.35502197999998</v>
      </c>
      <c r="V175" s="336">
        <f t="shared" si="207"/>
        <v>97.004184119999991</v>
      </c>
      <c r="W175" s="336">
        <f t="shared" si="207"/>
        <v>82.653346259999978</v>
      </c>
      <c r="X175" s="336">
        <f t="shared" si="207"/>
        <v>68.302508399999965</v>
      </c>
      <c r="Y175" s="336">
        <f t="shared" si="207"/>
        <v>53.951670539999952</v>
      </c>
      <c r="Z175" s="336">
        <f t="shared" si="207"/>
        <v>39.60083267999994</v>
      </c>
      <c r="AA175" s="612">
        <f t="shared" si="207"/>
        <v>25.249994819999984</v>
      </c>
      <c r="AB175" s="1331">
        <f t="shared" si="208"/>
        <v>10.899156959999997</v>
      </c>
      <c r="AC175" s="1159">
        <f t="shared" si="213"/>
        <v>10.325517119999999</v>
      </c>
      <c r="AD175" s="1159">
        <f t="shared" si="213"/>
        <v>13.767356159999999</v>
      </c>
      <c r="AE175" s="1159">
        <f t="shared" si="213"/>
        <v>14.197586039999997</v>
      </c>
      <c r="AF175" s="1159">
        <f t="shared" si="213"/>
        <v>14.771225879999998</v>
      </c>
      <c r="AG175" s="1159">
        <f t="shared" si="213"/>
        <v>14.771225879999998</v>
      </c>
      <c r="AH175" s="1159">
        <f t="shared" si="213"/>
        <v>14.197586039999997</v>
      </c>
      <c r="AI175" s="1159">
        <f t="shared" ref="AI175:AJ175" si="222">AI57*AI130</f>
        <v>15.918505559999998</v>
      </c>
      <c r="AJ175" s="1159">
        <f t="shared" si="222"/>
        <v>13.91076612</v>
      </c>
      <c r="AK175" s="1666">
        <f t="shared" ref="AK175" si="223">AK57*AK130</f>
        <v>14.48440596</v>
      </c>
    </row>
    <row r="176" spans="2:37">
      <c r="B176" s="1316" t="s">
        <v>278</v>
      </c>
      <c r="C176" s="1181" t="s">
        <v>298</v>
      </c>
      <c r="D176" s="1159">
        <f t="shared" si="206"/>
        <v>2.2473184319999997</v>
      </c>
      <c r="E176" s="336">
        <f t="shared" si="212"/>
        <v>2.4953333039999999</v>
      </c>
      <c r="F176" s="336">
        <f t="shared" si="207"/>
        <v>2.7433481759999996</v>
      </c>
      <c r="G176" s="336">
        <f t="shared" si="207"/>
        <v>2.9913630479999997</v>
      </c>
      <c r="H176" s="336">
        <f t="shared" si="207"/>
        <v>3.2393779199999999</v>
      </c>
      <c r="I176" s="336">
        <f t="shared" si="207"/>
        <v>3.4873927919999996</v>
      </c>
      <c r="J176" s="336">
        <f t="shared" si="207"/>
        <v>3.7354076639999998</v>
      </c>
      <c r="K176" s="336">
        <f t="shared" si="207"/>
        <v>3.983422536</v>
      </c>
      <c r="L176" s="336">
        <f t="shared" si="207"/>
        <v>4.2314374079999997</v>
      </c>
      <c r="M176" s="336">
        <f t="shared" si="207"/>
        <v>4.4794522800000003</v>
      </c>
      <c r="N176" s="336">
        <f t="shared" si="207"/>
        <v>4.727467152</v>
      </c>
      <c r="O176" s="336">
        <f t="shared" si="207"/>
        <v>4.9754820239999997</v>
      </c>
      <c r="P176" s="336">
        <f t="shared" si="207"/>
        <v>5.2234968960000003</v>
      </c>
      <c r="Q176" s="336">
        <f t="shared" si="207"/>
        <v>5.4715117680000001</v>
      </c>
      <c r="R176" s="336">
        <f t="shared" si="207"/>
        <v>5.7195266399999998</v>
      </c>
      <c r="S176" s="336">
        <f t="shared" si="207"/>
        <v>5.9675415120000004</v>
      </c>
      <c r="T176" s="336">
        <f t="shared" si="207"/>
        <v>6.2155563840000001</v>
      </c>
      <c r="U176" s="336">
        <f t="shared" si="207"/>
        <v>6.4635712559999998</v>
      </c>
      <c r="V176" s="336">
        <f t="shared" si="207"/>
        <v>6.7115861280000004</v>
      </c>
      <c r="W176" s="336">
        <f t="shared" si="207"/>
        <v>6.9596009999999993</v>
      </c>
      <c r="X176" s="336">
        <f t="shared" si="207"/>
        <v>7.2076158719999999</v>
      </c>
      <c r="Y176" s="336">
        <f t="shared" si="207"/>
        <v>7.4556307440000005</v>
      </c>
      <c r="Z176" s="336">
        <f t="shared" si="207"/>
        <v>7.7036456159999993</v>
      </c>
      <c r="AA176" s="612">
        <f t="shared" si="207"/>
        <v>7.9516604879999999</v>
      </c>
      <c r="AB176" s="1331">
        <f t="shared" si="208"/>
        <v>8.1996753600000005</v>
      </c>
      <c r="AC176" s="1159">
        <f t="shared" si="213"/>
        <v>8.3515212000000005</v>
      </c>
      <c r="AD176" s="1159">
        <f t="shared" si="213"/>
        <v>9.3132115199999976</v>
      </c>
      <c r="AE176" s="1159">
        <f t="shared" si="213"/>
        <v>9.0095198399999994</v>
      </c>
      <c r="AF176" s="1159">
        <f t="shared" si="213"/>
        <v>9.0095198399999994</v>
      </c>
      <c r="AG176" s="1159">
        <f t="shared" si="213"/>
        <v>8.9589045599999988</v>
      </c>
      <c r="AH176" s="1159">
        <f t="shared" si="213"/>
        <v>9.3132115199999994</v>
      </c>
      <c r="AI176" s="1159">
        <f t="shared" ref="AI176:AJ176" si="224">AI58*AI131</f>
        <v>9.5662879199999971</v>
      </c>
      <c r="AJ176" s="1159">
        <f t="shared" si="224"/>
        <v>8.5033670400000005</v>
      </c>
      <c r="AK176" s="1666">
        <f t="shared" ref="AK176" si="225">AK58*AK131</f>
        <v>8.2502906399999993</v>
      </c>
    </row>
    <row r="177" spans="2:37">
      <c r="B177" s="1316" t="s">
        <v>279</v>
      </c>
      <c r="C177" s="1181" t="s">
        <v>298</v>
      </c>
      <c r="D177" s="1159">
        <f t="shared" si="206"/>
        <v>17.195697792000001</v>
      </c>
      <c r="E177" s="336">
        <f t="shared" si="212"/>
        <v>17.270214731999999</v>
      </c>
      <c r="F177" s="336">
        <f t="shared" si="207"/>
        <v>17.344731672000002</v>
      </c>
      <c r="G177" s="336">
        <f t="shared" si="207"/>
        <v>17.419248612000001</v>
      </c>
      <c r="H177" s="336">
        <f t="shared" si="207"/>
        <v>17.493765551999999</v>
      </c>
      <c r="I177" s="336">
        <f t="shared" si="207"/>
        <v>17.568282492000002</v>
      </c>
      <c r="J177" s="336">
        <f t="shared" si="207"/>
        <v>17.642799432</v>
      </c>
      <c r="K177" s="336">
        <f t="shared" si="207"/>
        <v>17.717316371999999</v>
      </c>
      <c r="L177" s="336">
        <f t="shared" si="207"/>
        <v>17.791833312000001</v>
      </c>
      <c r="M177" s="336">
        <f t="shared" si="207"/>
        <v>17.866350252</v>
      </c>
      <c r="N177" s="336">
        <f t="shared" si="207"/>
        <v>17.940867191999999</v>
      </c>
      <c r="O177" s="336">
        <f t="shared" si="207"/>
        <v>18.015384132000001</v>
      </c>
      <c r="P177" s="336">
        <f t="shared" si="207"/>
        <v>18.089901072</v>
      </c>
      <c r="Q177" s="336">
        <f t="shared" si="207"/>
        <v>18.164418011999999</v>
      </c>
      <c r="R177" s="336">
        <f t="shared" si="207"/>
        <v>18.238934952000001</v>
      </c>
      <c r="S177" s="336">
        <f t="shared" si="207"/>
        <v>18.313451892</v>
      </c>
      <c r="T177" s="336">
        <f t="shared" si="207"/>
        <v>18.387968831999999</v>
      </c>
      <c r="U177" s="336">
        <f t="shared" si="207"/>
        <v>18.462485772000001</v>
      </c>
      <c r="V177" s="336">
        <f t="shared" si="207"/>
        <v>18.537002712</v>
      </c>
      <c r="W177" s="336">
        <f t="shared" si="207"/>
        <v>18.611519651999998</v>
      </c>
      <c r="X177" s="336">
        <f t="shared" si="207"/>
        <v>18.686036592000001</v>
      </c>
      <c r="Y177" s="336">
        <f t="shared" si="207"/>
        <v>18.760553531999999</v>
      </c>
      <c r="Z177" s="336">
        <f t="shared" si="207"/>
        <v>18.835070471999998</v>
      </c>
      <c r="AA177" s="612">
        <f t="shared" si="207"/>
        <v>18.909587412</v>
      </c>
      <c r="AB177" s="1331">
        <f t="shared" si="208"/>
        <v>18.984104351999999</v>
      </c>
      <c r="AC177" s="1159">
        <f t="shared" si="213"/>
        <v>18.656792207999999</v>
      </c>
      <c r="AD177" s="1159">
        <f t="shared" si="213"/>
        <v>17.674855776000001</v>
      </c>
      <c r="AE177" s="1159">
        <f t="shared" si="213"/>
        <v>18.002167919999998</v>
      </c>
      <c r="AF177" s="1159">
        <f t="shared" si="213"/>
        <v>18.329480063999998</v>
      </c>
      <c r="AG177" s="1159">
        <f t="shared" si="213"/>
        <v>18.493136135999997</v>
      </c>
      <c r="AH177" s="1159">
        <f t="shared" si="213"/>
        <v>18.002167919999998</v>
      </c>
      <c r="AI177" s="1159">
        <f t="shared" ref="AI177:AJ177" si="226">AI59*AI132</f>
        <v>16.529263271999998</v>
      </c>
      <c r="AJ177" s="1159">
        <f t="shared" si="226"/>
        <v>16.529263271999998</v>
      </c>
      <c r="AK177" s="1666">
        <f t="shared" ref="AK177" si="227">AK59*AK132</f>
        <v>16.038295055999999</v>
      </c>
    </row>
    <row r="178" spans="2:37">
      <c r="B178" s="1316" t="s">
        <v>280</v>
      </c>
      <c r="C178" s="1316" t="s">
        <v>298</v>
      </c>
      <c r="D178" s="1159">
        <f t="shared" si="206"/>
        <v>4.3636276475999987</v>
      </c>
      <c r="E178" s="336">
        <f t="shared" si="212"/>
        <v>5.1392822089499992</v>
      </c>
      <c r="F178" s="336">
        <f t="shared" si="207"/>
        <v>5.9149367702999989</v>
      </c>
      <c r="G178" s="336">
        <f t="shared" si="207"/>
        <v>6.6905913316499994</v>
      </c>
      <c r="H178" s="336">
        <f t="shared" si="207"/>
        <v>7.466245893</v>
      </c>
      <c r="I178" s="336">
        <f t="shared" si="207"/>
        <v>8.2419004543499987</v>
      </c>
      <c r="J178" s="336">
        <f t="shared" si="207"/>
        <v>9.0175550157000011</v>
      </c>
      <c r="K178" s="336">
        <f t="shared" si="207"/>
        <v>9.7932095770499998</v>
      </c>
      <c r="L178" s="336">
        <f t="shared" si="207"/>
        <v>10.5688641384</v>
      </c>
      <c r="M178" s="336">
        <f t="shared" si="207"/>
        <v>11.344518699750001</v>
      </c>
      <c r="N178" s="336">
        <f t="shared" si="207"/>
        <v>12.1201732611</v>
      </c>
      <c r="O178" s="336">
        <f t="shared" si="207"/>
        <v>12.895827822450002</v>
      </c>
      <c r="P178" s="336">
        <f t="shared" si="207"/>
        <v>13.671482383800001</v>
      </c>
      <c r="Q178" s="336">
        <f t="shared" si="207"/>
        <v>14.447136945150003</v>
      </c>
      <c r="R178" s="336">
        <f t="shared" si="207"/>
        <v>15.222791506500002</v>
      </c>
      <c r="S178" s="336">
        <f t="shared" si="207"/>
        <v>15.998446067850004</v>
      </c>
      <c r="T178" s="336">
        <f t="shared" si="207"/>
        <v>16.774100629200003</v>
      </c>
      <c r="U178" s="336">
        <f t="shared" si="207"/>
        <v>17.549755190550002</v>
      </c>
      <c r="V178" s="336">
        <f t="shared" si="207"/>
        <v>18.325409751900004</v>
      </c>
      <c r="W178" s="336">
        <f t="shared" si="207"/>
        <v>19.101064313250003</v>
      </c>
      <c r="X178" s="336">
        <f t="shared" si="207"/>
        <v>19.876718874600002</v>
      </c>
      <c r="Y178" s="336">
        <f t="shared" si="207"/>
        <v>20.652373435950004</v>
      </c>
      <c r="Z178" s="336">
        <f t="shared" si="207"/>
        <v>21.428027997300003</v>
      </c>
      <c r="AA178" s="612">
        <f t="shared" si="207"/>
        <v>22.203682558650005</v>
      </c>
      <c r="AB178" s="1331">
        <f t="shared" si="208"/>
        <v>22.979337120000004</v>
      </c>
      <c r="AC178" s="1159">
        <f t="shared" si="213"/>
        <v>23.485489920000003</v>
      </c>
      <c r="AD178" s="1159">
        <f t="shared" si="213"/>
        <v>23.637335760000003</v>
      </c>
      <c r="AE178" s="1159">
        <f t="shared" si="213"/>
        <v>23.43487464</v>
      </c>
      <c r="AF178" s="1159">
        <f t="shared" si="213"/>
        <v>22.422569039999996</v>
      </c>
      <c r="AG178" s="1159">
        <f t="shared" si="213"/>
        <v>22.321338480000001</v>
      </c>
      <c r="AH178" s="1159">
        <f t="shared" si="213"/>
        <v>22.979337119999997</v>
      </c>
      <c r="AI178" s="1159">
        <f t="shared" ref="AI178:AJ178" si="228">AI60*AI133</f>
        <v>20.752264799999999</v>
      </c>
      <c r="AJ178" s="1159">
        <f t="shared" si="228"/>
        <v>21.916416239999997</v>
      </c>
      <c r="AK178" s="1666">
        <f t="shared" ref="AK178" si="229">AK60*AK133</f>
        <v>19.183191119999996</v>
      </c>
    </row>
    <row r="179" spans="2:37">
      <c r="B179" s="1183" t="s">
        <v>281</v>
      </c>
      <c r="C179" s="1181" t="s">
        <v>298</v>
      </c>
      <c r="D179" s="1159">
        <f t="shared" si="206"/>
        <v>4.5103276008000002</v>
      </c>
      <c r="E179" s="336">
        <f t="shared" si="212"/>
        <v>4.5832557834000003</v>
      </c>
      <c r="F179" s="336">
        <f t="shared" si="207"/>
        <v>4.6561839660000004</v>
      </c>
      <c r="G179" s="336">
        <f t="shared" si="207"/>
        <v>4.7291121486000005</v>
      </c>
      <c r="H179" s="336">
        <f t="shared" si="207"/>
        <v>4.8020403312000006</v>
      </c>
      <c r="I179" s="336">
        <f t="shared" si="207"/>
        <v>4.8749685138000007</v>
      </c>
      <c r="J179" s="336">
        <f t="shared" si="207"/>
        <v>4.9478966964000008</v>
      </c>
      <c r="K179" s="336">
        <f t="shared" si="207"/>
        <v>5.0208248790000001</v>
      </c>
      <c r="L179" s="336">
        <f t="shared" si="207"/>
        <v>5.0937530616000002</v>
      </c>
      <c r="M179" s="336">
        <f t="shared" si="207"/>
        <v>5.1666812442000003</v>
      </c>
      <c r="N179" s="336">
        <f t="shared" si="207"/>
        <v>5.2396094268000004</v>
      </c>
      <c r="O179" s="336">
        <f t="shared" si="207"/>
        <v>5.3125376094000005</v>
      </c>
      <c r="P179" s="336">
        <f t="shared" si="207"/>
        <v>5.3854657920000006</v>
      </c>
      <c r="Q179" s="336">
        <f t="shared" si="207"/>
        <v>5.4583939746000008</v>
      </c>
      <c r="R179" s="336">
        <f t="shared" si="207"/>
        <v>5.5313221572000009</v>
      </c>
      <c r="S179" s="336">
        <f t="shared" si="207"/>
        <v>5.604250339800001</v>
      </c>
      <c r="T179" s="336">
        <f t="shared" si="207"/>
        <v>5.6771785224000011</v>
      </c>
      <c r="U179" s="336">
        <f t="shared" si="207"/>
        <v>5.7501067050000012</v>
      </c>
      <c r="V179" s="336">
        <f t="shared" si="207"/>
        <v>5.8230348876000004</v>
      </c>
      <c r="W179" s="336">
        <f t="shared" si="207"/>
        <v>5.8959630702000005</v>
      </c>
      <c r="X179" s="336">
        <f t="shared" si="207"/>
        <v>5.9688912528000007</v>
      </c>
      <c r="Y179" s="336">
        <f t="shared" si="207"/>
        <v>6.0418194354000008</v>
      </c>
      <c r="Z179" s="336">
        <f t="shared" si="207"/>
        <v>6.1147476180000009</v>
      </c>
      <c r="AA179" s="612">
        <f t="shared" si="207"/>
        <v>6.187675800600001</v>
      </c>
      <c r="AB179" s="1331">
        <f t="shared" si="208"/>
        <v>6.2606039832000011</v>
      </c>
      <c r="AC179" s="1159">
        <f t="shared" si="213"/>
        <v>5.9464518119999994</v>
      </c>
      <c r="AD179" s="1159">
        <f t="shared" si="213"/>
        <v>4.8693586536</v>
      </c>
      <c r="AE179" s="1159">
        <f t="shared" si="213"/>
        <v>4.8469192128000005</v>
      </c>
      <c r="AF179" s="1159">
        <f t="shared" si="213"/>
        <v>4.824479772000001</v>
      </c>
      <c r="AG179" s="1159">
        <f t="shared" si="213"/>
        <v>4.824479772000001</v>
      </c>
      <c r="AH179" s="1159">
        <f t="shared" si="213"/>
        <v>4.9142375352000007</v>
      </c>
      <c r="AI179" s="1159">
        <f t="shared" ref="AI179:AJ179" si="230">AI61*AI134</f>
        <v>4.8693586536</v>
      </c>
      <c r="AJ179" s="1159">
        <f t="shared" si="230"/>
        <v>4.8244797720000001</v>
      </c>
      <c r="AK179" s="1666">
        <f t="shared" ref="AK179" si="231">AK61*AK134</f>
        <v>6.2381645424000007</v>
      </c>
    </row>
    <row r="180" spans="2:37">
      <c r="B180" s="1337" t="s">
        <v>189</v>
      </c>
      <c r="C180" s="1181" t="s">
        <v>298</v>
      </c>
      <c r="D180" s="1159">
        <f>SUM(D170:D179)</f>
        <v>2218.5582393924005</v>
      </c>
      <c r="E180" s="1159">
        <f t="shared" si="212"/>
        <v>2137.5905963683504</v>
      </c>
      <c r="F180" s="1159">
        <f t="shared" si="207"/>
        <v>2056.6229533443006</v>
      </c>
      <c r="G180" s="1159">
        <f t="shared" si="207"/>
        <v>1975.6553103202505</v>
      </c>
      <c r="H180" s="1159">
        <f t="shared" si="207"/>
        <v>1894.6876672962005</v>
      </c>
      <c r="I180" s="1159">
        <f t="shared" si="207"/>
        <v>1813.7200242721503</v>
      </c>
      <c r="J180" s="1159">
        <f t="shared" si="207"/>
        <v>1732.7523812481004</v>
      </c>
      <c r="K180" s="1159">
        <f t="shared" si="207"/>
        <v>1651.7847382240502</v>
      </c>
      <c r="L180" s="1159">
        <f t="shared" si="207"/>
        <v>1570.8170952000005</v>
      </c>
      <c r="M180" s="1159">
        <f t="shared" si="207"/>
        <v>1489.8494521759503</v>
      </c>
      <c r="N180" s="1159">
        <f t="shared" si="207"/>
        <v>1408.8818091519001</v>
      </c>
      <c r="O180" s="1159">
        <f t="shared" si="207"/>
        <v>1327.9141661278504</v>
      </c>
      <c r="P180" s="1159">
        <f t="shared" si="207"/>
        <v>1246.9465231038002</v>
      </c>
      <c r="Q180" s="1159">
        <f t="shared" si="207"/>
        <v>1165.9788800797503</v>
      </c>
      <c r="R180" s="1159">
        <f t="shared" si="207"/>
        <v>1085.0112370557001</v>
      </c>
      <c r="S180" s="1159">
        <f t="shared" si="207"/>
        <v>1004.0435940316502</v>
      </c>
      <c r="T180" s="1159">
        <f t="shared" si="207"/>
        <v>923.07595100760022</v>
      </c>
      <c r="U180" s="1159">
        <f t="shared" si="207"/>
        <v>842.10830798355005</v>
      </c>
      <c r="V180" s="1159">
        <f t="shared" si="207"/>
        <v>761.1406649595001</v>
      </c>
      <c r="W180" s="1159">
        <f t="shared" si="207"/>
        <v>680.17302193545015</v>
      </c>
      <c r="X180" s="1159">
        <f t="shared" si="207"/>
        <v>599.20537891139998</v>
      </c>
      <c r="Y180" s="1159">
        <f t="shared" si="207"/>
        <v>518.23773588735003</v>
      </c>
      <c r="Z180" s="1159">
        <f t="shared" si="207"/>
        <v>437.27009286330008</v>
      </c>
      <c r="AA180" s="1331">
        <f t="shared" si="207"/>
        <v>356.3024498392499</v>
      </c>
      <c r="AB180" s="1331">
        <f>SUM(AB170:AB179)</f>
        <v>275.33480681520001</v>
      </c>
      <c r="AC180" s="1159">
        <f t="shared" ref="AC180:AH180" si="232">SUM(AC170:AC179)</f>
        <v>273.84975450000007</v>
      </c>
      <c r="AD180" s="1159">
        <f t="shared" si="232"/>
        <v>283.29726522959999</v>
      </c>
      <c r="AE180" s="1159">
        <f t="shared" si="232"/>
        <v>283.57683029280003</v>
      </c>
      <c r="AF180" s="1159">
        <f t="shared" si="232"/>
        <v>281.65463067600001</v>
      </c>
      <c r="AG180" s="1159">
        <f t="shared" si="232"/>
        <v>281.66644090800003</v>
      </c>
      <c r="AH180" s="1159">
        <f t="shared" si="232"/>
        <v>288.59601017520009</v>
      </c>
      <c r="AI180" s="1159">
        <f t="shared" ref="AI180:AJ180" si="233">SUM(AI170:AI179)</f>
        <v>282.07574980559997</v>
      </c>
      <c r="AJ180" s="1159">
        <f t="shared" si="233"/>
        <v>279.25546640400012</v>
      </c>
      <c r="AK180" s="1666">
        <f t="shared" ref="AK180" si="234">SUM(AK170:AK179)</f>
        <v>279.56236371840009</v>
      </c>
    </row>
    <row r="181" spans="2:37">
      <c r="B181" s="1315" t="s">
        <v>282</v>
      </c>
      <c r="C181" s="1181"/>
      <c r="D181" s="1339"/>
      <c r="E181" s="270"/>
      <c r="F181" s="270"/>
      <c r="G181" s="270"/>
      <c r="H181" s="270"/>
      <c r="I181" s="270"/>
      <c r="J181" s="270"/>
      <c r="K181" s="270"/>
      <c r="L181" s="270"/>
      <c r="M181" s="270"/>
      <c r="N181" s="270"/>
      <c r="O181" s="270"/>
      <c r="P181" s="270"/>
      <c r="Q181" s="270"/>
      <c r="R181" s="270"/>
      <c r="S181" s="270"/>
      <c r="T181" s="270"/>
      <c r="U181" s="270"/>
      <c r="V181" s="270"/>
      <c r="W181" s="270"/>
      <c r="X181" s="270"/>
      <c r="Y181" s="270"/>
      <c r="Z181" s="270"/>
      <c r="AA181" s="270"/>
      <c r="AB181" s="625"/>
      <c r="AC181" s="625"/>
      <c r="AD181" s="625"/>
      <c r="AE181" s="625"/>
      <c r="AF181" s="625"/>
      <c r="AG181" s="625"/>
      <c r="AH181" s="1339"/>
      <c r="AI181" s="1564"/>
      <c r="AJ181" s="1385"/>
      <c r="AK181" s="1385"/>
    </row>
    <row r="182" spans="2:37">
      <c r="B182" s="1181" t="s">
        <v>127</v>
      </c>
      <c r="C182" s="1181" t="s">
        <v>298</v>
      </c>
      <c r="D182" s="1159">
        <f t="shared" ref="D182:AH182" si="235">D65*D136</f>
        <v>1665.3784200222694</v>
      </c>
      <c r="E182" s="1159">
        <f t="shared" si="235"/>
        <v>1678.9390495044652</v>
      </c>
      <c r="F182" s="1159">
        <f t="shared" si="235"/>
        <v>1694.3877736592672</v>
      </c>
      <c r="G182" s="1159">
        <f t="shared" si="235"/>
        <v>1720.4935116719889</v>
      </c>
      <c r="H182" s="1159">
        <f t="shared" si="235"/>
        <v>1756.8646476917668</v>
      </c>
      <c r="I182" s="1159">
        <f t="shared" si="235"/>
        <v>1758.3402800423603</v>
      </c>
      <c r="J182" s="1159">
        <f t="shared" si="235"/>
        <v>1769.4440039963229</v>
      </c>
      <c r="K182" s="1159">
        <f t="shared" si="235"/>
        <v>1793.532101408586</v>
      </c>
      <c r="L182" s="1159">
        <f t="shared" si="235"/>
        <v>1805.4324583671569</v>
      </c>
      <c r="M182" s="1159">
        <f t="shared" si="235"/>
        <v>1835.8102339316988</v>
      </c>
      <c r="N182" s="1159">
        <f t="shared" si="235"/>
        <v>1904.1479444242755</v>
      </c>
      <c r="O182" s="1159">
        <f t="shared" si="235"/>
        <v>1910.4420896775139</v>
      </c>
      <c r="P182" s="1159">
        <f t="shared" si="235"/>
        <v>1929.7161412880923</v>
      </c>
      <c r="Q182" s="1159">
        <f t="shared" si="235"/>
        <v>1972.5452162629908</v>
      </c>
      <c r="R182" s="1159">
        <f t="shared" si="235"/>
        <v>1944.8893942170016</v>
      </c>
      <c r="S182" s="1159">
        <f t="shared" si="235"/>
        <v>1932.0330776528995</v>
      </c>
      <c r="T182" s="1159">
        <f t="shared" si="235"/>
        <v>2008.4800654223009</v>
      </c>
      <c r="U182" s="1159">
        <f t="shared" si="235"/>
        <v>2027.2746481964607</v>
      </c>
      <c r="V182" s="1159">
        <f t="shared" si="235"/>
        <v>2033.8881911683695</v>
      </c>
      <c r="W182" s="1159">
        <f t="shared" si="235"/>
        <v>2040.5017341402779</v>
      </c>
      <c r="X182" s="1159">
        <f t="shared" si="235"/>
        <v>2069.1492525994813</v>
      </c>
      <c r="Y182" s="1159">
        <f t="shared" si="235"/>
        <v>2097.0269406598381</v>
      </c>
      <c r="Z182" s="1159">
        <f t="shared" si="235"/>
        <v>2156.041811448009</v>
      </c>
      <c r="AA182" s="1159">
        <f t="shared" si="235"/>
        <v>2185.2730310993747</v>
      </c>
      <c r="AB182" s="1159">
        <f t="shared" si="235"/>
        <v>2175.9993295055328</v>
      </c>
      <c r="AC182" s="1159">
        <f t="shared" si="235"/>
        <v>2200.8989502589402</v>
      </c>
      <c r="AD182" s="1159">
        <f t="shared" si="235"/>
        <v>2225.4620494066617</v>
      </c>
      <c r="AE182" s="1159">
        <f t="shared" si="235"/>
        <v>2249.7392540929163</v>
      </c>
      <c r="AF182" s="1159">
        <f t="shared" si="235"/>
        <v>2282.2895297578775</v>
      </c>
      <c r="AG182" s="1159">
        <f t="shared" si="235"/>
        <v>2305.2132028531237</v>
      </c>
      <c r="AH182" s="1159">
        <f t="shared" si="235"/>
        <v>2778.3670475476515</v>
      </c>
      <c r="AI182" s="1159">
        <f t="shared" ref="AI182:AJ182" si="236">AI65*AI136</f>
        <v>2355.5708319799901</v>
      </c>
      <c r="AJ182" s="1159">
        <f t="shared" si="236"/>
        <v>2665.6040180036512</v>
      </c>
      <c r="AK182" s="1666">
        <f t="shared" ref="AK182" si="237">AK65*AK136</f>
        <v>0</v>
      </c>
    </row>
    <row r="183" spans="2:37">
      <c r="B183" s="1182" t="s">
        <v>284</v>
      </c>
      <c r="C183" s="1181" t="s">
        <v>298</v>
      </c>
      <c r="D183" s="1159">
        <f t="shared" ref="D183:AH183" si="238">D66*D137</f>
        <v>2007.135</v>
      </c>
      <c r="E183" s="1159">
        <f t="shared" si="238"/>
        <v>2076.6563999999998</v>
      </c>
      <c r="F183" s="1159">
        <f t="shared" si="238"/>
        <v>2009.4282000000001</v>
      </c>
      <c r="G183" s="1159">
        <f t="shared" si="238"/>
        <v>2391.1758</v>
      </c>
      <c r="H183" s="1159">
        <f t="shared" si="238"/>
        <v>2170.2096000000001</v>
      </c>
      <c r="I183" s="1159">
        <f t="shared" si="238"/>
        <v>2444.2002000000002</v>
      </c>
      <c r="J183" s="1159">
        <f t="shared" si="238"/>
        <v>2477.8026</v>
      </c>
      <c r="K183" s="1159">
        <f t="shared" si="238"/>
        <v>2525.4684000000002</v>
      </c>
      <c r="L183" s="1159">
        <f t="shared" si="238"/>
        <v>2546.6687999999999</v>
      </c>
      <c r="M183" s="1159">
        <f t="shared" si="238"/>
        <v>2648.3418000000001</v>
      </c>
      <c r="N183" s="1159">
        <f t="shared" si="238"/>
        <v>2761.0362</v>
      </c>
      <c r="O183" s="1159">
        <f t="shared" si="238"/>
        <v>2831.0255999999999</v>
      </c>
      <c r="P183" s="1159">
        <f t="shared" si="238"/>
        <v>2865.2598000000003</v>
      </c>
      <c r="Q183" s="1159">
        <f t="shared" si="238"/>
        <v>2878.3404</v>
      </c>
      <c r="R183" s="1159">
        <f t="shared" si="238"/>
        <v>2927.5038</v>
      </c>
      <c r="S183" s="1159">
        <f t="shared" si="238"/>
        <v>2811.9078</v>
      </c>
      <c r="T183" s="1159">
        <f t="shared" si="238"/>
        <v>2965.0842000000002</v>
      </c>
      <c r="U183" s="1159">
        <f t="shared" si="238"/>
        <v>3017.7809999999999</v>
      </c>
      <c r="V183" s="1159">
        <f t="shared" si="238"/>
        <v>3138.8525999999997</v>
      </c>
      <c r="W183" s="1159">
        <f t="shared" si="238"/>
        <v>3259.9241999999999</v>
      </c>
      <c r="X183" s="1159">
        <f t="shared" si="238"/>
        <v>3380.9958000000001</v>
      </c>
      <c r="Y183" s="1159">
        <f t="shared" si="238"/>
        <v>3234.4650000000001</v>
      </c>
      <c r="Z183" s="1159">
        <f t="shared" si="238"/>
        <v>3342.1049999999996</v>
      </c>
      <c r="AA183" s="1159">
        <f t="shared" si="238"/>
        <v>3375.3564000000001</v>
      </c>
      <c r="AB183" s="1159">
        <f t="shared" si="238"/>
        <v>3265.6104000000005</v>
      </c>
      <c r="AC183" s="1159">
        <f t="shared" si="238"/>
        <v>3288.9401999999995</v>
      </c>
      <c r="AD183" s="1159">
        <f t="shared" si="238"/>
        <v>3319.7579999999998</v>
      </c>
      <c r="AE183" s="1159">
        <f t="shared" si="238"/>
        <v>3342.9942000000005</v>
      </c>
      <c r="AF183" s="1159">
        <f t="shared" si="238"/>
        <v>3383.4527999999996</v>
      </c>
      <c r="AG183" s="1159">
        <f t="shared" si="238"/>
        <v>3387.5946000000008</v>
      </c>
      <c r="AH183" s="1159">
        <f t="shared" si="238"/>
        <v>4122.2610000000004</v>
      </c>
      <c r="AI183" s="1159">
        <f t="shared" ref="AI183:AJ183" si="239">AI66*AI137</f>
        <v>3414.6918000000001</v>
      </c>
      <c r="AJ183" s="1159">
        <f t="shared" si="239"/>
        <v>3848.3406</v>
      </c>
      <c r="AK183" s="1666">
        <f t="shared" ref="AK183" si="240">AK66*AK137</f>
        <v>0</v>
      </c>
    </row>
    <row r="184" spans="2:37">
      <c r="B184" s="1183" t="s">
        <v>160</v>
      </c>
      <c r="C184" s="1181" t="s">
        <v>298</v>
      </c>
      <c r="D184" s="1159">
        <f t="shared" ref="D184:AH184" si="241">D67*D138</f>
        <v>686.59500000000003</v>
      </c>
      <c r="E184" s="1159">
        <f t="shared" si="241"/>
        <v>525.63</v>
      </c>
      <c r="F184" s="1159">
        <f t="shared" si="241"/>
        <v>915.91499999999996</v>
      </c>
      <c r="G184" s="1159">
        <f t="shared" si="241"/>
        <v>764.71499999999992</v>
      </c>
      <c r="H184" s="1159">
        <f t="shared" si="241"/>
        <v>841.995</v>
      </c>
      <c r="I184" s="1159">
        <f t="shared" si="241"/>
        <v>1096.9349999999999</v>
      </c>
      <c r="J184" s="1159">
        <f t="shared" si="241"/>
        <v>1149.96</v>
      </c>
      <c r="K184" s="1159">
        <f t="shared" si="241"/>
        <v>1161.0899999999999</v>
      </c>
      <c r="L184" s="1159">
        <f t="shared" si="241"/>
        <v>1180.7249999999999</v>
      </c>
      <c r="M184" s="1159">
        <f t="shared" si="241"/>
        <v>842.83499999999992</v>
      </c>
      <c r="N184" s="1159">
        <f t="shared" si="241"/>
        <v>923.36999999999989</v>
      </c>
      <c r="O184" s="1159">
        <f t="shared" si="241"/>
        <v>1023.75</v>
      </c>
      <c r="P184" s="1159">
        <f t="shared" si="241"/>
        <v>954.44999999999993</v>
      </c>
      <c r="Q184" s="1159">
        <f t="shared" si="241"/>
        <v>1183.56</v>
      </c>
      <c r="R184" s="1159">
        <f t="shared" si="241"/>
        <v>1149.645</v>
      </c>
      <c r="S184" s="1159">
        <f t="shared" si="241"/>
        <v>1261.9950000000001</v>
      </c>
      <c r="T184" s="1159">
        <f t="shared" si="241"/>
        <v>1307.8799999999999</v>
      </c>
      <c r="U184" s="1159">
        <f t="shared" si="241"/>
        <v>1331.19</v>
      </c>
      <c r="V184" s="1159">
        <f t="shared" si="241"/>
        <v>1333.7450000000001</v>
      </c>
      <c r="W184" s="1159">
        <f t="shared" si="241"/>
        <v>1336.3</v>
      </c>
      <c r="X184" s="1159">
        <f t="shared" si="241"/>
        <v>1338.855</v>
      </c>
      <c r="Y184" s="1159">
        <f t="shared" si="241"/>
        <v>1125.7049999999997</v>
      </c>
      <c r="Z184" s="1159">
        <f t="shared" si="241"/>
        <v>1138.2</v>
      </c>
      <c r="AA184" s="1159">
        <f t="shared" si="241"/>
        <v>1161.615</v>
      </c>
      <c r="AB184" s="1159">
        <f t="shared" si="241"/>
        <v>1149.33</v>
      </c>
      <c r="AC184" s="1159">
        <f t="shared" si="241"/>
        <v>1182.93</v>
      </c>
      <c r="AD184" s="1159">
        <f t="shared" si="241"/>
        <v>1190.0699999999997</v>
      </c>
      <c r="AE184" s="1159">
        <f t="shared" si="241"/>
        <v>1175.58</v>
      </c>
      <c r="AF184" s="1159">
        <f t="shared" si="241"/>
        <v>1176.5249999999999</v>
      </c>
      <c r="AG184" s="1159">
        <f t="shared" si="241"/>
        <v>1175.58</v>
      </c>
      <c r="AH184" s="1159">
        <f t="shared" si="241"/>
        <v>1285.2</v>
      </c>
      <c r="AI184" s="1159">
        <f t="shared" ref="AI184:AJ184" si="242">AI67*AI138</f>
        <v>1164.345</v>
      </c>
      <c r="AJ184" s="1159">
        <f t="shared" si="242"/>
        <v>1241.4150000000002</v>
      </c>
      <c r="AK184" s="1666">
        <f t="shared" ref="AK184" si="243">AK67*AK138</f>
        <v>0</v>
      </c>
    </row>
    <row r="185" spans="2:37">
      <c r="B185" s="1337" t="s">
        <v>189</v>
      </c>
      <c r="C185" s="1181" t="s">
        <v>298</v>
      </c>
      <c r="D185" s="1159">
        <f>SUM(D182:D184)</f>
        <v>4359.1084200222695</v>
      </c>
      <c r="E185" s="1159">
        <f t="shared" ref="E185:AH185" si="244">SUM(E182:E184)</f>
        <v>4281.2254495044654</v>
      </c>
      <c r="F185" s="1159">
        <f t="shared" si="244"/>
        <v>4619.730973659267</v>
      </c>
      <c r="G185" s="1159">
        <f t="shared" si="244"/>
        <v>4876.3843116719891</v>
      </c>
      <c r="H185" s="1159">
        <f t="shared" si="244"/>
        <v>4769.0692476917666</v>
      </c>
      <c r="I185" s="1159">
        <f t="shared" si="244"/>
        <v>5299.4754800423598</v>
      </c>
      <c r="J185" s="1159">
        <f t="shared" si="244"/>
        <v>5397.2066039963229</v>
      </c>
      <c r="K185" s="1159">
        <f t="shared" si="244"/>
        <v>5480.0905014085865</v>
      </c>
      <c r="L185" s="1159">
        <f t="shared" si="244"/>
        <v>5532.8262583671567</v>
      </c>
      <c r="M185" s="1159">
        <f t="shared" si="244"/>
        <v>5326.9870339316994</v>
      </c>
      <c r="N185" s="1159">
        <f t="shared" si="244"/>
        <v>5588.5541444242754</v>
      </c>
      <c r="O185" s="1159">
        <f t="shared" si="244"/>
        <v>5765.2176896775136</v>
      </c>
      <c r="P185" s="1159">
        <f t="shared" si="244"/>
        <v>5749.425941288092</v>
      </c>
      <c r="Q185" s="1159">
        <f t="shared" si="244"/>
        <v>6034.4456162629904</v>
      </c>
      <c r="R185" s="1159">
        <f t="shared" si="244"/>
        <v>6022.0381942170025</v>
      </c>
      <c r="S185" s="1159">
        <f t="shared" si="244"/>
        <v>6005.9358776528998</v>
      </c>
      <c r="T185" s="1159">
        <f t="shared" si="244"/>
        <v>6281.4442654223012</v>
      </c>
      <c r="U185" s="1159">
        <f t="shared" si="244"/>
        <v>6376.24564819646</v>
      </c>
      <c r="V185" s="1159">
        <f t="shared" si="244"/>
        <v>6506.4857911683694</v>
      </c>
      <c r="W185" s="1159">
        <f t="shared" si="244"/>
        <v>6636.7259341402778</v>
      </c>
      <c r="X185" s="1159">
        <f t="shared" si="244"/>
        <v>6789.0000525994819</v>
      </c>
      <c r="Y185" s="1159">
        <f t="shared" si="244"/>
        <v>6457.1969406598382</v>
      </c>
      <c r="Z185" s="1159">
        <f t="shared" si="244"/>
        <v>6636.3468114480083</v>
      </c>
      <c r="AA185" s="1159">
        <f t="shared" si="244"/>
        <v>6722.2444310993742</v>
      </c>
      <c r="AB185" s="1159">
        <f t="shared" si="244"/>
        <v>6590.9397295055333</v>
      </c>
      <c r="AC185" s="1159">
        <f t="shared" si="244"/>
        <v>6672.7691502589405</v>
      </c>
      <c r="AD185" s="1159">
        <f t="shared" si="244"/>
        <v>6735.2900494066616</v>
      </c>
      <c r="AE185" s="1159">
        <f t="shared" si="244"/>
        <v>6768.3134540929168</v>
      </c>
      <c r="AF185" s="1159">
        <f t="shared" si="244"/>
        <v>6842.2673297578767</v>
      </c>
      <c r="AG185" s="1159">
        <f t="shared" si="244"/>
        <v>6868.3878028531244</v>
      </c>
      <c r="AH185" s="1159">
        <f t="shared" si="244"/>
        <v>8185.8280475476522</v>
      </c>
      <c r="AI185" s="1159">
        <f t="shared" ref="AI185:AJ185" si="245">SUM(AI182:AI184)</f>
        <v>6934.6076319799904</v>
      </c>
      <c r="AJ185" s="1159">
        <f t="shared" si="245"/>
        <v>7755.3596180036511</v>
      </c>
      <c r="AK185" s="1666">
        <f t="shared" ref="AK185" si="246">SUM(AK182:AK184)</f>
        <v>0</v>
      </c>
    </row>
    <row r="186" spans="2:37">
      <c r="B186" s="1315" t="s">
        <v>285</v>
      </c>
      <c r="C186" s="1181"/>
      <c r="D186" s="1339"/>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c r="AA186" s="270"/>
      <c r="AB186" s="625"/>
      <c r="AC186" s="625"/>
      <c r="AD186" s="625"/>
      <c r="AE186" s="625"/>
      <c r="AF186" s="625"/>
      <c r="AG186" s="625"/>
      <c r="AH186" s="1339"/>
      <c r="AI186" s="1564"/>
      <c r="AJ186" s="1564"/>
      <c r="AK186" s="1385"/>
    </row>
    <row r="187" spans="2:37">
      <c r="B187" s="1181" t="s">
        <v>286</v>
      </c>
      <c r="C187" s="1181" t="s">
        <v>298</v>
      </c>
      <c r="D187" s="1159">
        <f>D$34*D$140</f>
        <v>16.977689999999999</v>
      </c>
      <c r="E187" s="1159">
        <f t="shared" ref="E187:AH187" si="247">E34*E$140</f>
        <v>17.041248000000003</v>
      </c>
      <c r="F187" s="1159">
        <f t="shared" si="247"/>
        <v>17.296924499999999</v>
      </c>
      <c r="G187" s="1159">
        <f t="shared" si="247"/>
        <v>17.405262</v>
      </c>
      <c r="H187" s="1159">
        <f t="shared" si="247"/>
        <v>17.690310000000004</v>
      </c>
      <c r="I187" s="1159">
        <f t="shared" si="247"/>
        <v>17.935875000000003</v>
      </c>
      <c r="J187" s="1159">
        <f t="shared" si="247"/>
        <v>18.107729388435356</v>
      </c>
      <c r="K187" s="1159">
        <f t="shared" si="247"/>
        <v>18.336421705404089</v>
      </c>
      <c r="L187" s="1159">
        <f t="shared" si="247"/>
        <v>14.9210045914008</v>
      </c>
      <c r="M187" s="1159">
        <f t="shared" si="247"/>
        <v>18.782782595708859</v>
      </c>
      <c r="N187" s="1159">
        <f t="shared" si="247"/>
        <v>18.994688583899624</v>
      </c>
      <c r="O187" s="1159">
        <f t="shared" si="247"/>
        <v>19.29518950945879</v>
      </c>
      <c r="P187" s="1159">
        <f t="shared" si="247"/>
        <v>0</v>
      </c>
      <c r="Q187" s="1159">
        <f t="shared" si="247"/>
        <v>19.623211496790002</v>
      </c>
      <c r="R187" s="1159">
        <f t="shared" si="247"/>
        <v>19.920971745209997</v>
      </c>
      <c r="S187" s="1159">
        <f t="shared" si="247"/>
        <v>20.161698951795213</v>
      </c>
      <c r="T187" s="1159">
        <f t="shared" si="247"/>
        <v>19.840570788492748</v>
      </c>
      <c r="U187" s="1159">
        <f t="shared" si="247"/>
        <v>20.129603445000004</v>
      </c>
      <c r="V187" s="1159">
        <f t="shared" si="247"/>
        <v>17.752069909325737</v>
      </c>
      <c r="W187" s="1159">
        <f t="shared" si="247"/>
        <v>20.288820170250641</v>
      </c>
      <c r="X187" s="1159">
        <f t="shared" si="247"/>
        <v>20.349900019684636</v>
      </c>
      <c r="Y187" s="1159">
        <f t="shared" si="247"/>
        <v>20.407895999999997</v>
      </c>
      <c r="Z187" s="1159">
        <f t="shared" si="247"/>
        <v>20.497129505999997</v>
      </c>
      <c r="AA187" s="1159">
        <f t="shared" si="247"/>
        <v>20.591363871000009</v>
      </c>
      <c r="AB187" s="1159">
        <f t="shared" si="247"/>
        <v>20.729485642561905</v>
      </c>
      <c r="AC187" s="1159">
        <f t="shared" si="247"/>
        <v>20.778110377897665</v>
      </c>
      <c r="AD187" s="1159">
        <f t="shared" si="247"/>
        <v>20.830890861</v>
      </c>
      <c r="AE187" s="1159">
        <f t="shared" si="247"/>
        <v>7.6458736303981292</v>
      </c>
      <c r="AF187" s="1159">
        <f t="shared" si="247"/>
        <v>20.045285280182963</v>
      </c>
      <c r="AG187" s="1159">
        <f t="shared" si="247"/>
        <v>20.172988744683121</v>
      </c>
      <c r="AH187" s="1159">
        <f t="shared" si="247"/>
        <v>20.365240299510958</v>
      </c>
      <c r="AI187" s="1159">
        <f t="shared" ref="AI187:AJ187" si="248">AI34*AI$140</f>
        <v>20.245690452547557</v>
      </c>
      <c r="AJ187" s="1159">
        <f t="shared" si="248"/>
        <v>20.312110625809307</v>
      </c>
      <c r="AK187" s="1666">
        <f t="shared" ref="AK187" si="249">AK34*AK$140</f>
        <v>20.325950873629491</v>
      </c>
    </row>
    <row r="188" spans="2:37">
      <c r="B188" s="1183" t="s">
        <v>287</v>
      </c>
      <c r="C188" s="1181" t="s">
        <v>298</v>
      </c>
      <c r="D188" s="1159">
        <f t="shared" ref="D188:AK188" si="250">D$49*D$141</f>
        <v>59.2392662268457</v>
      </c>
      <c r="E188" s="1159">
        <f t="shared" si="250"/>
        <v>59.646080928077595</v>
      </c>
      <c r="F188" s="1159">
        <f t="shared" si="250"/>
        <v>61.138934819638948</v>
      </c>
      <c r="G188" s="1159">
        <f t="shared" si="250"/>
        <v>42.812753434757354</v>
      </c>
      <c r="H188" s="1159">
        <f t="shared" si="250"/>
        <v>29.337286342515732</v>
      </c>
      <c r="I188" s="1159">
        <f t="shared" si="250"/>
        <v>39.552180579429375</v>
      </c>
      <c r="J188" s="1159">
        <f t="shared" si="250"/>
        <v>34.186172984870915</v>
      </c>
      <c r="K188" s="1159">
        <f t="shared" si="250"/>
        <v>0</v>
      </c>
      <c r="L188" s="1159">
        <f t="shared" si="250"/>
        <v>39.00274978404196</v>
      </c>
      <c r="M188" s="1159">
        <f t="shared" si="250"/>
        <v>37.098464158275661</v>
      </c>
      <c r="N188" s="1159">
        <f t="shared" si="250"/>
        <v>36.077595065102152</v>
      </c>
      <c r="O188" s="1159">
        <f t="shared" si="250"/>
        <v>35.543917418699294</v>
      </c>
      <c r="P188" s="1159">
        <f t="shared" si="250"/>
        <v>11.010874460588251</v>
      </c>
      <c r="Q188" s="1159">
        <f t="shared" si="250"/>
        <v>17.934948173579187</v>
      </c>
      <c r="R188" s="1159">
        <f t="shared" si="250"/>
        <v>3.0420962147396504</v>
      </c>
      <c r="S188" s="1159">
        <f t="shared" si="250"/>
        <v>0</v>
      </c>
      <c r="T188" s="1159">
        <f t="shared" si="250"/>
        <v>0</v>
      </c>
      <c r="U188" s="1159">
        <f t="shared" si="250"/>
        <v>17.346600024849462</v>
      </c>
      <c r="V188" s="1159">
        <f t="shared" si="250"/>
        <v>17.905484596869758</v>
      </c>
      <c r="W188" s="1159">
        <f t="shared" si="250"/>
        <v>24.550461665830397</v>
      </c>
      <c r="X188" s="1159">
        <f t="shared" si="250"/>
        <v>18.686294931785621</v>
      </c>
      <c r="Y188" s="1159">
        <f t="shared" si="250"/>
        <v>32.935465531464118</v>
      </c>
      <c r="Z188" s="1159">
        <f t="shared" si="250"/>
        <v>37.133661947700368</v>
      </c>
      <c r="AA188" s="1159">
        <f t="shared" si="250"/>
        <v>34.597961168849544</v>
      </c>
      <c r="AB188" s="1159">
        <f t="shared" si="250"/>
        <v>40.320201696572028</v>
      </c>
      <c r="AC188" s="1159">
        <f t="shared" si="250"/>
        <v>33.955288946430237</v>
      </c>
      <c r="AD188" s="1159">
        <f t="shared" si="250"/>
        <v>38.869990728656227</v>
      </c>
      <c r="AE188" s="1159">
        <f t="shared" si="250"/>
        <v>34.03709409072551</v>
      </c>
      <c r="AF188" s="1159">
        <f t="shared" si="250"/>
        <v>13.28847201926026</v>
      </c>
      <c r="AG188" s="1159">
        <f t="shared" si="250"/>
        <v>34.087076612823267</v>
      </c>
      <c r="AH188" s="1159">
        <f t="shared" si="250"/>
        <v>32.459096444485262</v>
      </c>
      <c r="AI188" s="1159">
        <f t="shared" si="250"/>
        <v>28.131119333354281</v>
      </c>
      <c r="AJ188" s="1159">
        <f t="shared" si="250"/>
        <v>28.7165711562428</v>
      </c>
      <c r="AK188" s="1666">
        <f t="shared" si="250"/>
        <v>30.618000918613703</v>
      </c>
    </row>
    <row r="189" spans="2:37">
      <c r="B189" s="1337" t="s">
        <v>189</v>
      </c>
      <c r="C189" s="1181" t="s">
        <v>298</v>
      </c>
      <c r="D189" s="1159">
        <f>SUM(D187:D188)</f>
        <v>76.216956226845696</v>
      </c>
      <c r="E189" s="1159">
        <f t="shared" ref="E189:AH189" si="251">SUM(E187:E188)</f>
        <v>76.687328928077591</v>
      </c>
      <c r="F189" s="1159">
        <f t="shared" si="251"/>
        <v>78.435859319638951</v>
      </c>
      <c r="G189" s="1159">
        <f t="shared" si="251"/>
        <v>60.218015434757355</v>
      </c>
      <c r="H189" s="1159">
        <f t="shared" si="251"/>
        <v>47.027596342515736</v>
      </c>
      <c r="I189" s="1159">
        <f t="shared" si="251"/>
        <v>57.488055579429378</v>
      </c>
      <c r="J189" s="1159">
        <f t="shared" si="251"/>
        <v>52.293902373306267</v>
      </c>
      <c r="K189" s="1159">
        <f t="shared" si="251"/>
        <v>18.336421705404089</v>
      </c>
      <c r="L189" s="1159">
        <f t="shared" si="251"/>
        <v>53.923754375442762</v>
      </c>
      <c r="M189" s="1159">
        <f t="shared" si="251"/>
        <v>55.88124675398452</v>
      </c>
      <c r="N189" s="1159">
        <f t="shared" si="251"/>
        <v>55.072283649001776</v>
      </c>
      <c r="O189" s="1159">
        <f t="shared" si="251"/>
        <v>54.839106928158088</v>
      </c>
      <c r="P189" s="1159">
        <f t="shared" si="251"/>
        <v>11.010874460588251</v>
      </c>
      <c r="Q189" s="1159">
        <f t="shared" si="251"/>
        <v>37.558159670369193</v>
      </c>
      <c r="R189" s="1159">
        <f t="shared" si="251"/>
        <v>22.963067959949647</v>
      </c>
      <c r="S189" s="1159">
        <f t="shared" si="251"/>
        <v>20.161698951795213</v>
      </c>
      <c r="T189" s="1159">
        <f t="shared" si="251"/>
        <v>19.840570788492748</v>
      </c>
      <c r="U189" s="1159">
        <f t="shared" si="251"/>
        <v>37.476203469849466</v>
      </c>
      <c r="V189" s="1159">
        <f t="shared" si="251"/>
        <v>35.657554506195495</v>
      </c>
      <c r="W189" s="1159">
        <f t="shared" si="251"/>
        <v>44.839281836081042</v>
      </c>
      <c r="X189" s="1159">
        <f t="shared" si="251"/>
        <v>39.036194951470257</v>
      </c>
      <c r="Y189" s="1159">
        <f t="shared" si="251"/>
        <v>53.343361531464112</v>
      </c>
      <c r="Z189" s="1159">
        <f t="shared" si="251"/>
        <v>57.630791453700368</v>
      </c>
      <c r="AA189" s="1159">
        <f t="shared" si="251"/>
        <v>55.18932503984955</v>
      </c>
      <c r="AB189" s="1159">
        <f t="shared" si="251"/>
        <v>61.049687339133932</v>
      </c>
      <c r="AC189" s="1159">
        <f t="shared" si="251"/>
        <v>54.733399324327905</v>
      </c>
      <c r="AD189" s="1159">
        <f t="shared" si="251"/>
        <v>59.700881589656227</v>
      </c>
      <c r="AE189" s="1159">
        <f t="shared" si="251"/>
        <v>41.682967721123639</v>
      </c>
      <c r="AF189" s="1159">
        <f t="shared" si="251"/>
        <v>33.333757299443221</v>
      </c>
      <c r="AG189" s="1159">
        <f t="shared" si="251"/>
        <v>54.260065357506392</v>
      </c>
      <c r="AH189" s="1159">
        <f t="shared" si="251"/>
        <v>52.82433674399622</v>
      </c>
      <c r="AI189" s="1159">
        <f t="shared" ref="AI189:AJ189" si="252">SUM(AI187:AI188)</f>
        <v>48.376809785901841</v>
      </c>
      <c r="AJ189" s="1159">
        <f t="shared" si="252"/>
        <v>49.028681782052104</v>
      </c>
      <c r="AK189" s="1666">
        <f t="shared" ref="AK189" si="253">SUM(AK187:AK188)</f>
        <v>50.943951792243197</v>
      </c>
    </row>
    <row r="190" spans="2:37">
      <c r="B190" s="1315" t="s">
        <v>288</v>
      </c>
      <c r="C190" s="1181"/>
      <c r="D190" s="1159"/>
      <c r="E190" s="1159"/>
      <c r="F190" s="1159"/>
      <c r="G190" s="1159"/>
      <c r="H190" s="1159"/>
      <c r="I190" s="1159"/>
      <c r="J190" s="1159"/>
      <c r="K190" s="1159"/>
      <c r="L190" s="1159"/>
      <c r="M190" s="1159"/>
      <c r="N190" s="1159"/>
      <c r="O190" s="1159"/>
      <c r="P190" s="1159"/>
      <c r="Q190" s="1159"/>
      <c r="R190" s="1159"/>
      <c r="S190" s="1159"/>
      <c r="T190" s="1159"/>
      <c r="U190" s="1159"/>
      <c r="V190" s="1159"/>
      <c r="W190" s="1159"/>
      <c r="X190" s="1159"/>
      <c r="Y190" s="1159"/>
      <c r="Z190" s="1159"/>
      <c r="AA190" s="1159"/>
      <c r="AB190" s="1159"/>
      <c r="AC190" s="1159"/>
      <c r="AD190" s="1159"/>
      <c r="AE190" s="1159"/>
      <c r="AF190" s="1159"/>
      <c r="AG190" s="1159"/>
      <c r="AH190" s="1339"/>
      <c r="AI190" s="1564"/>
      <c r="AJ190" s="1564"/>
      <c r="AK190" s="1385"/>
    </row>
    <row r="191" spans="2:37">
      <c r="B191" s="1181" t="s">
        <v>289</v>
      </c>
      <c r="C191" s="1181" t="s">
        <v>298</v>
      </c>
      <c r="D191" s="1159">
        <f t="shared" ref="D191:AK191" si="254">D$49*D$143</f>
        <v>923.43562059494752</v>
      </c>
      <c r="E191" s="1159">
        <f t="shared" si="254"/>
        <v>929.7771438788568</v>
      </c>
      <c r="F191" s="1159">
        <f t="shared" si="254"/>
        <v>953.0481016002542</v>
      </c>
      <c r="G191" s="1159">
        <f t="shared" si="254"/>
        <v>958.7464720836341</v>
      </c>
      <c r="H191" s="1159">
        <f t="shared" si="254"/>
        <v>974.11744334298862</v>
      </c>
      <c r="I191" s="1159">
        <f t="shared" si="254"/>
        <v>988.94320389667666</v>
      </c>
      <c r="J191" s="1159">
        <f t="shared" si="254"/>
        <v>999.29619882454438</v>
      </c>
      <c r="K191" s="1159">
        <f t="shared" si="254"/>
        <v>1013.8845841927711</v>
      </c>
      <c r="L191" s="1159">
        <f t="shared" si="254"/>
        <v>1031.3147931644476</v>
      </c>
      <c r="M191" s="1159">
        <f t="shared" si="254"/>
        <v>1044.8859239024357</v>
      </c>
      <c r="N191" s="1159">
        <f t="shared" si="254"/>
        <v>982.44232309255972</v>
      </c>
      <c r="O191" s="1159">
        <f t="shared" si="254"/>
        <v>997.71368366646686</v>
      </c>
      <c r="P191" s="1159">
        <f t="shared" si="254"/>
        <v>1030.9304306899955</v>
      </c>
      <c r="Q191" s="1159">
        <f t="shared" si="254"/>
        <v>992.72281791264493</v>
      </c>
      <c r="R191" s="1159">
        <f t="shared" si="254"/>
        <v>1021.6546036661667</v>
      </c>
      <c r="S191" s="1159">
        <f t="shared" si="254"/>
        <v>1104.4887501229325</v>
      </c>
      <c r="T191" s="1159">
        <f t="shared" si="254"/>
        <v>1056.4580556984106</v>
      </c>
      <c r="U191" s="1159">
        <f t="shared" si="254"/>
        <v>1082.8427697888319</v>
      </c>
      <c r="V191" s="1159">
        <f t="shared" si="254"/>
        <v>1072.6930322251053</v>
      </c>
      <c r="W191" s="1159">
        <f t="shared" si="254"/>
        <v>1058.4695739104272</v>
      </c>
      <c r="X191" s="1159">
        <f t="shared" si="254"/>
        <v>1057.2776173253715</v>
      </c>
      <c r="Y191" s="1159">
        <f t="shared" si="254"/>
        <v>996.63059097409496</v>
      </c>
      <c r="Z191" s="1159">
        <f t="shared" si="254"/>
        <v>1075.2119463487459</v>
      </c>
      <c r="AA191" s="1159">
        <f t="shared" si="254"/>
        <v>1077.4813643535153</v>
      </c>
      <c r="AB191" s="1159">
        <f t="shared" si="254"/>
        <v>1085.656911707435</v>
      </c>
      <c r="AC191" s="1159">
        <f t="shared" si="254"/>
        <v>1093.7029341709363</v>
      </c>
      <c r="AD191" s="1159">
        <f t="shared" si="254"/>
        <v>1096.6696917969155</v>
      </c>
      <c r="AE191" s="1159">
        <f t="shared" si="254"/>
        <v>1116.4723164741224</v>
      </c>
      <c r="AF191" s="1159">
        <f t="shared" si="254"/>
        <v>1123.0140747532823</v>
      </c>
      <c r="AG191" s="1159">
        <f t="shared" si="254"/>
        <v>1127.7151512813828</v>
      </c>
      <c r="AH191" s="1159">
        <f t="shared" si="254"/>
        <v>1113.4081796769619</v>
      </c>
      <c r="AI191" s="1159">
        <f t="shared" si="254"/>
        <v>1115.7772348091339</v>
      </c>
      <c r="AJ191" s="1159">
        <f t="shared" si="254"/>
        <v>1123.3532018505475</v>
      </c>
      <c r="AK191" s="1666">
        <f t="shared" si="254"/>
        <v>1197.7345477303093</v>
      </c>
    </row>
    <row r="192" spans="2:37">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625"/>
      <c r="AC192" s="625"/>
      <c r="AD192" s="625"/>
      <c r="AE192" s="625"/>
      <c r="AF192" s="625"/>
      <c r="AG192" s="625"/>
      <c r="AH192" s="625"/>
      <c r="AI192" s="625"/>
      <c r="AJ192" s="625"/>
      <c r="AK192" s="625"/>
    </row>
    <row r="193" spans="1:37">
      <c r="D193" s="1346"/>
      <c r="E193" s="270"/>
      <c r="F193" s="270"/>
      <c r="G193" s="270"/>
      <c r="H193" s="270"/>
      <c r="I193" s="270"/>
      <c r="J193" s="270"/>
      <c r="K193" s="270"/>
      <c r="L193" s="270"/>
      <c r="M193" s="270"/>
      <c r="N193" s="270"/>
      <c r="O193" s="270"/>
      <c r="P193" s="270"/>
      <c r="Q193" s="270"/>
      <c r="R193" s="270"/>
      <c r="S193" s="270"/>
      <c r="T193" s="270"/>
      <c r="U193" s="270"/>
      <c r="V193" s="270"/>
      <c r="W193" s="270"/>
      <c r="X193" s="270"/>
      <c r="Y193" s="270"/>
      <c r="Z193" s="270"/>
      <c r="AA193" s="270"/>
      <c r="AB193" s="625"/>
      <c r="AC193" s="625"/>
      <c r="AD193" s="625"/>
      <c r="AE193" s="625"/>
      <c r="AF193" s="625"/>
      <c r="AG193" s="625"/>
      <c r="AH193" s="625"/>
      <c r="AI193" s="625"/>
    </row>
    <row r="194" spans="1:37" ht="22" thickBot="1">
      <c r="B194" s="89" t="s">
        <v>299</v>
      </c>
      <c r="C194" s="1330"/>
      <c r="D194" s="1330"/>
      <c r="E194" s="1330"/>
      <c r="F194" s="1330"/>
      <c r="G194" s="1330"/>
      <c r="H194" s="1330"/>
      <c r="I194" s="6"/>
      <c r="J194" s="6"/>
      <c r="K194" s="6"/>
      <c r="L194" s="6"/>
      <c r="M194" s="6"/>
      <c r="N194" s="6"/>
      <c r="O194" s="6"/>
      <c r="P194" s="6"/>
      <c r="Q194" s="6"/>
      <c r="R194" s="6"/>
      <c r="S194" s="6"/>
      <c r="T194" s="6"/>
      <c r="U194" s="6"/>
      <c r="V194" s="6"/>
      <c r="W194" s="6"/>
      <c r="X194" s="6"/>
      <c r="Y194" s="6"/>
      <c r="Z194" s="6"/>
      <c r="AA194" s="6"/>
      <c r="AB194" s="626"/>
      <c r="AC194" s="6"/>
      <c r="AD194" s="235"/>
    </row>
    <row r="195" spans="1:37" ht="15" thickBot="1">
      <c r="B195" s="1353" t="s">
        <v>291</v>
      </c>
      <c r="C195" s="1351">
        <v>1E-3</v>
      </c>
      <c r="D195" s="6"/>
      <c r="E195" s="6"/>
      <c r="F195" s="6"/>
      <c r="G195" s="6"/>
      <c r="H195" s="6"/>
      <c r="I195" s="6"/>
      <c r="J195" s="6"/>
      <c r="K195" s="6"/>
      <c r="L195" s="6"/>
      <c r="M195" s="6"/>
      <c r="N195" s="6"/>
      <c r="O195" s="6"/>
      <c r="P195" s="6"/>
      <c r="Q195" s="6"/>
      <c r="R195" s="6"/>
      <c r="S195" s="6"/>
      <c r="T195" s="6"/>
      <c r="U195" s="6"/>
      <c r="V195" s="6"/>
      <c r="W195" s="6"/>
      <c r="X195" s="6"/>
      <c r="Y195" s="6"/>
      <c r="Z195" s="6"/>
      <c r="AA195" s="6"/>
      <c r="AB195" s="626"/>
      <c r="AC195" s="6"/>
      <c r="AD195" s="235"/>
    </row>
    <row r="196" spans="1:37" s="1273" customFormat="1">
      <c r="A196"/>
      <c r="B196" s="1352" t="s">
        <v>300</v>
      </c>
      <c r="C196" s="956" t="s">
        <v>257</v>
      </c>
      <c r="D196" s="957">
        <v>1990</v>
      </c>
      <c r="E196" s="957">
        <v>1991</v>
      </c>
      <c r="F196" s="957">
        <v>1992</v>
      </c>
      <c r="G196" s="957">
        <v>1993</v>
      </c>
      <c r="H196" s="957">
        <v>1994</v>
      </c>
      <c r="I196" s="957">
        <v>1995</v>
      </c>
      <c r="J196" s="957">
        <v>1996</v>
      </c>
      <c r="K196" s="957">
        <v>1997</v>
      </c>
      <c r="L196" s="957">
        <v>1998</v>
      </c>
      <c r="M196" s="957">
        <v>1999</v>
      </c>
      <c r="N196" s="957">
        <v>2000</v>
      </c>
      <c r="O196" s="957">
        <v>2001</v>
      </c>
      <c r="P196" s="957">
        <v>2002</v>
      </c>
      <c r="Q196" s="957">
        <v>2003</v>
      </c>
      <c r="R196" s="957">
        <v>2004</v>
      </c>
      <c r="S196" s="957">
        <v>2005</v>
      </c>
      <c r="T196" s="957">
        <v>2006</v>
      </c>
      <c r="U196" s="957">
        <v>2007</v>
      </c>
      <c r="V196" s="957">
        <v>2008</v>
      </c>
      <c r="W196" s="957">
        <v>2009</v>
      </c>
      <c r="X196" s="957">
        <v>2010</v>
      </c>
      <c r="Y196" s="957">
        <v>2011</v>
      </c>
      <c r="Z196" s="957">
        <v>2012</v>
      </c>
      <c r="AA196" s="957">
        <v>2013</v>
      </c>
      <c r="AB196" s="957">
        <v>2014</v>
      </c>
      <c r="AC196" s="957">
        <v>2015</v>
      </c>
      <c r="AD196" s="957">
        <v>2016</v>
      </c>
      <c r="AE196" s="957">
        <v>2017</v>
      </c>
      <c r="AF196" s="957">
        <v>2018</v>
      </c>
      <c r="AG196" s="957">
        <v>2019</v>
      </c>
      <c r="AH196" s="1218">
        <v>2020</v>
      </c>
      <c r="AI196" s="957">
        <v>2021</v>
      </c>
      <c r="AJ196" s="1218">
        <v>2022</v>
      </c>
      <c r="AK196" s="957">
        <v>2023</v>
      </c>
    </row>
    <row r="197" spans="1:37" s="1273" customFormat="1" ht="12">
      <c r="B197" s="1258" t="s">
        <v>127</v>
      </c>
      <c r="C197" s="1269" t="s">
        <v>301</v>
      </c>
      <c r="D197" s="1257">
        <v>2.2102064128051344</v>
      </c>
      <c r="E197" s="1257">
        <v>2.1969258815379233</v>
      </c>
      <c r="F197" s="1257">
        <v>2.1896362749423512</v>
      </c>
      <c r="G197" s="1257">
        <v>2.1740378950881922</v>
      </c>
      <c r="H197" s="1257">
        <v>2.1877394856987888</v>
      </c>
      <c r="I197" s="1257">
        <v>2.1944700917036082</v>
      </c>
      <c r="J197" s="1257">
        <v>2.1681504650448162</v>
      </c>
      <c r="K197" s="1257">
        <v>2.187810635772355</v>
      </c>
      <c r="L197" s="1257">
        <v>2.2267963144878475</v>
      </c>
      <c r="M197" s="1257">
        <v>2.222069525484486</v>
      </c>
      <c r="N197" s="1257">
        <v>2.2093497838965446</v>
      </c>
      <c r="O197" s="1257">
        <v>2.2279751348269232</v>
      </c>
      <c r="P197" s="1257">
        <v>2.2210550882494267</v>
      </c>
      <c r="Q197" s="1257">
        <v>2.2071994839620115</v>
      </c>
      <c r="R197" s="1257">
        <v>2.2255875414515534</v>
      </c>
      <c r="S197" s="1257">
        <v>2.2314336550417626</v>
      </c>
      <c r="T197" s="1257">
        <v>2.263131057690178</v>
      </c>
      <c r="U197" s="1257">
        <v>2.243388070595643</v>
      </c>
      <c r="V197" s="1257">
        <v>2.2332769768067333</v>
      </c>
      <c r="W197" s="1257">
        <v>2.2416318559921846</v>
      </c>
      <c r="X197" s="1257">
        <v>2.2263841781314451</v>
      </c>
      <c r="Y197" s="1257">
        <v>2.2141060594333433</v>
      </c>
      <c r="Z197" s="1257">
        <v>2.2535484645244086</v>
      </c>
      <c r="AA197" s="1257">
        <v>2.2023337402461078</v>
      </c>
      <c r="AB197" s="1257">
        <v>2.2102568038982437</v>
      </c>
      <c r="AC197" s="1257">
        <v>2.2577075023960584</v>
      </c>
      <c r="AD197" s="1257">
        <v>2.278303686120823</v>
      </c>
      <c r="AE197" s="1257">
        <v>2.2794351205829906</v>
      </c>
      <c r="AF197" s="1257">
        <v>2.2473248028071411</v>
      </c>
      <c r="AG197" s="1257">
        <v>2.248160164541702</v>
      </c>
      <c r="AH197" s="1257">
        <v>2.2728171684416343</v>
      </c>
      <c r="AI197" s="1257">
        <v>2.2770228241235717</v>
      </c>
      <c r="AJ197" s="1257">
        <v>2.2770228241235717</v>
      </c>
      <c r="AK197" s="1669">
        <v>2.2770228241235717</v>
      </c>
    </row>
    <row r="198" spans="1:37" s="1273" customFormat="1" ht="12">
      <c r="B198" s="1258" t="s">
        <v>284</v>
      </c>
      <c r="C198" s="1258" t="s">
        <v>302</v>
      </c>
      <c r="D198" s="1257">
        <v>4</v>
      </c>
      <c r="E198" s="1257">
        <v>4.0000000000000009</v>
      </c>
      <c r="F198" s="1257">
        <v>4.0000000000000009</v>
      </c>
      <c r="G198" s="1257">
        <v>4</v>
      </c>
      <c r="H198" s="1257">
        <v>4</v>
      </c>
      <c r="I198" s="1257">
        <v>4</v>
      </c>
      <c r="J198" s="1257">
        <v>3.9999999999999991</v>
      </c>
      <c r="K198" s="1257">
        <v>4</v>
      </c>
      <c r="L198" s="1257">
        <v>4.0000000000000009</v>
      </c>
      <c r="M198" s="1257">
        <v>4</v>
      </c>
      <c r="N198" s="1257">
        <v>4</v>
      </c>
      <c r="O198" s="1257">
        <v>4</v>
      </c>
      <c r="P198" s="1257">
        <v>4</v>
      </c>
      <c r="Q198" s="1257">
        <v>4</v>
      </c>
      <c r="R198" s="1257">
        <v>4.0000000000000009</v>
      </c>
      <c r="S198" s="1257">
        <v>4</v>
      </c>
      <c r="T198" s="1257">
        <v>4</v>
      </c>
      <c r="U198" s="1257">
        <v>3.9999999999999991</v>
      </c>
      <c r="V198" s="1257">
        <v>4</v>
      </c>
      <c r="W198" s="1257">
        <v>4</v>
      </c>
      <c r="X198" s="1257">
        <v>4</v>
      </c>
      <c r="Y198" s="1257">
        <v>4</v>
      </c>
      <c r="Z198" s="1257">
        <v>4</v>
      </c>
      <c r="AA198" s="1257">
        <v>4</v>
      </c>
      <c r="AB198" s="1257">
        <v>4</v>
      </c>
      <c r="AC198" s="1257">
        <v>4</v>
      </c>
      <c r="AD198" s="1257">
        <v>4</v>
      </c>
      <c r="AE198" s="1257">
        <v>3.9999999999999991</v>
      </c>
      <c r="AF198" s="1257">
        <v>4</v>
      </c>
      <c r="AG198" s="1257">
        <v>4</v>
      </c>
      <c r="AH198" s="1257">
        <v>4</v>
      </c>
      <c r="AI198" s="1257">
        <v>3.9999999999999996</v>
      </c>
      <c r="AJ198" s="1257">
        <v>4.0000000000000009</v>
      </c>
      <c r="AK198" s="1669">
        <v>4.0000000000000009</v>
      </c>
    </row>
    <row r="199" spans="1:37" s="1273" customFormat="1" ht="12">
      <c r="B199" s="1258" t="s">
        <v>303</v>
      </c>
      <c r="C199" s="1258" t="s">
        <v>304</v>
      </c>
      <c r="D199" s="1257">
        <v>11326.700000000003</v>
      </c>
      <c r="E199" s="1257">
        <v>11326.7</v>
      </c>
      <c r="F199" s="1257">
        <v>11326.7</v>
      </c>
      <c r="G199" s="1257">
        <v>11326.7</v>
      </c>
      <c r="H199" s="1257">
        <v>11326.7</v>
      </c>
      <c r="I199" s="1257">
        <v>11326.7</v>
      </c>
      <c r="J199" s="1257">
        <v>11326.7</v>
      </c>
      <c r="K199" s="1257">
        <v>11326.7</v>
      </c>
      <c r="L199" s="1257">
        <v>11326.7</v>
      </c>
      <c r="M199" s="1257">
        <v>11326.7</v>
      </c>
      <c r="N199" s="1257">
        <v>11326.7</v>
      </c>
      <c r="O199" s="1257">
        <v>11326.7</v>
      </c>
      <c r="P199" s="1257">
        <v>11326.7</v>
      </c>
      <c r="Q199" s="1257">
        <v>11326.7</v>
      </c>
      <c r="R199" s="1257">
        <v>11326.699999999999</v>
      </c>
      <c r="S199" s="1257">
        <v>11326.7</v>
      </c>
      <c r="T199" s="1257">
        <v>11326.7</v>
      </c>
      <c r="U199" s="1257">
        <v>11326.7</v>
      </c>
      <c r="V199" s="1257">
        <v>11326.7</v>
      </c>
      <c r="W199" s="1257">
        <v>11326.700000000003</v>
      </c>
      <c r="X199" s="1257">
        <v>11326.7</v>
      </c>
      <c r="Y199" s="1257">
        <v>11326.7</v>
      </c>
      <c r="Z199" s="1257">
        <v>11326.7</v>
      </c>
      <c r="AA199" s="1257">
        <v>11326.699999999999</v>
      </c>
      <c r="AB199" s="1257">
        <v>11326.7</v>
      </c>
      <c r="AC199" s="1257">
        <v>11326.7</v>
      </c>
      <c r="AD199" s="1257">
        <v>11326.7</v>
      </c>
      <c r="AE199" s="1257">
        <v>11326.7</v>
      </c>
      <c r="AF199" s="1257">
        <v>11326.7</v>
      </c>
      <c r="AG199" s="1257">
        <v>11326.700000000003</v>
      </c>
      <c r="AH199" s="1257">
        <v>11326.7</v>
      </c>
      <c r="AI199" s="1257">
        <v>11326.7</v>
      </c>
      <c r="AJ199" s="1257">
        <v>11326.7</v>
      </c>
      <c r="AK199" s="1669">
        <v>11326.7</v>
      </c>
    </row>
    <row r="200" spans="1:37" s="1273" customFormat="1" ht="15.65" customHeight="1" thickBot="1">
      <c r="B200" s="1259" t="s">
        <v>305</v>
      </c>
      <c r="C200" s="1259" t="s">
        <v>306</v>
      </c>
      <c r="D200" s="1260">
        <v>0.3</v>
      </c>
      <c r="E200" s="1260">
        <v>0.30000000000000004</v>
      </c>
      <c r="F200" s="1260">
        <v>0.3</v>
      </c>
      <c r="G200" s="1260">
        <v>0.3</v>
      </c>
      <c r="H200" s="1260">
        <v>0.3</v>
      </c>
      <c r="I200" s="1260">
        <v>0.3</v>
      </c>
      <c r="J200" s="1260">
        <v>0.29999999999999993</v>
      </c>
      <c r="K200" s="1260">
        <v>0.29999999999999993</v>
      </c>
      <c r="L200" s="1260">
        <v>0.3</v>
      </c>
      <c r="M200" s="1260">
        <v>0.30000000000000004</v>
      </c>
      <c r="N200" s="1260">
        <v>0.3</v>
      </c>
      <c r="O200" s="1260">
        <v>0.3</v>
      </c>
      <c r="P200" s="1260">
        <v>0.3</v>
      </c>
      <c r="Q200" s="1260">
        <v>0.3</v>
      </c>
      <c r="R200" s="1260">
        <v>0.30000000000000004</v>
      </c>
      <c r="S200" s="1260">
        <v>0.29999999999999993</v>
      </c>
      <c r="T200" s="1260">
        <v>0.3</v>
      </c>
      <c r="U200" s="1260">
        <v>0.30000000000000004</v>
      </c>
      <c r="V200" s="1260">
        <v>0.3</v>
      </c>
      <c r="W200" s="1260">
        <v>0.3</v>
      </c>
      <c r="X200" s="1260">
        <v>0.3</v>
      </c>
      <c r="Y200" s="1260">
        <v>0.30000000000000004</v>
      </c>
      <c r="Z200" s="1260">
        <v>0.3</v>
      </c>
      <c r="AA200" s="1260">
        <v>0.3</v>
      </c>
      <c r="AB200" s="1260">
        <v>0.3</v>
      </c>
      <c r="AC200" s="1260">
        <v>0.3</v>
      </c>
      <c r="AD200" s="1260">
        <v>0.3</v>
      </c>
      <c r="AE200" s="1260">
        <v>0.3</v>
      </c>
      <c r="AF200" s="1260">
        <v>0.3</v>
      </c>
      <c r="AG200" s="1260">
        <v>0.3</v>
      </c>
      <c r="AH200" s="1260">
        <v>0.30000000000000004</v>
      </c>
      <c r="AI200" s="1260">
        <v>0.3</v>
      </c>
      <c r="AJ200" s="1260">
        <v>0.29999999999999993</v>
      </c>
      <c r="AK200" s="1677">
        <v>0.29999999999999993</v>
      </c>
    </row>
    <row r="201" spans="1:37" s="1273" customFormat="1" ht="12">
      <c r="B201" s="1269" t="s">
        <v>127</v>
      </c>
      <c r="C201" s="1269" t="s">
        <v>307</v>
      </c>
      <c r="D201" s="1272">
        <f t="shared" ref="D201:AH201" si="255">$C$195*D197</f>
        <v>2.2102064128051344E-3</v>
      </c>
      <c r="E201" s="1279">
        <f t="shared" si="255"/>
        <v>2.1969258815379236E-3</v>
      </c>
      <c r="F201" s="1279">
        <f t="shared" si="255"/>
        <v>2.1896362749423515E-3</v>
      </c>
      <c r="G201" s="1279">
        <f t="shared" si="255"/>
        <v>2.1740378950881921E-3</v>
      </c>
      <c r="H201" s="1279">
        <f t="shared" si="255"/>
        <v>2.1877394856987891E-3</v>
      </c>
      <c r="I201" s="1279">
        <f t="shared" si="255"/>
        <v>2.1944700917036083E-3</v>
      </c>
      <c r="J201" s="1279">
        <f t="shared" si="255"/>
        <v>2.1681504650448162E-3</v>
      </c>
      <c r="K201" s="1279">
        <f t="shared" si="255"/>
        <v>2.187810635772355E-3</v>
      </c>
      <c r="L201" s="1279">
        <f t="shared" si="255"/>
        <v>2.2267963144878477E-3</v>
      </c>
      <c r="M201" s="1279">
        <f t="shared" si="255"/>
        <v>2.2220695254844859E-3</v>
      </c>
      <c r="N201" s="1279">
        <f t="shared" si="255"/>
        <v>2.2093497838965447E-3</v>
      </c>
      <c r="O201" s="1279">
        <f t="shared" si="255"/>
        <v>2.2279751348269232E-3</v>
      </c>
      <c r="P201" s="1279">
        <f t="shared" si="255"/>
        <v>2.2210550882494269E-3</v>
      </c>
      <c r="Q201" s="1279">
        <f t="shared" si="255"/>
        <v>2.2071994839620115E-3</v>
      </c>
      <c r="R201" s="1279">
        <f t="shared" si="255"/>
        <v>2.2255875414515535E-3</v>
      </c>
      <c r="S201" s="1279">
        <f t="shared" si="255"/>
        <v>2.2314336550417627E-3</v>
      </c>
      <c r="T201" s="1279">
        <f t="shared" si="255"/>
        <v>2.263131057690178E-3</v>
      </c>
      <c r="U201" s="1279">
        <f t="shared" si="255"/>
        <v>2.2433880705956433E-3</v>
      </c>
      <c r="V201" s="1279">
        <f t="shared" si="255"/>
        <v>2.2332769768067333E-3</v>
      </c>
      <c r="W201" s="1279">
        <f t="shared" si="255"/>
        <v>2.2416318559921847E-3</v>
      </c>
      <c r="X201" s="1279">
        <f t="shared" si="255"/>
        <v>2.226384178131445E-3</v>
      </c>
      <c r="Y201" s="1279">
        <f t="shared" si="255"/>
        <v>2.2141060594333432E-3</v>
      </c>
      <c r="Z201" s="1279">
        <f t="shared" si="255"/>
        <v>2.2535484645244087E-3</v>
      </c>
      <c r="AA201" s="1279">
        <f t="shared" si="255"/>
        <v>2.2023337402461078E-3</v>
      </c>
      <c r="AB201" s="1279">
        <f t="shared" si="255"/>
        <v>2.2102568038982438E-3</v>
      </c>
      <c r="AC201" s="1279">
        <f t="shared" si="255"/>
        <v>2.2577075023960586E-3</v>
      </c>
      <c r="AD201" s="1279">
        <f t="shared" si="255"/>
        <v>2.2783036861208231E-3</v>
      </c>
      <c r="AE201" s="1279">
        <f t="shared" si="255"/>
        <v>2.2794351205829904E-3</v>
      </c>
      <c r="AF201" s="1279">
        <f t="shared" si="255"/>
        <v>2.2473248028071413E-3</v>
      </c>
      <c r="AG201" s="1279">
        <f t="shared" si="255"/>
        <v>2.2481601645417022E-3</v>
      </c>
      <c r="AH201" s="1272">
        <f t="shared" si="255"/>
        <v>2.2728171684416342E-3</v>
      </c>
      <c r="AI201" s="1567">
        <f t="shared" ref="AI201:AJ201" si="256">$C$195*AI197</f>
        <v>2.2770228241235715E-3</v>
      </c>
      <c r="AJ201" s="1567">
        <f t="shared" si="256"/>
        <v>2.2770228241235715E-3</v>
      </c>
      <c r="AK201" s="1678">
        <f t="shared" ref="AK201" si="257">$C$195*AK197</f>
        <v>2.2770228241235715E-3</v>
      </c>
    </row>
    <row r="202" spans="1:37" s="1273" customFormat="1" ht="12">
      <c r="B202" s="1258" t="s">
        <v>284</v>
      </c>
      <c r="C202" s="1258" t="s">
        <v>308</v>
      </c>
      <c r="D202" s="1274">
        <f t="shared" ref="D202:AH202" si="258">$C$195*D198</f>
        <v>4.0000000000000001E-3</v>
      </c>
      <c r="E202" s="1270">
        <f t="shared" si="258"/>
        <v>4.000000000000001E-3</v>
      </c>
      <c r="F202" s="1270">
        <f t="shared" si="258"/>
        <v>4.000000000000001E-3</v>
      </c>
      <c r="G202" s="1270">
        <f t="shared" si="258"/>
        <v>4.0000000000000001E-3</v>
      </c>
      <c r="H202" s="1270">
        <f t="shared" si="258"/>
        <v>4.0000000000000001E-3</v>
      </c>
      <c r="I202" s="1270">
        <f t="shared" si="258"/>
        <v>4.0000000000000001E-3</v>
      </c>
      <c r="J202" s="1270">
        <f t="shared" si="258"/>
        <v>3.9999999999999992E-3</v>
      </c>
      <c r="K202" s="1270">
        <f t="shared" si="258"/>
        <v>4.0000000000000001E-3</v>
      </c>
      <c r="L202" s="1270">
        <f t="shared" si="258"/>
        <v>4.000000000000001E-3</v>
      </c>
      <c r="M202" s="1270">
        <f t="shared" si="258"/>
        <v>4.0000000000000001E-3</v>
      </c>
      <c r="N202" s="1270">
        <f t="shared" si="258"/>
        <v>4.0000000000000001E-3</v>
      </c>
      <c r="O202" s="1270">
        <f t="shared" si="258"/>
        <v>4.0000000000000001E-3</v>
      </c>
      <c r="P202" s="1270">
        <f t="shared" si="258"/>
        <v>4.0000000000000001E-3</v>
      </c>
      <c r="Q202" s="1270">
        <f t="shared" si="258"/>
        <v>4.0000000000000001E-3</v>
      </c>
      <c r="R202" s="1270">
        <f t="shared" si="258"/>
        <v>4.000000000000001E-3</v>
      </c>
      <c r="S202" s="1270">
        <f t="shared" si="258"/>
        <v>4.0000000000000001E-3</v>
      </c>
      <c r="T202" s="1270">
        <f t="shared" si="258"/>
        <v>4.0000000000000001E-3</v>
      </c>
      <c r="U202" s="1270">
        <f t="shared" si="258"/>
        <v>3.9999999999999992E-3</v>
      </c>
      <c r="V202" s="1270">
        <f t="shared" si="258"/>
        <v>4.0000000000000001E-3</v>
      </c>
      <c r="W202" s="1270">
        <f t="shared" si="258"/>
        <v>4.0000000000000001E-3</v>
      </c>
      <c r="X202" s="1270">
        <f t="shared" si="258"/>
        <v>4.0000000000000001E-3</v>
      </c>
      <c r="Y202" s="1270">
        <f t="shared" si="258"/>
        <v>4.0000000000000001E-3</v>
      </c>
      <c r="Z202" s="1270">
        <f t="shared" si="258"/>
        <v>4.0000000000000001E-3</v>
      </c>
      <c r="AA202" s="1270">
        <f t="shared" si="258"/>
        <v>4.0000000000000001E-3</v>
      </c>
      <c r="AB202" s="1270">
        <f t="shared" si="258"/>
        <v>4.0000000000000001E-3</v>
      </c>
      <c r="AC202" s="1270">
        <f t="shared" si="258"/>
        <v>4.0000000000000001E-3</v>
      </c>
      <c r="AD202" s="1270">
        <f t="shared" si="258"/>
        <v>4.0000000000000001E-3</v>
      </c>
      <c r="AE202" s="1270">
        <f t="shared" si="258"/>
        <v>3.9999999999999992E-3</v>
      </c>
      <c r="AF202" s="1270">
        <f t="shared" si="258"/>
        <v>4.0000000000000001E-3</v>
      </c>
      <c r="AG202" s="1270">
        <f t="shared" si="258"/>
        <v>4.0000000000000001E-3</v>
      </c>
      <c r="AH202" s="1274">
        <f t="shared" si="258"/>
        <v>4.0000000000000001E-3</v>
      </c>
      <c r="AI202" s="1568">
        <f t="shared" ref="AI202:AJ202" si="259">$C$195*AI198</f>
        <v>3.9999999999999992E-3</v>
      </c>
      <c r="AJ202" s="1568">
        <f t="shared" si="259"/>
        <v>4.000000000000001E-3</v>
      </c>
      <c r="AK202" s="1679">
        <f t="shared" ref="AK202" si="260">$C$195*AK198</f>
        <v>4.000000000000001E-3</v>
      </c>
    </row>
    <row r="203" spans="1:37" s="1273" customFormat="1" ht="12">
      <c r="B203" s="1258" t="s">
        <v>303</v>
      </c>
      <c r="C203" s="1258" t="s">
        <v>309</v>
      </c>
      <c r="D203" s="1274">
        <f t="shared" ref="D203:AH203" si="261">$C$195*D199</f>
        <v>11.326700000000002</v>
      </c>
      <c r="E203" s="1270">
        <f t="shared" si="261"/>
        <v>11.326700000000001</v>
      </c>
      <c r="F203" s="1270">
        <f t="shared" si="261"/>
        <v>11.326700000000001</v>
      </c>
      <c r="G203" s="1270">
        <f t="shared" si="261"/>
        <v>11.326700000000001</v>
      </c>
      <c r="H203" s="1270">
        <f t="shared" si="261"/>
        <v>11.326700000000001</v>
      </c>
      <c r="I203" s="1270">
        <f t="shared" si="261"/>
        <v>11.326700000000001</v>
      </c>
      <c r="J203" s="1270">
        <f t="shared" si="261"/>
        <v>11.326700000000001</v>
      </c>
      <c r="K203" s="1270">
        <f t="shared" si="261"/>
        <v>11.326700000000001</v>
      </c>
      <c r="L203" s="1270">
        <f t="shared" si="261"/>
        <v>11.326700000000001</v>
      </c>
      <c r="M203" s="1270">
        <f t="shared" si="261"/>
        <v>11.326700000000001</v>
      </c>
      <c r="N203" s="1270">
        <f t="shared" si="261"/>
        <v>11.326700000000001</v>
      </c>
      <c r="O203" s="1270">
        <f t="shared" si="261"/>
        <v>11.326700000000001</v>
      </c>
      <c r="P203" s="1270">
        <f t="shared" si="261"/>
        <v>11.326700000000001</v>
      </c>
      <c r="Q203" s="1270">
        <f t="shared" si="261"/>
        <v>11.326700000000001</v>
      </c>
      <c r="R203" s="1270">
        <f t="shared" si="261"/>
        <v>11.326699999999999</v>
      </c>
      <c r="S203" s="1270">
        <f t="shared" si="261"/>
        <v>11.326700000000001</v>
      </c>
      <c r="T203" s="1270">
        <f t="shared" si="261"/>
        <v>11.326700000000001</v>
      </c>
      <c r="U203" s="1270">
        <f t="shared" si="261"/>
        <v>11.326700000000001</v>
      </c>
      <c r="V203" s="1270">
        <f t="shared" si="261"/>
        <v>11.326700000000001</v>
      </c>
      <c r="W203" s="1270">
        <f t="shared" si="261"/>
        <v>11.326700000000002</v>
      </c>
      <c r="X203" s="1270">
        <f t="shared" si="261"/>
        <v>11.326700000000001</v>
      </c>
      <c r="Y203" s="1270">
        <f t="shared" si="261"/>
        <v>11.326700000000001</v>
      </c>
      <c r="Z203" s="1270">
        <f t="shared" si="261"/>
        <v>11.326700000000001</v>
      </c>
      <c r="AA203" s="1270">
        <f t="shared" si="261"/>
        <v>11.326699999999999</v>
      </c>
      <c r="AB203" s="1270">
        <f t="shared" si="261"/>
        <v>11.326700000000001</v>
      </c>
      <c r="AC203" s="1270">
        <f t="shared" si="261"/>
        <v>11.326700000000001</v>
      </c>
      <c r="AD203" s="1270">
        <f t="shared" si="261"/>
        <v>11.326700000000001</v>
      </c>
      <c r="AE203" s="1270">
        <f t="shared" si="261"/>
        <v>11.326700000000001</v>
      </c>
      <c r="AF203" s="1270">
        <f t="shared" si="261"/>
        <v>11.326700000000001</v>
      </c>
      <c r="AG203" s="1270">
        <f t="shared" si="261"/>
        <v>11.326700000000002</v>
      </c>
      <c r="AH203" s="1274">
        <f t="shared" si="261"/>
        <v>11.326700000000001</v>
      </c>
      <c r="AI203" s="1568">
        <f t="shared" ref="AI203:AJ203" si="262">$C$195*AI199</f>
        <v>11.326700000000001</v>
      </c>
      <c r="AJ203" s="1568">
        <f t="shared" si="262"/>
        <v>11.326700000000001</v>
      </c>
      <c r="AK203" s="1679">
        <f t="shared" ref="AK203" si="263">$C$195*AK199</f>
        <v>11.326700000000001</v>
      </c>
    </row>
    <row r="204" spans="1:37" s="1273" customFormat="1" ht="12.5" thickBot="1">
      <c r="B204" s="1259" t="s">
        <v>305</v>
      </c>
      <c r="C204" s="1259" t="s">
        <v>310</v>
      </c>
      <c r="D204" s="1275">
        <f t="shared" ref="D204:AH204" si="264">$C$195*D200</f>
        <v>2.9999999999999997E-4</v>
      </c>
      <c r="E204" s="1276">
        <f t="shared" si="264"/>
        <v>3.0000000000000003E-4</v>
      </c>
      <c r="F204" s="1276">
        <f t="shared" si="264"/>
        <v>2.9999999999999997E-4</v>
      </c>
      <c r="G204" s="1276">
        <f t="shared" si="264"/>
        <v>2.9999999999999997E-4</v>
      </c>
      <c r="H204" s="1276">
        <f t="shared" si="264"/>
        <v>2.9999999999999997E-4</v>
      </c>
      <c r="I204" s="1276">
        <f t="shared" si="264"/>
        <v>2.9999999999999997E-4</v>
      </c>
      <c r="J204" s="1276">
        <f t="shared" si="264"/>
        <v>2.9999999999999992E-4</v>
      </c>
      <c r="K204" s="1276">
        <f t="shared" si="264"/>
        <v>2.9999999999999992E-4</v>
      </c>
      <c r="L204" s="1276">
        <f t="shared" si="264"/>
        <v>2.9999999999999997E-4</v>
      </c>
      <c r="M204" s="1276">
        <f t="shared" si="264"/>
        <v>3.0000000000000003E-4</v>
      </c>
      <c r="N204" s="1276">
        <f t="shared" si="264"/>
        <v>2.9999999999999997E-4</v>
      </c>
      <c r="O204" s="1276">
        <f t="shared" si="264"/>
        <v>2.9999999999999997E-4</v>
      </c>
      <c r="P204" s="1276">
        <f t="shared" si="264"/>
        <v>2.9999999999999997E-4</v>
      </c>
      <c r="Q204" s="1276">
        <f t="shared" si="264"/>
        <v>2.9999999999999997E-4</v>
      </c>
      <c r="R204" s="1276">
        <f t="shared" si="264"/>
        <v>3.0000000000000003E-4</v>
      </c>
      <c r="S204" s="1276">
        <f t="shared" si="264"/>
        <v>2.9999999999999992E-4</v>
      </c>
      <c r="T204" s="1276">
        <f t="shared" si="264"/>
        <v>2.9999999999999997E-4</v>
      </c>
      <c r="U204" s="1276">
        <f t="shared" si="264"/>
        <v>3.0000000000000003E-4</v>
      </c>
      <c r="V204" s="1276">
        <f t="shared" si="264"/>
        <v>2.9999999999999997E-4</v>
      </c>
      <c r="W204" s="1276">
        <f t="shared" si="264"/>
        <v>2.9999999999999997E-4</v>
      </c>
      <c r="X204" s="1276">
        <f t="shared" si="264"/>
        <v>2.9999999999999997E-4</v>
      </c>
      <c r="Y204" s="1276">
        <f t="shared" si="264"/>
        <v>3.0000000000000003E-4</v>
      </c>
      <c r="Z204" s="1276">
        <f t="shared" si="264"/>
        <v>2.9999999999999997E-4</v>
      </c>
      <c r="AA204" s="1276">
        <f t="shared" si="264"/>
        <v>2.9999999999999997E-4</v>
      </c>
      <c r="AB204" s="1276">
        <f t="shared" si="264"/>
        <v>2.9999999999999997E-4</v>
      </c>
      <c r="AC204" s="1276">
        <f t="shared" si="264"/>
        <v>2.9999999999999997E-4</v>
      </c>
      <c r="AD204" s="1276">
        <f t="shared" si="264"/>
        <v>2.9999999999999997E-4</v>
      </c>
      <c r="AE204" s="1276">
        <f t="shared" si="264"/>
        <v>2.9999999999999997E-4</v>
      </c>
      <c r="AF204" s="1276">
        <f t="shared" si="264"/>
        <v>2.9999999999999997E-4</v>
      </c>
      <c r="AG204" s="1276">
        <f t="shared" si="264"/>
        <v>2.9999999999999997E-4</v>
      </c>
      <c r="AH204" s="1275">
        <f t="shared" si="264"/>
        <v>3.0000000000000003E-4</v>
      </c>
      <c r="AI204" s="1569">
        <f>$C$195*AI200</f>
        <v>2.9999999999999997E-4</v>
      </c>
      <c r="AJ204" s="1569">
        <f>$C$195*AJ200</f>
        <v>2.9999999999999992E-4</v>
      </c>
      <c r="AK204" s="1680">
        <f>$C$195*AK200</f>
        <v>2.9999999999999992E-4</v>
      </c>
    </row>
    <row r="205" spans="1:37" s="1273" customFormat="1" ht="24">
      <c r="B205" s="1269" t="s">
        <v>311</v>
      </c>
      <c r="C205" s="1269" t="s">
        <v>298</v>
      </c>
      <c r="D205" s="1272">
        <f t="shared" ref="D205:AD205" si="265">D65*D201</f>
        <v>2471.9589480672335</v>
      </c>
      <c r="E205" s="1279">
        <f t="shared" si="265"/>
        <v>2477.1130207657443</v>
      </c>
      <c r="F205" s="1279">
        <f t="shared" si="265"/>
        <v>2491.6112032559263</v>
      </c>
      <c r="G205" s="1279">
        <f t="shared" si="265"/>
        <v>2511.9768676143858</v>
      </c>
      <c r="H205" s="1279">
        <f t="shared" si="265"/>
        <v>2581.2459992519448</v>
      </c>
      <c r="I205" s="1279">
        <f t="shared" si="265"/>
        <v>2591.3619524891228</v>
      </c>
      <c r="J205" s="1279">
        <f t="shared" si="265"/>
        <v>2576.4500561706609</v>
      </c>
      <c r="K205" s="1279">
        <f t="shared" si="265"/>
        <v>2635.2047839239872</v>
      </c>
      <c r="L205" s="1279">
        <f t="shared" si="265"/>
        <v>2699.9593561681127</v>
      </c>
      <c r="M205" s="1279">
        <f t="shared" si="265"/>
        <v>2739.5606310659914</v>
      </c>
      <c r="N205" s="1279">
        <f t="shared" si="265"/>
        <v>2825.2745260010074</v>
      </c>
      <c r="O205" s="1279">
        <f t="shared" si="265"/>
        <v>2858.5099217840211</v>
      </c>
      <c r="P205" s="1279">
        <f t="shared" si="265"/>
        <v>2878.380783727021</v>
      </c>
      <c r="Q205" s="1279">
        <f t="shared" si="265"/>
        <v>2923.9102643967362</v>
      </c>
      <c r="R205" s="1279">
        <f t="shared" si="265"/>
        <v>2906.933362566615</v>
      </c>
      <c r="S205" s="1279">
        <f t="shared" si="265"/>
        <v>2895.3030188859275</v>
      </c>
      <c r="T205" s="1279">
        <f t="shared" si="265"/>
        <v>3052.619800903281</v>
      </c>
      <c r="U205" s="1279">
        <f t="shared" si="265"/>
        <v>3054.3055564738506</v>
      </c>
      <c r="V205" s="1279">
        <f t="shared" si="265"/>
        <v>3050.4587053055502</v>
      </c>
      <c r="W205" s="1279">
        <f t="shared" si="265"/>
        <v>3071.8269387544583</v>
      </c>
      <c r="X205" s="1279">
        <f t="shared" si="265"/>
        <v>3093.7656428580308</v>
      </c>
      <c r="Y205" s="1279">
        <f t="shared" si="265"/>
        <v>3118.1565609848094</v>
      </c>
      <c r="Z205" s="1279">
        <f t="shared" si="265"/>
        <v>3263.0187385627241</v>
      </c>
      <c r="AA205" s="1279">
        <f t="shared" si="265"/>
        <v>3232.0965458429023</v>
      </c>
      <c r="AB205" s="1279">
        <f t="shared" si="265"/>
        <v>3229.9587803766985</v>
      </c>
      <c r="AC205" s="1279">
        <f t="shared" si="265"/>
        <v>3337.054243481547</v>
      </c>
      <c r="AD205" s="1279">
        <f t="shared" si="265"/>
        <v>3405.0797835582262</v>
      </c>
      <c r="AE205" s="1355">
        <f t="shared" ref="AE205:AJ205" si="266">AE70*AE201</f>
        <v>4297.4190328351115</v>
      </c>
      <c r="AF205" s="1355">
        <f t="shared" si="266"/>
        <v>4344.1912100663449</v>
      </c>
      <c r="AG205" s="1355">
        <f t="shared" si="266"/>
        <v>4453.1556539242038</v>
      </c>
      <c r="AH205" s="1356">
        <f t="shared" si="266"/>
        <v>4517.1104814193259</v>
      </c>
      <c r="AI205" s="1570">
        <f t="shared" si="266"/>
        <v>4540.6112135848143</v>
      </c>
      <c r="AJ205" s="1570">
        <f t="shared" si="266"/>
        <v>4540.6112135848143</v>
      </c>
      <c r="AK205" s="1681">
        <f t="shared" ref="AK205" si="267">AK70*AK201</f>
        <v>0</v>
      </c>
    </row>
    <row r="206" spans="1:37" s="1273" customFormat="1" ht="12">
      <c r="B206" s="1258" t="s">
        <v>312</v>
      </c>
      <c r="C206" s="1258" t="s">
        <v>298</v>
      </c>
      <c r="D206" s="1274">
        <f t="shared" ref="D206:AD206" si="268">D66*D202</f>
        <v>343.1</v>
      </c>
      <c r="E206" s="1270">
        <f t="shared" si="268"/>
        <v>354.98400000000009</v>
      </c>
      <c r="F206" s="1270">
        <f t="shared" si="268"/>
        <v>343.49200000000008</v>
      </c>
      <c r="G206" s="1270">
        <f t="shared" si="268"/>
        <v>408.74799999999999</v>
      </c>
      <c r="H206" s="1270">
        <f t="shared" si="268"/>
        <v>370.976</v>
      </c>
      <c r="I206" s="1270">
        <f t="shared" si="268"/>
        <v>417.81200000000001</v>
      </c>
      <c r="J206" s="1270">
        <f t="shared" si="268"/>
        <v>423.55599999999993</v>
      </c>
      <c r="K206" s="1270">
        <f t="shared" si="268"/>
        <v>431.70400000000001</v>
      </c>
      <c r="L206" s="1270">
        <f t="shared" si="268"/>
        <v>435.32800000000009</v>
      </c>
      <c r="M206" s="1270">
        <f t="shared" si="268"/>
        <v>452.70800000000003</v>
      </c>
      <c r="N206" s="1270">
        <f t="shared" si="268"/>
        <v>471.97200000000004</v>
      </c>
      <c r="O206" s="1270">
        <f t="shared" si="268"/>
        <v>483.93600000000004</v>
      </c>
      <c r="P206" s="1270">
        <f t="shared" si="268"/>
        <v>489.78800000000001</v>
      </c>
      <c r="Q206" s="1270">
        <f t="shared" si="268"/>
        <v>492.024</v>
      </c>
      <c r="R206" s="1270">
        <f t="shared" si="268"/>
        <v>500.42800000000011</v>
      </c>
      <c r="S206" s="1270">
        <f t="shared" si="268"/>
        <v>480.66800000000001</v>
      </c>
      <c r="T206" s="1270">
        <f t="shared" si="268"/>
        <v>506.85200000000003</v>
      </c>
      <c r="U206" s="1270">
        <f t="shared" si="268"/>
        <v>515.8599999999999</v>
      </c>
      <c r="V206" s="1270">
        <f t="shared" si="268"/>
        <v>536.55600000000004</v>
      </c>
      <c r="W206" s="1270">
        <f t="shared" si="268"/>
        <v>557.25200000000007</v>
      </c>
      <c r="X206" s="1270">
        <f t="shared" si="268"/>
        <v>577.94799999999998</v>
      </c>
      <c r="Y206" s="1270">
        <f t="shared" si="268"/>
        <v>552.9</v>
      </c>
      <c r="Z206" s="1270">
        <f t="shared" si="268"/>
        <v>571.30000000000007</v>
      </c>
      <c r="AA206" s="1270">
        <f t="shared" si="268"/>
        <v>576.98400000000004</v>
      </c>
      <c r="AB206" s="1270">
        <f t="shared" si="268"/>
        <v>558.22400000000005</v>
      </c>
      <c r="AC206" s="1270">
        <f t="shared" si="268"/>
        <v>562.21199999999999</v>
      </c>
      <c r="AD206" s="1270">
        <f t="shared" si="268"/>
        <v>567.48</v>
      </c>
      <c r="AE206" s="1270">
        <f t="shared" ref="AE206:AJ206" si="269">AE66*AE202</f>
        <v>571.45199999999988</v>
      </c>
      <c r="AF206" s="1270">
        <f t="shared" si="269"/>
        <v>578.36800000000005</v>
      </c>
      <c r="AG206" s="1270">
        <f t="shared" si="269"/>
        <v>579.07600000000002</v>
      </c>
      <c r="AH206" s="1274">
        <f t="shared" si="269"/>
        <v>704.66</v>
      </c>
      <c r="AI206" s="1568">
        <f t="shared" si="269"/>
        <v>583.70799999999986</v>
      </c>
      <c r="AJ206" s="1568">
        <f t="shared" si="269"/>
        <v>657.83600000000013</v>
      </c>
      <c r="AK206" s="1679">
        <f t="shared" ref="AK206" si="270">AK66*AK202</f>
        <v>0</v>
      </c>
    </row>
    <row r="207" spans="1:37" s="1273" customFormat="1" ht="12">
      <c r="B207" s="1258" t="s">
        <v>313</v>
      </c>
      <c r="C207" s="1258" t="s">
        <v>298</v>
      </c>
      <c r="D207" s="1274">
        <f t="shared" ref="D207:AH207" si="271">D203*D74</f>
        <v>1191.7953740000003</v>
      </c>
      <c r="E207" s="1270">
        <f t="shared" si="271"/>
        <v>1308.5056908000001</v>
      </c>
      <c r="F207" s="1270">
        <f t="shared" si="271"/>
        <v>1657.7531586000002</v>
      </c>
      <c r="G207" s="1270">
        <f t="shared" si="271"/>
        <v>1686.1831756000001</v>
      </c>
      <c r="H207" s="1270">
        <f t="shared" si="271"/>
        <v>1875.7015200000001</v>
      </c>
      <c r="I207" s="1270">
        <f t="shared" si="271"/>
        <v>2171.7588046000001</v>
      </c>
      <c r="J207" s="1270">
        <f t="shared" si="271"/>
        <v>1862.8004087000002</v>
      </c>
      <c r="K207" s="1270">
        <f t="shared" si="271"/>
        <v>2062.3655360000002</v>
      </c>
      <c r="L207" s="1270">
        <f t="shared" si="271"/>
        <v>1865.6773905000002</v>
      </c>
      <c r="M207" s="1270">
        <f t="shared" si="271"/>
        <v>1939.13104</v>
      </c>
      <c r="N207" s="1270">
        <f t="shared" si="271"/>
        <v>1845.7197451000002</v>
      </c>
      <c r="O207" s="1270">
        <f t="shared" si="271"/>
        <v>2010.2400626000001</v>
      </c>
      <c r="P207" s="1270">
        <f t="shared" si="271"/>
        <v>2433.0091401</v>
      </c>
      <c r="Q207" s="1270">
        <f t="shared" si="271"/>
        <v>2416.8912460000001</v>
      </c>
      <c r="R207" s="1270">
        <f t="shared" si="271"/>
        <v>2276.0550581999996</v>
      </c>
      <c r="S207" s="1270">
        <f t="shared" si="271"/>
        <v>2267.6393201000001</v>
      </c>
      <c r="T207" s="1270">
        <f t="shared" si="271"/>
        <v>2404.4998362000001</v>
      </c>
      <c r="U207" s="1270">
        <f t="shared" si="271"/>
        <v>2600.2138855000003</v>
      </c>
      <c r="V207" s="1270">
        <f t="shared" si="271"/>
        <v>2261.7607628000001</v>
      </c>
      <c r="W207" s="1270">
        <f t="shared" si="271"/>
        <v>2147.1005787000004</v>
      </c>
      <c r="X207" s="1270">
        <f t="shared" si="271"/>
        <v>2606.0584626999998</v>
      </c>
      <c r="Y207" s="1270">
        <f t="shared" si="271"/>
        <v>2644.7051630999999</v>
      </c>
      <c r="Z207" s="1270">
        <f t="shared" si="271"/>
        <v>2531.8119442000002</v>
      </c>
      <c r="AA207" s="1270">
        <f t="shared" si="271"/>
        <v>2275.4660697999998</v>
      </c>
      <c r="AB207" s="1270">
        <f t="shared" si="271"/>
        <v>2043.7784213</v>
      </c>
      <c r="AC207" s="1270">
        <f t="shared" si="271"/>
        <v>2280.6197182999999</v>
      </c>
      <c r="AD207" s="1270">
        <f t="shared" si="271"/>
        <v>2289.7377117999999</v>
      </c>
      <c r="AE207" s="1270">
        <f t="shared" si="271"/>
        <v>2378.2445456</v>
      </c>
      <c r="AF207" s="1270">
        <f t="shared" si="271"/>
        <v>2052.7944745000004</v>
      </c>
      <c r="AG207" s="1270">
        <f t="shared" si="271"/>
        <v>1829.4432772000002</v>
      </c>
      <c r="AH207" s="1274">
        <f t="shared" si="271"/>
        <v>1704.3965092000001</v>
      </c>
      <c r="AI207" s="1568">
        <f t="shared" ref="AI207:AJ207" si="272">AI203*AI74</f>
        <v>1801.0925471000003</v>
      </c>
      <c r="AJ207" s="1568">
        <f t="shared" si="272"/>
        <v>1888.9084522000001</v>
      </c>
      <c r="AK207" s="1679">
        <f t="shared" ref="AK207" si="273">AK203*AK74</f>
        <v>1729.9268910000001</v>
      </c>
    </row>
    <row r="208" spans="1:37" s="1273" customFormat="1" ht="12.5" thickBot="1">
      <c r="B208" s="1259" t="s">
        <v>305</v>
      </c>
      <c r="C208" s="1259" t="s">
        <v>298</v>
      </c>
      <c r="D208" s="1275">
        <f>D204*D75</f>
        <v>0</v>
      </c>
      <c r="E208" s="1276"/>
      <c r="F208" s="1276"/>
      <c r="G208" s="1276"/>
      <c r="H208" s="1276"/>
      <c r="I208" s="1276"/>
      <c r="J208" s="1276"/>
      <c r="K208" s="1276"/>
      <c r="L208" s="1276"/>
      <c r="M208" s="1276"/>
      <c r="N208" s="1276"/>
      <c r="O208" s="1276"/>
      <c r="P208" s="1276"/>
      <c r="Q208" s="1276"/>
      <c r="R208" s="1276"/>
      <c r="S208" s="1276"/>
      <c r="T208" s="1276"/>
      <c r="U208" s="1276"/>
      <c r="V208" s="1276"/>
      <c r="W208" s="1276"/>
      <c r="X208" s="1276"/>
      <c r="Y208" s="1276"/>
      <c r="Z208" s="1276"/>
      <c r="AA208" s="1276"/>
      <c r="AB208" s="1276"/>
      <c r="AC208" s="1276"/>
      <c r="AD208" s="1276"/>
      <c r="AE208" s="1276"/>
      <c r="AF208" s="1276">
        <f t="shared" ref="AF208:AK208" si="274">AF204*AF75</f>
        <v>0.26039999999999996</v>
      </c>
      <c r="AG208" s="1276">
        <f t="shared" si="274"/>
        <v>0.26819999999999999</v>
      </c>
      <c r="AH208" s="1275">
        <f t="shared" si="274"/>
        <v>0.25290000000000001</v>
      </c>
      <c r="AI208" s="1569">
        <f t="shared" si="274"/>
        <v>0.23129999999999998</v>
      </c>
      <c r="AJ208" s="1569">
        <f t="shared" si="274"/>
        <v>0.23369999999999994</v>
      </c>
      <c r="AK208" s="1680">
        <f t="shared" si="274"/>
        <v>0.24329999999999993</v>
      </c>
    </row>
    <row r="209" spans="1:37" s="1273" customFormat="1" ht="12.5" thickBot="1">
      <c r="B209" s="1340" t="s">
        <v>25</v>
      </c>
      <c r="C209" s="1340" t="s">
        <v>298</v>
      </c>
      <c r="D209" s="1341">
        <f>SUM(D205:D208)</f>
        <v>4006.8543220672336</v>
      </c>
      <c r="E209" s="1341">
        <f t="shared" ref="E209:AG209" si="275">SUM(E205:E208)</f>
        <v>4140.6027115657444</v>
      </c>
      <c r="F209" s="1341">
        <f t="shared" si="275"/>
        <v>4492.8563618559265</v>
      </c>
      <c r="G209" s="1341">
        <f t="shared" si="275"/>
        <v>4606.9080432143855</v>
      </c>
      <c r="H209" s="1341">
        <f t="shared" si="275"/>
        <v>4827.9235192519445</v>
      </c>
      <c r="I209" s="1341">
        <f t="shared" si="275"/>
        <v>5180.9327570891228</v>
      </c>
      <c r="J209" s="1341">
        <f t="shared" si="275"/>
        <v>4862.8064648706613</v>
      </c>
      <c r="K209" s="1341">
        <f t="shared" si="275"/>
        <v>5129.2743199239876</v>
      </c>
      <c r="L209" s="1341">
        <f t="shared" si="275"/>
        <v>5000.9647466681126</v>
      </c>
      <c r="M209" s="1341">
        <f t="shared" si="275"/>
        <v>5131.3996710659912</v>
      </c>
      <c r="N209" s="1341">
        <f t="shared" si="275"/>
        <v>5142.9662711010078</v>
      </c>
      <c r="O209" s="1341">
        <f t="shared" si="275"/>
        <v>5352.6859843840211</v>
      </c>
      <c r="P209" s="1341">
        <f t="shared" si="275"/>
        <v>5801.177923827021</v>
      </c>
      <c r="Q209" s="1341">
        <f t="shared" si="275"/>
        <v>5832.8255103967367</v>
      </c>
      <c r="R209" s="1341">
        <f t="shared" si="275"/>
        <v>5683.4164207666145</v>
      </c>
      <c r="S209" s="1341">
        <f t="shared" si="275"/>
        <v>5643.6103389859272</v>
      </c>
      <c r="T209" s="1341">
        <f t="shared" si="275"/>
        <v>5963.971637103281</v>
      </c>
      <c r="U209" s="1341">
        <f t="shared" si="275"/>
        <v>6170.3794419738506</v>
      </c>
      <c r="V209" s="1341">
        <f t="shared" si="275"/>
        <v>5848.7754681055503</v>
      </c>
      <c r="W209" s="1341">
        <f t="shared" si="275"/>
        <v>5776.1795174544586</v>
      </c>
      <c r="X209" s="1341">
        <f t="shared" si="275"/>
        <v>6277.7721055580305</v>
      </c>
      <c r="Y209" s="1341">
        <f t="shared" si="275"/>
        <v>6315.7617240848094</v>
      </c>
      <c r="Z209" s="1341">
        <f t="shared" si="275"/>
        <v>6366.130682762725</v>
      </c>
      <c r="AA209" s="1341">
        <f t="shared" si="275"/>
        <v>6084.546615642902</v>
      </c>
      <c r="AB209" s="1341">
        <f t="shared" si="275"/>
        <v>5831.9612016766987</v>
      </c>
      <c r="AC209" s="1341">
        <f t="shared" si="275"/>
        <v>6179.8859617815469</v>
      </c>
      <c r="AD209" s="1341">
        <f t="shared" si="275"/>
        <v>6262.2974953582261</v>
      </c>
      <c r="AE209" s="1341">
        <f t="shared" si="275"/>
        <v>7247.1155784351122</v>
      </c>
      <c r="AF209" s="1341">
        <f t="shared" si="275"/>
        <v>6975.6140845663458</v>
      </c>
      <c r="AG209" s="1341">
        <f t="shared" si="275"/>
        <v>6861.9431311242042</v>
      </c>
      <c r="AH209" s="1341">
        <f>SUM(AH205:AH208)</f>
        <v>6926.419890619326</v>
      </c>
      <c r="AI209" s="1571">
        <f t="shared" ref="AI209:AJ209" si="276">SUM(AI205:AI208)</f>
        <v>6925.6430606848144</v>
      </c>
      <c r="AJ209" s="1571">
        <f t="shared" si="276"/>
        <v>7087.5893657848146</v>
      </c>
      <c r="AK209" s="1682">
        <f t="shared" ref="AK209" si="277">SUM(AK205:AK208)</f>
        <v>1730.1701910000002</v>
      </c>
    </row>
    <row r="210" spans="1:37">
      <c r="A210" s="1261"/>
      <c r="B210" s="1261"/>
      <c r="C210" s="1261"/>
      <c r="D210" s="1261"/>
      <c r="E210" s="1261"/>
      <c r="F210" s="1261"/>
      <c r="G210" s="1261"/>
      <c r="H210" s="1261"/>
      <c r="I210" s="1261"/>
      <c r="J210" s="1261"/>
      <c r="K210" s="1261"/>
      <c r="L210" s="1261"/>
      <c r="M210" s="1261"/>
      <c r="N210" s="1261"/>
      <c r="O210" s="1261"/>
      <c r="P210" s="1261"/>
      <c r="Q210" s="1261"/>
      <c r="R210" s="1261"/>
      <c r="S210" s="1261"/>
      <c r="T210" s="1261"/>
      <c r="U210" s="1261"/>
      <c r="V210" s="1261"/>
      <c r="W210" s="1261"/>
      <c r="X210" s="1261"/>
      <c r="Y210" s="1261"/>
      <c r="Z210" s="1261"/>
      <c r="AA210" s="1261"/>
      <c r="AB210" s="1261"/>
      <c r="AC210" s="1261"/>
      <c r="AD210" s="1261"/>
      <c r="AE210" s="1261"/>
      <c r="AF210" s="1261"/>
      <c r="AG210" s="1261"/>
      <c r="AH210" s="1261"/>
      <c r="AI210" s="1261"/>
      <c r="AJ210" s="235"/>
      <c r="AK210" s="234"/>
    </row>
    <row r="211" spans="1:37" ht="15" thickBot="1">
      <c r="A211" s="1261"/>
      <c r="B211" s="962"/>
      <c r="C211" s="962"/>
      <c r="D211" s="962">
        <v>1990</v>
      </c>
      <c r="E211" s="962">
        <f>D211+1</f>
        <v>1991</v>
      </c>
      <c r="F211" s="962">
        <f t="shared" ref="F211" si="278">E211+1</f>
        <v>1992</v>
      </c>
      <c r="G211" s="962">
        <f t="shared" ref="G211" si="279">F211+1</f>
        <v>1993</v>
      </c>
      <c r="H211" s="962">
        <f t="shared" ref="H211" si="280">G211+1</f>
        <v>1994</v>
      </c>
      <c r="I211" s="962">
        <f t="shared" ref="I211" si="281">H211+1</f>
        <v>1995</v>
      </c>
      <c r="J211" s="962">
        <f t="shared" ref="J211" si="282">I211+1</f>
        <v>1996</v>
      </c>
      <c r="K211" s="962">
        <f t="shared" ref="K211" si="283">J211+1</f>
        <v>1997</v>
      </c>
      <c r="L211" s="962">
        <f t="shared" ref="L211" si="284">K211+1</f>
        <v>1998</v>
      </c>
      <c r="M211" s="962">
        <f t="shared" ref="M211" si="285">L211+1</f>
        <v>1999</v>
      </c>
      <c r="N211" s="962">
        <f t="shared" ref="N211" si="286">M211+1</f>
        <v>2000</v>
      </c>
      <c r="O211" s="962">
        <f t="shared" ref="O211" si="287">N211+1</f>
        <v>2001</v>
      </c>
      <c r="P211" s="962">
        <f t="shared" ref="P211" si="288">O211+1</f>
        <v>2002</v>
      </c>
      <c r="Q211" s="962">
        <f t="shared" ref="Q211" si="289">P211+1</f>
        <v>2003</v>
      </c>
      <c r="R211" s="962">
        <f t="shared" ref="R211" si="290">Q211+1</f>
        <v>2004</v>
      </c>
      <c r="S211" s="962">
        <f t="shared" ref="S211" si="291">R211+1</f>
        <v>2005</v>
      </c>
      <c r="T211" s="962">
        <f t="shared" ref="T211" si="292">S211+1</f>
        <v>2006</v>
      </c>
      <c r="U211" s="962">
        <f t="shared" ref="U211" si="293">T211+1</f>
        <v>2007</v>
      </c>
      <c r="V211" s="962">
        <f t="shared" ref="V211" si="294">U211+1</f>
        <v>2008</v>
      </c>
      <c r="W211" s="962">
        <f t="shared" ref="W211" si="295">V211+1</f>
        <v>2009</v>
      </c>
      <c r="X211" s="962">
        <f t="shared" ref="X211" si="296">W211+1</f>
        <v>2010</v>
      </c>
      <c r="Y211" s="962">
        <f t="shared" ref="Y211" si="297">X211+1</f>
        <v>2011</v>
      </c>
      <c r="Z211" s="962">
        <f t="shared" ref="Z211" si="298">Y211+1</f>
        <v>2012</v>
      </c>
      <c r="AA211" s="962">
        <f t="shared" ref="AA211" si="299">Z211+1</f>
        <v>2013</v>
      </c>
      <c r="AB211" s="962">
        <f t="shared" ref="AB211" si="300">AA211+1</f>
        <v>2014</v>
      </c>
      <c r="AC211" s="962">
        <f t="shared" ref="AC211" si="301">AB211+1</f>
        <v>2015</v>
      </c>
      <c r="AD211" s="962">
        <f t="shared" ref="AD211" si="302">AC211+1</f>
        <v>2016</v>
      </c>
      <c r="AE211" s="962">
        <f t="shared" ref="AE211" si="303">AD211+1</f>
        <v>2017</v>
      </c>
      <c r="AF211" s="962">
        <f t="shared" ref="AF211" si="304">AE211+1</f>
        <v>2018</v>
      </c>
      <c r="AG211" s="962">
        <f t="shared" ref="AG211" si="305">AF211+1</f>
        <v>2019</v>
      </c>
      <c r="AH211" s="962">
        <f>AG211+1</f>
        <v>2020</v>
      </c>
      <c r="AI211" s="962">
        <f>AH211+1</f>
        <v>2021</v>
      </c>
      <c r="AJ211" s="649">
        <f>AI211+1</f>
        <v>2022</v>
      </c>
      <c r="AK211" s="649">
        <f>AJ211+1</f>
        <v>2023</v>
      </c>
    </row>
    <row r="212" spans="1:37" ht="15" thickBot="1">
      <c r="B212" s="962" t="s">
        <v>314</v>
      </c>
      <c r="C212" s="962" t="s">
        <v>315</v>
      </c>
      <c r="D212" s="1342">
        <f>(D157+D168+D180+D185+D189+D191+D209)/1000000</f>
        <v>6.7845526700277312E-2</v>
      </c>
      <c r="E212" s="1342">
        <f t="shared" ref="E212:AI212" si="306">(E157+E168+E180+E185+E189+E191+E209)/1000000</f>
        <v>6.704698208842115E-2</v>
      </c>
      <c r="F212" s="1342">
        <f t="shared" si="306"/>
        <v>6.6521895534257011E-2</v>
      </c>
      <c r="G212" s="1342">
        <f t="shared" si="306"/>
        <v>6.3469101452100787E-2</v>
      </c>
      <c r="H212" s="1342">
        <f t="shared" si="306"/>
        <v>6.1292526401625684E-2</v>
      </c>
      <c r="I212" s="1342">
        <f t="shared" si="306"/>
        <v>6.0018474217777402E-2</v>
      </c>
      <c r="J212" s="1342">
        <f t="shared" si="306"/>
        <v>5.6950881601298374E-2</v>
      </c>
      <c r="K212" s="1342">
        <f t="shared" si="306"/>
        <v>5.4981818458390903E-2</v>
      </c>
      <c r="L212" s="1342">
        <f t="shared" si="306"/>
        <v>5.2691388425301737E-2</v>
      </c>
      <c r="M212" s="1342">
        <f t="shared" si="306"/>
        <v>5.0405618273309166E-2</v>
      </c>
      <c r="N212" s="1342">
        <f t="shared" si="306"/>
        <v>4.8879106604738182E-2</v>
      </c>
      <c r="O212" s="1342">
        <f t="shared" si="306"/>
        <v>4.6138739723790838E-2</v>
      </c>
      <c r="P212" s="1342">
        <f t="shared" si="306"/>
        <v>4.4717331548342468E-2</v>
      </c>
      <c r="Q212" s="1342">
        <f t="shared" si="306"/>
        <v>4.2705551818313682E-2</v>
      </c>
      <c r="R212" s="1342">
        <f t="shared" si="306"/>
        <v>4.2147625844226946E-2</v>
      </c>
      <c r="S212" s="1342">
        <f t="shared" si="306"/>
        <v>3.8508748647660893E-2</v>
      </c>
      <c r="T212" s="1342">
        <f t="shared" si="306"/>
        <v>3.7038506170994502E-2</v>
      </c>
      <c r="U212" s="1342">
        <f t="shared" si="306"/>
        <v>3.5361490025460143E-2</v>
      </c>
      <c r="V212" s="1342">
        <f t="shared" si="306"/>
        <v>3.3309488009820122E-2</v>
      </c>
      <c r="W212" s="1342">
        <f t="shared" si="306"/>
        <v>3.1369357900775149E-2</v>
      </c>
      <c r="X212" s="1342">
        <f t="shared" si="306"/>
        <v>3.0079715863947056E-2</v>
      </c>
      <c r="Y212" s="1342">
        <f t="shared" si="306"/>
        <v>2.7922082853474691E-2</v>
      </c>
      <c r="Z212" s="1342">
        <f t="shared" si="306"/>
        <v>2.7724752398902673E-2</v>
      </c>
      <c r="AA212" s="1342">
        <f t="shared" si="306"/>
        <v>2.7125967208748696E-2</v>
      </c>
      <c r="AB212" s="1342">
        <f t="shared" si="306"/>
        <v>2.6190161209163853E-2</v>
      </c>
      <c r="AC212" s="1342">
        <f t="shared" si="306"/>
        <v>2.630808233084023E-2</v>
      </c>
      <c r="AD212" s="1342">
        <f t="shared" si="306"/>
        <v>2.614876580779946E-2</v>
      </c>
      <c r="AE212" s="1342">
        <f t="shared" si="306"/>
        <v>2.6651086476544652E-2</v>
      </c>
      <c r="AF212" s="1342">
        <f t="shared" si="306"/>
        <v>2.6146611385712219E-2</v>
      </c>
      <c r="AG212" s="1342">
        <f t="shared" si="306"/>
        <v>2.5609657620186212E-2</v>
      </c>
      <c r="AH212" s="1342">
        <f>(AH157+AH168+AH180+AH185+AH189+AH191+AH209)/1000000</f>
        <v>2.6743716656124798E-2</v>
      </c>
      <c r="AI212" s="1565">
        <f t="shared" si="306"/>
        <v>2.5039849333424881E-2</v>
      </c>
      <c r="AJ212" s="1565">
        <f t="shared" ref="AJ212:AK212" si="307">(AJ157+AJ168+AJ180+AJ185+AJ189+AJ191+AJ209)/1000000</f>
        <v>2.5682334117495695E-2</v>
      </c>
      <c r="AK212" s="1683">
        <f t="shared" si="307"/>
        <v>1.2244878480659816E-2</v>
      </c>
    </row>
    <row r="213" spans="1:37" ht="15" thickBot="1">
      <c r="B213" s="962" t="s">
        <v>316</v>
      </c>
      <c r="C213" s="962" t="s">
        <v>317</v>
      </c>
      <c r="D213" s="991">
        <f>D212*25</f>
        <v>1.6961381675069327</v>
      </c>
      <c r="E213" s="991">
        <f t="shared" ref="E213:AI213" si="308">E212*25</f>
        <v>1.6761745522105287</v>
      </c>
      <c r="F213" s="991">
        <f t="shared" si="308"/>
        <v>1.6630473883564252</v>
      </c>
      <c r="G213" s="991">
        <f t="shared" si="308"/>
        <v>1.5867275363025197</v>
      </c>
      <c r="H213" s="991">
        <f t="shared" si="308"/>
        <v>1.5323131600406421</v>
      </c>
      <c r="I213" s="991">
        <f t="shared" si="308"/>
        <v>1.5004618554444351</v>
      </c>
      <c r="J213" s="991">
        <f t="shared" si="308"/>
        <v>1.4237720400324594</v>
      </c>
      <c r="K213" s="991">
        <f t="shared" si="308"/>
        <v>1.3745454614597725</v>
      </c>
      <c r="L213" s="991">
        <f t="shared" si="308"/>
        <v>1.3172847106325434</v>
      </c>
      <c r="M213" s="991">
        <f t="shared" si="308"/>
        <v>1.2601404568327292</v>
      </c>
      <c r="N213" s="991">
        <f t="shared" si="308"/>
        <v>1.2219776651184546</v>
      </c>
      <c r="O213" s="991">
        <f t="shared" si="308"/>
        <v>1.153468493094771</v>
      </c>
      <c r="P213" s="991">
        <f t="shared" si="308"/>
        <v>1.1179332887085618</v>
      </c>
      <c r="Q213" s="991">
        <f t="shared" si="308"/>
        <v>1.0676387954578421</v>
      </c>
      <c r="R213" s="991">
        <f t="shared" si="308"/>
        <v>1.0536906461056736</v>
      </c>
      <c r="S213" s="991">
        <f t="shared" si="308"/>
        <v>0.96271871619152227</v>
      </c>
      <c r="T213" s="991">
        <f t="shared" si="308"/>
        <v>0.92596265427486257</v>
      </c>
      <c r="U213" s="991">
        <f t="shared" si="308"/>
        <v>0.88403725063650362</v>
      </c>
      <c r="V213" s="991">
        <f t="shared" si="308"/>
        <v>0.83273720024550302</v>
      </c>
      <c r="W213" s="991">
        <f t="shared" si="308"/>
        <v>0.78423394751937869</v>
      </c>
      <c r="X213" s="991">
        <f t="shared" si="308"/>
        <v>0.75199289659867641</v>
      </c>
      <c r="Y213" s="991">
        <f t="shared" si="308"/>
        <v>0.69805207133686731</v>
      </c>
      <c r="Z213" s="991">
        <f t="shared" si="308"/>
        <v>0.69311880997256681</v>
      </c>
      <c r="AA213" s="991">
        <f t="shared" si="308"/>
        <v>0.6781491802187174</v>
      </c>
      <c r="AB213" s="991">
        <f t="shared" si="308"/>
        <v>0.65475403022909628</v>
      </c>
      <c r="AC213" s="991">
        <f t="shared" si="308"/>
        <v>0.65770205827100581</v>
      </c>
      <c r="AD213" s="991">
        <f t="shared" si="308"/>
        <v>0.65371914519498653</v>
      </c>
      <c r="AE213" s="991">
        <f t="shared" si="308"/>
        <v>0.6662771619136163</v>
      </c>
      <c r="AF213" s="991">
        <f t="shared" si="308"/>
        <v>0.65366528464280549</v>
      </c>
      <c r="AG213" s="991">
        <f t="shared" si="308"/>
        <v>0.64024144050465526</v>
      </c>
      <c r="AH213" s="991">
        <f t="shared" si="308"/>
        <v>0.66859291640311991</v>
      </c>
      <c r="AI213" s="1566">
        <f t="shared" si="308"/>
        <v>0.62599623333562204</v>
      </c>
      <c r="AJ213" s="1566">
        <f t="shared" ref="AJ213:AK213" si="309">AJ212*25</f>
        <v>0.64205835293739233</v>
      </c>
      <c r="AK213" s="1684">
        <f t="shared" si="309"/>
        <v>0.30612196201649539</v>
      </c>
    </row>
    <row r="214" spans="1:37">
      <c r="D214" s="114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row>
    <row r="215" spans="1:37" s="918" customFormat="1" ht="15.5">
      <c r="A215" s="951"/>
      <c r="B215" s="952"/>
      <c r="C215" s="952"/>
      <c r="D215" s="952"/>
      <c r="E215" s="952"/>
      <c r="F215" s="952"/>
      <c r="G215" s="952"/>
      <c r="H215" s="952"/>
      <c r="I215" s="952"/>
      <c r="J215" s="952"/>
      <c r="K215" s="952"/>
      <c r="L215" s="952"/>
      <c r="M215" s="952"/>
      <c r="N215" s="952"/>
      <c r="O215" s="952"/>
      <c r="P215" s="952"/>
      <c r="Q215" s="952"/>
      <c r="R215" s="952"/>
      <c r="S215" s="952"/>
      <c r="T215" s="952"/>
      <c r="U215" s="952"/>
      <c r="V215" s="952"/>
      <c r="W215" s="952"/>
      <c r="X215" s="952"/>
      <c r="Y215" s="952"/>
      <c r="Z215" s="952"/>
      <c r="AA215" s="952"/>
      <c r="AB215" s="952"/>
      <c r="AC215" s="951"/>
      <c r="AD215" s="951"/>
      <c r="AE215" s="951"/>
      <c r="AF215" s="951"/>
      <c r="AG215" s="951"/>
      <c r="AH215" s="951"/>
      <c r="AI215" s="951"/>
    </row>
    <row r="216" spans="1:37" s="918" customFormat="1" ht="21.5">
      <c r="B216" s="89" t="s">
        <v>318</v>
      </c>
      <c r="C216" s="917"/>
      <c r="D216" s="917"/>
    </row>
    <row r="217" spans="1:37" s="1036" customFormat="1" ht="15.5">
      <c r="A217" s="918"/>
      <c r="B217" s="1035" t="s">
        <v>254</v>
      </c>
      <c r="C217" s="1035"/>
      <c r="D217" s="234"/>
      <c r="E217" s="918"/>
      <c r="F217" s="918"/>
      <c r="G217" s="918"/>
      <c r="H217" s="918"/>
      <c r="I217" s="918"/>
      <c r="J217" s="918"/>
      <c r="K217" s="918"/>
      <c r="L217" s="918"/>
      <c r="M217" s="918"/>
      <c r="N217" s="918"/>
      <c r="O217" s="918"/>
      <c r="P217" s="918"/>
      <c r="Q217" s="918"/>
      <c r="R217" s="918"/>
      <c r="S217" s="918"/>
      <c r="T217" s="918"/>
      <c r="U217" s="918"/>
      <c r="V217" s="918"/>
      <c r="W217" s="918"/>
      <c r="X217" s="918"/>
      <c r="Y217" s="918"/>
      <c r="Z217" s="918"/>
      <c r="AA217" s="918"/>
      <c r="AB217" s="918"/>
      <c r="AC217" s="918"/>
      <c r="AD217" s="918"/>
      <c r="AE217" s="918"/>
      <c r="AF217" s="918"/>
      <c r="AG217" s="918"/>
      <c r="AH217" s="918"/>
      <c r="AI217" s="918"/>
      <c r="AJ217" s="918"/>
    </row>
    <row r="218" spans="1:37" s="919" customFormat="1" ht="15.5">
      <c r="A218" s="1036"/>
      <c r="B218" s="1035" t="s">
        <v>319</v>
      </c>
      <c r="C218" s="1037"/>
      <c r="D218" s="1037"/>
      <c r="E218" s="1037"/>
      <c r="F218" s="1037"/>
      <c r="G218" s="1037"/>
      <c r="H218" s="1037"/>
      <c r="I218" s="1037"/>
      <c r="J218" s="1037"/>
      <c r="K218" s="1037"/>
      <c r="L218" s="1037"/>
      <c r="M218" s="1037"/>
      <c r="N218" s="1037"/>
      <c r="O218" s="1037"/>
      <c r="P218" s="1037"/>
      <c r="Q218" s="1037"/>
      <c r="R218" s="1037"/>
      <c r="S218" s="1037"/>
      <c r="T218" s="1037"/>
      <c r="U218" s="1037"/>
      <c r="V218" s="1037"/>
      <c r="W218" s="1037"/>
      <c r="X218" s="1037"/>
      <c r="Y218" s="1037"/>
      <c r="Z218" s="1037"/>
      <c r="AA218" s="1037"/>
      <c r="AB218" s="1037"/>
      <c r="AC218" s="1035"/>
      <c r="AD218" s="1035"/>
      <c r="AE218" s="1035"/>
      <c r="AF218" s="1035"/>
      <c r="AG218" s="1035"/>
      <c r="AH218" s="1035"/>
      <c r="AI218" s="1035"/>
      <c r="AJ218" s="1035"/>
      <c r="AK218" s="1035"/>
    </row>
    <row r="219" spans="1:37" s="919" customFormat="1" ht="12">
      <c r="B219" s="1038" t="s">
        <v>256</v>
      </c>
      <c r="C219" s="1038" t="s">
        <v>257</v>
      </c>
      <c r="D219" s="1039">
        <v>1990</v>
      </c>
      <c r="E219" s="1039">
        <v>1991</v>
      </c>
      <c r="F219" s="1039">
        <v>1992</v>
      </c>
      <c r="G219" s="1039">
        <v>1993</v>
      </c>
      <c r="H219" s="1039">
        <v>1994</v>
      </c>
      <c r="I219" s="1039">
        <v>1995</v>
      </c>
      <c r="J219" s="1039">
        <v>1996</v>
      </c>
      <c r="K219" s="1039">
        <v>1997</v>
      </c>
      <c r="L219" s="1039">
        <v>1998</v>
      </c>
      <c r="M219" s="1039">
        <v>1999</v>
      </c>
      <c r="N219" s="1039">
        <v>2000</v>
      </c>
      <c r="O219" s="1039">
        <v>2001</v>
      </c>
      <c r="P219" s="1039">
        <v>2002</v>
      </c>
      <c r="Q219" s="1039">
        <v>2003</v>
      </c>
      <c r="R219" s="1039">
        <v>2004</v>
      </c>
      <c r="S219" s="1039">
        <v>2005</v>
      </c>
      <c r="T219" s="1039">
        <v>2006</v>
      </c>
      <c r="U219" s="1039">
        <v>2007</v>
      </c>
      <c r="V219" s="1039">
        <v>2008</v>
      </c>
      <c r="W219" s="1039">
        <v>2009</v>
      </c>
      <c r="X219" s="1039">
        <v>2010</v>
      </c>
      <c r="Y219" s="1039">
        <v>2011</v>
      </c>
      <c r="Z219" s="1039">
        <v>2012</v>
      </c>
      <c r="AA219" s="1039">
        <v>2013</v>
      </c>
      <c r="AB219" s="1039">
        <v>2014</v>
      </c>
      <c r="AC219" s="1039">
        <v>2015</v>
      </c>
      <c r="AD219" s="1039">
        <v>2016</v>
      </c>
      <c r="AE219" s="1039">
        <v>2017</v>
      </c>
      <c r="AF219" s="1039">
        <v>2018</v>
      </c>
      <c r="AG219" s="1039">
        <v>2019</v>
      </c>
      <c r="AH219" s="1211">
        <v>2020</v>
      </c>
      <c r="AI219" s="1039">
        <v>2021</v>
      </c>
      <c r="AJ219" s="1039">
        <v>2022</v>
      </c>
      <c r="AK219" s="1039">
        <v>2023</v>
      </c>
    </row>
    <row r="220" spans="1:37" s="919" customFormat="1" ht="12">
      <c r="B220" s="924" t="s">
        <v>259</v>
      </c>
      <c r="C220" s="924"/>
      <c r="D220" s="926"/>
      <c r="E220" s="926"/>
      <c r="F220" s="926"/>
      <c r="G220" s="926"/>
      <c r="H220" s="926"/>
      <c r="I220" s="926"/>
      <c r="J220" s="926"/>
      <c r="K220" s="926"/>
      <c r="L220" s="926"/>
      <c r="M220" s="926"/>
      <c r="N220" s="926"/>
      <c r="O220" s="926"/>
      <c r="P220" s="926"/>
      <c r="Q220" s="926"/>
      <c r="R220" s="926"/>
      <c r="S220" s="926"/>
      <c r="T220" s="926"/>
      <c r="U220" s="926"/>
      <c r="V220" s="926"/>
      <c r="W220" s="926"/>
      <c r="X220" s="926"/>
      <c r="Y220" s="926"/>
      <c r="Z220" s="926"/>
      <c r="AA220" s="926"/>
      <c r="AB220" s="926"/>
      <c r="AC220" s="926"/>
      <c r="AD220" s="926"/>
      <c r="AE220" s="926"/>
      <c r="AF220" s="927"/>
      <c r="AG220" s="927"/>
      <c r="AH220" s="926"/>
      <c r="AI220" s="927"/>
      <c r="AJ220" s="927"/>
    </row>
    <row r="221" spans="1:37" s="919" customFormat="1" ht="12">
      <c r="B221" s="928" t="s">
        <v>260</v>
      </c>
      <c r="C221" s="930" t="s">
        <v>261</v>
      </c>
      <c r="D221" s="929">
        <v>135.36130085653105</v>
      </c>
      <c r="E221" s="929">
        <v>135.36130085653102</v>
      </c>
      <c r="F221" s="929">
        <v>135.36130085653105</v>
      </c>
      <c r="G221" s="929">
        <v>130.03037668455843</v>
      </c>
      <c r="H221" s="929">
        <v>124.69945251258579</v>
      </c>
      <c r="I221" s="929">
        <v>119.36852834061317</v>
      </c>
      <c r="J221" s="929">
        <v>114.03760416864051</v>
      </c>
      <c r="K221" s="929">
        <v>108.70667999666786</v>
      </c>
      <c r="L221" s="929">
        <v>103.37575582469528</v>
      </c>
      <c r="M221" s="929">
        <v>98.044831652722578</v>
      </c>
      <c r="N221" s="929">
        <v>92.713907480749967</v>
      </c>
      <c r="O221" s="929">
        <v>87.382983308777327</v>
      </c>
      <c r="P221" s="929">
        <v>82.052059136804701</v>
      </c>
      <c r="Q221" s="929">
        <v>76.721134964832046</v>
      </c>
      <c r="R221" s="929">
        <v>71.390210792859421</v>
      </c>
      <c r="S221" s="929">
        <v>66.05928662088678</v>
      </c>
      <c r="T221" s="929">
        <v>60.728362448914154</v>
      </c>
      <c r="U221" s="929">
        <v>55.3974382769415</v>
      </c>
      <c r="V221" s="929">
        <v>50.066514104968874</v>
      </c>
      <c r="W221" s="929">
        <v>44.735589932996234</v>
      </c>
      <c r="X221" s="929">
        <v>39.404665761023601</v>
      </c>
      <c r="Y221" s="929">
        <v>34.073741589050961</v>
      </c>
      <c r="Z221" s="929">
        <v>34.073741589050961</v>
      </c>
      <c r="AA221" s="929">
        <v>34.073741589050968</v>
      </c>
      <c r="AB221" s="929">
        <v>34.073741589050961</v>
      </c>
      <c r="AC221" s="929">
        <v>34.073741589050968</v>
      </c>
      <c r="AD221" s="929">
        <v>34.073741589050968</v>
      </c>
      <c r="AE221" s="929">
        <v>34.073741589050961</v>
      </c>
      <c r="AF221" s="929">
        <v>34.073741589050968</v>
      </c>
      <c r="AG221" s="929">
        <v>34.073741589050968</v>
      </c>
      <c r="AH221" s="1152">
        <v>34.073741589050961</v>
      </c>
      <c r="AI221" s="1152">
        <v>34.073741589050961</v>
      </c>
      <c r="AJ221" s="1152">
        <v>34.073741589050961</v>
      </c>
      <c r="AK221" s="1686">
        <v>34.073741589050961</v>
      </c>
    </row>
    <row r="222" spans="1:37" s="919" customFormat="1" ht="12">
      <c r="B222" s="930" t="s">
        <v>262</v>
      </c>
      <c r="C222" s="930" t="s">
        <v>261</v>
      </c>
      <c r="D222" s="931">
        <v>62.486163555428746</v>
      </c>
      <c r="E222" s="931">
        <v>62.486163555428739</v>
      </c>
      <c r="F222" s="931">
        <v>62.486163555428739</v>
      </c>
      <c r="G222" s="931">
        <v>60.532165496108739</v>
      </c>
      <c r="H222" s="931">
        <v>58.578167436788767</v>
      </c>
      <c r="I222" s="931">
        <v>56.624169377468782</v>
      </c>
      <c r="J222" s="931">
        <v>54.67017131814881</v>
      </c>
      <c r="K222" s="931">
        <v>52.716173258828796</v>
      </c>
      <c r="L222" s="931">
        <v>50.762175199508832</v>
      </c>
      <c r="M222" s="931">
        <v>48.808177140188832</v>
      </c>
      <c r="N222" s="931">
        <v>46.854179080868846</v>
      </c>
      <c r="O222" s="931">
        <v>44.900181021548853</v>
      </c>
      <c r="P222" s="931">
        <v>42.946182962228868</v>
      </c>
      <c r="Q222" s="931">
        <v>40.992184902908882</v>
      </c>
      <c r="R222" s="931">
        <v>39.038186843588896</v>
      </c>
      <c r="S222" s="931">
        <v>37.084188784268896</v>
      </c>
      <c r="T222" s="931">
        <v>35.130190724948918</v>
      </c>
      <c r="U222" s="931">
        <v>33.176192665628925</v>
      </c>
      <c r="V222" s="931">
        <v>31.222194606308943</v>
      </c>
      <c r="W222" s="931">
        <v>29.268196546988953</v>
      </c>
      <c r="X222" s="931">
        <v>27.314198487668964</v>
      </c>
      <c r="Y222" s="931">
        <v>25.360200428348985</v>
      </c>
      <c r="Z222" s="931">
        <v>25.360200428348989</v>
      </c>
      <c r="AA222" s="931">
        <v>25.360200428348982</v>
      </c>
      <c r="AB222" s="931">
        <v>25.360200428348982</v>
      </c>
      <c r="AC222" s="931">
        <v>25.360200428348985</v>
      </c>
      <c r="AD222" s="931">
        <v>25.360200428348993</v>
      </c>
      <c r="AE222" s="931">
        <v>25.360200428348985</v>
      </c>
      <c r="AF222" s="931">
        <v>25.360200428348985</v>
      </c>
      <c r="AG222" s="931">
        <v>25.360200428348985</v>
      </c>
      <c r="AH222" s="1150">
        <v>25.360200428348982</v>
      </c>
      <c r="AI222" s="1150">
        <v>25.360200428348982</v>
      </c>
      <c r="AJ222" s="1150">
        <v>25.360200428348989</v>
      </c>
      <c r="AK222" s="1387">
        <v>25.360200428348989</v>
      </c>
    </row>
    <row r="223" spans="1:37" s="919" customFormat="1" ht="12">
      <c r="B223" s="930" t="s">
        <v>263</v>
      </c>
      <c r="C223" s="930" t="s">
        <v>261</v>
      </c>
      <c r="D223" s="931">
        <v>1.7391713389796102</v>
      </c>
      <c r="E223" s="931">
        <v>1.7391713389796104</v>
      </c>
      <c r="F223" s="931">
        <v>1.7391713389796102</v>
      </c>
      <c r="G223" s="931">
        <v>1.7975624824416672</v>
      </c>
      <c r="H223" s="931">
        <v>1.8559536259037241</v>
      </c>
      <c r="I223" s="931">
        <v>1.9143447693657809</v>
      </c>
      <c r="J223" s="931">
        <v>1.9727359128278381</v>
      </c>
      <c r="K223" s="931">
        <v>2.0311270562898951</v>
      </c>
      <c r="L223" s="931">
        <v>2.0895181997519514</v>
      </c>
      <c r="M223" s="931">
        <v>2.1479093432140086</v>
      </c>
      <c r="N223" s="931">
        <v>2.2063004866760654</v>
      </c>
      <c r="O223" s="931">
        <v>2.2646916301381221</v>
      </c>
      <c r="P223" s="931">
        <v>2.3230827736001793</v>
      </c>
      <c r="Q223" s="931">
        <v>2.3814739170622361</v>
      </c>
      <c r="R223" s="931">
        <v>2.4398650605242933</v>
      </c>
      <c r="S223" s="931">
        <v>2.4982562039863496</v>
      </c>
      <c r="T223" s="931">
        <v>2.5566473474484068</v>
      </c>
      <c r="U223" s="931">
        <v>2.6150384909104636</v>
      </c>
      <c r="V223" s="931">
        <v>2.6734296343725203</v>
      </c>
      <c r="W223" s="931">
        <v>2.7318207778345767</v>
      </c>
      <c r="X223" s="931">
        <v>2.7902119212966343</v>
      </c>
      <c r="Y223" s="931">
        <v>2.8486030647586911</v>
      </c>
      <c r="Z223" s="931">
        <v>2.8486030647586911</v>
      </c>
      <c r="AA223" s="931">
        <v>2.8486030647586915</v>
      </c>
      <c r="AB223" s="931">
        <v>2.8486030647586915</v>
      </c>
      <c r="AC223" s="931">
        <v>2.8486030647586906</v>
      </c>
      <c r="AD223" s="931">
        <v>2.8486030647586906</v>
      </c>
      <c r="AE223" s="931">
        <v>2.8486030647586906</v>
      </c>
      <c r="AF223" s="931">
        <v>2.8486030647586911</v>
      </c>
      <c r="AG223" s="931">
        <v>2.8486030647586911</v>
      </c>
      <c r="AH223" s="1150">
        <v>2.8486030647586906</v>
      </c>
      <c r="AI223" s="1150">
        <v>2.8486030647586911</v>
      </c>
      <c r="AJ223" s="1150">
        <v>2.8486030647586906</v>
      </c>
      <c r="AK223" s="1387">
        <v>2.8486030647586906</v>
      </c>
    </row>
    <row r="224" spans="1:37" s="919" customFormat="1" ht="12">
      <c r="B224" s="930" t="s">
        <v>264</v>
      </c>
      <c r="C224" s="930" t="s">
        <v>261</v>
      </c>
      <c r="D224" s="931">
        <v>5.6197339400428259</v>
      </c>
      <c r="E224" s="931">
        <v>5.6197339400428259</v>
      </c>
      <c r="F224" s="931">
        <v>5.6197339400428268</v>
      </c>
      <c r="G224" s="931">
        <v>5.3686616307431869</v>
      </c>
      <c r="H224" s="931">
        <v>5.1175893214435471</v>
      </c>
      <c r="I224" s="931">
        <v>4.8665170121439081</v>
      </c>
      <c r="J224" s="931">
        <v>4.6154447028442691</v>
      </c>
      <c r="K224" s="931">
        <v>4.3643723935446292</v>
      </c>
      <c r="L224" s="931">
        <v>4.1133000842449885</v>
      </c>
      <c r="M224" s="931">
        <v>3.86222777494535</v>
      </c>
      <c r="N224" s="931">
        <v>3.6111554656457092</v>
      </c>
      <c r="O224" s="931">
        <v>3.3600831563460698</v>
      </c>
      <c r="P224" s="931">
        <v>3.1090108470464304</v>
      </c>
      <c r="Q224" s="931">
        <v>2.857938537746791</v>
      </c>
      <c r="R224" s="931">
        <v>2.6068662284471511</v>
      </c>
      <c r="S224" s="931">
        <v>2.3557939191475112</v>
      </c>
      <c r="T224" s="931">
        <v>2.1047216098478723</v>
      </c>
      <c r="U224" s="931">
        <v>1.8536493005482324</v>
      </c>
      <c r="V224" s="931">
        <v>1.602576991248593</v>
      </c>
      <c r="W224" s="931">
        <v>1.3515046819489529</v>
      </c>
      <c r="X224" s="931">
        <v>1.1004323726493133</v>
      </c>
      <c r="Y224" s="931">
        <v>0.84936006334967407</v>
      </c>
      <c r="Z224" s="931">
        <v>0.84936006334967395</v>
      </c>
      <c r="AA224" s="931">
        <v>0.84936006334967395</v>
      </c>
      <c r="AB224" s="931">
        <v>0.84936006334967407</v>
      </c>
      <c r="AC224" s="931">
        <v>0.84936006334967407</v>
      </c>
      <c r="AD224" s="931">
        <v>0.84936006334967384</v>
      </c>
      <c r="AE224" s="931">
        <v>0.84936006334967384</v>
      </c>
      <c r="AF224" s="931">
        <v>0.84936006334967384</v>
      </c>
      <c r="AG224" s="931">
        <v>0.84936006334967407</v>
      </c>
      <c r="AH224" s="1150">
        <v>0.84936006334967407</v>
      </c>
      <c r="AI224" s="1150">
        <v>0.84936006334967395</v>
      </c>
      <c r="AJ224" s="1150">
        <v>0.84936006334967384</v>
      </c>
      <c r="AK224" s="1387">
        <v>0.84936006334967384</v>
      </c>
    </row>
    <row r="225" spans="2:37" s="919" customFormat="1" ht="12">
      <c r="B225" s="930" t="s">
        <v>265</v>
      </c>
      <c r="C225" s="930" t="s">
        <v>266</v>
      </c>
      <c r="D225" s="931">
        <v>0.96446637434961968</v>
      </c>
      <c r="E225" s="931">
        <v>0.96446637434961979</v>
      </c>
      <c r="F225" s="931">
        <v>0.96446637434961957</v>
      </c>
      <c r="G225" s="931">
        <v>0.93615416238723859</v>
      </c>
      <c r="H225" s="931">
        <v>0.90784195042485738</v>
      </c>
      <c r="I225" s="931">
        <v>0.87952973846247662</v>
      </c>
      <c r="J225" s="931">
        <v>0.85121752650009541</v>
      </c>
      <c r="K225" s="931">
        <v>0.82290531453771443</v>
      </c>
      <c r="L225" s="931">
        <v>0.79459310257533344</v>
      </c>
      <c r="M225" s="931">
        <v>0.76628089061295224</v>
      </c>
      <c r="N225" s="931">
        <v>0.73796867865057114</v>
      </c>
      <c r="O225" s="931">
        <v>0.70965646668819005</v>
      </c>
      <c r="P225" s="931">
        <v>0.68134425472580917</v>
      </c>
      <c r="Q225" s="931">
        <v>0.65303204276342774</v>
      </c>
      <c r="R225" s="931">
        <v>0.62471983080104676</v>
      </c>
      <c r="S225" s="931">
        <v>0.59640761883866578</v>
      </c>
      <c r="T225" s="931">
        <v>0.56809540687628468</v>
      </c>
      <c r="U225" s="931">
        <v>0.53978319491390381</v>
      </c>
      <c r="V225" s="931">
        <v>0.5114709829515226</v>
      </c>
      <c r="W225" s="931">
        <v>0.4831587709891414</v>
      </c>
      <c r="X225" s="931">
        <v>0.45484655902676052</v>
      </c>
      <c r="Y225" s="931">
        <v>0.42653434706437937</v>
      </c>
      <c r="Z225" s="931">
        <v>0.42653434706437932</v>
      </c>
      <c r="AA225" s="931">
        <v>0.42653434706437932</v>
      </c>
      <c r="AB225" s="931">
        <v>0.42653434706437943</v>
      </c>
      <c r="AC225" s="931">
        <v>0.42653434706437937</v>
      </c>
      <c r="AD225" s="931">
        <v>0.42653434706437926</v>
      </c>
      <c r="AE225" s="931">
        <v>0.42653434706437937</v>
      </c>
      <c r="AF225" s="931">
        <v>0.42653434706437932</v>
      </c>
      <c r="AG225" s="931">
        <v>0.42653434706437937</v>
      </c>
      <c r="AH225" s="1150">
        <v>0.42653434706437943</v>
      </c>
      <c r="AI225" s="1150">
        <v>0.42653434706437937</v>
      </c>
      <c r="AJ225" s="1150">
        <v>0.42653434706437943</v>
      </c>
      <c r="AK225" s="1387">
        <v>0.42653434706437943</v>
      </c>
    </row>
    <row r="226" spans="2:37" s="919" customFormat="1" ht="12">
      <c r="B226" s="930" t="s">
        <v>267</v>
      </c>
      <c r="C226" s="930" t="s">
        <v>266</v>
      </c>
      <c r="D226" s="931">
        <v>0.10008669838884363</v>
      </c>
      <c r="E226" s="931">
        <v>0.10008669838884363</v>
      </c>
      <c r="F226" s="931">
        <v>0.10008669838884363</v>
      </c>
      <c r="G226" s="931">
        <v>9.6826164705839005E-2</v>
      </c>
      <c r="H226" s="931">
        <v>9.3565631022834383E-2</v>
      </c>
      <c r="I226" s="931">
        <v>9.030509733982979E-2</v>
      </c>
      <c r="J226" s="931">
        <v>8.7044563656825169E-2</v>
      </c>
      <c r="K226" s="931">
        <v>8.3784029973820548E-2</v>
      </c>
      <c r="L226" s="931">
        <v>8.0523496290815941E-2</v>
      </c>
      <c r="M226" s="931">
        <v>7.7262962607811334E-2</v>
      </c>
      <c r="N226" s="931">
        <v>7.4002428924806712E-2</v>
      </c>
      <c r="O226" s="931">
        <v>7.0741895241802091E-2</v>
      </c>
      <c r="P226" s="931">
        <v>6.7481361558797484E-2</v>
      </c>
      <c r="Q226" s="931">
        <v>6.4220827875792877E-2</v>
      </c>
      <c r="R226" s="931">
        <v>6.0960294192788256E-2</v>
      </c>
      <c r="S226" s="931">
        <v>5.7699760509783649E-2</v>
      </c>
      <c r="T226" s="931">
        <v>5.4439226826779027E-2</v>
      </c>
      <c r="U226" s="931">
        <v>5.1178693143774434E-2</v>
      </c>
      <c r="V226" s="932">
        <v>4.7918159460769813E-2</v>
      </c>
      <c r="W226" s="932">
        <v>4.4657625777765199E-2</v>
      </c>
      <c r="X226" s="932">
        <v>4.1397092094760585E-2</v>
      </c>
      <c r="Y226" s="932">
        <v>3.8136558411755977E-2</v>
      </c>
      <c r="Z226" s="932">
        <v>3.8136558411755977E-2</v>
      </c>
      <c r="AA226" s="932">
        <v>3.8136558411755977E-2</v>
      </c>
      <c r="AB226" s="932">
        <v>3.8136558411755971E-2</v>
      </c>
      <c r="AC226" s="932">
        <v>3.8136558411755977E-2</v>
      </c>
      <c r="AD226" s="932">
        <v>3.8136558411755977E-2</v>
      </c>
      <c r="AE226" s="932">
        <v>3.8136558411755971E-2</v>
      </c>
      <c r="AF226" s="932">
        <v>3.8136558411755977E-2</v>
      </c>
      <c r="AG226" s="932">
        <v>3.8136558411755977E-2</v>
      </c>
      <c r="AH226" s="1212">
        <v>3.8136558411755977E-2</v>
      </c>
      <c r="AI226" s="1212">
        <v>3.8136558411755977E-2</v>
      </c>
      <c r="AJ226" s="1212">
        <v>3.8136558411755977E-2</v>
      </c>
      <c r="AK226" s="1687">
        <v>3.8136558411755977E-2</v>
      </c>
    </row>
    <row r="227" spans="2:37" s="919" customFormat="1" ht="12">
      <c r="B227" s="930" t="s">
        <v>268</v>
      </c>
      <c r="C227" s="930" t="s">
        <v>266</v>
      </c>
      <c r="D227" s="932">
        <v>5.2727599626561953E-3</v>
      </c>
      <c r="E227" s="932">
        <v>5.2727599626561953E-3</v>
      </c>
      <c r="F227" s="932">
        <v>5.2727599626561953E-3</v>
      </c>
      <c r="G227" s="932">
        <v>5.4027936159462119E-3</v>
      </c>
      <c r="H227" s="932">
        <v>5.5328272692362276E-3</v>
      </c>
      <c r="I227" s="932">
        <v>5.6628609225262451E-3</v>
      </c>
      <c r="J227" s="932">
        <v>5.7928945758162643E-3</v>
      </c>
      <c r="K227" s="932">
        <v>5.92292822910628E-3</v>
      </c>
      <c r="L227" s="932">
        <v>6.0529618823962957E-3</v>
      </c>
      <c r="M227" s="932">
        <v>6.182995535686314E-3</v>
      </c>
      <c r="N227" s="932">
        <v>6.3130291889763298E-3</v>
      </c>
      <c r="O227" s="932">
        <v>6.4430628422663472E-3</v>
      </c>
      <c r="P227" s="932">
        <v>6.5730964955563647E-3</v>
      </c>
      <c r="Q227" s="932">
        <v>6.7031301488463813E-3</v>
      </c>
      <c r="R227" s="932">
        <v>6.8331638021363987E-3</v>
      </c>
      <c r="S227" s="932">
        <v>6.9631974554264136E-3</v>
      </c>
      <c r="T227" s="932">
        <v>7.093231108716431E-3</v>
      </c>
      <c r="U227" s="932">
        <v>7.2232647620064485E-3</v>
      </c>
      <c r="V227" s="932">
        <v>7.3532984152964651E-3</v>
      </c>
      <c r="W227" s="932">
        <v>7.4833320685864825E-3</v>
      </c>
      <c r="X227" s="932">
        <v>7.6133657218764991E-3</v>
      </c>
      <c r="Y227" s="932">
        <v>7.7433993751665165E-3</v>
      </c>
      <c r="Z227" s="932">
        <v>7.7433993751665157E-3</v>
      </c>
      <c r="AA227" s="932">
        <v>7.7433993751665165E-3</v>
      </c>
      <c r="AB227" s="932">
        <v>7.7433993751665165E-3</v>
      </c>
      <c r="AC227" s="932">
        <v>7.7433993751665165E-3</v>
      </c>
      <c r="AD227" s="932">
        <v>7.7433993751665165E-3</v>
      </c>
      <c r="AE227" s="932">
        <v>7.7433993751665157E-3</v>
      </c>
      <c r="AF227" s="932">
        <v>7.7433993751665165E-3</v>
      </c>
      <c r="AG227" s="932">
        <v>7.7433993751665157E-3</v>
      </c>
      <c r="AH227" s="1212">
        <v>7.7433993751665148E-3</v>
      </c>
      <c r="AI227" s="1212">
        <v>7.7433993751665157E-3</v>
      </c>
      <c r="AJ227" s="1212">
        <v>7.7433993751665157E-3</v>
      </c>
      <c r="AK227" s="1687">
        <v>7.7433993751665157E-3</v>
      </c>
    </row>
    <row r="228" spans="2:37" s="919" customFormat="1" ht="12">
      <c r="B228" s="933" t="s">
        <v>269</v>
      </c>
      <c r="C228" s="930" t="s">
        <v>266</v>
      </c>
      <c r="D228" s="934">
        <v>0.14422234484178889</v>
      </c>
      <c r="E228" s="934">
        <v>0.14422234484178889</v>
      </c>
      <c r="F228" s="934">
        <v>0.14422234484178889</v>
      </c>
      <c r="G228" s="934">
        <v>0.14422234484178886</v>
      </c>
      <c r="H228" s="934">
        <v>0.14422234484178886</v>
      </c>
      <c r="I228" s="934">
        <v>0.14422234484178886</v>
      </c>
      <c r="J228" s="934">
        <v>0.14422234484178886</v>
      </c>
      <c r="K228" s="934">
        <v>0.14422234484178889</v>
      </c>
      <c r="L228" s="934">
        <v>0.14422234484178886</v>
      </c>
      <c r="M228" s="934">
        <v>0.14422234484178886</v>
      </c>
      <c r="N228" s="934">
        <v>0.14422234484178889</v>
      </c>
      <c r="O228" s="934">
        <v>0.14422234484178889</v>
      </c>
      <c r="P228" s="934">
        <v>0.14422234484178889</v>
      </c>
      <c r="Q228" s="934">
        <v>0.14422234484178889</v>
      </c>
      <c r="R228" s="934">
        <v>0.14422234484178889</v>
      </c>
      <c r="S228" s="934">
        <v>0.14422234484178892</v>
      </c>
      <c r="T228" s="934">
        <v>0.14422234484178889</v>
      </c>
      <c r="U228" s="934">
        <v>0.14422234484178886</v>
      </c>
      <c r="V228" s="934">
        <v>0.14422234484178889</v>
      </c>
      <c r="W228" s="934">
        <v>0.14422234484178889</v>
      </c>
      <c r="X228" s="934">
        <v>0.14422234484178889</v>
      </c>
      <c r="Y228" s="934">
        <v>0.14422234484178889</v>
      </c>
      <c r="Z228" s="934">
        <v>0.14422234484178889</v>
      </c>
      <c r="AA228" s="934">
        <v>0.14422234484178889</v>
      </c>
      <c r="AB228" s="934">
        <v>0.14422234484178886</v>
      </c>
      <c r="AC228" s="934">
        <v>0.14422234484178892</v>
      </c>
      <c r="AD228" s="934">
        <v>0.14422234484178889</v>
      </c>
      <c r="AE228" s="934">
        <v>0.14422234484178889</v>
      </c>
      <c r="AF228" s="934">
        <v>0.14422234484178889</v>
      </c>
      <c r="AG228" s="934">
        <v>0.14422234484178889</v>
      </c>
      <c r="AH228" s="1151">
        <v>0.14422234484178889</v>
      </c>
      <c r="AI228" s="1151">
        <v>0.14422234484178889</v>
      </c>
      <c r="AJ228" s="1151">
        <v>0.14422234484178889</v>
      </c>
      <c r="AK228" s="1688">
        <v>0.14422234484178889</v>
      </c>
    </row>
    <row r="229" spans="2:37" s="919" customFormat="1" ht="12">
      <c r="B229" s="924" t="s">
        <v>270</v>
      </c>
      <c r="C229" s="924"/>
      <c r="D229" s="926"/>
      <c r="E229" s="926"/>
      <c r="F229" s="926"/>
      <c r="G229" s="926"/>
      <c r="H229" s="926"/>
      <c r="I229" s="926"/>
      <c r="J229" s="926"/>
      <c r="K229" s="926"/>
      <c r="L229" s="926"/>
      <c r="M229" s="926"/>
      <c r="N229" s="926"/>
      <c r="O229" s="926"/>
      <c r="P229" s="926"/>
      <c r="Q229" s="926"/>
      <c r="R229" s="926"/>
      <c r="S229" s="926"/>
      <c r="T229" s="926"/>
      <c r="U229" s="926"/>
      <c r="V229" s="926"/>
      <c r="W229" s="926"/>
      <c r="X229" s="926"/>
      <c r="Y229" s="926"/>
      <c r="Z229" s="926"/>
      <c r="AA229" s="926"/>
      <c r="AB229" s="926"/>
      <c r="AC229" s="926"/>
      <c r="AD229" s="926"/>
      <c r="AE229" s="926"/>
      <c r="AF229" s="927"/>
      <c r="AG229" s="927"/>
      <c r="AH229" s="926"/>
      <c r="AI229" s="926"/>
      <c r="AJ229" s="926"/>
      <c r="AK229" s="1388"/>
    </row>
    <row r="230" spans="2:37" s="919" customFormat="1" ht="12">
      <c r="B230" s="935" t="s">
        <v>271</v>
      </c>
      <c r="C230" s="928" t="s">
        <v>272</v>
      </c>
      <c r="D230" s="929">
        <v>893.17363297644545</v>
      </c>
      <c r="E230" s="929">
        <v>893.17363297644545</v>
      </c>
      <c r="F230" s="929">
        <v>893.17363297644533</v>
      </c>
      <c r="G230" s="929">
        <v>849.48493967091201</v>
      </c>
      <c r="H230" s="929">
        <v>805.79624636537824</v>
      </c>
      <c r="I230" s="929">
        <v>762.10755305984458</v>
      </c>
      <c r="J230" s="929">
        <v>718.4188597543108</v>
      </c>
      <c r="K230" s="929">
        <v>674.73016644877725</v>
      </c>
      <c r="L230" s="929">
        <v>631.04147314324359</v>
      </c>
      <c r="M230" s="929">
        <v>587.35277983770993</v>
      </c>
      <c r="N230" s="929">
        <v>543.66408653217627</v>
      </c>
      <c r="O230" s="929">
        <v>499.97539322664261</v>
      </c>
      <c r="P230" s="929">
        <v>456.286699921109</v>
      </c>
      <c r="Q230" s="929">
        <v>412.59800661557529</v>
      </c>
      <c r="R230" s="929">
        <v>368.90931331004174</v>
      </c>
      <c r="S230" s="929">
        <v>325.22062000450808</v>
      </c>
      <c r="T230" s="929">
        <v>281.53192669897442</v>
      </c>
      <c r="U230" s="929">
        <v>237.84323339344076</v>
      </c>
      <c r="V230" s="929">
        <v>194.15454008790709</v>
      </c>
      <c r="W230" s="929">
        <v>150.46584678237343</v>
      </c>
      <c r="X230" s="929">
        <v>106.77715347683981</v>
      </c>
      <c r="Y230" s="929">
        <v>63.088460171306217</v>
      </c>
      <c r="Z230" s="929">
        <v>63.088460171306217</v>
      </c>
      <c r="AA230" s="929">
        <v>63.088460171306231</v>
      </c>
      <c r="AB230" s="929">
        <v>63.088460171306203</v>
      </c>
      <c r="AC230" s="929">
        <v>63.088460171306217</v>
      </c>
      <c r="AD230" s="929">
        <v>63.088460171306217</v>
      </c>
      <c r="AE230" s="929">
        <v>63.08846017130621</v>
      </c>
      <c r="AF230" s="929">
        <v>63.088460171306203</v>
      </c>
      <c r="AG230" s="929">
        <v>63.088460171306224</v>
      </c>
      <c r="AH230" s="1152">
        <v>63.088460171306231</v>
      </c>
      <c r="AI230" s="1152">
        <v>63.088460171306217</v>
      </c>
      <c r="AJ230" s="1152">
        <v>63.08846017130621</v>
      </c>
      <c r="AK230" s="1686">
        <v>63.08846017130621</v>
      </c>
    </row>
    <row r="231" spans="2:37" s="919" customFormat="1" ht="12">
      <c r="B231" s="930" t="s">
        <v>273</v>
      </c>
      <c r="C231" s="930" t="s">
        <v>272</v>
      </c>
      <c r="D231" s="931">
        <v>474.90210963597434</v>
      </c>
      <c r="E231" s="931">
        <v>474.90210963597434</v>
      </c>
      <c r="F231" s="931">
        <v>474.90210963597428</v>
      </c>
      <c r="G231" s="931">
        <v>451.44983082384772</v>
      </c>
      <c r="H231" s="931">
        <v>427.99755201172081</v>
      </c>
      <c r="I231" s="931">
        <v>404.54527319959425</v>
      </c>
      <c r="J231" s="931">
        <v>381.09299438746757</v>
      </c>
      <c r="K231" s="931">
        <v>357.64071557534089</v>
      </c>
      <c r="L231" s="931">
        <v>334.18843676321427</v>
      </c>
      <c r="M231" s="931">
        <v>310.73615795108759</v>
      </c>
      <c r="N231" s="931">
        <v>287.28387913896091</v>
      </c>
      <c r="O231" s="931">
        <v>263.83160032683423</v>
      </c>
      <c r="P231" s="931">
        <v>240.37932151470758</v>
      </c>
      <c r="Q231" s="931">
        <v>216.92704270258088</v>
      </c>
      <c r="R231" s="931">
        <v>193.4747638904542</v>
      </c>
      <c r="S231" s="931">
        <v>170.02248507832755</v>
      </c>
      <c r="T231" s="931">
        <v>146.57020626620087</v>
      </c>
      <c r="U231" s="931">
        <v>123.11792745407416</v>
      </c>
      <c r="V231" s="931">
        <v>99.665648641947513</v>
      </c>
      <c r="W231" s="931">
        <v>76.213369829820849</v>
      </c>
      <c r="X231" s="931">
        <v>52.761091017694127</v>
      </c>
      <c r="Y231" s="931">
        <v>29.308812205567456</v>
      </c>
      <c r="Z231" s="931">
        <v>29.308812205567456</v>
      </c>
      <c r="AA231" s="931">
        <v>29.30881220556746</v>
      </c>
      <c r="AB231" s="931">
        <v>29.308812205567456</v>
      </c>
      <c r="AC231" s="931">
        <v>29.30881220556746</v>
      </c>
      <c r="AD231" s="931">
        <v>29.308812205567456</v>
      </c>
      <c r="AE231" s="931">
        <v>29.308812205567452</v>
      </c>
      <c r="AF231" s="931">
        <v>29.308812205567456</v>
      </c>
      <c r="AG231" s="931">
        <v>29.308812205567456</v>
      </c>
      <c r="AH231" s="1150">
        <v>29.30881220556746</v>
      </c>
      <c r="AI231" s="1150">
        <v>29.30881220556746</v>
      </c>
      <c r="AJ231" s="1150">
        <v>29.30881220556746</v>
      </c>
      <c r="AK231" s="1387">
        <v>29.30881220556746</v>
      </c>
    </row>
    <row r="232" spans="2:37" s="919" customFormat="1" ht="12">
      <c r="B232" s="930" t="s">
        <v>274</v>
      </c>
      <c r="C232" s="930" t="s">
        <v>272</v>
      </c>
      <c r="D232" s="931">
        <v>21.410335695931483</v>
      </c>
      <c r="E232" s="931">
        <v>21.410335695931479</v>
      </c>
      <c r="F232" s="931">
        <v>21.410335695931479</v>
      </c>
      <c r="G232" s="931">
        <v>21.410335695931479</v>
      </c>
      <c r="H232" s="931">
        <v>21.410335695931479</v>
      </c>
      <c r="I232" s="931">
        <v>21.410335695931479</v>
      </c>
      <c r="J232" s="931">
        <v>21.410335695931479</v>
      </c>
      <c r="K232" s="931">
        <v>21.410335695931479</v>
      </c>
      <c r="L232" s="931">
        <v>21.410335695931479</v>
      </c>
      <c r="M232" s="931">
        <v>21.410335695931479</v>
      </c>
      <c r="N232" s="931">
        <v>21.410335695931476</v>
      </c>
      <c r="O232" s="931">
        <v>21.410335695931479</v>
      </c>
      <c r="P232" s="931">
        <v>21.410335695931479</v>
      </c>
      <c r="Q232" s="931">
        <v>21.410335695931479</v>
      </c>
      <c r="R232" s="931">
        <v>21.410335695931479</v>
      </c>
      <c r="S232" s="931">
        <v>21.410335695931483</v>
      </c>
      <c r="T232" s="931">
        <v>21.410335695931479</v>
      </c>
      <c r="U232" s="931">
        <v>21.410335695931483</v>
      </c>
      <c r="V232" s="931">
        <v>21.410335695931476</v>
      </c>
      <c r="W232" s="931">
        <v>21.410335695931479</v>
      </c>
      <c r="X232" s="931">
        <v>21.410335695931476</v>
      </c>
      <c r="Y232" s="931">
        <v>21.410335695931476</v>
      </c>
      <c r="Z232" s="931">
        <v>21.410335695931476</v>
      </c>
      <c r="AA232" s="931">
        <v>21.410335695931483</v>
      </c>
      <c r="AB232" s="931">
        <v>21.410335695931479</v>
      </c>
      <c r="AC232" s="931">
        <v>21.410335695931479</v>
      </c>
      <c r="AD232" s="931">
        <v>21.410335695931483</v>
      </c>
      <c r="AE232" s="931">
        <v>21.410335695931479</v>
      </c>
      <c r="AF232" s="931">
        <v>21.410335695931479</v>
      </c>
      <c r="AG232" s="931">
        <v>21.410335695931483</v>
      </c>
      <c r="AH232" s="1150">
        <v>21.410335695931483</v>
      </c>
      <c r="AI232" s="1150">
        <v>21.410335695931476</v>
      </c>
      <c r="AJ232" s="1150">
        <v>21.410335695931483</v>
      </c>
      <c r="AK232" s="1387">
        <v>21.410335695931483</v>
      </c>
    </row>
    <row r="233" spans="2:37" s="919" customFormat="1" ht="12">
      <c r="B233" s="930" t="s">
        <v>275</v>
      </c>
      <c r="C233" s="930" t="s">
        <v>272</v>
      </c>
      <c r="D233" s="931">
        <v>804.25367730192727</v>
      </c>
      <c r="E233" s="931">
        <v>804.25367730192738</v>
      </c>
      <c r="F233" s="931">
        <v>804.25367730192738</v>
      </c>
      <c r="G233" s="931">
        <v>763.2710161670235</v>
      </c>
      <c r="H233" s="931">
        <v>722.28835503212008</v>
      </c>
      <c r="I233" s="931">
        <v>681.3056938972162</v>
      </c>
      <c r="J233" s="931">
        <v>640.32303276231278</v>
      </c>
      <c r="K233" s="931">
        <v>599.34037162740901</v>
      </c>
      <c r="L233" s="931">
        <v>558.35771049250548</v>
      </c>
      <c r="M233" s="931">
        <v>517.37504935760182</v>
      </c>
      <c r="N233" s="931">
        <v>476.39238822269812</v>
      </c>
      <c r="O233" s="931">
        <v>435.40972708779435</v>
      </c>
      <c r="P233" s="931">
        <v>394.42706595289081</v>
      </c>
      <c r="Q233" s="931">
        <v>353.44440481798733</v>
      </c>
      <c r="R233" s="931">
        <v>312.46174368308351</v>
      </c>
      <c r="S233" s="931">
        <v>271.47908254817986</v>
      </c>
      <c r="T233" s="931">
        <v>230.49642141327629</v>
      </c>
      <c r="U233" s="931">
        <v>189.51376027837262</v>
      </c>
      <c r="V233" s="931">
        <v>148.53109914346902</v>
      </c>
      <c r="W233" s="931">
        <v>107.54843800856534</v>
      </c>
      <c r="X233" s="931">
        <v>66.565776873661719</v>
      </c>
      <c r="Y233" s="931">
        <v>25.583115738758035</v>
      </c>
      <c r="Z233" s="931">
        <v>25.583115738758035</v>
      </c>
      <c r="AA233" s="931">
        <v>25.583115738758032</v>
      </c>
      <c r="AB233" s="931">
        <v>25.583115738758035</v>
      </c>
      <c r="AC233" s="931">
        <v>25.583115738758035</v>
      </c>
      <c r="AD233" s="931">
        <v>25.583115738758035</v>
      </c>
      <c r="AE233" s="931">
        <v>25.583115738758035</v>
      </c>
      <c r="AF233" s="931">
        <v>25.583115738758035</v>
      </c>
      <c r="AG233" s="931">
        <v>25.583115738758035</v>
      </c>
      <c r="AH233" s="1150">
        <v>25.583115738758035</v>
      </c>
      <c r="AI233" s="1150">
        <v>25.583115738758035</v>
      </c>
      <c r="AJ233" s="1150">
        <v>25.583115738758039</v>
      </c>
      <c r="AK233" s="1387">
        <v>25.583115738758039</v>
      </c>
    </row>
    <row r="234" spans="2:37" s="919" customFormat="1" ht="12">
      <c r="B234" s="930" t="s">
        <v>276</v>
      </c>
      <c r="C234" s="930" t="s">
        <v>272</v>
      </c>
      <c r="D234" s="931">
        <v>6.4578738758030001</v>
      </c>
      <c r="E234" s="931">
        <v>6.4578738758029992</v>
      </c>
      <c r="F234" s="931">
        <v>6.4578738758029983</v>
      </c>
      <c r="G234" s="931">
        <v>6.1964214921672518</v>
      </c>
      <c r="H234" s="931">
        <v>5.9349691085315008</v>
      </c>
      <c r="I234" s="931">
        <v>5.6735167248957525</v>
      </c>
      <c r="J234" s="931">
        <v>5.4120643412600034</v>
      </c>
      <c r="K234" s="931">
        <v>5.1506119576242551</v>
      </c>
      <c r="L234" s="931">
        <v>4.889159573988505</v>
      </c>
      <c r="M234" s="931">
        <v>4.6277071903527558</v>
      </c>
      <c r="N234" s="931">
        <v>4.3662548067170075</v>
      </c>
      <c r="O234" s="931">
        <v>4.1048024230812592</v>
      </c>
      <c r="P234" s="931">
        <v>3.8433500394455091</v>
      </c>
      <c r="Q234" s="931">
        <v>3.5818976558097604</v>
      </c>
      <c r="R234" s="931">
        <v>3.3204452721740116</v>
      </c>
      <c r="S234" s="931">
        <v>3.0589928885382633</v>
      </c>
      <c r="T234" s="931">
        <v>2.7975405049025146</v>
      </c>
      <c r="U234" s="931">
        <v>2.536088121266765</v>
      </c>
      <c r="V234" s="931">
        <v>2.2746357376310162</v>
      </c>
      <c r="W234" s="931">
        <v>2.013183353995267</v>
      </c>
      <c r="X234" s="931">
        <v>1.7517309703595185</v>
      </c>
      <c r="Y234" s="931">
        <v>1.4902785867237689</v>
      </c>
      <c r="Z234" s="931">
        <v>1.4902785867237689</v>
      </c>
      <c r="AA234" s="931">
        <v>1.4902785867237689</v>
      </c>
      <c r="AB234" s="931">
        <v>1.4902785867237689</v>
      </c>
      <c r="AC234" s="931">
        <v>1.4902785867237687</v>
      </c>
      <c r="AD234" s="931">
        <v>1.4902785867237687</v>
      </c>
      <c r="AE234" s="931">
        <v>1.4902785867237689</v>
      </c>
      <c r="AF234" s="931">
        <v>1.4902785867237689</v>
      </c>
      <c r="AG234" s="931">
        <v>1.4902785867237687</v>
      </c>
      <c r="AH234" s="1150">
        <v>1.4902785867237689</v>
      </c>
      <c r="AI234" s="1150">
        <v>1.4902785867237687</v>
      </c>
      <c r="AJ234" s="1150">
        <v>1.4902785867237691</v>
      </c>
      <c r="AK234" s="1387">
        <v>1.4902785867237691</v>
      </c>
    </row>
    <row r="235" spans="2:37" s="919" customFormat="1" ht="12">
      <c r="B235" s="930" t="s">
        <v>277</v>
      </c>
      <c r="C235" s="930" t="s">
        <v>272</v>
      </c>
      <c r="D235" s="931">
        <v>201.18760920770873</v>
      </c>
      <c r="E235" s="931">
        <v>201.18760920770876</v>
      </c>
      <c r="F235" s="931">
        <v>201.18760920770873</v>
      </c>
      <c r="G235" s="931">
        <v>190.82102219655133</v>
      </c>
      <c r="H235" s="931">
        <v>180.45443518539386</v>
      </c>
      <c r="I235" s="931">
        <v>170.08784817423646</v>
      </c>
      <c r="J235" s="931">
        <v>159.72126116307902</v>
      </c>
      <c r="K235" s="931">
        <v>149.35467415192159</v>
      </c>
      <c r="L235" s="931">
        <v>138.98808714076412</v>
      </c>
      <c r="M235" s="931">
        <v>128.62150012960669</v>
      </c>
      <c r="N235" s="931">
        <v>118.25491311844924</v>
      </c>
      <c r="O235" s="931">
        <v>107.88832610729177</v>
      </c>
      <c r="P235" s="931">
        <v>97.521739096134354</v>
      </c>
      <c r="Q235" s="931">
        <v>87.155152084976905</v>
      </c>
      <c r="R235" s="931">
        <v>76.788565073819441</v>
      </c>
      <c r="S235" s="931">
        <v>66.421978062662049</v>
      </c>
      <c r="T235" s="931">
        <v>56.055391051504586</v>
      </c>
      <c r="U235" s="931">
        <v>45.688804040347144</v>
      </c>
      <c r="V235" s="931">
        <v>35.322217029189702</v>
      </c>
      <c r="W235" s="931">
        <v>24.955630018032249</v>
      </c>
      <c r="X235" s="931">
        <v>14.589043006874805</v>
      </c>
      <c r="Y235" s="931">
        <v>4.2224559957173451</v>
      </c>
      <c r="Z235" s="931">
        <v>4.2224559957173442</v>
      </c>
      <c r="AA235" s="931">
        <v>4.2224559957173451</v>
      </c>
      <c r="AB235" s="931">
        <v>4.2224559957173451</v>
      </c>
      <c r="AC235" s="931">
        <v>4.2224559957173451</v>
      </c>
      <c r="AD235" s="931">
        <v>4.2224559957173451</v>
      </c>
      <c r="AE235" s="931">
        <v>4.2224559957173442</v>
      </c>
      <c r="AF235" s="931">
        <v>4.2224559957173442</v>
      </c>
      <c r="AG235" s="931">
        <v>4.2224559957173442</v>
      </c>
      <c r="AH235" s="1150">
        <v>4.2224559957173442</v>
      </c>
      <c r="AI235" s="1150">
        <v>4.2224559957173451</v>
      </c>
      <c r="AJ235" s="1150">
        <v>4.2224559957173442</v>
      </c>
      <c r="AK235" s="1387">
        <v>4.2224559957173442</v>
      </c>
    </row>
    <row r="236" spans="2:37" s="919" customFormat="1" ht="12">
      <c r="B236" s="930" t="s">
        <v>278</v>
      </c>
      <c r="C236" s="930" t="s">
        <v>272</v>
      </c>
      <c r="D236" s="931">
        <v>0.89416715203426111</v>
      </c>
      <c r="E236" s="931">
        <v>0.89416715203426123</v>
      </c>
      <c r="F236" s="931">
        <v>0.89416715203426123</v>
      </c>
      <c r="G236" s="931">
        <v>0.92554143807055123</v>
      </c>
      <c r="H236" s="931">
        <v>0.95691572410684078</v>
      </c>
      <c r="I236" s="931">
        <v>0.98829001014313067</v>
      </c>
      <c r="J236" s="931">
        <v>1.0196642961794209</v>
      </c>
      <c r="K236" s="931">
        <v>1.0510385822157107</v>
      </c>
      <c r="L236" s="931">
        <v>1.0824128682520007</v>
      </c>
      <c r="M236" s="931">
        <v>1.1137871542882904</v>
      </c>
      <c r="N236" s="931">
        <v>1.14516144032458</v>
      </c>
      <c r="O236" s="931">
        <v>1.1765357263608698</v>
      </c>
      <c r="P236" s="931">
        <v>1.20791001239716</v>
      </c>
      <c r="Q236" s="931">
        <v>1.2392842984334498</v>
      </c>
      <c r="R236" s="931">
        <v>1.2706585844697396</v>
      </c>
      <c r="S236" s="931">
        <v>1.3020328705060296</v>
      </c>
      <c r="T236" s="931">
        <v>1.3334071565423193</v>
      </c>
      <c r="U236" s="931">
        <v>1.3647814425786093</v>
      </c>
      <c r="V236" s="931">
        <v>1.3961557286148991</v>
      </c>
      <c r="W236" s="931">
        <v>1.4275300146511889</v>
      </c>
      <c r="X236" s="931">
        <v>1.4589043006874791</v>
      </c>
      <c r="Y236" s="931">
        <v>1.4902785867237689</v>
      </c>
      <c r="Z236" s="931">
        <v>1.4902785867237689</v>
      </c>
      <c r="AA236" s="931">
        <v>1.4902785867237689</v>
      </c>
      <c r="AB236" s="931">
        <v>1.4902785867237687</v>
      </c>
      <c r="AC236" s="931">
        <v>1.4902785867237689</v>
      </c>
      <c r="AD236" s="931">
        <v>1.4902785867237687</v>
      </c>
      <c r="AE236" s="931">
        <v>1.4902785867237687</v>
      </c>
      <c r="AF236" s="931">
        <v>1.4902785867237689</v>
      </c>
      <c r="AG236" s="931">
        <v>1.4902785867237689</v>
      </c>
      <c r="AH236" s="1150">
        <v>1.4902785867237687</v>
      </c>
      <c r="AI236" s="1150">
        <v>1.4902785867237687</v>
      </c>
      <c r="AJ236" s="1150">
        <v>1.4902785867237687</v>
      </c>
      <c r="AK236" s="1387">
        <v>1.4902785867237687</v>
      </c>
    </row>
    <row r="237" spans="2:37" s="919" customFormat="1" ht="12">
      <c r="B237" s="930" t="s">
        <v>279</v>
      </c>
      <c r="C237" s="930" t="s">
        <v>272</v>
      </c>
      <c r="D237" s="931">
        <v>5.1662991006423988</v>
      </c>
      <c r="E237" s="931">
        <v>5.1662991006423979</v>
      </c>
      <c r="F237" s="931">
        <v>5.1662991006423979</v>
      </c>
      <c r="G237" s="931">
        <v>5.1479974337878973</v>
      </c>
      <c r="H237" s="931">
        <v>5.129695766933394</v>
      </c>
      <c r="I237" s="931">
        <v>5.1113941000788907</v>
      </c>
      <c r="J237" s="931">
        <v>5.0930924332243883</v>
      </c>
      <c r="K237" s="931">
        <v>5.0747907663698868</v>
      </c>
      <c r="L237" s="931">
        <v>5.0564890995153844</v>
      </c>
      <c r="M237" s="931">
        <v>5.0381874326608802</v>
      </c>
      <c r="N237" s="931">
        <v>5.0198857658063787</v>
      </c>
      <c r="O237" s="931">
        <v>5.0015840989518772</v>
      </c>
      <c r="P237" s="931">
        <v>4.9832824320973748</v>
      </c>
      <c r="Q237" s="931">
        <v>4.9649807652428697</v>
      </c>
      <c r="R237" s="931">
        <v>4.9466790983883691</v>
      </c>
      <c r="S237" s="931">
        <v>4.9283774315338675</v>
      </c>
      <c r="T237" s="931">
        <v>4.9100757646793642</v>
      </c>
      <c r="U237" s="931">
        <v>4.8917740978248618</v>
      </c>
      <c r="V237" s="931">
        <v>4.8734724309703603</v>
      </c>
      <c r="W237" s="931">
        <v>4.8551707641158579</v>
      </c>
      <c r="X237" s="931">
        <v>4.8368690972613546</v>
      </c>
      <c r="Y237" s="931">
        <v>4.8185674304068522</v>
      </c>
      <c r="Z237" s="931">
        <v>4.8185674304068522</v>
      </c>
      <c r="AA237" s="931">
        <v>4.8185674304068513</v>
      </c>
      <c r="AB237" s="931">
        <v>4.8185674304068522</v>
      </c>
      <c r="AC237" s="931">
        <v>4.8185674304068522</v>
      </c>
      <c r="AD237" s="931">
        <v>4.8185674304068522</v>
      </c>
      <c r="AE237" s="931">
        <v>4.8185674304068513</v>
      </c>
      <c r="AF237" s="931">
        <v>4.8185674304068522</v>
      </c>
      <c r="AG237" s="931">
        <v>4.8185674304068522</v>
      </c>
      <c r="AH237" s="1150">
        <v>4.8185674304068513</v>
      </c>
      <c r="AI237" s="1150">
        <v>4.8185674304068513</v>
      </c>
      <c r="AJ237" s="1150">
        <v>4.8185674304068522</v>
      </c>
      <c r="AK237" s="1387">
        <v>4.8185674304068522</v>
      </c>
    </row>
    <row r="238" spans="2:37" s="919" customFormat="1" ht="12">
      <c r="B238" s="930" t="s">
        <v>280</v>
      </c>
      <c r="C238" s="930" t="s">
        <v>272</v>
      </c>
      <c r="D238" s="931">
        <v>0.42969699250535326</v>
      </c>
      <c r="E238" s="931">
        <v>0.42969699250535331</v>
      </c>
      <c r="F238" s="931">
        <v>0.42969699250535326</v>
      </c>
      <c r="G238" s="931">
        <v>0.48551707641158581</v>
      </c>
      <c r="H238" s="931">
        <v>0.54133716031781809</v>
      </c>
      <c r="I238" s="931">
        <v>0.59715724422405037</v>
      </c>
      <c r="J238" s="931">
        <v>0.65297732813028275</v>
      </c>
      <c r="K238" s="931">
        <v>0.70879741203651525</v>
      </c>
      <c r="L238" s="931">
        <v>0.76461749594274775</v>
      </c>
      <c r="M238" s="931">
        <v>0.82043757984897991</v>
      </c>
      <c r="N238" s="931">
        <v>0.87625766375521263</v>
      </c>
      <c r="O238" s="931">
        <v>0.93207774766144469</v>
      </c>
      <c r="P238" s="931">
        <v>0.9878978315676773</v>
      </c>
      <c r="Q238" s="931">
        <v>1.0437179154739096</v>
      </c>
      <c r="R238" s="931">
        <v>1.0995379993801422</v>
      </c>
      <c r="S238" s="931">
        <v>1.1553580832863743</v>
      </c>
      <c r="T238" s="931">
        <v>1.211178167192607</v>
      </c>
      <c r="U238" s="931">
        <v>1.2669982510988391</v>
      </c>
      <c r="V238" s="931">
        <v>1.3228183350050715</v>
      </c>
      <c r="W238" s="931">
        <v>1.3786384189113041</v>
      </c>
      <c r="X238" s="931">
        <v>1.4344585028175363</v>
      </c>
      <c r="Y238" s="931">
        <v>1.4902785867237689</v>
      </c>
      <c r="Z238" s="931">
        <v>1.4902785867237687</v>
      </c>
      <c r="AA238" s="931">
        <v>1.4902785867237689</v>
      </c>
      <c r="AB238" s="931">
        <v>1.4902785867237689</v>
      </c>
      <c r="AC238" s="931">
        <v>1.4902785867237689</v>
      </c>
      <c r="AD238" s="931">
        <v>1.4902785867237689</v>
      </c>
      <c r="AE238" s="931">
        <v>1.4902785867237689</v>
      </c>
      <c r="AF238" s="931">
        <v>1.4902785867237687</v>
      </c>
      <c r="AG238" s="931">
        <v>1.4902785867237689</v>
      </c>
      <c r="AH238" s="1150">
        <v>1.4902785867237689</v>
      </c>
      <c r="AI238" s="1150">
        <v>1.4902785867237689</v>
      </c>
      <c r="AJ238" s="1150">
        <v>1.4902785867237687</v>
      </c>
      <c r="AK238" s="1387">
        <v>1.4902785867237687</v>
      </c>
    </row>
    <row r="239" spans="2:37" s="919" customFormat="1" ht="12">
      <c r="B239" s="933" t="s">
        <v>281</v>
      </c>
      <c r="C239" s="933" t="s">
        <v>272</v>
      </c>
      <c r="D239" s="934">
        <v>0.66069017344753755</v>
      </c>
      <c r="E239" s="934">
        <v>0.66069017344753755</v>
      </c>
      <c r="F239" s="934">
        <v>0.66069017344753755</v>
      </c>
      <c r="G239" s="934">
        <v>0.66069017344753755</v>
      </c>
      <c r="H239" s="934">
        <v>0.66069017344753744</v>
      </c>
      <c r="I239" s="934">
        <v>0.66069017344753755</v>
      </c>
      <c r="J239" s="934">
        <v>0.66069017344753755</v>
      </c>
      <c r="K239" s="934">
        <v>0.66069017344753755</v>
      </c>
      <c r="L239" s="934">
        <v>0.66069017344753755</v>
      </c>
      <c r="M239" s="934">
        <v>0.66069017344753755</v>
      </c>
      <c r="N239" s="934">
        <v>0.66069017344753744</v>
      </c>
      <c r="O239" s="934">
        <v>0.66069017344753744</v>
      </c>
      <c r="P239" s="934">
        <v>0.66069017344753744</v>
      </c>
      <c r="Q239" s="934">
        <v>0.66069017344753755</v>
      </c>
      <c r="R239" s="934">
        <v>0.66069017344753767</v>
      </c>
      <c r="S239" s="934">
        <v>0.66069017344753744</v>
      </c>
      <c r="T239" s="934">
        <v>0.66069017344753755</v>
      </c>
      <c r="U239" s="934">
        <v>0.66069017344753744</v>
      </c>
      <c r="V239" s="934">
        <v>0.66069017344753755</v>
      </c>
      <c r="W239" s="934">
        <v>0.66069017344753744</v>
      </c>
      <c r="X239" s="934">
        <v>0.66069017344753744</v>
      </c>
      <c r="Y239" s="934">
        <v>0.66069017344753755</v>
      </c>
      <c r="Z239" s="934">
        <v>0.66069017344753755</v>
      </c>
      <c r="AA239" s="934">
        <v>0.66069017344753755</v>
      </c>
      <c r="AB239" s="934">
        <v>0.66069017344753744</v>
      </c>
      <c r="AC239" s="934">
        <v>0.66069017344753755</v>
      </c>
      <c r="AD239" s="934">
        <v>0.66069017344753755</v>
      </c>
      <c r="AE239" s="934">
        <v>0.66069017344753755</v>
      </c>
      <c r="AF239" s="934">
        <v>0.66069017344753767</v>
      </c>
      <c r="AG239" s="934">
        <v>0.66069017344753755</v>
      </c>
      <c r="AH239" s="1151">
        <v>0.66069017344753755</v>
      </c>
      <c r="AI239" s="1151">
        <v>0.66069017344753755</v>
      </c>
      <c r="AJ239" s="1151">
        <v>0.66069017344753744</v>
      </c>
      <c r="AK239" s="1688">
        <v>0.66069017344753744</v>
      </c>
    </row>
    <row r="240" spans="2:37" s="919" customFormat="1" ht="12">
      <c r="B240" s="1033" t="s">
        <v>282</v>
      </c>
      <c r="C240" s="924"/>
      <c r="D240" s="926"/>
      <c r="E240" s="926"/>
      <c r="F240" s="926"/>
      <c r="G240" s="926"/>
      <c r="H240" s="926"/>
      <c r="I240" s="926"/>
      <c r="J240" s="926"/>
      <c r="K240" s="926"/>
      <c r="L240" s="926"/>
      <c r="M240" s="926"/>
      <c r="N240" s="926"/>
      <c r="O240" s="926"/>
      <c r="P240" s="926"/>
      <c r="Q240" s="926"/>
      <c r="R240" s="926"/>
      <c r="S240" s="926"/>
      <c r="T240" s="926"/>
      <c r="U240" s="926"/>
      <c r="V240" s="926"/>
      <c r="W240" s="926"/>
      <c r="X240" s="926"/>
      <c r="Y240" s="926"/>
      <c r="Z240" s="926"/>
      <c r="AA240" s="926"/>
      <c r="AB240" s="926"/>
      <c r="AC240" s="926"/>
      <c r="AD240" s="926"/>
      <c r="AE240" s="926"/>
      <c r="AF240" s="927"/>
      <c r="AG240" s="927"/>
      <c r="AH240" s="926"/>
      <c r="AI240" s="926"/>
      <c r="AJ240" s="926"/>
      <c r="AK240" s="1388"/>
    </row>
    <row r="241" spans="2:37" s="919" customFormat="1" ht="12">
      <c r="B241" s="1181" t="s">
        <v>127</v>
      </c>
      <c r="C241" s="928" t="s">
        <v>283</v>
      </c>
      <c r="D241" s="936">
        <v>4.3841997291819618E-2</v>
      </c>
      <c r="E241" s="936">
        <v>4.3841997291819611E-2</v>
      </c>
      <c r="F241" s="936">
        <v>4.3841997291819611E-2</v>
      </c>
      <c r="G241" s="936">
        <v>4.3841997291819618E-2</v>
      </c>
      <c r="H241" s="936">
        <v>4.3841997291819611E-2</v>
      </c>
      <c r="I241" s="936">
        <v>4.3841997291819618E-2</v>
      </c>
      <c r="J241" s="936">
        <v>4.3841997291819618E-2</v>
      </c>
      <c r="K241" s="936">
        <v>4.3841997291819618E-2</v>
      </c>
      <c r="L241" s="936">
        <v>4.3841997291819611E-2</v>
      </c>
      <c r="M241" s="936">
        <v>4.3841997291819611E-2</v>
      </c>
      <c r="N241" s="936">
        <v>4.3841997291819611E-2</v>
      </c>
      <c r="O241" s="936">
        <v>4.3841997291819611E-2</v>
      </c>
      <c r="P241" s="936">
        <v>4.3841997291819618E-2</v>
      </c>
      <c r="Q241" s="936">
        <v>4.3841997291819611E-2</v>
      </c>
      <c r="R241" s="936">
        <v>4.3841997291819611E-2</v>
      </c>
      <c r="S241" s="936">
        <v>4.3841997291819611E-2</v>
      </c>
      <c r="T241" s="936">
        <v>4.3841997291819618E-2</v>
      </c>
      <c r="U241" s="936">
        <v>4.3841997291819618E-2</v>
      </c>
      <c r="V241" s="936">
        <v>4.3841997291819604E-2</v>
      </c>
      <c r="W241" s="936">
        <v>4.3841997291819611E-2</v>
      </c>
      <c r="X241" s="936">
        <v>4.3841997291819611E-2</v>
      </c>
      <c r="Y241" s="936">
        <v>4.3841997291819618E-2</v>
      </c>
      <c r="Z241" s="936">
        <v>4.3841997291819618E-2</v>
      </c>
      <c r="AA241" s="936">
        <v>4.3841997291819618E-2</v>
      </c>
      <c r="AB241" s="936">
        <v>4.3841997291819604E-2</v>
      </c>
      <c r="AC241" s="936">
        <v>4.3841997291819618E-2</v>
      </c>
      <c r="AD241" s="936">
        <v>4.3841997291819618E-2</v>
      </c>
      <c r="AE241" s="936">
        <v>4.3841997291819618E-2</v>
      </c>
      <c r="AF241" s="936">
        <v>4.3841997291819618E-2</v>
      </c>
      <c r="AG241" s="936">
        <v>4.3841997291819611E-2</v>
      </c>
      <c r="AH241" s="937">
        <v>4.3841997291819611E-2</v>
      </c>
      <c r="AI241" s="937">
        <v>4.3841997291819618E-2</v>
      </c>
      <c r="AJ241" s="937">
        <v>4.3841997291819604E-2</v>
      </c>
      <c r="AK241" s="1689">
        <v>4.3841997291819604E-2</v>
      </c>
    </row>
    <row r="242" spans="2:37" s="919" customFormat="1" ht="12">
      <c r="B242" s="1182" t="s">
        <v>284</v>
      </c>
      <c r="C242" s="933" t="s">
        <v>283</v>
      </c>
      <c r="D242" s="934">
        <v>0.68897216274089912</v>
      </c>
      <c r="E242" s="934">
        <v>0.68897216274089923</v>
      </c>
      <c r="F242" s="934">
        <v>0.68897216274089923</v>
      </c>
      <c r="G242" s="934">
        <v>0.68897216274089945</v>
      </c>
      <c r="H242" s="934">
        <v>0.68897216274089934</v>
      </c>
      <c r="I242" s="934">
        <v>0.68897216274089923</v>
      </c>
      <c r="J242" s="934">
        <v>0.68897216274089934</v>
      </c>
      <c r="K242" s="934">
        <v>0.68897216274089923</v>
      </c>
      <c r="L242" s="934">
        <v>0.68897216274089934</v>
      </c>
      <c r="M242" s="934">
        <v>0.68897216274089923</v>
      </c>
      <c r="N242" s="934">
        <v>0.68897216274089923</v>
      </c>
      <c r="O242" s="934">
        <v>0.68897216274089934</v>
      </c>
      <c r="P242" s="934">
        <v>0.68897216274089923</v>
      </c>
      <c r="Q242" s="934">
        <v>0.68897216274089923</v>
      </c>
      <c r="R242" s="934">
        <v>0.68897216274089934</v>
      </c>
      <c r="S242" s="934">
        <v>0.68897216274089923</v>
      </c>
      <c r="T242" s="934">
        <v>0.68897216274089923</v>
      </c>
      <c r="U242" s="934">
        <v>0.68897216274089934</v>
      </c>
      <c r="V242" s="934">
        <v>0.68897216274089934</v>
      </c>
      <c r="W242" s="934">
        <v>0.68897216274089934</v>
      </c>
      <c r="X242" s="934">
        <v>0.68897216274089923</v>
      </c>
      <c r="Y242" s="934">
        <v>0.68897216274089923</v>
      </c>
      <c r="Z242" s="934">
        <v>0.68897216274089934</v>
      </c>
      <c r="AA242" s="934">
        <v>0.68897216274089934</v>
      </c>
      <c r="AB242" s="934">
        <v>0.68897216274089923</v>
      </c>
      <c r="AC242" s="934">
        <v>0.68897216274089923</v>
      </c>
      <c r="AD242" s="934">
        <v>0.68897216274089923</v>
      </c>
      <c r="AE242" s="934">
        <v>0.68897216274089934</v>
      </c>
      <c r="AF242" s="934">
        <v>0.68897216274089923</v>
      </c>
      <c r="AG242" s="934">
        <v>0.68897216274089923</v>
      </c>
      <c r="AH242" s="1151">
        <v>0.68897216274089923</v>
      </c>
      <c r="AI242" s="1151">
        <v>0.68897216274089934</v>
      </c>
      <c r="AJ242" s="1151">
        <v>0.68897216274089934</v>
      </c>
      <c r="AK242" s="1688">
        <v>0.68897216274089934</v>
      </c>
    </row>
    <row r="243" spans="2:37" s="919" customFormat="1" ht="12">
      <c r="B243" s="1183" t="s">
        <v>160</v>
      </c>
      <c r="C243" s="933" t="s">
        <v>283</v>
      </c>
      <c r="D243" s="931">
        <v>3.0915417558886502</v>
      </c>
      <c r="E243" s="931">
        <v>3.091541755888652</v>
      </c>
      <c r="F243" s="931">
        <v>3.0915417558886511</v>
      </c>
      <c r="G243" s="931">
        <v>3.0915417558886511</v>
      </c>
      <c r="H243" s="931">
        <v>3.0915417558886507</v>
      </c>
      <c r="I243" s="931">
        <v>3.0915417558886511</v>
      </c>
      <c r="J243" s="931">
        <v>3.0915417558886515</v>
      </c>
      <c r="K243" s="931">
        <v>3.0915417558886511</v>
      </c>
      <c r="L243" s="931">
        <v>3.0915417558886515</v>
      </c>
      <c r="M243" s="931">
        <v>3.0915417558886507</v>
      </c>
      <c r="N243" s="931">
        <v>3.0915417558886511</v>
      </c>
      <c r="O243" s="931">
        <v>3.0915417558886511</v>
      </c>
      <c r="P243" s="931">
        <v>3.0915417558886507</v>
      </c>
      <c r="Q243" s="931">
        <v>3.0915417558886515</v>
      </c>
      <c r="R243" s="931">
        <v>3.0915417558886507</v>
      </c>
      <c r="S243" s="931">
        <v>3.0915417558886511</v>
      </c>
      <c r="T243" s="931">
        <v>3.0915417558886511</v>
      </c>
      <c r="U243" s="931">
        <v>3.0915417558886515</v>
      </c>
      <c r="V243" s="931">
        <v>3.0915417558886511</v>
      </c>
      <c r="W243" s="931">
        <v>3.0915417558886507</v>
      </c>
      <c r="X243" s="931">
        <v>3.0915417558886507</v>
      </c>
      <c r="Y243" s="931">
        <v>3.0915417558886515</v>
      </c>
      <c r="Z243" s="931">
        <v>3.0915417558886515</v>
      </c>
      <c r="AA243" s="931">
        <v>3.0915417558886511</v>
      </c>
      <c r="AB243" s="931">
        <v>3.0915417558886511</v>
      </c>
      <c r="AC243" s="931">
        <v>3.0915417558886515</v>
      </c>
      <c r="AD243" s="931">
        <v>3.0915417558886515</v>
      </c>
      <c r="AE243" s="931">
        <v>3.0915417558886511</v>
      </c>
      <c r="AF243" s="931">
        <v>3.0915417558886515</v>
      </c>
      <c r="AG243" s="931">
        <v>3.0915417558886507</v>
      </c>
      <c r="AH243" s="1150">
        <v>3.0915417558886511</v>
      </c>
      <c r="AI243" s="1150">
        <v>3.0915417558886515</v>
      </c>
      <c r="AJ243" s="1150">
        <v>3.0915417558886511</v>
      </c>
      <c r="AK243" s="1387">
        <v>3.0915417558886511</v>
      </c>
    </row>
    <row r="244" spans="2:37" s="919" customFormat="1" ht="12">
      <c r="B244" s="924" t="s">
        <v>285</v>
      </c>
      <c r="C244" s="924"/>
      <c r="D244" s="926"/>
      <c r="E244" s="926"/>
      <c r="F244" s="926"/>
      <c r="G244" s="926"/>
      <c r="H244" s="926"/>
      <c r="I244" s="926"/>
      <c r="J244" s="926"/>
      <c r="K244" s="926"/>
      <c r="L244" s="926"/>
      <c r="M244" s="926"/>
      <c r="N244" s="926"/>
      <c r="O244" s="926"/>
      <c r="P244" s="926"/>
      <c r="Q244" s="926"/>
      <c r="R244" s="926"/>
      <c r="S244" s="926"/>
      <c r="T244" s="926"/>
      <c r="U244" s="926"/>
      <c r="V244" s="926"/>
      <c r="W244" s="926"/>
      <c r="X244" s="926"/>
      <c r="Y244" s="926"/>
      <c r="Z244" s="926"/>
      <c r="AA244" s="926"/>
      <c r="AB244" s="926"/>
      <c r="AC244" s="926"/>
      <c r="AD244" s="926"/>
      <c r="AE244" s="926"/>
      <c r="AF244" s="927"/>
      <c r="AG244" s="927"/>
      <c r="AH244" s="926"/>
      <c r="AI244" s="926"/>
      <c r="AJ244" s="926"/>
      <c r="AK244" s="1388"/>
    </row>
    <row r="245" spans="2:37" s="919" customFormat="1" ht="12">
      <c r="B245" s="928" t="s">
        <v>286</v>
      </c>
      <c r="C245" s="928" t="s">
        <v>261</v>
      </c>
      <c r="D245" s="936">
        <v>2.8353854389721631E-2</v>
      </c>
      <c r="E245" s="936">
        <v>2.8353854389721631E-2</v>
      </c>
      <c r="F245" s="936">
        <v>2.8353854389721635E-2</v>
      </c>
      <c r="G245" s="936">
        <v>2.8353854389721635E-2</v>
      </c>
      <c r="H245" s="936">
        <v>2.8353854389721635E-2</v>
      </c>
      <c r="I245" s="936">
        <v>2.8353854389721631E-2</v>
      </c>
      <c r="J245" s="936">
        <v>2.8353854389721631E-2</v>
      </c>
      <c r="K245" s="936">
        <v>2.8353854389721635E-2</v>
      </c>
      <c r="L245" s="936">
        <v>2.8353854389721631E-2</v>
      </c>
      <c r="M245" s="936">
        <v>2.8353854389721628E-2</v>
      </c>
      <c r="N245" s="936">
        <v>2.8353854389721631E-2</v>
      </c>
      <c r="O245" s="936">
        <v>2.8353854389721631E-2</v>
      </c>
      <c r="P245" s="936">
        <v>2.8353854389721638E-2</v>
      </c>
      <c r="Q245" s="936">
        <v>2.8353854389721635E-2</v>
      </c>
      <c r="R245" s="936">
        <v>2.8353854389721635E-2</v>
      </c>
      <c r="S245" s="936">
        <v>2.8353854389721631E-2</v>
      </c>
      <c r="T245" s="936">
        <v>2.8353854389721628E-2</v>
      </c>
      <c r="U245" s="936">
        <v>2.8353854389721638E-2</v>
      </c>
      <c r="V245" s="936">
        <v>2.8353854389721631E-2</v>
      </c>
      <c r="W245" s="936">
        <v>2.8353854389721635E-2</v>
      </c>
      <c r="X245" s="936">
        <v>2.8353854389721635E-2</v>
      </c>
      <c r="Y245" s="936">
        <v>2.8353854389721635E-2</v>
      </c>
      <c r="Z245" s="936">
        <v>2.8353854389721631E-2</v>
      </c>
      <c r="AA245" s="936">
        <v>2.8353854389721638E-2</v>
      </c>
      <c r="AB245" s="936">
        <v>2.8353854389721631E-2</v>
      </c>
      <c r="AC245" s="937">
        <v>2.8353854389721635E-2</v>
      </c>
      <c r="AD245" s="938">
        <v>2.8353854389721631E-2</v>
      </c>
      <c r="AE245" s="938">
        <v>2.8353854389721631E-2</v>
      </c>
      <c r="AF245" s="938">
        <v>2.8353854389721635E-2</v>
      </c>
      <c r="AG245" s="938">
        <v>2.8353854389721628E-2</v>
      </c>
      <c r="AH245" s="1213">
        <v>2.8353854389721635E-2</v>
      </c>
      <c r="AI245" s="1213">
        <v>2.8353854389721635E-2</v>
      </c>
      <c r="AJ245" s="1213">
        <v>2.8353854389721635E-2</v>
      </c>
      <c r="AK245" s="1690">
        <v>2.8353854389721635E-2</v>
      </c>
    </row>
    <row r="246" spans="2:37" s="919" customFormat="1" ht="12">
      <c r="B246" s="933" t="s">
        <v>287</v>
      </c>
      <c r="C246" s="933" t="s">
        <v>261</v>
      </c>
      <c r="D246" s="934">
        <v>5.7841862955032117E-2</v>
      </c>
      <c r="E246" s="934">
        <v>5.7841862955032117E-2</v>
      </c>
      <c r="F246" s="934">
        <v>5.7841862955032124E-2</v>
      </c>
      <c r="G246" s="934">
        <v>5.784186295503211E-2</v>
      </c>
      <c r="H246" s="934">
        <v>5.7841862955032117E-2</v>
      </c>
      <c r="I246" s="934">
        <v>5.7841862955032124E-2</v>
      </c>
      <c r="J246" s="934">
        <v>5.7841862955032117E-2</v>
      </c>
      <c r="K246" s="934">
        <v>5.7841862955032117E-2</v>
      </c>
      <c r="L246" s="934">
        <v>5.7841862955032117E-2</v>
      </c>
      <c r="M246" s="934">
        <v>5.7841862955032117E-2</v>
      </c>
      <c r="N246" s="934">
        <v>5.7841862955032124E-2</v>
      </c>
      <c r="O246" s="934">
        <v>5.7841862955032117E-2</v>
      </c>
      <c r="P246" s="934">
        <v>5.7841862955032124E-2</v>
      </c>
      <c r="Q246" s="934">
        <v>5.7841862955032124E-2</v>
      </c>
      <c r="R246" s="934">
        <v>5.7841862955032117E-2</v>
      </c>
      <c r="S246" s="934">
        <v>5.784186295503211E-2</v>
      </c>
      <c r="T246" s="934">
        <v>5.7841862955032117E-2</v>
      </c>
      <c r="U246" s="934">
        <v>5.7841862955032117E-2</v>
      </c>
      <c r="V246" s="934">
        <v>5.7841862955032131E-2</v>
      </c>
      <c r="W246" s="934">
        <v>5.7841862955032124E-2</v>
      </c>
      <c r="X246" s="934">
        <v>5.7841862955032117E-2</v>
      </c>
      <c r="Y246" s="934">
        <v>5.7841862955032117E-2</v>
      </c>
      <c r="Z246" s="934">
        <v>5.7841862955032124E-2</v>
      </c>
      <c r="AA246" s="934">
        <v>5.7841862955032124E-2</v>
      </c>
      <c r="AB246" s="934">
        <v>5.7841862955032103E-2</v>
      </c>
      <c r="AC246" s="934">
        <v>5.7841862955032124E-2</v>
      </c>
      <c r="AD246" s="934">
        <v>5.7841862955032124E-2</v>
      </c>
      <c r="AE246" s="934">
        <v>5.784186295503211E-2</v>
      </c>
      <c r="AF246" s="934">
        <v>5.7841862955032103E-2</v>
      </c>
      <c r="AG246" s="934">
        <v>5.7841862955032117E-2</v>
      </c>
      <c r="AH246" s="1151">
        <v>5.7841862955032124E-2</v>
      </c>
      <c r="AI246" s="1151">
        <v>5.784186295503211E-2</v>
      </c>
      <c r="AJ246" s="1151">
        <v>5.7841862955032131E-2</v>
      </c>
      <c r="AK246" s="1688">
        <v>5.7841862955032131E-2</v>
      </c>
    </row>
    <row r="247" spans="2:37" s="919" customFormat="1" ht="12">
      <c r="B247" s="924" t="s">
        <v>288</v>
      </c>
      <c r="C247" s="924"/>
      <c r="D247" s="926"/>
      <c r="E247" s="926"/>
      <c r="F247" s="926"/>
      <c r="G247" s="926"/>
      <c r="H247" s="926"/>
      <c r="I247" s="926"/>
      <c r="J247" s="926"/>
      <c r="K247" s="926"/>
      <c r="L247" s="926"/>
      <c r="M247" s="926"/>
      <c r="N247" s="926"/>
      <c r="O247" s="926"/>
      <c r="P247" s="926"/>
      <c r="Q247" s="926"/>
      <c r="R247" s="926"/>
      <c r="S247" s="926"/>
      <c r="T247" s="926"/>
      <c r="U247" s="926"/>
      <c r="V247" s="926"/>
      <c r="W247" s="926"/>
      <c r="X247" s="926"/>
      <c r="Y247" s="926"/>
      <c r="Z247" s="926"/>
      <c r="AA247" s="926"/>
      <c r="AB247" s="926"/>
      <c r="AC247" s="926"/>
      <c r="AD247" s="926"/>
      <c r="AE247" s="926"/>
      <c r="AF247" s="927"/>
      <c r="AG247" s="927"/>
      <c r="AH247" s="926"/>
      <c r="AI247" s="926"/>
      <c r="AJ247" s="926"/>
      <c r="AK247" s="1388"/>
    </row>
    <row r="248" spans="2:37" s="919" customFormat="1" ht="12">
      <c r="B248" s="928" t="s">
        <v>289</v>
      </c>
      <c r="C248" s="928" t="s">
        <v>261</v>
      </c>
      <c r="D248" s="929">
        <v>0.90165256959314788</v>
      </c>
      <c r="E248" s="929">
        <v>0.90165256959314799</v>
      </c>
      <c r="F248" s="929">
        <v>0.90165256959314766</v>
      </c>
      <c r="G248" s="929">
        <v>0.90165256959314777</v>
      </c>
      <c r="H248" s="929">
        <v>0.90165256959314777</v>
      </c>
      <c r="I248" s="929">
        <v>0.90165256959314788</v>
      </c>
      <c r="J248" s="929">
        <v>0.90165256959314788</v>
      </c>
      <c r="K248" s="929">
        <v>0.90165256959314788</v>
      </c>
      <c r="L248" s="929">
        <v>0.90165256959314799</v>
      </c>
      <c r="M248" s="929">
        <v>0.90165256959314799</v>
      </c>
      <c r="N248" s="929">
        <v>0.90165256959314788</v>
      </c>
      <c r="O248" s="929">
        <v>0.90165256959314788</v>
      </c>
      <c r="P248" s="929">
        <v>0.90165256959314777</v>
      </c>
      <c r="Q248" s="929">
        <v>0.90165256959314788</v>
      </c>
      <c r="R248" s="929">
        <v>0.90165256959314799</v>
      </c>
      <c r="S248" s="929">
        <v>0.90165256959314777</v>
      </c>
      <c r="T248" s="929">
        <v>0.90165256959314777</v>
      </c>
      <c r="U248" s="929">
        <v>0.90165256959314799</v>
      </c>
      <c r="V248" s="929">
        <v>0.90165256959314788</v>
      </c>
      <c r="W248" s="929">
        <v>0.90165256959314788</v>
      </c>
      <c r="X248" s="929">
        <v>0.90165256959314788</v>
      </c>
      <c r="Y248" s="929">
        <v>0.90165256959314766</v>
      </c>
      <c r="Z248" s="929">
        <v>0.90165256959314788</v>
      </c>
      <c r="AA248" s="929">
        <v>0.90165256959314788</v>
      </c>
      <c r="AB248" s="929">
        <v>0.90165256959314777</v>
      </c>
      <c r="AC248" s="929">
        <v>0.90165256959314777</v>
      </c>
      <c r="AD248" s="929">
        <v>0.90165256959314777</v>
      </c>
      <c r="AE248" s="929">
        <v>0.90165256959314788</v>
      </c>
      <c r="AF248" s="929">
        <v>0.90165256959314788</v>
      </c>
      <c r="AG248" s="929">
        <v>0.90165256959314799</v>
      </c>
      <c r="AH248" s="1152">
        <v>0.90165256959314788</v>
      </c>
      <c r="AI248" s="1152">
        <v>0.90165256959314799</v>
      </c>
      <c r="AJ248" s="1152">
        <v>0.90165256959314766</v>
      </c>
      <c r="AK248" s="1686">
        <v>0.90165256959314766</v>
      </c>
    </row>
    <row r="249" spans="2:37" ht="15.65" customHeight="1">
      <c r="AJ249" s="235"/>
      <c r="AK249" s="234"/>
    </row>
    <row r="250" spans="2:37" s="919" customFormat="1" ht="12.5" thickBot="1">
      <c r="B250" s="1038" t="s">
        <v>256</v>
      </c>
      <c r="C250" s="1038" t="s">
        <v>257</v>
      </c>
      <c r="D250" s="1039">
        <v>1990</v>
      </c>
      <c r="E250" s="1039">
        <v>1991</v>
      </c>
      <c r="F250" s="1039">
        <v>1992</v>
      </c>
      <c r="G250" s="1039">
        <v>1993</v>
      </c>
      <c r="H250" s="1039">
        <v>1994</v>
      </c>
      <c r="I250" s="1039">
        <v>1995</v>
      </c>
      <c r="J250" s="1039">
        <v>1996</v>
      </c>
      <c r="K250" s="1039">
        <v>1997</v>
      </c>
      <c r="L250" s="1039">
        <v>1998</v>
      </c>
      <c r="M250" s="1039">
        <v>1999</v>
      </c>
      <c r="N250" s="1039">
        <v>2000</v>
      </c>
      <c r="O250" s="1039">
        <v>2001</v>
      </c>
      <c r="P250" s="1039">
        <v>2002</v>
      </c>
      <c r="Q250" s="1039">
        <v>2003</v>
      </c>
      <c r="R250" s="1039">
        <v>2004</v>
      </c>
      <c r="S250" s="1039">
        <v>2005</v>
      </c>
      <c r="T250" s="1039">
        <v>2006</v>
      </c>
      <c r="U250" s="1039">
        <v>2007</v>
      </c>
      <c r="V250" s="1039">
        <v>2008</v>
      </c>
      <c r="W250" s="1039">
        <v>2009</v>
      </c>
      <c r="X250" s="1039">
        <v>2010</v>
      </c>
      <c r="Y250" s="1039">
        <v>2011</v>
      </c>
      <c r="Z250" s="1039">
        <v>2012</v>
      </c>
      <c r="AA250" s="1039">
        <v>2013</v>
      </c>
      <c r="AB250" s="1039">
        <v>2014</v>
      </c>
      <c r="AC250" s="1039">
        <v>2015</v>
      </c>
      <c r="AD250" s="1039">
        <v>2016</v>
      </c>
      <c r="AE250" s="1039">
        <v>2017</v>
      </c>
      <c r="AF250" s="1039">
        <v>2018</v>
      </c>
      <c r="AG250" s="1039">
        <v>2019</v>
      </c>
      <c r="AH250" s="1211">
        <v>2020</v>
      </c>
      <c r="AI250" s="1039">
        <v>2021</v>
      </c>
      <c r="AJ250" s="1039">
        <v>2022</v>
      </c>
      <c r="AK250" s="1039">
        <v>2023</v>
      </c>
    </row>
    <row r="251" spans="2:37" s="919" customFormat="1" ht="12.5" thickBot="1">
      <c r="B251" s="1000" t="s">
        <v>291</v>
      </c>
      <c r="C251" s="999">
        <v>1E-3</v>
      </c>
      <c r="D251" s="922"/>
      <c r="E251" s="922"/>
      <c r="F251" s="922"/>
      <c r="G251" s="922"/>
      <c r="H251" s="922"/>
      <c r="I251" s="922"/>
      <c r="J251" s="922"/>
      <c r="K251" s="922"/>
      <c r="L251" s="922"/>
      <c r="M251" s="922"/>
      <c r="N251" s="922"/>
      <c r="O251" s="922"/>
      <c r="P251" s="922"/>
      <c r="Q251" s="922"/>
      <c r="R251" s="922"/>
      <c r="S251" s="922"/>
      <c r="T251" s="922"/>
      <c r="U251" s="922"/>
      <c r="V251" s="922"/>
      <c r="W251" s="922"/>
      <c r="X251" s="922"/>
      <c r="Y251" s="922"/>
      <c r="Z251" s="922"/>
      <c r="AA251" s="922"/>
      <c r="AB251" s="922"/>
      <c r="AC251" s="922"/>
      <c r="AD251" s="922"/>
      <c r="AE251" s="922"/>
      <c r="AF251" s="923"/>
      <c r="AG251" s="923"/>
      <c r="AH251" s="922"/>
      <c r="AI251" s="923"/>
      <c r="AJ251" s="923"/>
      <c r="AK251" s="923"/>
    </row>
    <row r="252" spans="2:37" s="919" customFormat="1" ht="12">
      <c r="B252" s="924" t="s">
        <v>259</v>
      </c>
      <c r="C252" s="924"/>
      <c r="D252" s="926"/>
      <c r="E252" s="926"/>
      <c r="F252" s="926"/>
      <c r="G252" s="926"/>
      <c r="H252" s="926"/>
      <c r="I252" s="926"/>
      <c r="J252" s="926"/>
      <c r="K252" s="926"/>
      <c r="L252" s="926"/>
      <c r="M252" s="926"/>
      <c r="N252" s="926"/>
      <c r="O252" s="926"/>
      <c r="P252" s="926"/>
      <c r="Q252" s="926"/>
      <c r="R252" s="926"/>
      <c r="S252" s="926"/>
      <c r="T252" s="926"/>
      <c r="U252" s="926"/>
      <c r="V252" s="926"/>
      <c r="W252" s="926"/>
      <c r="X252" s="926"/>
      <c r="Y252" s="926"/>
      <c r="Z252" s="926"/>
      <c r="AA252" s="926"/>
      <c r="AB252" s="926"/>
      <c r="AC252" s="926"/>
      <c r="AD252" s="926"/>
      <c r="AE252" s="926"/>
      <c r="AF252" s="927"/>
      <c r="AG252" s="927"/>
      <c r="AH252" s="926"/>
      <c r="AI252" s="927"/>
      <c r="AJ252" s="927"/>
      <c r="AK252" s="927"/>
    </row>
    <row r="253" spans="2:37" s="919" customFormat="1" ht="12">
      <c r="B253" s="928" t="s">
        <v>260</v>
      </c>
      <c r="C253" s="928" t="s">
        <v>292</v>
      </c>
      <c r="D253" s="929">
        <f t="shared" ref="D253:AH253" si="310">$C$251*D221</f>
        <v>0.13536130085653106</v>
      </c>
      <c r="E253" s="929">
        <f t="shared" si="310"/>
        <v>0.13536130085653103</v>
      </c>
      <c r="F253" s="929">
        <f t="shared" si="310"/>
        <v>0.13536130085653106</v>
      </c>
      <c r="G253" s="929">
        <f t="shared" si="310"/>
        <v>0.13003037668455844</v>
      </c>
      <c r="H253" s="929">
        <f t="shared" si="310"/>
        <v>0.1246994525125858</v>
      </c>
      <c r="I253" s="929">
        <f t="shared" si="310"/>
        <v>0.11936852834061316</v>
      </c>
      <c r="J253" s="929">
        <f t="shared" si="310"/>
        <v>0.11403760416864052</v>
      </c>
      <c r="K253" s="929">
        <f t="shared" si="310"/>
        <v>0.10870667999666786</v>
      </c>
      <c r="L253" s="929">
        <f t="shared" si="310"/>
        <v>0.10337575582469528</v>
      </c>
      <c r="M253" s="929">
        <f t="shared" si="310"/>
        <v>9.8044831652722583E-2</v>
      </c>
      <c r="N253" s="929">
        <f t="shared" si="310"/>
        <v>9.2713907480749966E-2</v>
      </c>
      <c r="O253" s="929">
        <f t="shared" si="310"/>
        <v>8.7382983308777334E-2</v>
      </c>
      <c r="P253" s="929">
        <f t="shared" si="310"/>
        <v>8.2052059136804703E-2</v>
      </c>
      <c r="Q253" s="929">
        <f t="shared" si="310"/>
        <v>7.6721134964832044E-2</v>
      </c>
      <c r="R253" s="929">
        <f t="shared" si="310"/>
        <v>7.1390210792859427E-2</v>
      </c>
      <c r="S253" s="929">
        <f t="shared" si="310"/>
        <v>6.6059286620886781E-2</v>
      </c>
      <c r="T253" s="929">
        <f t="shared" si="310"/>
        <v>6.0728362448914157E-2</v>
      </c>
      <c r="U253" s="929">
        <f t="shared" si="310"/>
        <v>5.5397438276941505E-2</v>
      </c>
      <c r="V253" s="929">
        <f t="shared" si="310"/>
        <v>5.0066514104968873E-2</v>
      </c>
      <c r="W253" s="929">
        <f t="shared" si="310"/>
        <v>4.4735589932996235E-2</v>
      </c>
      <c r="X253" s="929">
        <f t="shared" si="310"/>
        <v>3.9404665761023604E-2</v>
      </c>
      <c r="Y253" s="929">
        <f t="shared" si="310"/>
        <v>3.4073741589050958E-2</v>
      </c>
      <c r="Z253" s="929">
        <f t="shared" si="310"/>
        <v>3.4073741589050958E-2</v>
      </c>
      <c r="AA253" s="929">
        <f t="shared" si="310"/>
        <v>3.4073741589050965E-2</v>
      </c>
      <c r="AB253" s="929">
        <f t="shared" si="310"/>
        <v>3.4073741589050958E-2</v>
      </c>
      <c r="AC253" s="929">
        <f t="shared" si="310"/>
        <v>3.4073741589050965E-2</v>
      </c>
      <c r="AD253" s="929">
        <f t="shared" si="310"/>
        <v>3.4073741589050965E-2</v>
      </c>
      <c r="AE253" s="929">
        <f t="shared" si="310"/>
        <v>3.4073741589050958E-2</v>
      </c>
      <c r="AF253" s="929">
        <f t="shared" si="310"/>
        <v>3.4073741589050965E-2</v>
      </c>
      <c r="AG253" s="929">
        <f t="shared" si="310"/>
        <v>3.4073741589050965E-2</v>
      </c>
      <c r="AH253" s="1152">
        <f t="shared" si="310"/>
        <v>3.4073741589050958E-2</v>
      </c>
      <c r="AI253" s="1152">
        <f t="shared" ref="AI253:AJ253" si="311">$C$251*AI221</f>
        <v>3.4073741589050958E-2</v>
      </c>
      <c r="AJ253" s="1152">
        <f t="shared" si="311"/>
        <v>3.4073741589050958E-2</v>
      </c>
      <c r="AK253" s="1686">
        <f t="shared" ref="AK253" si="312">$C$251*AK221</f>
        <v>3.4073741589050958E-2</v>
      </c>
    </row>
    <row r="254" spans="2:37" s="919" customFormat="1" ht="12">
      <c r="B254" s="930" t="s">
        <v>262</v>
      </c>
      <c r="C254" s="928" t="s">
        <v>292</v>
      </c>
      <c r="D254" s="929">
        <f t="shared" ref="D254:AH254" si="313">$C$251*D222</f>
        <v>6.2486163555428749E-2</v>
      </c>
      <c r="E254" s="929">
        <f t="shared" si="313"/>
        <v>6.2486163555428742E-2</v>
      </c>
      <c r="F254" s="929">
        <f t="shared" si="313"/>
        <v>6.2486163555428742E-2</v>
      </c>
      <c r="G254" s="929">
        <f t="shared" si="313"/>
        <v>6.0532165496108743E-2</v>
      </c>
      <c r="H254" s="929">
        <f t="shared" si="313"/>
        <v>5.8578167436788765E-2</v>
      </c>
      <c r="I254" s="929">
        <f t="shared" si="313"/>
        <v>5.662416937746878E-2</v>
      </c>
      <c r="J254" s="929">
        <f t="shared" si="313"/>
        <v>5.4670171318148809E-2</v>
      </c>
      <c r="K254" s="929">
        <f t="shared" si="313"/>
        <v>5.2716173258828797E-2</v>
      </c>
      <c r="L254" s="929">
        <f t="shared" si="313"/>
        <v>5.0762175199508833E-2</v>
      </c>
      <c r="M254" s="929">
        <f t="shared" si="313"/>
        <v>4.8808177140188834E-2</v>
      </c>
      <c r="N254" s="929">
        <f t="shared" si="313"/>
        <v>4.6854179080868849E-2</v>
      </c>
      <c r="O254" s="929">
        <f t="shared" si="313"/>
        <v>4.4900181021548857E-2</v>
      </c>
      <c r="P254" s="929">
        <f t="shared" si="313"/>
        <v>4.2946182962228865E-2</v>
      </c>
      <c r="Q254" s="929">
        <f t="shared" si="313"/>
        <v>4.0992184902908881E-2</v>
      </c>
      <c r="R254" s="929">
        <f t="shared" si="313"/>
        <v>3.9038186843588896E-2</v>
      </c>
      <c r="S254" s="929">
        <f t="shared" si="313"/>
        <v>3.7084188784268897E-2</v>
      </c>
      <c r="T254" s="929">
        <f t="shared" si="313"/>
        <v>3.5130190724948919E-2</v>
      </c>
      <c r="U254" s="929">
        <f t="shared" si="313"/>
        <v>3.3176192665628927E-2</v>
      </c>
      <c r="V254" s="929">
        <f t="shared" si="313"/>
        <v>3.1222194606308942E-2</v>
      </c>
      <c r="W254" s="929">
        <f t="shared" si="313"/>
        <v>2.9268196546988954E-2</v>
      </c>
      <c r="X254" s="929">
        <f t="shared" si="313"/>
        <v>2.7314198487668966E-2</v>
      </c>
      <c r="Y254" s="929">
        <f t="shared" si="313"/>
        <v>2.5360200428348988E-2</v>
      </c>
      <c r="Z254" s="929">
        <f t="shared" si="313"/>
        <v>2.5360200428348991E-2</v>
      </c>
      <c r="AA254" s="929">
        <f t="shared" si="313"/>
        <v>2.5360200428348984E-2</v>
      </c>
      <c r="AB254" s="929">
        <f t="shared" si="313"/>
        <v>2.5360200428348984E-2</v>
      </c>
      <c r="AC254" s="929">
        <f t="shared" si="313"/>
        <v>2.5360200428348988E-2</v>
      </c>
      <c r="AD254" s="929">
        <f t="shared" si="313"/>
        <v>2.5360200428348995E-2</v>
      </c>
      <c r="AE254" s="929">
        <f t="shared" si="313"/>
        <v>2.5360200428348988E-2</v>
      </c>
      <c r="AF254" s="929">
        <f t="shared" si="313"/>
        <v>2.5360200428348988E-2</v>
      </c>
      <c r="AG254" s="929">
        <f t="shared" si="313"/>
        <v>2.5360200428348988E-2</v>
      </c>
      <c r="AH254" s="1152">
        <f t="shared" si="313"/>
        <v>2.5360200428348984E-2</v>
      </c>
      <c r="AI254" s="1152">
        <f t="shared" ref="AI254:AJ254" si="314">$C$251*AI222</f>
        <v>2.5360200428348984E-2</v>
      </c>
      <c r="AJ254" s="1152">
        <f t="shared" si="314"/>
        <v>2.5360200428348991E-2</v>
      </c>
      <c r="AK254" s="1686">
        <f t="shared" ref="AK254" si="315">$C$251*AK222</f>
        <v>2.5360200428348991E-2</v>
      </c>
    </row>
    <row r="255" spans="2:37" s="919" customFormat="1" ht="12">
      <c r="B255" s="930" t="s">
        <v>263</v>
      </c>
      <c r="C255" s="928" t="s">
        <v>292</v>
      </c>
      <c r="D255" s="929">
        <f t="shared" ref="D255:AH255" si="316">$C$251*D223</f>
        <v>1.7391713389796103E-3</v>
      </c>
      <c r="E255" s="929">
        <f t="shared" si="316"/>
        <v>1.7391713389796105E-3</v>
      </c>
      <c r="F255" s="929">
        <f t="shared" si="316"/>
        <v>1.7391713389796103E-3</v>
      </c>
      <c r="G255" s="929">
        <f t="shared" si="316"/>
        <v>1.7975624824416673E-3</v>
      </c>
      <c r="H255" s="929">
        <f t="shared" si="316"/>
        <v>1.8559536259037243E-3</v>
      </c>
      <c r="I255" s="929">
        <f t="shared" si="316"/>
        <v>1.9143447693657811E-3</v>
      </c>
      <c r="J255" s="929">
        <f t="shared" si="316"/>
        <v>1.9727359128278383E-3</v>
      </c>
      <c r="K255" s="929">
        <f t="shared" si="316"/>
        <v>2.0311270562898952E-3</v>
      </c>
      <c r="L255" s="929">
        <f t="shared" si="316"/>
        <v>2.0895181997519514E-3</v>
      </c>
      <c r="M255" s="929">
        <f t="shared" si="316"/>
        <v>2.1479093432140088E-3</v>
      </c>
      <c r="N255" s="929">
        <f t="shared" si="316"/>
        <v>2.2063004866760653E-3</v>
      </c>
      <c r="O255" s="929">
        <f t="shared" si="316"/>
        <v>2.2646916301381223E-3</v>
      </c>
      <c r="P255" s="929">
        <f t="shared" si="316"/>
        <v>2.3230827736001793E-3</v>
      </c>
      <c r="Q255" s="929">
        <f t="shared" si="316"/>
        <v>2.3814739170622363E-3</v>
      </c>
      <c r="R255" s="929">
        <f t="shared" si="316"/>
        <v>2.4398650605242933E-3</v>
      </c>
      <c r="S255" s="929">
        <f t="shared" si="316"/>
        <v>2.4982562039863499E-3</v>
      </c>
      <c r="T255" s="929">
        <f t="shared" si="316"/>
        <v>2.5566473474484069E-3</v>
      </c>
      <c r="U255" s="929">
        <f t="shared" si="316"/>
        <v>2.6150384909104638E-3</v>
      </c>
      <c r="V255" s="929">
        <f t="shared" si="316"/>
        <v>2.6734296343725204E-3</v>
      </c>
      <c r="W255" s="929">
        <f t="shared" si="316"/>
        <v>2.7318207778345765E-3</v>
      </c>
      <c r="X255" s="929">
        <f t="shared" si="316"/>
        <v>2.7902119212966344E-3</v>
      </c>
      <c r="Y255" s="929">
        <f t="shared" si="316"/>
        <v>2.8486030647586909E-3</v>
      </c>
      <c r="Z255" s="929">
        <f t="shared" si="316"/>
        <v>2.8486030647586909E-3</v>
      </c>
      <c r="AA255" s="929">
        <f t="shared" si="316"/>
        <v>2.8486030647586914E-3</v>
      </c>
      <c r="AB255" s="929">
        <f t="shared" si="316"/>
        <v>2.8486030647586914E-3</v>
      </c>
      <c r="AC255" s="929">
        <f t="shared" si="316"/>
        <v>2.8486030647586905E-3</v>
      </c>
      <c r="AD255" s="929">
        <f t="shared" si="316"/>
        <v>2.8486030647586905E-3</v>
      </c>
      <c r="AE255" s="929">
        <f t="shared" si="316"/>
        <v>2.8486030647586905E-3</v>
      </c>
      <c r="AF255" s="929">
        <f t="shared" si="316"/>
        <v>2.8486030647586909E-3</v>
      </c>
      <c r="AG255" s="929">
        <f t="shared" si="316"/>
        <v>2.8486030647586909E-3</v>
      </c>
      <c r="AH255" s="1152">
        <f t="shared" si="316"/>
        <v>2.8486030647586905E-3</v>
      </c>
      <c r="AI255" s="1152">
        <f t="shared" ref="AI255:AJ255" si="317">$C$251*AI223</f>
        <v>2.8486030647586909E-3</v>
      </c>
      <c r="AJ255" s="1152">
        <f t="shared" si="317"/>
        <v>2.8486030647586905E-3</v>
      </c>
      <c r="AK255" s="1686">
        <f t="shared" ref="AK255" si="318">$C$251*AK223</f>
        <v>2.8486030647586905E-3</v>
      </c>
    </row>
    <row r="256" spans="2:37" s="919" customFormat="1" ht="12">
      <c r="B256" s="930" t="s">
        <v>264</v>
      </c>
      <c r="C256" s="928" t="s">
        <v>292</v>
      </c>
      <c r="D256" s="929">
        <f t="shared" ref="D256:AH256" si="319">$C$251*D224</f>
        <v>5.6197339400428257E-3</v>
      </c>
      <c r="E256" s="929">
        <f t="shared" si="319"/>
        <v>5.6197339400428257E-3</v>
      </c>
      <c r="F256" s="929">
        <f t="shared" si="319"/>
        <v>5.6197339400428266E-3</v>
      </c>
      <c r="G256" s="929">
        <f t="shared" si="319"/>
        <v>5.3686616307431871E-3</v>
      </c>
      <c r="H256" s="929">
        <f t="shared" si="319"/>
        <v>5.1175893214435468E-3</v>
      </c>
      <c r="I256" s="929">
        <f t="shared" si="319"/>
        <v>4.8665170121439082E-3</v>
      </c>
      <c r="J256" s="929">
        <f t="shared" si="319"/>
        <v>4.6154447028442696E-3</v>
      </c>
      <c r="K256" s="929">
        <f t="shared" si="319"/>
        <v>4.3643723935446292E-3</v>
      </c>
      <c r="L256" s="929">
        <f t="shared" si="319"/>
        <v>4.1133000842449889E-3</v>
      </c>
      <c r="M256" s="929">
        <f t="shared" si="319"/>
        <v>3.8622277749453498E-3</v>
      </c>
      <c r="N256" s="929">
        <f t="shared" si="319"/>
        <v>3.6111554656457095E-3</v>
      </c>
      <c r="O256" s="929">
        <f t="shared" si="319"/>
        <v>3.36008315634607E-3</v>
      </c>
      <c r="P256" s="929">
        <f t="shared" si="319"/>
        <v>3.1090108470464306E-3</v>
      </c>
      <c r="Q256" s="929">
        <f t="shared" si="319"/>
        <v>2.8579385377467911E-3</v>
      </c>
      <c r="R256" s="929">
        <f t="shared" si="319"/>
        <v>2.6068662284471512E-3</v>
      </c>
      <c r="S256" s="929">
        <f t="shared" si="319"/>
        <v>2.3557939191475113E-3</v>
      </c>
      <c r="T256" s="929">
        <f t="shared" si="319"/>
        <v>2.1047216098478722E-3</v>
      </c>
      <c r="U256" s="929">
        <f t="shared" si="319"/>
        <v>1.8536493005482325E-3</v>
      </c>
      <c r="V256" s="929">
        <f t="shared" si="319"/>
        <v>1.6025769912485931E-3</v>
      </c>
      <c r="W256" s="929">
        <f t="shared" si="319"/>
        <v>1.3515046819489529E-3</v>
      </c>
      <c r="X256" s="929">
        <f t="shared" si="319"/>
        <v>1.1004323726493132E-3</v>
      </c>
      <c r="Y256" s="929">
        <f t="shared" si="319"/>
        <v>8.493600633496741E-4</v>
      </c>
      <c r="Z256" s="929">
        <f t="shared" si="319"/>
        <v>8.4936006334967399E-4</v>
      </c>
      <c r="AA256" s="929">
        <f t="shared" si="319"/>
        <v>8.4936006334967399E-4</v>
      </c>
      <c r="AB256" s="929">
        <f t="shared" si="319"/>
        <v>8.493600633496741E-4</v>
      </c>
      <c r="AC256" s="929">
        <f t="shared" si="319"/>
        <v>8.493600633496741E-4</v>
      </c>
      <c r="AD256" s="929">
        <f t="shared" si="319"/>
        <v>8.4936006334967388E-4</v>
      </c>
      <c r="AE256" s="929">
        <f t="shared" si="319"/>
        <v>8.4936006334967388E-4</v>
      </c>
      <c r="AF256" s="929">
        <f t="shared" si="319"/>
        <v>8.4936006334967388E-4</v>
      </c>
      <c r="AG256" s="929">
        <f t="shared" si="319"/>
        <v>8.493600633496741E-4</v>
      </c>
      <c r="AH256" s="1152">
        <f t="shared" si="319"/>
        <v>8.493600633496741E-4</v>
      </c>
      <c r="AI256" s="1152">
        <f t="shared" ref="AI256:AJ256" si="320">$C$251*AI224</f>
        <v>8.4936006334967399E-4</v>
      </c>
      <c r="AJ256" s="1152">
        <f t="shared" si="320"/>
        <v>8.4936006334967388E-4</v>
      </c>
      <c r="AK256" s="1686">
        <f t="shared" ref="AK256" si="321">$C$251*AK224</f>
        <v>8.4936006334967388E-4</v>
      </c>
    </row>
    <row r="257" spans="2:37" s="919" customFormat="1" ht="12">
      <c r="B257" s="930" t="s">
        <v>265</v>
      </c>
      <c r="C257" s="930" t="s">
        <v>293</v>
      </c>
      <c r="D257" s="929">
        <f t="shared" ref="D257:AH257" si="322">$C$251*D225</f>
        <v>9.6446637434961975E-4</v>
      </c>
      <c r="E257" s="929">
        <f t="shared" si="322"/>
        <v>9.6446637434961986E-4</v>
      </c>
      <c r="F257" s="929">
        <f t="shared" si="322"/>
        <v>9.6446637434961964E-4</v>
      </c>
      <c r="G257" s="929">
        <f t="shared" si="322"/>
        <v>9.3615416238723855E-4</v>
      </c>
      <c r="H257" s="929">
        <f t="shared" si="322"/>
        <v>9.0784195042485736E-4</v>
      </c>
      <c r="I257" s="929">
        <f t="shared" si="322"/>
        <v>8.7952973846247659E-4</v>
      </c>
      <c r="J257" s="929">
        <f t="shared" si="322"/>
        <v>8.512175265000954E-4</v>
      </c>
      <c r="K257" s="929">
        <f t="shared" si="322"/>
        <v>8.2290531453771442E-4</v>
      </c>
      <c r="L257" s="929">
        <f t="shared" si="322"/>
        <v>7.9459310257533344E-4</v>
      </c>
      <c r="M257" s="929">
        <f t="shared" si="322"/>
        <v>7.6628089061295224E-4</v>
      </c>
      <c r="N257" s="929">
        <f t="shared" si="322"/>
        <v>7.3796867865057116E-4</v>
      </c>
      <c r="O257" s="929">
        <f t="shared" si="322"/>
        <v>7.0965646668819007E-4</v>
      </c>
      <c r="P257" s="929">
        <f t="shared" si="322"/>
        <v>6.813442547258092E-4</v>
      </c>
      <c r="Q257" s="929">
        <f t="shared" si="322"/>
        <v>6.5303204276342779E-4</v>
      </c>
      <c r="R257" s="929">
        <f t="shared" si="322"/>
        <v>6.2471983080104681E-4</v>
      </c>
      <c r="S257" s="929">
        <f t="shared" si="322"/>
        <v>5.9640761883866583E-4</v>
      </c>
      <c r="T257" s="929">
        <f t="shared" si="322"/>
        <v>5.6809540687628474E-4</v>
      </c>
      <c r="U257" s="929">
        <f t="shared" si="322"/>
        <v>5.3978319491390387E-4</v>
      </c>
      <c r="V257" s="929">
        <f t="shared" si="322"/>
        <v>5.1147098295152257E-4</v>
      </c>
      <c r="W257" s="929">
        <f t="shared" si="322"/>
        <v>4.8315877098914142E-4</v>
      </c>
      <c r="X257" s="929">
        <f t="shared" si="322"/>
        <v>4.5484655902676055E-4</v>
      </c>
      <c r="Y257" s="929">
        <f t="shared" si="322"/>
        <v>4.2653434706437936E-4</v>
      </c>
      <c r="Z257" s="929">
        <f t="shared" si="322"/>
        <v>4.265343470643793E-4</v>
      </c>
      <c r="AA257" s="929">
        <f t="shared" si="322"/>
        <v>4.265343470643793E-4</v>
      </c>
      <c r="AB257" s="929">
        <f t="shared" si="322"/>
        <v>4.2653434706437941E-4</v>
      </c>
      <c r="AC257" s="929">
        <f t="shared" si="322"/>
        <v>4.2653434706437936E-4</v>
      </c>
      <c r="AD257" s="929">
        <f t="shared" si="322"/>
        <v>4.2653434706437925E-4</v>
      </c>
      <c r="AE257" s="929">
        <f t="shared" si="322"/>
        <v>4.2653434706437936E-4</v>
      </c>
      <c r="AF257" s="929">
        <f t="shared" si="322"/>
        <v>4.265343470643793E-4</v>
      </c>
      <c r="AG257" s="929">
        <f t="shared" si="322"/>
        <v>4.2653434706437936E-4</v>
      </c>
      <c r="AH257" s="1152">
        <f t="shared" si="322"/>
        <v>4.2653434706437941E-4</v>
      </c>
      <c r="AI257" s="1152">
        <f t="shared" ref="AI257:AJ257" si="323">$C$251*AI225</f>
        <v>4.2653434706437936E-4</v>
      </c>
      <c r="AJ257" s="1152">
        <f t="shared" si="323"/>
        <v>4.2653434706437941E-4</v>
      </c>
      <c r="AK257" s="1686">
        <f t="shared" ref="AK257" si="324">$C$251*AK225</f>
        <v>4.2653434706437941E-4</v>
      </c>
    </row>
    <row r="258" spans="2:37" s="919" customFormat="1" ht="12">
      <c r="B258" s="930" t="s">
        <v>267</v>
      </c>
      <c r="C258" s="930" t="s">
        <v>293</v>
      </c>
      <c r="D258" s="929">
        <f t="shared" ref="D258:AH258" si="325">$C$251*D226</f>
        <v>1.0008669838884363E-4</v>
      </c>
      <c r="E258" s="929">
        <f t="shared" si="325"/>
        <v>1.0008669838884363E-4</v>
      </c>
      <c r="F258" s="929">
        <f t="shared" si="325"/>
        <v>1.0008669838884363E-4</v>
      </c>
      <c r="G258" s="929">
        <f t="shared" si="325"/>
        <v>9.6826164705839012E-5</v>
      </c>
      <c r="H258" s="929">
        <f t="shared" si="325"/>
        <v>9.3565631022834384E-5</v>
      </c>
      <c r="I258" s="929">
        <f t="shared" si="325"/>
        <v>9.0305097339829797E-5</v>
      </c>
      <c r="J258" s="929">
        <f t="shared" si="325"/>
        <v>8.7044563656825169E-5</v>
      </c>
      <c r="K258" s="929">
        <f t="shared" si="325"/>
        <v>8.3784029973820554E-5</v>
      </c>
      <c r="L258" s="929">
        <f t="shared" si="325"/>
        <v>8.052349629081594E-5</v>
      </c>
      <c r="M258" s="929">
        <f t="shared" si="325"/>
        <v>7.7262962607811339E-5</v>
      </c>
      <c r="N258" s="929">
        <f t="shared" si="325"/>
        <v>7.4002428924806711E-5</v>
      </c>
      <c r="O258" s="929">
        <f t="shared" si="325"/>
        <v>7.0741895241802096E-5</v>
      </c>
      <c r="P258" s="929">
        <f t="shared" si="325"/>
        <v>6.7481361558797482E-5</v>
      </c>
      <c r="Q258" s="929">
        <f t="shared" si="325"/>
        <v>6.4220827875792881E-5</v>
      </c>
      <c r="R258" s="929">
        <f t="shared" si="325"/>
        <v>6.096029419278826E-5</v>
      </c>
      <c r="S258" s="929">
        <f t="shared" si="325"/>
        <v>5.7699760509783652E-5</v>
      </c>
      <c r="T258" s="929">
        <f t="shared" si="325"/>
        <v>5.4439226826779031E-5</v>
      </c>
      <c r="U258" s="929">
        <f t="shared" si="325"/>
        <v>5.1178693143774437E-5</v>
      </c>
      <c r="V258" s="929">
        <f t="shared" si="325"/>
        <v>4.7918159460769815E-5</v>
      </c>
      <c r="W258" s="929">
        <f t="shared" si="325"/>
        <v>4.4657625777765201E-5</v>
      </c>
      <c r="X258" s="929">
        <f t="shared" si="325"/>
        <v>4.1397092094760586E-5</v>
      </c>
      <c r="Y258" s="929">
        <f t="shared" si="325"/>
        <v>3.8136558411755979E-5</v>
      </c>
      <c r="Z258" s="929">
        <f t="shared" si="325"/>
        <v>3.8136558411755979E-5</v>
      </c>
      <c r="AA258" s="929">
        <f t="shared" si="325"/>
        <v>3.8136558411755979E-5</v>
      </c>
      <c r="AB258" s="929">
        <f t="shared" si="325"/>
        <v>3.8136558411755972E-5</v>
      </c>
      <c r="AC258" s="929">
        <f t="shared" si="325"/>
        <v>3.8136558411755979E-5</v>
      </c>
      <c r="AD258" s="929">
        <f t="shared" si="325"/>
        <v>3.8136558411755979E-5</v>
      </c>
      <c r="AE258" s="929">
        <f t="shared" si="325"/>
        <v>3.8136558411755972E-5</v>
      </c>
      <c r="AF258" s="929">
        <f t="shared" si="325"/>
        <v>3.8136558411755979E-5</v>
      </c>
      <c r="AG258" s="929">
        <f t="shared" si="325"/>
        <v>3.8136558411755979E-5</v>
      </c>
      <c r="AH258" s="1152">
        <f t="shared" si="325"/>
        <v>3.8136558411755979E-5</v>
      </c>
      <c r="AI258" s="1152">
        <f t="shared" ref="AI258:AJ258" si="326">$C$251*AI226</f>
        <v>3.8136558411755979E-5</v>
      </c>
      <c r="AJ258" s="1152">
        <f t="shared" si="326"/>
        <v>3.8136558411755979E-5</v>
      </c>
      <c r="AK258" s="1686">
        <f t="shared" ref="AK258" si="327">$C$251*AK226</f>
        <v>3.8136558411755979E-5</v>
      </c>
    </row>
    <row r="259" spans="2:37" s="919" customFormat="1" ht="12">
      <c r="B259" s="930" t="s">
        <v>268</v>
      </c>
      <c r="C259" s="930" t="s">
        <v>293</v>
      </c>
      <c r="D259" s="929">
        <f t="shared" ref="D259:AH259" si="328">$C$251*D227</f>
        <v>5.2727599626561955E-6</v>
      </c>
      <c r="E259" s="929">
        <f t="shared" si="328"/>
        <v>5.2727599626561955E-6</v>
      </c>
      <c r="F259" s="929">
        <f t="shared" si="328"/>
        <v>5.2727599626561955E-6</v>
      </c>
      <c r="G259" s="929">
        <f t="shared" si="328"/>
        <v>5.4027936159462125E-6</v>
      </c>
      <c r="H259" s="929">
        <f t="shared" si="328"/>
        <v>5.5328272692362277E-6</v>
      </c>
      <c r="I259" s="929">
        <f t="shared" si="328"/>
        <v>5.6628609225262454E-6</v>
      </c>
      <c r="J259" s="929">
        <f t="shared" si="328"/>
        <v>5.792894575816264E-6</v>
      </c>
      <c r="K259" s="929">
        <f t="shared" si="328"/>
        <v>5.9229282291062801E-6</v>
      </c>
      <c r="L259" s="929">
        <f t="shared" si="328"/>
        <v>6.0529618823962961E-6</v>
      </c>
      <c r="M259" s="929">
        <f t="shared" si="328"/>
        <v>6.1829955356863139E-6</v>
      </c>
      <c r="N259" s="929">
        <f t="shared" si="328"/>
        <v>6.3130291889763299E-6</v>
      </c>
      <c r="O259" s="929">
        <f t="shared" si="328"/>
        <v>6.4430628422663477E-6</v>
      </c>
      <c r="P259" s="929">
        <f t="shared" si="328"/>
        <v>6.5730964955563646E-6</v>
      </c>
      <c r="Q259" s="929">
        <f t="shared" si="328"/>
        <v>6.7031301488463815E-6</v>
      </c>
      <c r="R259" s="929">
        <f t="shared" si="328"/>
        <v>6.8331638021363992E-6</v>
      </c>
      <c r="S259" s="929">
        <f t="shared" si="328"/>
        <v>6.9631974554264136E-6</v>
      </c>
      <c r="T259" s="929">
        <f t="shared" si="328"/>
        <v>7.0932311087164314E-6</v>
      </c>
      <c r="U259" s="929">
        <f t="shared" si="328"/>
        <v>7.2232647620064483E-6</v>
      </c>
      <c r="V259" s="929">
        <f t="shared" si="328"/>
        <v>7.3532984152964652E-6</v>
      </c>
      <c r="W259" s="929">
        <f t="shared" si="328"/>
        <v>7.4833320685864829E-6</v>
      </c>
      <c r="X259" s="929">
        <f t="shared" si="328"/>
        <v>7.613365721876499E-6</v>
      </c>
      <c r="Y259" s="929">
        <f t="shared" si="328"/>
        <v>7.7433993751665167E-6</v>
      </c>
      <c r="Z259" s="929">
        <f t="shared" si="328"/>
        <v>7.743399375166515E-6</v>
      </c>
      <c r="AA259" s="929">
        <f t="shared" si="328"/>
        <v>7.7433993751665167E-6</v>
      </c>
      <c r="AB259" s="929">
        <f t="shared" si="328"/>
        <v>7.7433993751665167E-6</v>
      </c>
      <c r="AC259" s="929">
        <f t="shared" si="328"/>
        <v>7.7433993751665167E-6</v>
      </c>
      <c r="AD259" s="929">
        <f t="shared" si="328"/>
        <v>7.7433993751665167E-6</v>
      </c>
      <c r="AE259" s="929">
        <f t="shared" si="328"/>
        <v>7.743399375166515E-6</v>
      </c>
      <c r="AF259" s="929">
        <f t="shared" si="328"/>
        <v>7.7433993751665167E-6</v>
      </c>
      <c r="AG259" s="929">
        <f t="shared" si="328"/>
        <v>7.743399375166515E-6</v>
      </c>
      <c r="AH259" s="1152">
        <f t="shared" si="328"/>
        <v>7.743399375166515E-6</v>
      </c>
      <c r="AI259" s="1152">
        <f t="shared" ref="AI259:AJ259" si="329">$C$251*AI227</f>
        <v>7.743399375166515E-6</v>
      </c>
      <c r="AJ259" s="1152">
        <f t="shared" si="329"/>
        <v>7.743399375166515E-6</v>
      </c>
      <c r="AK259" s="1686">
        <f t="shared" ref="AK259" si="330">$C$251*AK227</f>
        <v>7.743399375166515E-6</v>
      </c>
    </row>
    <row r="260" spans="2:37" s="919" customFormat="1" ht="12">
      <c r="B260" s="933" t="s">
        <v>269</v>
      </c>
      <c r="C260" s="930" t="s">
        <v>293</v>
      </c>
      <c r="D260" s="929">
        <f t="shared" ref="D260:AH260" si="331">$C$251*D228</f>
        <v>1.4422234484178889E-4</v>
      </c>
      <c r="E260" s="929">
        <f t="shared" si="331"/>
        <v>1.4422234484178889E-4</v>
      </c>
      <c r="F260" s="929">
        <f t="shared" si="331"/>
        <v>1.4422234484178889E-4</v>
      </c>
      <c r="G260" s="929">
        <f t="shared" si="331"/>
        <v>1.4422234484178886E-4</v>
      </c>
      <c r="H260" s="929">
        <f t="shared" si="331"/>
        <v>1.4422234484178886E-4</v>
      </c>
      <c r="I260" s="929">
        <f t="shared" si="331"/>
        <v>1.4422234484178886E-4</v>
      </c>
      <c r="J260" s="929">
        <f t="shared" si="331"/>
        <v>1.4422234484178886E-4</v>
      </c>
      <c r="K260" s="929">
        <f t="shared" si="331"/>
        <v>1.4422234484178889E-4</v>
      </c>
      <c r="L260" s="929">
        <f t="shared" si="331"/>
        <v>1.4422234484178886E-4</v>
      </c>
      <c r="M260" s="929">
        <f t="shared" si="331"/>
        <v>1.4422234484178886E-4</v>
      </c>
      <c r="N260" s="929">
        <f t="shared" si="331"/>
        <v>1.4422234484178889E-4</v>
      </c>
      <c r="O260" s="929">
        <f t="shared" si="331"/>
        <v>1.4422234484178889E-4</v>
      </c>
      <c r="P260" s="929">
        <f t="shared" si="331"/>
        <v>1.4422234484178889E-4</v>
      </c>
      <c r="Q260" s="929">
        <f t="shared" si="331"/>
        <v>1.4422234484178889E-4</v>
      </c>
      <c r="R260" s="929">
        <f t="shared" si="331"/>
        <v>1.4422234484178889E-4</v>
      </c>
      <c r="S260" s="929">
        <f t="shared" si="331"/>
        <v>1.4422234484178892E-4</v>
      </c>
      <c r="T260" s="929">
        <f t="shared" si="331"/>
        <v>1.4422234484178889E-4</v>
      </c>
      <c r="U260" s="929">
        <f t="shared" si="331"/>
        <v>1.4422234484178886E-4</v>
      </c>
      <c r="V260" s="929">
        <f t="shared" si="331"/>
        <v>1.4422234484178889E-4</v>
      </c>
      <c r="W260" s="929">
        <f t="shared" si="331"/>
        <v>1.4422234484178889E-4</v>
      </c>
      <c r="X260" s="929">
        <f t="shared" si="331"/>
        <v>1.4422234484178889E-4</v>
      </c>
      <c r="Y260" s="929">
        <f t="shared" si="331"/>
        <v>1.4422234484178889E-4</v>
      </c>
      <c r="Z260" s="929">
        <f t="shared" si="331"/>
        <v>1.4422234484178889E-4</v>
      </c>
      <c r="AA260" s="929">
        <f t="shared" si="331"/>
        <v>1.4422234484178889E-4</v>
      </c>
      <c r="AB260" s="929">
        <f t="shared" si="331"/>
        <v>1.4422234484178886E-4</v>
      </c>
      <c r="AC260" s="929">
        <f t="shared" si="331"/>
        <v>1.4422234484178892E-4</v>
      </c>
      <c r="AD260" s="929">
        <f t="shared" si="331"/>
        <v>1.4422234484178889E-4</v>
      </c>
      <c r="AE260" s="929">
        <f t="shared" si="331"/>
        <v>1.4422234484178889E-4</v>
      </c>
      <c r="AF260" s="929">
        <f t="shared" si="331"/>
        <v>1.4422234484178889E-4</v>
      </c>
      <c r="AG260" s="929">
        <f t="shared" si="331"/>
        <v>1.4422234484178889E-4</v>
      </c>
      <c r="AH260" s="1152">
        <f t="shared" si="331"/>
        <v>1.4422234484178889E-4</v>
      </c>
      <c r="AI260" s="1152">
        <f t="shared" ref="AI260:AJ260" si="332">$C$251*AI228</f>
        <v>1.4422234484178889E-4</v>
      </c>
      <c r="AJ260" s="1152">
        <f t="shared" si="332"/>
        <v>1.4422234484178889E-4</v>
      </c>
      <c r="AK260" s="1686">
        <f t="shared" ref="AK260" si="333">$C$251*AK228</f>
        <v>1.4422234484178889E-4</v>
      </c>
    </row>
    <row r="261" spans="2:37" s="919" customFormat="1" ht="12">
      <c r="B261" s="924" t="s">
        <v>270</v>
      </c>
      <c r="C261" s="924"/>
      <c r="D261" s="929"/>
      <c r="E261" s="993"/>
      <c r="F261" s="929"/>
      <c r="G261" s="929"/>
      <c r="H261" s="929"/>
      <c r="I261" s="929"/>
      <c r="J261" s="929"/>
      <c r="K261" s="929"/>
      <c r="L261" s="929"/>
      <c r="M261" s="929"/>
      <c r="N261" s="929"/>
      <c r="O261" s="929"/>
      <c r="P261" s="929"/>
      <c r="Q261" s="929"/>
      <c r="R261" s="929"/>
      <c r="S261" s="929"/>
      <c r="T261" s="929"/>
      <c r="U261" s="929"/>
      <c r="V261" s="929"/>
      <c r="W261" s="929"/>
      <c r="X261" s="929"/>
      <c r="Y261" s="929"/>
      <c r="Z261" s="929"/>
      <c r="AA261" s="929"/>
      <c r="AB261" s="929"/>
      <c r="AC261" s="929"/>
      <c r="AD261" s="929"/>
      <c r="AE261" s="929"/>
      <c r="AF261" s="929"/>
      <c r="AG261" s="929"/>
      <c r="AH261" s="1152"/>
      <c r="AI261" s="1152"/>
      <c r="AJ261" s="1152"/>
      <c r="AK261" s="1686"/>
    </row>
    <row r="262" spans="2:37" s="919" customFormat="1" ht="12">
      <c r="B262" s="935" t="s">
        <v>271</v>
      </c>
      <c r="C262" s="928" t="s">
        <v>294</v>
      </c>
      <c r="D262" s="929">
        <f t="shared" ref="D262:AH262" si="334">$C$251*D230</f>
        <v>0.89317363297644548</v>
      </c>
      <c r="E262" s="931">
        <f t="shared" si="334"/>
        <v>0.89317363297644548</v>
      </c>
      <c r="F262" s="929">
        <f t="shared" si="334"/>
        <v>0.89317363297644536</v>
      </c>
      <c r="G262" s="929">
        <f t="shared" si="334"/>
        <v>0.84948493967091199</v>
      </c>
      <c r="H262" s="929">
        <f t="shared" si="334"/>
        <v>0.80579624636537828</v>
      </c>
      <c r="I262" s="929">
        <f t="shared" si="334"/>
        <v>0.76210755305984457</v>
      </c>
      <c r="J262" s="929">
        <f t="shared" si="334"/>
        <v>0.71841885975431086</v>
      </c>
      <c r="K262" s="929">
        <f t="shared" si="334"/>
        <v>0.67473016644877726</v>
      </c>
      <c r="L262" s="929">
        <f t="shared" si="334"/>
        <v>0.63104147314324366</v>
      </c>
      <c r="M262" s="929">
        <f t="shared" si="334"/>
        <v>0.58735277983770995</v>
      </c>
      <c r="N262" s="929">
        <f t="shared" si="334"/>
        <v>0.54366408653217624</v>
      </c>
      <c r="O262" s="929">
        <f t="shared" si="334"/>
        <v>0.49997539322664264</v>
      </c>
      <c r="P262" s="929">
        <f t="shared" si="334"/>
        <v>0.45628669992110904</v>
      </c>
      <c r="Q262" s="929">
        <f t="shared" si="334"/>
        <v>0.41259800661557527</v>
      </c>
      <c r="R262" s="929">
        <f t="shared" si="334"/>
        <v>0.36890931331004173</v>
      </c>
      <c r="S262" s="929">
        <f t="shared" si="334"/>
        <v>0.32522062000450808</v>
      </c>
      <c r="T262" s="929">
        <f t="shared" si="334"/>
        <v>0.28153192669897442</v>
      </c>
      <c r="U262" s="929">
        <f t="shared" si="334"/>
        <v>0.23784323339344077</v>
      </c>
      <c r="V262" s="929">
        <f t="shared" si="334"/>
        <v>0.19415454008790708</v>
      </c>
      <c r="W262" s="929">
        <f t="shared" si="334"/>
        <v>0.15046584678237343</v>
      </c>
      <c r="X262" s="929">
        <f t="shared" si="334"/>
        <v>0.10677715347683982</v>
      </c>
      <c r="Y262" s="929">
        <f t="shared" si="334"/>
        <v>6.3088460171306218E-2</v>
      </c>
      <c r="Z262" s="929">
        <f t="shared" si="334"/>
        <v>6.3088460171306218E-2</v>
      </c>
      <c r="AA262" s="929">
        <f t="shared" si="334"/>
        <v>6.3088460171306232E-2</v>
      </c>
      <c r="AB262" s="929">
        <f t="shared" si="334"/>
        <v>6.3088460171306204E-2</v>
      </c>
      <c r="AC262" s="929">
        <f t="shared" si="334"/>
        <v>6.3088460171306218E-2</v>
      </c>
      <c r="AD262" s="929">
        <f t="shared" si="334"/>
        <v>6.3088460171306218E-2</v>
      </c>
      <c r="AE262" s="929">
        <f t="shared" si="334"/>
        <v>6.3088460171306204E-2</v>
      </c>
      <c r="AF262" s="929">
        <f t="shared" si="334"/>
        <v>6.3088460171306204E-2</v>
      </c>
      <c r="AG262" s="929">
        <f t="shared" si="334"/>
        <v>6.3088460171306232E-2</v>
      </c>
      <c r="AH262" s="1152">
        <f t="shared" si="334"/>
        <v>6.3088460171306232E-2</v>
      </c>
      <c r="AI262" s="1152">
        <f t="shared" ref="AI262:AJ262" si="335">$C$251*AI230</f>
        <v>6.3088460171306218E-2</v>
      </c>
      <c r="AJ262" s="1152">
        <f t="shared" si="335"/>
        <v>6.3088460171306204E-2</v>
      </c>
      <c r="AK262" s="1686">
        <f t="shared" ref="AK262" si="336">$C$251*AK230</f>
        <v>6.3088460171306204E-2</v>
      </c>
    </row>
    <row r="263" spans="2:37" s="919" customFormat="1" ht="12">
      <c r="B263" s="930" t="s">
        <v>273</v>
      </c>
      <c r="C263" s="928" t="s">
        <v>294</v>
      </c>
      <c r="D263" s="929">
        <f t="shared" ref="D263:AH263" si="337">$C$251*D231</f>
        <v>0.47490210963597435</v>
      </c>
      <c r="E263" s="929">
        <f t="shared" si="337"/>
        <v>0.47490210963597435</v>
      </c>
      <c r="F263" s="929">
        <f t="shared" si="337"/>
        <v>0.47490210963597429</v>
      </c>
      <c r="G263" s="929">
        <f t="shared" si="337"/>
        <v>0.45144983082384771</v>
      </c>
      <c r="H263" s="929">
        <f t="shared" si="337"/>
        <v>0.42799755201172085</v>
      </c>
      <c r="I263" s="929">
        <f t="shared" si="337"/>
        <v>0.40454527319959427</v>
      </c>
      <c r="J263" s="929">
        <f t="shared" si="337"/>
        <v>0.38109299438746758</v>
      </c>
      <c r="K263" s="929">
        <f t="shared" si="337"/>
        <v>0.35764071557534088</v>
      </c>
      <c r="L263" s="929">
        <f t="shared" si="337"/>
        <v>0.3341884367632143</v>
      </c>
      <c r="M263" s="929">
        <f t="shared" si="337"/>
        <v>0.31073615795108761</v>
      </c>
      <c r="N263" s="929">
        <f t="shared" si="337"/>
        <v>0.28728387913896092</v>
      </c>
      <c r="O263" s="929">
        <f t="shared" si="337"/>
        <v>0.26383160032683423</v>
      </c>
      <c r="P263" s="929">
        <f t="shared" si="337"/>
        <v>0.24037932151470759</v>
      </c>
      <c r="Q263" s="929">
        <f t="shared" si="337"/>
        <v>0.21692704270258087</v>
      </c>
      <c r="R263" s="929">
        <f t="shared" si="337"/>
        <v>0.1934747638904542</v>
      </c>
      <c r="S263" s="929">
        <f t="shared" si="337"/>
        <v>0.17002248507832754</v>
      </c>
      <c r="T263" s="929">
        <f t="shared" si="337"/>
        <v>0.14657020626620088</v>
      </c>
      <c r="U263" s="929">
        <f t="shared" si="337"/>
        <v>0.12311792745407417</v>
      </c>
      <c r="V263" s="929">
        <f t="shared" si="337"/>
        <v>9.9665648641947518E-2</v>
      </c>
      <c r="W263" s="929">
        <f t="shared" si="337"/>
        <v>7.6213369829820854E-2</v>
      </c>
      <c r="X263" s="929">
        <f t="shared" si="337"/>
        <v>5.2761091017694127E-2</v>
      </c>
      <c r="Y263" s="929">
        <f t="shared" si="337"/>
        <v>2.9308812205567455E-2</v>
      </c>
      <c r="Z263" s="929">
        <f t="shared" si="337"/>
        <v>2.9308812205567455E-2</v>
      </c>
      <c r="AA263" s="929">
        <f t="shared" si="337"/>
        <v>2.9308812205567459E-2</v>
      </c>
      <c r="AB263" s="929">
        <f t="shared" si="337"/>
        <v>2.9308812205567455E-2</v>
      </c>
      <c r="AC263" s="929">
        <f t="shared" si="337"/>
        <v>2.9308812205567459E-2</v>
      </c>
      <c r="AD263" s="929">
        <f t="shared" si="337"/>
        <v>2.9308812205567455E-2</v>
      </c>
      <c r="AE263" s="929">
        <f t="shared" si="337"/>
        <v>2.9308812205567452E-2</v>
      </c>
      <c r="AF263" s="929">
        <f t="shared" si="337"/>
        <v>2.9308812205567455E-2</v>
      </c>
      <c r="AG263" s="929">
        <f t="shared" si="337"/>
        <v>2.9308812205567455E-2</v>
      </c>
      <c r="AH263" s="1152">
        <f t="shared" si="337"/>
        <v>2.9308812205567459E-2</v>
      </c>
      <c r="AI263" s="1152">
        <f t="shared" ref="AI263:AJ263" si="338">$C$251*AI231</f>
        <v>2.9308812205567459E-2</v>
      </c>
      <c r="AJ263" s="1152">
        <f t="shared" si="338"/>
        <v>2.9308812205567459E-2</v>
      </c>
      <c r="AK263" s="1686">
        <f t="shared" ref="AK263" si="339">$C$251*AK231</f>
        <v>2.9308812205567459E-2</v>
      </c>
    </row>
    <row r="264" spans="2:37" s="919" customFormat="1" ht="12">
      <c r="B264" s="930" t="s">
        <v>274</v>
      </c>
      <c r="C264" s="928" t="s">
        <v>294</v>
      </c>
      <c r="D264" s="929">
        <f t="shared" ref="D264:AH264" si="340">$C$251*D232</f>
        <v>2.1410335695931485E-2</v>
      </c>
      <c r="E264" s="929">
        <f t="shared" si="340"/>
        <v>2.1410335695931478E-2</v>
      </c>
      <c r="F264" s="929">
        <f t="shared" si="340"/>
        <v>2.1410335695931478E-2</v>
      </c>
      <c r="G264" s="929">
        <f t="shared" si="340"/>
        <v>2.1410335695931478E-2</v>
      </c>
      <c r="H264" s="929">
        <f t="shared" si="340"/>
        <v>2.1410335695931478E-2</v>
      </c>
      <c r="I264" s="929">
        <f t="shared" si="340"/>
        <v>2.1410335695931478E-2</v>
      </c>
      <c r="J264" s="929">
        <f t="shared" si="340"/>
        <v>2.1410335695931478E-2</v>
      </c>
      <c r="K264" s="929">
        <f t="shared" si="340"/>
        <v>2.1410335695931478E-2</v>
      </c>
      <c r="L264" s="929">
        <f t="shared" si="340"/>
        <v>2.1410335695931478E-2</v>
      </c>
      <c r="M264" s="929">
        <f t="shared" si="340"/>
        <v>2.1410335695931478E-2</v>
      </c>
      <c r="N264" s="929">
        <f t="shared" si="340"/>
        <v>2.1410335695931475E-2</v>
      </c>
      <c r="O264" s="929">
        <f t="shared" si="340"/>
        <v>2.1410335695931478E-2</v>
      </c>
      <c r="P264" s="929">
        <f t="shared" si="340"/>
        <v>2.1410335695931478E-2</v>
      </c>
      <c r="Q264" s="929">
        <f t="shared" si="340"/>
        <v>2.1410335695931478E-2</v>
      </c>
      <c r="R264" s="929">
        <f t="shared" si="340"/>
        <v>2.1410335695931478E-2</v>
      </c>
      <c r="S264" s="929">
        <f t="shared" si="340"/>
        <v>2.1410335695931485E-2</v>
      </c>
      <c r="T264" s="929">
        <f t="shared" si="340"/>
        <v>2.1410335695931478E-2</v>
      </c>
      <c r="U264" s="929">
        <f t="shared" si="340"/>
        <v>2.1410335695931485E-2</v>
      </c>
      <c r="V264" s="929">
        <f t="shared" si="340"/>
        <v>2.1410335695931475E-2</v>
      </c>
      <c r="W264" s="929">
        <f t="shared" si="340"/>
        <v>2.1410335695931478E-2</v>
      </c>
      <c r="X264" s="929">
        <f t="shared" si="340"/>
        <v>2.1410335695931475E-2</v>
      </c>
      <c r="Y264" s="929">
        <f t="shared" si="340"/>
        <v>2.1410335695931475E-2</v>
      </c>
      <c r="Z264" s="929">
        <f t="shared" si="340"/>
        <v>2.1410335695931475E-2</v>
      </c>
      <c r="AA264" s="929">
        <f t="shared" si="340"/>
        <v>2.1410335695931485E-2</v>
      </c>
      <c r="AB264" s="929">
        <f t="shared" si="340"/>
        <v>2.1410335695931478E-2</v>
      </c>
      <c r="AC264" s="929">
        <f t="shared" si="340"/>
        <v>2.1410335695931478E-2</v>
      </c>
      <c r="AD264" s="929">
        <f t="shared" si="340"/>
        <v>2.1410335695931485E-2</v>
      </c>
      <c r="AE264" s="929">
        <f t="shared" si="340"/>
        <v>2.1410335695931478E-2</v>
      </c>
      <c r="AF264" s="929">
        <f t="shared" si="340"/>
        <v>2.1410335695931478E-2</v>
      </c>
      <c r="AG264" s="929">
        <f t="shared" si="340"/>
        <v>2.1410335695931485E-2</v>
      </c>
      <c r="AH264" s="1152">
        <f t="shared" si="340"/>
        <v>2.1410335695931485E-2</v>
      </c>
      <c r="AI264" s="1152">
        <f t="shared" ref="AI264:AJ264" si="341">$C$251*AI232</f>
        <v>2.1410335695931475E-2</v>
      </c>
      <c r="AJ264" s="1152">
        <f t="shared" si="341"/>
        <v>2.1410335695931485E-2</v>
      </c>
      <c r="AK264" s="1686">
        <f t="shared" ref="AK264" si="342">$C$251*AK232</f>
        <v>2.1410335695931485E-2</v>
      </c>
    </row>
    <row r="265" spans="2:37" s="919" customFormat="1" ht="12">
      <c r="B265" s="930" t="s">
        <v>275</v>
      </c>
      <c r="C265" s="928" t="s">
        <v>294</v>
      </c>
      <c r="D265" s="929">
        <f t="shared" ref="D265:AH265" si="343">$C$251*D233</f>
        <v>0.80425367730192732</v>
      </c>
      <c r="E265" s="929">
        <f t="shared" si="343"/>
        <v>0.80425367730192743</v>
      </c>
      <c r="F265" s="929">
        <f t="shared" si="343"/>
        <v>0.80425367730192743</v>
      </c>
      <c r="G265" s="929">
        <f t="shared" si="343"/>
        <v>0.76327101616702353</v>
      </c>
      <c r="H265" s="929">
        <f t="shared" si="343"/>
        <v>0.72228835503212008</v>
      </c>
      <c r="I265" s="929">
        <f t="shared" si="343"/>
        <v>0.68130569389721618</v>
      </c>
      <c r="J265" s="929">
        <f t="shared" si="343"/>
        <v>0.64032303276231284</v>
      </c>
      <c r="K265" s="929">
        <f t="shared" si="343"/>
        <v>0.59934037162740905</v>
      </c>
      <c r="L265" s="929">
        <f t="shared" si="343"/>
        <v>0.55835771049250549</v>
      </c>
      <c r="M265" s="929">
        <f t="shared" si="343"/>
        <v>0.51737504935760181</v>
      </c>
      <c r="N265" s="929">
        <f t="shared" si="343"/>
        <v>0.47639238822269814</v>
      </c>
      <c r="O265" s="929">
        <f t="shared" si="343"/>
        <v>0.43540972708779435</v>
      </c>
      <c r="P265" s="929">
        <f t="shared" si="343"/>
        <v>0.39442706595289084</v>
      </c>
      <c r="Q265" s="929">
        <f t="shared" si="343"/>
        <v>0.35344440481798733</v>
      </c>
      <c r="R265" s="929">
        <f t="shared" si="343"/>
        <v>0.31246174368308349</v>
      </c>
      <c r="S265" s="929">
        <f t="shared" si="343"/>
        <v>0.27147908254817987</v>
      </c>
      <c r="T265" s="929">
        <f t="shared" si="343"/>
        <v>0.23049642141327631</v>
      </c>
      <c r="U265" s="929">
        <f t="shared" si="343"/>
        <v>0.18951376027837261</v>
      </c>
      <c r="V265" s="929">
        <f t="shared" si="343"/>
        <v>0.14853109914346901</v>
      </c>
      <c r="W265" s="929">
        <f t="shared" si="343"/>
        <v>0.10754843800856534</v>
      </c>
      <c r="X265" s="929">
        <f t="shared" si="343"/>
        <v>6.6565776873661719E-2</v>
      </c>
      <c r="Y265" s="929">
        <f t="shared" si="343"/>
        <v>2.5583115738758037E-2</v>
      </c>
      <c r="Z265" s="929">
        <f t="shared" si="343"/>
        <v>2.5583115738758037E-2</v>
      </c>
      <c r="AA265" s="929">
        <f t="shared" si="343"/>
        <v>2.5583115738758034E-2</v>
      </c>
      <c r="AB265" s="929">
        <f t="shared" si="343"/>
        <v>2.5583115738758037E-2</v>
      </c>
      <c r="AC265" s="929">
        <f t="shared" si="343"/>
        <v>2.5583115738758037E-2</v>
      </c>
      <c r="AD265" s="929">
        <f t="shared" si="343"/>
        <v>2.5583115738758037E-2</v>
      </c>
      <c r="AE265" s="929">
        <f t="shared" si="343"/>
        <v>2.5583115738758037E-2</v>
      </c>
      <c r="AF265" s="929">
        <f t="shared" si="343"/>
        <v>2.5583115738758037E-2</v>
      </c>
      <c r="AG265" s="929">
        <f t="shared" si="343"/>
        <v>2.5583115738758037E-2</v>
      </c>
      <c r="AH265" s="1152">
        <f t="shared" si="343"/>
        <v>2.5583115738758037E-2</v>
      </c>
      <c r="AI265" s="1152">
        <f t="shared" ref="AI265:AJ265" si="344">$C$251*AI233</f>
        <v>2.5583115738758037E-2</v>
      </c>
      <c r="AJ265" s="1152">
        <f t="shared" si="344"/>
        <v>2.5583115738758041E-2</v>
      </c>
      <c r="AK265" s="1686">
        <f t="shared" ref="AK265" si="345">$C$251*AK233</f>
        <v>2.5583115738758041E-2</v>
      </c>
    </row>
    <row r="266" spans="2:37" s="919" customFormat="1" ht="12">
      <c r="B266" s="930" t="s">
        <v>276</v>
      </c>
      <c r="C266" s="928" t="s">
        <v>294</v>
      </c>
      <c r="D266" s="929">
        <f t="shared" ref="D266:AH266" si="346">$C$251*D234</f>
        <v>6.4578738758029998E-3</v>
      </c>
      <c r="E266" s="929">
        <f t="shared" si="346"/>
        <v>6.457873875802999E-3</v>
      </c>
      <c r="F266" s="929">
        <f t="shared" si="346"/>
        <v>6.4578738758029981E-3</v>
      </c>
      <c r="G266" s="929">
        <f t="shared" si="346"/>
        <v>6.196421492167252E-3</v>
      </c>
      <c r="H266" s="929">
        <f t="shared" si="346"/>
        <v>5.9349691085315006E-3</v>
      </c>
      <c r="I266" s="929">
        <f t="shared" si="346"/>
        <v>5.6735167248957528E-3</v>
      </c>
      <c r="J266" s="929">
        <f t="shared" si="346"/>
        <v>5.4120643412600032E-3</v>
      </c>
      <c r="K266" s="929">
        <f t="shared" si="346"/>
        <v>5.1506119576242553E-3</v>
      </c>
      <c r="L266" s="929">
        <f t="shared" si="346"/>
        <v>4.8891595739885049E-3</v>
      </c>
      <c r="M266" s="929">
        <f t="shared" si="346"/>
        <v>4.6277071903527561E-3</v>
      </c>
      <c r="N266" s="929">
        <f t="shared" si="346"/>
        <v>4.3662548067170074E-3</v>
      </c>
      <c r="O266" s="929">
        <f t="shared" si="346"/>
        <v>4.1048024230812595E-3</v>
      </c>
      <c r="P266" s="929">
        <f t="shared" si="346"/>
        <v>3.8433500394455091E-3</v>
      </c>
      <c r="Q266" s="929">
        <f t="shared" si="346"/>
        <v>3.5818976558097603E-3</v>
      </c>
      <c r="R266" s="929">
        <f t="shared" si="346"/>
        <v>3.3204452721740116E-3</v>
      </c>
      <c r="S266" s="929">
        <f t="shared" si="346"/>
        <v>3.0589928885382633E-3</v>
      </c>
      <c r="T266" s="929">
        <f t="shared" si="346"/>
        <v>2.7975405049025146E-3</v>
      </c>
      <c r="U266" s="929">
        <f t="shared" si="346"/>
        <v>2.536088121266765E-3</v>
      </c>
      <c r="V266" s="929">
        <f t="shared" si="346"/>
        <v>2.2746357376310163E-3</v>
      </c>
      <c r="W266" s="929">
        <f t="shared" si="346"/>
        <v>2.0131833539952671E-3</v>
      </c>
      <c r="X266" s="929">
        <f t="shared" si="346"/>
        <v>1.7517309703595186E-3</v>
      </c>
      <c r="Y266" s="929">
        <f t="shared" si="346"/>
        <v>1.490278586723769E-3</v>
      </c>
      <c r="Z266" s="929">
        <f t="shared" si="346"/>
        <v>1.490278586723769E-3</v>
      </c>
      <c r="AA266" s="929">
        <f t="shared" si="346"/>
        <v>1.490278586723769E-3</v>
      </c>
      <c r="AB266" s="929">
        <f t="shared" si="346"/>
        <v>1.490278586723769E-3</v>
      </c>
      <c r="AC266" s="929">
        <f t="shared" si="346"/>
        <v>1.4902785867237688E-3</v>
      </c>
      <c r="AD266" s="929">
        <f t="shared" si="346"/>
        <v>1.4902785867237688E-3</v>
      </c>
      <c r="AE266" s="929">
        <f t="shared" si="346"/>
        <v>1.490278586723769E-3</v>
      </c>
      <c r="AF266" s="929">
        <f t="shared" si="346"/>
        <v>1.490278586723769E-3</v>
      </c>
      <c r="AG266" s="929">
        <f t="shared" si="346"/>
        <v>1.4902785867237688E-3</v>
      </c>
      <c r="AH266" s="1152">
        <f t="shared" si="346"/>
        <v>1.490278586723769E-3</v>
      </c>
      <c r="AI266" s="1152">
        <f t="shared" ref="AI266:AJ266" si="347">$C$251*AI234</f>
        <v>1.4902785867237688E-3</v>
      </c>
      <c r="AJ266" s="1152">
        <f t="shared" si="347"/>
        <v>1.4902785867237692E-3</v>
      </c>
      <c r="AK266" s="1686">
        <f t="shared" ref="AK266" si="348">$C$251*AK234</f>
        <v>1.4902785867237692E-3</v>
      </c>
    </row>
    <row r="267" spans="2:37" s="919" customFormat="1" ht="12">
      <c r="B267" s="930" t="s">
        <v>277</v>
      </c>
      <c r="C267" s="928" t="s">
        <v>294</v>
      </c>
      <c r="D267" s="929">
        <f t="shared" ref="D267:AH267" si="349">$C$251*D235</f>
        <v>0.20118760920770873</v>
      </c>
      <c r="E267" s="929">
        <f t="shared" si="349"/>
        <v>0.20118760920770876</v>
      </c>
      <c r="F267" s="929">
        <f t="shared" si="349"/>
        <v>0.20118760920770873</v>
      </c>
      <c r="G267" s="929">
        <f t="shared" si="349"/>
        <v>0.19082102219655134</v>
      </c>
      <c r="H267" s="929">
        <f t="shared" si="349"/>
        <v>0.18045443518539386</v>
      </c>
      <c r="I267" s="929">
        <f t="shared" si="349"/>
        <v>0.17008784817423647</v>
      </c>
      <c r="J267" s="929">
        <f t="shared" si="349"/>
        <v>0.15972126116307903</v>
      </c>
      <c r="K267" s="929">
        <f t="shared" si="349"/>
        <v>0.14935467415192158</v>
      </c>
      <c r="L267" s="929">
        <f t="shared" si="349"/>
        <v>0.13898808714076413</v>
      </c>
      <c r="M267" s="929">
        <f t="shared" si="349"/>
        <v>0.12862150012960669</v>
      </c>
      <c r="N267" s="929">
        <f t="shared" si="349"/>
        <v>0.11825491311844924</v>
      </c>
      <c r="O267" s="929">
        <f t="shared" si="349"/>
        <v>0.10788832610729178</v>
      </c>
      <c r="P267" s="929">
        <f t="shared" si="349"/>
        <v>9.7521739096134361E-2</v>
      </c>
      <c r="Q267" s="929">
        <f t="shared" si="349"/>
        <v>8.71551520849769E-2</v>
      </c>
      <c r="R267" s="929">
        <f t="shared" si="349"/>
        <v>7.678856507381944E-2</v>
      </c>
      <c r="S267" s="929">
        <f t="shared" si="349"/>
        <v>6.6421978062662049E-2</v>
      </c>
      <c r="T267" s="929">
        <f t="shared" si="349"/>
        <v>5.6055391051504588E-2</v>
      </c>
      <c r="U267" s="929">
        <f t="shared" si="349"/>
        <v>4.5688804040347142E-2</v>
      </c>
      <c r="V267" s="929">
        <f t="shared" si="349"/>
        <v>3.5322217029189702E-2</v>
      </c>
      <c r="W267" s="929">
        <f t="shared" si="349"/>
        <v>2.4955630018032249E-2</v>
      </c>
      <c r="X267" s="929">
        <f t="shared" si="349"/>
        <v>1.4589043006874806E-2</v>
      </c>
      <c r="Y267" s="929">
        <f t="shared" si="349"/>
        <v>4.2224559957173453E-3</v>
      </c>
      <c r="Z267" s="929">
        <f t="shared" si="349"/>
        <v>4.2224559957173445E-3</v>
      </c>
      <c r="AA267" s="929">
        <f t="shared" si="349"/>
        <v>4.2224559957173453E-3</v>
      </c>
      <c r="AB267" s="929">
        <f t="shared" si="349"/>
        <v>4.2224559957173453E-3</v>
      </c>
      <c r="AC267" s="929">
        <f t="shared" si="349"/>
        <v>4.2224559957173453E-3</v>
      </c>
      <c r="AD267" s="929">
        <f t="shared" si="349"/>
        <v>4.2224559957173453E-3</v>
      </c>
      <c r="AE267" s="929">
        <f t="shared" si="349"/>
        <v>4.2224559957173445E-3</v>
      </c>
      <c r="AF267" s="929">
        <f t="shared" si="349"/>
        <v>4.2224559957173445E-3</v>
      </c>
      <c r="AG267" s="929">
        <f t="shared" si="349"/>
        <v>4.2224559957173445E-3</v>
      </c>
      <c r="AH267" s="1152">
        <f t="shared" si="349"/>
        <v>4.2224559957173445E-3</v>
      </c>
      <c r="AI267" s="1152">
        <f t="shared" ref="AI267:AJ267" si="350">$C$251*AI235</f>
        <v>4.2224559957173453E-3</v>
      </c>
      <c r="AJ267" s="1152">
        <f t="shared" si="350"/>
        <v>4.2224559957173445E-3</v>
      </c>
      <c r="AK267" s="1686">
        <f t="shared" ref="AK267" si="351">$C$251*AK235</f>
        <v>4.2224559957173445E-3</v>
      </c>
    </row>
    <row r="268" spans="2:37" s="919" customFormat="1" ht="12">
      <c r="B268" s="930" t="s">
        <v>278</v>
      </c>
      <c r="C268" s="928" t="s">
        <v>294</v>
      </c>
      <c r="D268" s="929">
        <f t="shared" ref="D268:AH268" si="352">$C$251*D236</f>
        <v>8.9416715203426112E-4</v>
      </c>
      <c r="E268" s="929">
        <f t="shared" si="352"/>
        <v>8.9416715203426123E-4</v>
      </c>
      <c r="F268" s="929">
        <f t="shared" si="352"/>
        <v>8.9416715203426123E-4</v>
      </c>
      <c r="G268" s="929">
        <f t="shared" si="352"/>
        <v>9.2554143807055129E-4</v>
      </c>
      <c r="H268" s="929">
        <f t="shared" si="352"/>
        <v>9.5691572410684081E-4</v>
      </c>
      <c r="I268" s="929">
        <f t="shared" si="352"/>
        <v>9.8829001014313065E-4</v>
      </c>
      <c r="J268" s="929">
        <f t="shared" si="352"/>
        <v>1.0196642961794208E-3</v>
      </c>
      <c r="K268" s="929">
        <f t="shared" si="352"/>
        <v>1.0510385822157108E-3</v>
      </c>
      <c r="L268" s="929">
        <f t="shared" si="352"/>
        <v>1.0824128682520007E-3</v>
      </c>
      <c r="M268" s="929">
        <f t="shared" si="352"/>
        <v>1.1137871542882905E-3</v>
      </c>
      <c r="N268" s="929">
        <f t="shared" si="352"/>
        <v>1.14516144032458E-3</v>
      </c>
      <c r="O268" s="929">
        <f t="shared" si="352"/>
        <v>1.1765357263608697E-3</v>
      </c>
      <c r="P268" s="929">
        <f t="shared" si="352"/>
        <v>1.2079100123971601E-3</v>
      </c>
      <c r="Q268" s="929">
        <f t="shared" si="352"/>
        <v>1.2392842984334498E-3</v>
      </c>
      <c r="R268" s="929">
        <f t="shared" si="352"/>
        <v>1.2706585844697396E-3</v>
      </c>
      <c r="S268" s="929">
        <f t="shared" si="352"/>
        <v>1.3020328705060295E-3</v>
      </c>
      <c r="T268" s="929">
        <f t="shared" si="352"/>
        <v>1.3334071565423195E-3</v>
      </c>
      <c r="U268" s="929">
        <f t="shared" si="352"/>
        <v>1.3647814425786094E-3</v>
      </c>
      <c r="V268" s="929">
        <f t="shared" si="352"/>
        <v>1.3961557286148992E-3</v>
      </c>
      <c r="W268" s="929">
        <f t="shared" si="352"/>
        <v>1.4275300146511889E-3</v>
      </c>
      <c r="X268" s="929">
        <f t="shared" si="352"/>
        <v>1.4589043006874791E-3</v>
      </c>
      <c r="Y268" s="929">
        <f t="shared" si="352"/>
        <v>1.490278586723769E-3</v>
      </c>
      <c r="Z268" s="929">
        <f t="shared" si="352"/>
        <v>1.490278586723769E-3</v>
      </c>
      <c r="AA268" s="929">
        <f t="shared" si="352"/>
        <v>1.490278586723769E-3</v>
      </c>
      <c r="AB268" s="929">
        <f t="shared" si="352"/>
        <v>1.4902785867237688E-3</v>
      </c>
      <c r="AC268" s="929">
        <f t="shared" si="352"/>
        <v>1.490278586723769E-3</v>
      </c>
      <c r="AD268" s="929">
        <f t="shared" si="352"/>
        <v>1.4902785867237688E-3</v>
      </c>
      <c r="AE268" s="929">
        <f t="shared" si="352"/>
        <v>1.4902785867237688E-3</v>
      </c>
      <c r="AF268" s="929">
        <f t="shared" si="352"/>
        <v>1.490278586723769E-3</v>
      </c>
      <c r="AG268" s="929">
        <f t="shared" si="352"/>
        <v>1.490278586723769E-3</v>
      </c>
      <c r="AH268" s="1152">
        <f t="shared" si="352"/>
        <v>1.4902785867237688E-3</v>
      </c>
      <c r="AI268" s="1152">
        <f t="shared" ref="AI268:AJ268" si="353">$C$251*AI236</f>
        <v>1.4902785867237688E-3</v>
      </c>
      <c r="AJ268" s="1152">
        <f t="shared" si="353"/>
        <v>1.4902785867237688E-3</v>
      </c>
      <c r="AK268" s="1686">
        <f t="shared" ref="AK268" si="354">$C$251*AK236</f>
        <v>1.4902785867237688E-3</v>
      </c>
    </row>
    <row r="269" spans="2:37" s="919" customFormat="1" ht="12">
      <c r="B269" s="930" t="s">
        <v>279</v>
      </c>
      <c r="C269" s="928" t="s">
        <v>294</v>
      </c>
      <c r="D269" s="929">
        <f t="shared" ref="D269:AH269" si="355">$C$251*D237</f>
        <v>5.166299100642399E-3</v>
      </c>
      <c r="E269" s="929">
        <f t="shared" si="355"/>
        <v>5.1662991006423981E-3</v>
      </c>
      <c r="F269" s="929">
        <f t="shared" si="355"/>
        <v>5.1662991006423981E-3</v>
      </c>
      <c r="G269" s="929">
        <f t="shared" si="355"/>
        <v>5.1479974337878976E-3</v>
      </c>
      <c r="H269" s="929">
        <f t="shared" si="355"/>
        <v>5.1296957669333945E-3</v>
      </c>
      <c r="I269" s="929">
        <f t="shared" si="355"/>
        <v>5.1113941000788905E-3</v>
      </c>
      <c r="J269" s="929">
        <f t="shared" si="355"/>
        <v>5.0930924332243882E-3</v>
      </c>
      <c r="K269" s="929">
        <f t="shared" si="355"/>
        <v>5.0747907663698869E-3</v>
      </c>
      <c r="L269" s="929">
        <f t="shared" si="355"/>
        <v>5.0564890995153846E-3</v>
      </c>
      <c r="M269" s="929">
        <f t="shared" si="355"/>
        <v>5.0381874326608806E-3</v>
      </c>
      <c r="N269" s="929">
        <f t="shared" si="355"/>
        <v>5.0198857658063792E-3</v>
      </c>
      <c r="O269" s="929">
        <f t="shared" si="355"/>
        <v>5.001584098951877E-3</v>
      </c>
      <c r="P269" s="929">
        <f t="shared" si="355"/>
        <v>4.9832824320973747E-3</v>
      </c>
      <c r="Q269" s="929">
        <f t="shared" si="355"/>
        <v>4.9649807652428699E-3</v>
      </c>
      <c r="R269" s="929">
        <f t="shared" si="355"/>
        <v>4.9466790983883693E-3</v>
      </c>
      <c r="S269" s="929">
        <f t="shared" si="355"/>
        <v>4.9283774315338679E-3</v>
      </c>
      <c r="T269" s="929">
        <f t="shared" si="355"/>
        <v>4.910075764679364E-3</v>
      </c>
      <c r="U269" s="929">
        <f t="shared" si="355"/>
        <v>4.8917740978248617E-3</v>
      </c>
      <c r="V269" s="929">
        <f t="shared" si="355"/>
        <v>4.8734724309703603E-3</v>
      </c>
      <c r="W269" s="929">
        <f t="shared" si="355"/>
        <v>4.8551707641158581E-3</v>
      </c>
      <c r="X269" s="929">
        <f t="shared" si="355"/>
        <v>4.8368690972613549E-3</v>
      </c>
      <c r="Y269" s="929">
        <f t="shared" si="355"/>
        <v>4.8185674304068527E-3</v>
      </c>
      <c r="Z269" s="929">
        <f t="shared" si="355"/>
        <v>4.8185674304068527E-3</v>
      </c>
      <c r="AA269" s="929">
        <f t="shared" si="355"/>
        <v>4.8185674304068518E-3</v>
      </c>
      <c r="AB269" s="929">
        <f t="shared" si="355"/>
        <v>4.8185674304068527E-3</v>
      </c>
      <c r="AC269" s="929">
        <f t="shared" si="355"/>
        <v>4.8185674304068527E-3</v>
      </c>
      <c r="AD269" s="929">
        <f t="shared" si="355"/>
        <v>4.8185674304068527E-3</v>
      </c>
      <c r="AE269" s="929">
        <f t="shared" si="355"/>
        <v>4.8185674304068518E-3</v>
      </c>
      <c r="AF269" s="929">
        <f t="shared" si="355"/>
        <v>4.8185674304068527E-3</v>
      </c>
      <c r="AG269" s="929">
        <f t="shared" si="355"/>
        <v>4.8185674304068527E-3</v>
      </c>
      <c r="AH269" s="1152">
        <f t="shared" si="355"/>
        <v>4.8185674304068518E-3</v>
      </c>
      <c r="AI269" s="1152">
        <f t="shared" ref="AI269:AJ269" si="356">$C$251*AI237</f>
        <v>4.8185674304068518E-3</v>
      </c>
      <c r="AJ269" s="1152">
        <f t="shared" si="356"/>
        <v>4.8185674304068527E-3</v>
      </c>
      <c r="AK269" s="1686">
        <f t="shared" ref="AK269" si="357">$C$251*AK237</f>
        <v>4.8185674304068527E-3</v>
      </c>
    </row>
    <row r="270" spans="2:37" s="919" customFormat="1" ht="12">
      <c r="B270" s="930" t="s">
        <v>280</v>
      </c>
      <c r="C270" s="928" t="s">
        <v>294</v>
      </c>
      <c r="D270" s="929">
        <f t="shared" ref="D270:AH270" si="358">$C$251*D238</f>
        <v>4.2969699250535327E-4</v>
      </c>
      <c r="E270" s="929">
        <f t="shared" si="358"/>
        <v>4.2969699250535332E-4</v>
      </c>
      <c r="F270" s="929">
        <f t="shared" si="358"/>
        <v>4.2969699250535327E-4</v>
      </c>
      <c r="G270" s="929">
        <f t="shared" si="358"/>
        <v>4.8551707641158581E-4</v>
      </c>
      <c r="H270" s="929">
        <f t="shared" si="358"/>
        <v>5.4133716031781807E-4</v>
      </c>
      <c r="I270" s="929">
        <f t="shared" si="358"/>
        <v>5.9715724422405034E-4</v>
      </c>
      <c r="J270" s="929">
        <f t="shared" si="358"/>
        <v>6.5297732813028272E-4</v>
      </c>
      <c r="K270" s="929">
        <f t="shared" si="358"/>
        <v>7.0879741203651531E-4</v>
      </c>
      <c r="L270" s="929">
        <f t="shared" si="358"/>
        <v>7.6461749594274779E-4</v>
      </c>
      <c r="M270" s="929">
        <f t="shared" si="358"/>
        <v>8.2043757984897995E-4</v>
      </c>
      <c r="N270" s="929">
        <f t="shared" si="358"/>
        <v>8.7625766375521265E-4</v>
      </c>
      <c r="O270" s="929">
        <f t="shared" si="358"/>
        <v>9.3207774766144471E-4</v>
      </c>
      <c r="P270" s="929">
        <f t="shared" si="358"/>
        <v>9.878978315676773E-4</v>
      </c>
      <c r="Q270" s="929">
        <f t="shared" si="358"/>
        <v>1.0437179154739096E-3</v>
      </c>
      <c r="R270" s="929">
        <f t="shared" si="358"/>
        <v>1.0995379993801423E-3</v>
      </c>
      <c r="S270" s="929">
        <f t="shared" si="358"/>
        <v>1.1553580832863743E-3</v>
      </c>
      <c r="T270" s="929">
        <f t="shared" si="358"/>
        <v>1.211178167192607E-3</v>
      </c>
      <c r="U270" s="929">
        <f t="shared" si="358"/>
        <v>1.2669982510988391E-3</v>
      </c>
      <c r="V270" s="929">
        <f t="shared" si="358"/>
        <v>1.3228183350050716E-3</v>
      </c>
      <c r="W270" s="929">
        <f t="shared" si="358"/>
        <v>1.3786384189113043E-3</v>
      </c>
      <c r="X270" s="929">
        <f t="shared" si="358"/>
        <v>1.4344585028175363E-3</v>
      </c>
      <c r="Y270" s="929">
        <f t="shared" si="358"/>
        <v>1.490278586723769E-3</v>
      </c>
      <c r="Z270" s="929">
        <f t="shared" si="358"/>
        <v>1.4902785867237688E-3</v>
      </c>
      <c r="AA270" s="929">
        <f t="shared" si="358"/>
        <v>1.490278586723769E-3</v>
      </c>
      <c r="AB270" s="929">
        <f t="shared" si="358"/>
        <v>1.490278586723769E-3</v>
      </c>
      <c r="AC270" s="929">
        <f t="shared" si="358"/>
        <v>1.490278586723769E-3</v>
      </c>
      <c r="AD270" s="929">
        <f t="shared" si="358"/>
        <v>1.490278586723769E-3</v>
      </c>
      <c r="AE270" s="929">
        <f t="shared" si="358"/>
        <v>1.490278586723769E-3</v>
      </c>
      <c r="AF270" s="929">
        <f t="shared" si="358"/>
        <v>1.4902785867237688E-3</v>
      </c>
      <c r="AG270" s="929">
        <f t="shared" si="358"/>
        <v>1.490278586723769E-3</v>
      </c>
      <c r="AH270" s="1152">
        <f t="shared" si="358"/>
        <v>1.490278586723769E-3</v>
      </c>
      <c r="AI270" s="1152">
        <f t="shared" ref="AI270:AJ270" si="359">$C$251*AI238</f>
        <v>1.490278586723769E-3</v>
      </c>
      <c r="AJ270" s="1152">
        <f t="shared" si="359"/>
        <v>1.4902785867237688E-3</v>
      </c>
      <c r="AK270" s="1686">
        <f t="shared" ref="AK270" si="360">$C$251*AK238</f>
        <v>1.4902785867237688E-3</v>
      </c>
    </row>
    <row r="271" spans="2:37" s="919" customFormat="1" ht="12">
      <c r="B271" s="933" t="s">
        <v>281</v>
      </c>
      <c r="C271" s="928" t="s">
        <v>294</v>
      </c>
      <c r="D271" s="929">
        <f t="shared" ref="D271:AH271" si="361">$C$251*D239</f>
        <v>6.606901734475376E-4</v>
      </c>
      <c r="E271" s="929">
        <f t="shared" si="361"/>
        <v>6.606901734475376E-4</v>
      </c>
      <c r="F271" s="929">
        <f t="shared" si="361"/>
        <v>6.606901734475376E-4</v>
      </c>
      <c r="G271" s="929">
        <f t="shared" si="361"/>
        <v>6.606901734475376E-4</v>
      </c>
      <c r="H271" s="929">
        <f t="shared" si="361"/>
        <v>6.6069017344753749E-4</v>
      </c>
      <c r="I271" s="929">
        <f t="shared" si="361"/>
        <v>6.606901734475376E-4</v>
      </c>
      <c r="J271" s="929">
        <f t="shared" si="361"/>
        <v>6.606901734475376E-4</v>
      </c>
      <c r="K271" s="929">
        <f t="shared" si="361"/>
        <v>6.606901734475376E-4</v>
      </c>
      <c r="L271" s="929">
        <f t="shared" si="361"/>
        <v>6.606901734475376E-4</v>
      </c>
      <c r="M271" s="929">
        <f t="shared" si="361"/>
        <v>6.606901734475376E-4</v>
      </c>
      <c r="N271" s="929">
        <f t="shared" si="361"/>
        <v>6.6069017344753749E-4</v>
      </c>
      <c r="O271" s="929">
        <f t="shared" si="361"/>
        <v>6.6069017344753749E-4</v>
      </c>
      <c r="P271" s="929">
        <f t="shared" si="361"/>
        <v>6.6069017344753749E-4</v>
      </c>
      <c r="Q271" s="929">
        <f t="shared" si="361"/>
        <v>6.606901734475376E-4</v>
      </c>
      <c r="R271" s="929">
        <f t="shared" si="361"/>
        <v>6.6069017344753771E-4</v>
      </c>
      <c r="S271" s="929">
        <f t="shared" si="361"/>
        <v>6.6069017344753749E-4</v>
      </c>
      <c r="T271" s="929">
        <f t="shared" si="361"/>
        <v>6.606901734475376E-4</v>
      </c>
      <c r="U271" s="929">
        <f t="shared" si="361"/>
        <v>6.6069017344753749E-4</v>
      </c>
      <c r="V271" s="929">
        <f t="shared" si="361"/>
        <v>6.606901734475376E-4</v>
      </c>
      <c r="W271" s="929">
        <f t="shared" si="361"/>
        <v>6.6069017344753749E-4</v>
      </c>
      <c r="X271" s="929">
        <f t="shared" si="361"/>
        <v>6.6069017344753749E-4</v>
      </c>
      <c r="Y271" s="929">
        <f t="shared" si="361"/>
        <v>6.606901734475376E-4</v>
      </c>
      <c r="Z271" s="929">
        <f t="shared" si="361"/>
        <v>6.606901734475376E-4</v>
      </c>
      <c r="AA271" s="929">
        <f t="shared" si="361"/>
        <v>6.606901734475376E-4</v>
      </c>
      <c r="AB271" s="929">
        <f t="shared" si="361"/>
        <v>6.6069017344753749E-4</v>
      </c>
      <c r="AC271" s="929">
        <f t="shared" si="361"/>
        <v>6.606901734475376E-4</v>
      </c>
      <c r="AD271" s="929">
        <f t="shared" si="361"/>
        <v>6.606901734475376E-4</v>
      </c>
      <c r="AE271" s="929">
        <f t="shared" si="361"/>
        <v>6.606901734475376E-4</v>
      </c>
      <c r="AF271" s="929">
        <f t="shared" si="361"/>
        <v>6.6069017344753771E-4</v>
      </c>
      <c r="AG271" s="929">
        <f t="shared" si="361"/>
        <v>6.606901734475376E-4</v>
      </c>
      <c r="AH271" s="1152">
        <f t="shared" si="361"/>
        <v>6.606901734475376E-4</v>
      </c>
      <c r="AI271" s="1152">
        <f t="shared" ref="AI271:AJ271" si="362">$C$251*AI239</f>
        <v>6.606901734475376E-4</v>
      </c>
      <c r="AJ271" s="1152">
        <f t="shared" si="362"/>
        <v>6.6069017344753749E-4</v>
      </c>
      <c r="AK271" s="1686">
        <f t="shared" ref="AK271" si="363">$C$251*AK239</f>
        <v>6.6069017344753749E-4</v>
      </c>
    </row>
    <row r="272" spans="2:37" s="919" customFormat="1" ht="12">
      <c r="B272" s="1033" t="s">
        <v>282</v>
      </c>
      <c r="C272" s="924"/>
      <c r="D272" s="929"/>
      <c r="E272" s="929"/>
      <c r="F272" s="929"/>
      <c r="G272" s="929"/>
      <c r="H272" s="929"/>
      <c r="I272" s="929"/>
      <c r="J272" s="929"/>
      <c r="K272" s="929"/>
      <c r="L272" s="929"/>
      <c r="M272" s="929"/>
      <c r="N272" s="929"/>
      <c r="O272" s="929"/>
      <c r="P272" s="929"/>
      <c r="Q272" s="929"/>
      <c r="R272" s="929"/>
      <c r="S272" s="929"/>
      <c r="T272" s="929"/>
      <c r="U272" s="929"/>
      <c r="V272" s="929"/>
      <c r="W272" s="929"/>
      <c r="X272" s="929"/>
      <c r="Y272" s="929"/>
      <c r="Z272" s="929"/>
      <c r="AA272" s="929"/>
      <c r="AB272" s="929"/>
      <c r="AC272" s="929"/>
      <c r="AD272" s="929"/>
      <c r="AE272" s="929"/>
      <c r="AF272" s="929"/>
      <c r="AG272" s="929"/>
      <c r="AH272" s="1152"/>
      <c r="AI272" s="1152"/>
      <c r="AJ272" s="1152"/>
      <c r="AK272" s="1686"/>
    </row>
    <row r="273" spans="1:37" s="919" customFormat="1" ht="12">
      <c r="B273" s="1181" t="s">
        <v>127</v>
      </c>
      <c r="C273" s="928" t="s">
        <v>295</v>
      </c>
      <c r="D273" s="929">
        <f t="shared" ref="D273:AH273" si="364">$C$251*D241</f>
        <v>4.3841997291819618E-5</v>
      </c>
      <c r="E273" s="929">
        <f t="shared" si="364"/>
        <v>4.3841997291819611E-5</v>
      </c>
      <c r="F273" s="929">
        <f t="shared" si="364"/>
        <v>4.3841997291819611E-5</v>
      </c>
      <c r="G273" s="929">
        <f t="shared" si="364"/>
        <v>4.3841997291819618E-5</v>
      </c>
      <c r="H273" s="929">
        <f t="shared" si="364"/>
        <v>4.3841997291819611E-5</v>
      </c>
      <c r="I273" s="929">
        <f t="shared" si="364"/>
        <v>4.3841997291819618E-5</v>
      </c>
      <c r="J273" s="929">
        <f t="shared" si="364"/>
        <v>4.3841997291819618E-5</v>
      </c>
      <c r="K273" s="929">
        <f t="shared" si="364"/>
        <v>4.3841997291819618E-5</v>
      </c>
      <c r="L273" s="929">
        <f t="shared" si="364"/>
        <v>4.3841997291819611E-5</v>
      </c>
      <c r="M273" s="929">
        <f t="shared" si="364"/>
        <v>4.3841997291819611E-5</v>
      </c>
      <c r="N273" s="929">
        <f t="shared" si="364"/>
        <v>4.3841997291819611E-5</v>
      </c>
      <c r="O273" s="929">
        <f t="shared" si="364"/>
        <v>4.3841997291819611E-5</v>
      </c>
      <c r="P273" s="929">
        <f t="shared" si="364"/>
        <v>4.3841997291819618E-5</v>
      </c>
      <c r="Q273" s="929">
        <f t="shared" si="364"/>
        <v>4.3841997291819611E-5</v>
      </c>
      <c r="R273" s="929">
        <f t="shared" si="364"/>
        <v>4.3841997291819611E-5</v>
      </c>
      <c r="S273" s="929">
        <f t="shared" si="364"/>
        <v>4.3841997291819611E-5</v>
      </c>
      <c r="T273" s="929">
        <f t="shared" si="364"/>
        <v>4.3841997291819618E-5</v>
      </c>
      <c r="U273" s="929">
        <f t="shared" si="364"/>
        <v>4.3841997291819618E-5</v>
      </c>
      <c r="V273" s="929">
        <f t="shared" si="364"/>
        <v>4.3841997291819604E-5</v>
      </c>
      <c r="W273" s="929">
        <f t="shared" si="364"/>
        <v>4.3841997291819611E-5</v>
      </c>
      <c r="X273" s="929">
        <f t="shared" si="364"/>
        <v>4.3841997291819611E-5</v>
      </c>
      <c r="Y273" s="929">
        <f t="shared" si="364"/>
        <v>4.3841997291819618E-5</v>
      </c>
      <c r="Z273" s="929">
        <f t="shared" si="364"/>
        <v>4.3841997291819618E-5</v>
      </c>
      <c r="AA273" s="929">
        <f t="shared" si="364"/>
        <v>4.3841997291819618E-5</v>
      </c>
      <c r="AB273" s="929">
        <f t="shared" si="364"/>
        <v>4.3841997291819604E-5</v>
      </c>
      <c r="AC273" s="929">
        <f t="shared" si="364"/>
        <v>4.3841997291819618E-5</v>
      </c>
      <c r="AD273" s="929">
        <f t="shared" si="364"/>
        <v>4.3841997291819618E-5</v>
      </c>
      <c r="AE273" s="929">
        <f t="shared" si="364"/>
        <v>4.3841997291819618E-5</v>
      </c>
      <c r="AF273" s="929">
        <f t="shared" si="364"/>
        <v>4.3841997291819618E-5</v>
      </c>
      <c r="AG273" s="929">
        <f t="shared" si="364"/>
        <v>4.3841997291819611E-5</v>
      </c>
      <c r="AH273" s="1152">
        <f t="shared" si="364"/>
        <v>4.3841997291819611E-5</v>
      </c>
      <c r="AI273" s="1152">
        <f t="shared" ref="AI273:AJ273" si="365">$C$251*AI241</f>
        <v>4.3841997291819618E-5</v>
      </c>
      <c r="AJ273" s="1152">
        <f t="shared" si="365"/>
        <v>4.3841997291819604E-5</v>
      </c>
      <c r="AK273" s="1686">
        <f t="shared" ref="AK273" si="366">$C$251*AK241</f>
        <v>4.3841997291819604E-5</v>
      </c>
    </row>
    <row r="274" spans="1:37" s="919" customFormat="1" ht="12">
      <c r="B274" s="1182" t="s">
        <v>284</v>
      </c>
      <c r="C274" s="928" t="s">
        <v>295</v>
      </c>
      <c r="D274" s="929">
        <f t="shared" ref="D274:AH274" si="367">$C$251*D242</f>
        <v>6.8897216274089914E-4</v>
      </c>
      <c r="E274" s="929">
        <f t="shared" si="367"/>
        <v>6.8897216274089925E-4</v>
      </c>
      <c r="F274" s="929">
        <f t="shared" si="367"/>
        <v>6.8897216274089925E-4</v>
      </c>
      <c r="G274" s="929">
        <f t="shared" si="367"/>
        <v>6.8897216274089947E-4</v>
      </c>
      <c r="H274" s="929">
        <f t="shared" si="367"/>
        <v>6.8897216274089936E-4</v>
      </c>
      <c r="I274" s="929">
        <f t="shared" si="367"/>
        <v>6.8897216274089925E-4</v>
      </c>
      <c r="J274" s="929">
        <f t="shared" si="367"/>
        <v>6.8897216274089936E-4</v>
      </c>
      <c r="K274" s="929">
        <f t="shared" si="367"/>
        <v>6.8897216274089925E-4</v>
      </c>
      <c r="L274" s="929">
        <f t="shared" si="367"/>
        <v>6.8897216274089936E-4</v>
      </c>
      <c r="M274" s="929">
        <f t="shared" si="367"/>
        <v>6.8897216274089925E-4</v>
      </c>
      <c r="N274" s="929">
        <f t="shared" si="367"/>
        <v>6.8897216274089925E-4</v>
      </c>
      <c r="O274" s="929">
        <f t="shared" si="367"/>
        <v>6.8897216274089936E-4</v>
      </c>
      <c r="P274" s="929">
        <f t="shared" si="367"/>
        <v>6.8897216274089925E-4</v>
      </c>
      <c r="Q274" s="929">
        <f t="shared" si="367"/>
        <v>6.8897216274089925E-4</v>
      </c>
      <c r="R274" s="929">
        <f t="shared" si="367"/>
        <v>6.8897216274089936E-4</v>
      </c>
      <c r="S274" s="929">
        <f t="shared" si="367"/>
        <v>6.8897216274089925E-4</v>
      </c>
      <c r="T274" s="929">
        <f t="shared" si="367"/>
        <v>6.8897216274089925E-4</v>
      </c>
      <c r="U274" s="929">
        <f t="shared" si="367"/>
        <v>6.8897216274089936E-4</v>
      </c>
      <c r="V274" s="929">
        <f t="shared" si="367"/>
        <v>6.8897216274089936E-4</v>
      </c>
      <c r="W274" s="929">
        <f t="shared" si="367"/>
        <v>6.8897216274089936E-4</v>
      </c>
      <c r="X274" s="929">
        <f t="shared" si="367"/>
        <v>6.8897216274089925E-4</v>
      </c>
      <c r="Y274" s="929">
        <f t="shared" si="367"/>
        <v>6.8897216274089925E-4</v>
      </c>
      <c r="Z274" s="929">
        <f t="shared" si="367"/>
        <v>6.8897216274089936E-4</v>
      </c>
      <c r="AA274" s="929">
        <f t="shared" si="367"/>
        <v>6.8897216274089936E-4</v>
      </c>
      <c r="AB274" s="929">
        <f t="shared" si="367"/>
        <v>6.8897216274089925E-4</v>
      </c>
      <c r="AC274" s="929">
        <f t="shared" si="367"/>
        <v>6.8897216274089925E-4</v>
      </c>
      <c r="AD274" s="929">
        <f t="shared" si="367"/>
        <v>6.8897216274089925E-4</v>
      </c>
      <c r="AE274" s="929">
        <f t="shared" si="367"/>
        <v>6.8897216274089936E-4</v>
      </c>
      <c r="AF274" s="929">
        <f t="shared" si="367"/>
        <v>6.8897216274089925E-4</v>
      </c>
      <c r="AG274" s="929">
        <f t="shared" si="367"/>
        <v>6.8897216274089925E-4</v>
      </c>
      <c r="AH274" s="1152">
        <f t="shared" si="367"/>
        <v>6.8897216274089925E-4</v>
      </c>
      <c r="AI274" s="1152">
        <f t="shared" ref="AI274:AJ274" si="368">$C$251*AI242</f>
        <v>6.8897216274089936E-4</v>
      </c>
      <c r="AJ274" s="1152">
        <f t="shared" si="368"/>
        <v>6.8897216274089936E-4</v>
      </c>
      <c r="AK274" s="1686">
        <f t="shared" ref="AK274" si="369">$C$251*AK242</f>
        <v>6.8897216274089936E-4</v>
      </c>
    </row>
    <row r="275" spans="1:37" s="919" customFormat="1" ht="12">
      <c r="B275" s="1183" t="s">
        <v>160</v>
      </c>
      <c r="C275" s="928" t="s">
        <v>295</v>
      </c>
      <c r="D275" s="929">
        <f t="shared" ref="D275:AH275" si="370">$C$251*D243</f>
        <v>3.0915417558886505E-3</v>
      </c>
      <c r="E275" s="929">
        <f t="shared" si="370"/>
        <v>3.0915417558886522E-3</v>
      </c>
      <c r="F275" s="929">
        <f t="shared" si="370"/>
        <v>3.0915417558886513E-3</v>
      </c>
      <c r="G275" s="929">
        <f t="shared" si="370"/>
        <v>3.0915417558886513E-3</v>
      </c>
      <c r="H275" s="929">
        <f t="shared" si="370"/>
        <v>3.0915417558886509E-3</v>
      </c>
      <c r="I275" s="929">
        <f t="shared" si="370"/>
        <v>3.0915417558886513E-3</v>
      </c>
      <c r="J275" s="929">
        <f t="shared" si="370"/>
        <v>3.0915417558886518E-3</v>
      </c>
      <c r="K275" s="929">
        <f t="shared" si="370"/>
        <v>3.0915417558886513E-3</v>
      </c>
      <c r="L275" s="929">
        <f t="shared" si="370"/>
        <v>3.0915417558886518E-3</v>
      </c>
      <c r="M275" s="929">
        <f t="shared" si="370"/>
        <v>3.0915417558886509E-3</v>
      </c>
      <c r="N275" s="929">
        <f t="shared" si="370"/>
        <v>3.0915417558886513E-3</v>
      </c>
      <c r="O275" s="929">
        <f t="shared" si="370"/>
        <v>3.0915417558886513E-3</v>
      </c>
      <c r="P275" s="929">
        <f t="shared" si="370"/>
        <v>3.0915417558886509E-3</v>
      </c>
      <c r="Q275" s="929">
        <f t="shared" si="370"/>
        <v>3.0915417558886518E-3</v>
      </c>
      <c r="R275" s="929">
        <f t="shared" si="370"/>
        <v>3.0915417558886509E-3</v>
      </c>
      <c r="S275" s="929">
        <f t="shared" si="370"/>
        <v>3.0915417558886513E-3</v>
      </c>
      <c r="T275" s="929">
        <f t="shared" si="370"/>
        <v>3.0915417558886513E-3</v>
      </c>
      <c r="U275" s="929">
        <f t="shared" si="370"/>
        <v>3.0915417558886518E-3</v>
      </c>
      <c r="V275" s="929">
        <f t="shared" si="370"/>
        <v>3.0915417558886513E-3</v>
      </c>
      <c r="W275" s="929">
        <f t="shared" si="370"/>
        <v>3.0915417558886509E-3</v>
      </c>
      <c r="X275" s="929">
        <f t="shared" si="370"/>
        <v>3.0915417558886509E-3</v>
      </c>
      <c r="Y275" s="929">
        <f t="shared" si="370"/>
        <v>3.0915417558886518E-3</v>
      </c>
      <c r="Z275" s="929">
        <f t="shared" si="370"/>
        <v>3.0915417558886518E-3</v>
      </c>
      <c r="AA275" s="929">
        <f t="shared" si="370"/>
        <v>3.0915417558886513E-3</v>
      </c>
      <c r="AB275" s="929">
        <f t="shared" si="370"/>
        <v>3.0915417558886513E-3</v>
      </c>
      <c r="AC275" s="929">
        <f t="shared" si="370"/>
        <v>3.0915417558886518E-3</v>
      </c>
      <c r="AD275" s="929">
        <f t="shared" si="370"/>
        <v>3.0915417558886518E-3</v>
      </c>
      <c r="AE275" s="929">
        <f t="shared" si="370"/>
        <v>3.0915417558886513E-3</v>
      </c>
      <c r="AF275" s="929">
        <f t="shared" si="370"/>
        <v>3.0915417558886518E-3</v>
      </c>
      <c r="AG275" s="929">
        <f t="shared" si="370"/>
        <v>3.0915417558886509E-3</v>
      </c>
      <c r="AH275" s="1152">
        <f t="shared" si="370"/>
        <v>3.0915417558886513E-3</v>
      </c>
      <c r="AI275" s="1152">
        <f t="shared" ref="AI275:AJ275" si="371">$C$251*AI243</f>
        <v>3.0915417558886518E-3</v>
      </c>
      <c r="AJ275" s="1152">
        <f t="shared" si="371"/>
        <v>3.0915417558886513E-3</v>
      </c>
      <c r="AK275" s="1686">
        <f t="shared" ref="AK275" si="372">$C$251*AK243</f>
        <v>3.0915417558886513E-3</v>
      </c>
    </row>
    <row r="276" spans="1:37" s="919" customFormat="1" ht="12">
      <c r="B276" s="924" t="s">
        <v>285</v>
      </c>
      <c r="C276" s="924"/>
      <c r="D276" s="929"/>
      <c r="E276" s="929"/>
      <c r="F276" s="929"/>
      <c r="G276" s="929"/>
      <c r="H276" s="929"/>
      <c r="I276" s="929"/>
      <c r="J276" s="929"/>
      <c r="K276" s="929"/>
      <c r="L276" s="929"/>
      <c r="M276" s="929"/>
      <c r="N276" s="929"/>
      <c r="O276" s="929"/>
      <c r="P276" s="929"/>
      <c r="Q276" s="929"/>
      <c r="R276" s="929"/>
      <c r="S276" s="929"/>
      <c r="T276" s="929"/>
      <c r="U276" s="929"/>
      <c r="V276" s="929"/>
      <c r="W276" s="929"/>
      <c r="X276" s="929"/>
      <c r="Y276" s="929"/>
      <c r="Z276" s="929"/>
      <c r="AA276" s="929"/>
      <c r="AB276" s="929"/>
      <c r="AC276" s="929"/>
      <c r="AD276" s="929"/>
      <c r="AE276" s="929"/>
      <c r="AF276" s="929"/>
      <c r="AG276" s="929"/>
      <c r="AH276" s="1152"/>
      <c r="AI276" s="1152"/>
      <c r="AJ276" s="1152"/>
      <c r="AK276" s="1686"/>
    </row>
    <row r="277" spans="1:37" s="919" customFormat="1" ht="12">
      <c r="B277" s="928" t="s">
        <v>286</v>
      </c>
      <c r="C277" s="928" t="s">
        <v>292</v>
      </c>
      <c r="D277" s="929">
        <f t="shared" ref="D277:AH277" si="373">$C$251*D245</f>
        <v>2.8353854389721632E-5</v>
      </c>
      <c r="E277" s="929">
        <f t="shared" si="373"/>
        <v>2.8353854389721632E-5</v>
      </c>
      <c r="F277" s="929">
        <f t="shared" si="373"/>
        <v>2.8353854389721635E-5</v>
      </c>
      <c r="G277" s="929">
        <f t="shared" si="373"/>
        <v>2.8353854389721635E-5</v>
      </c>
      <c r="H277" s="929">
        <f t="shared" si="373"/>
        <v>2.8353854389721635E-5</v>
      </c>
      <c r="I277" s="929">
        <f t="shared" si="373"/>
        <v>2.8353854389721632E-5</v>
      </c>
      <c r="J277" s="929">
        <f t="shared" si="373"/>
        <v>2.8353854389721632E-5</v>
      </c>
      <c r="K277" s="929">
        <f t="shared" si="373"/>
        <v>2.8353854389721635E-5</v>
      </c>
      <c r="L277" s="929">
        <f t="shared" si="373"/>
        <v>2.8353854389721632E-5</v>
      </c>
      <c r="M277" s="929">
        <f t="shared" si="373"/>
        <v>2.8353854389721628E-5</v>
      </c>
      <c r="N277" s="929">
        <f t="shared" si="373"/>
        <v>2.8353854389721632E-5</v>
      </c>
      <c r="O277" s="929">
        <f t="shared" si="373"/>
        <v>2.8353854389721632E-5</v>
      </c>
      <c r="P277" s="929">
        <f t="shared" si="373"/>
        <v>2.8353854389721638E-5</v>
      </c>
      <c r="Q277" s="929">
        <f t="shared" si="373"/>
        <v>2.8353854389721635E-5</v>
      </c>
      <c r="R277" s="929">
        <f t="shared" si="373"/>
        <v>2.8353854389721635E-5</v>
      </c>
      <c r="S277" s="929">
        <f t="shared" si="373"/>
        <v>2.8353854389721632E-5</v>
      </c>
      <c r="T277" s="929">
        <f t="shared" si="373"/>
        <v>2.8353854389721628E-5</v>
      </c>
      <c r="U277" s="929">
        <f t="shared" si="373"/>
        <v>2.8353854389721638E-5</v>
      </c>
      <c r="V277" s="929">
        <f t="shared" si="373"/>
        <v>2.8353854389721632E-5</v>
      </c>
      <c r="W277" s="929">
        <f t="shared" si="373"/>
        <v>2.8353854389721635E-5</v>
      </c>
      <c r="X277" s="929">
        <f t="shared" si="373"/>
        <v>2.8353854389721635E-5</v>
      </c>
      <c r="Y277" s="929">
        <f t="shared" si="373"/>
        <v>2.8353854389721635E-5</v>
      </c>
      <c r="Z277" s="929">
        <f t="shared" si="373"/>
        <v>2.8353854389721632E-5</v>
      </c>
      <c r="AA277" s="929">
        <f t="shared" si="373"/>
        <v>2.8353854389721638E-5</v>
      </c>
      <c r="AB277" s="929">
        <f t="shared" si="373"/>
        <v>2.8353854389721632E-5</v>
      </c>
      <c r="AC277" s="929">
        <f t="shared" si="373"/>
        <v>2.8353854389721635E-5</v>
      </c>
      <c r="AD277" s="929">
        <f t="shared" si="373"/>
        <v>2.8353854389721632E-5</v>
      </c>
      <c r="AE277" s="929">
        <f t="shared" si="373"/>
        <v>2.8353854389721632E-5</v>
      </c>
      <c r="AF277" s="929">
        <f t="shared" si="373"/>
        <v>2.8353854389721635E-5</v>
      </c>
      <c r="AG277" s="929">
        <f t="shared" si="373"/>
        <v>2.8353854389721628E-5</v>
      </c>
      <c r="AH277" s="1152">
        <f t="shared" si="373"/>
        <v>2.8353854389721635E-5</v>
      </c>
      <c r="AI277" s="1152">
        <f t="shared" ref="AI277:AJ277" si="374">$C$251*AI245</f>
        <v>2.8353854389721635E-5</v>
      </c>
      <c r="AJ277" s="1152">
        <f t="shared" si="374"/>
        <v>2.8353854389721635E-5</v>
      </c>
      <c r="AK277" s="1686">
        <f t="shared" ref="AK277" si="375">$C$251*AK245</f>
        <v>2.8353854389721635E-5</v>
      </c>
    </row>
    <row r="278" spans="1:37" s="919" customFormat="1" ht="12">
      <c r="B278" s="933" t="s">
        <v>287</v>
      </c>
      <c r="C278" s="928" t="s">
        <v>292</v>
      </c>
      <c r="D278" s="929">
        <f t="shared" ref="D278:AH278" si="376">$C$251*D246</f>
        <v>5.7841862955032117E-5</v>
      </c>
      <c r="E278" s="929">
        <f t="shared" si="376"/>
        <v>5.7841862955032117E-5</v>
      </c>
      <c r="F278" s="929">
        <f t="shared" si="376"/>
        <v>5.7841862955032123E-5</v>
      </c>
      <c r="G278" s="929">
        <f t="shared" si="376"/>
        <v>5.784186295503211E-5</v>
      </c>
      <c r="H278" s="929">
        <f t="shared" si="376"/>
        <v>5.7841862955032117E-5</v>
      </c>
      <c r="I278" s="929">
        <f t="shared" si="376"/>
        <v>5.7841862955032123E-5</v>
      </c>
      <c r="J278" s="929">
        <f t="shared" si="376"/>
        <v>5.7841862955032117E-5</v>
      </c>
      <c r="K278" s="929">
        <f t="shared" si="376"/>
        <v>5.7841862955032117E-5</v>
      </c>
      <c r="L278" s="929">
        <f t="shared" si="376"/>
        <v>5.7841862955032117E-5</v>
      </c>
      <c r="M278" s="929">
        <f t="shared" si="376"/>
        <v>5.7841862955032117E-5</v>
      </c>
      <c r="N278" s="929">
        <f t="shared" si="376"/>
        <v>5.7841862955032123E-5</v>
      </c>
      <c r="O278" s="929">
        <f t="shared" si="376"/>
        <v>5.7841862955032117E-5</v>
      </c>
      <c r="P278" s="929">
        <f t="shared" si="376"/>
        <v>5.7841862955032123E-5</v>
      </c>
      <c r="Q278" s="929">
        <f t="shared" si="376"/>
        <v>5.7841862955032123E-5</v>
      </c>
      <c r="R278" s="929">
        <f t="shared" si="376"/>
        <v>5.7841862955032117E-5</v>
      </c>
      <c r="S278" s="929">
        <f t="shared" si="376"/>
        <v>5.784186295503211E-5</v>
      </c>
      <c r="T278" s="929">
        <f t="shared" si="376"/>
        <v>5.7841862955032117E-5</v>
      </c>
      <c r="U278" s="929">
        <f t="shared" si="376"/>
        <v>5.7841862955032117E-5</v>
      </c>
      <c r="V278" s="929">
        <f t="shared" si="376"/>
        <v>5.784186295503213E-5</v>
      </c>
      <c r="W278" s="929">
        <f t="shared" si="376"/>
        <v>5.7841862955032123E-5</v>
      </c>
      <c r="X278" s="929">
        <f t="shared" si="376"/>
        <v>5.7841862955032117E-5</v>
      </c>
      <c r="Y278" s="929">
        <f t="shared" si="376"/>
        <v>5.7841862955032117E-5</v>
      </c>
      <c r="Z278" s="929">
        <f t="shared" si="376"/>
        <v>5.7841862955032123E-5</v>
      </c>
      <c r="AA278" s="929">
        <f t="shared" si="376"/>
        <v>5.7841862955032123E-5</v>
      </c>
      <c r="AB278" s="929">
        <f t="shared" si="376"/>
        <v>5.7841862955032103E-5</v>
      </c>
      <c r="AC278" s="929">
        <f t="shared" si="376"/>
        <v>5.7841862955032123E-5</v>
      </c>
      <c r="AD278" s="929">
        <f t="shared" si="376"/>
        <v>5.7841862955032123E-5</v>
      </c>
      <c r="AE278" s="929">
        <f t="shared" si="376"/>
        <v>5.784186295503211E-5</v>
      </c>
      <c r="AF278" s="929">
        <f t="shared" si="376"/>
        <v>5.7841862955032103E-5</v>
      </c>
      <c r="AG278" s="929">
        <f t="shared" si="376"/>
        <v>5.7841862955032117E-5</v>
      </c>
      <c r="AH278" s="1152">
        <f t="shared" si="376"/>
        <v>5.7841862955032123E-5</v>
      </c>
      <c r="AI278" s="1152">
        <f t="shared" ref="AI278:AJ278" si="377">$C$251*AI246</f>
        <v>5.784186295503211E-5</v>
      </c>
      <c r="AJ278" s="1152">
        <f t="shared" si="377"/>
        <v>5.784186295503213E-5</v>
      </c>
      <c r="AK278" s="1686">
        <f t="shared" ref="AK278" si="378">$C$251*AK246</f>
        <v>5.784186295503213E-5</v>
      </c>
    </row>
    <row r="279" spans="1:37" s="919" customFormat="1" ht="12">
      <c r="B279" s="924" t="s">
        <v>288</v>
      </c>
      <c r="C279" s="924"/>
      <c r="D279" s="929"/>
      <c r="E279" s="929"/>
      <c r="F279" s="929"/>
      <c r="G279" s="929"/>
      <c r="H279" s="929"/>
      <c r="I279" s="929"/>
      <c r="J279" s="929"/>
      <c r="K279" s="929"/>
      <c r="L279" s="929"/>
      <c r="M279" s="929"/>
      <c r="N279" s="929"/>
      <c r="O279" s="929"/>
      <c r="P279" s="929"/>
      <c r="Q279" s="929"/>
      <c r="R279" s="929"/>
      <c r="S279" s="929"/>
      <c r="T279" s="929"/>
      <c r="U279" s="929"/>
      <c r="V279" s="929"/>
      <c r="W279" s="929"/>
      <c r="X279" s="929"/>
      <c r="Y279" s="929"/>
      <c r="Z279" s="929"/>
      <c r="AA279" s="929"/>
      <c r="AB279" s="929"/>
      <c r="AC279" s="929"/>
      <c r="AD279" s="929"/>
      <c r="AE279" s="929"/>
      <c r="AF279" s="929"/>
      <c r="AG279" s="929"/>
      <c r="AH279" s="1152"/>
      <c r="AI279" s="1152"/>
      <c r="AJ279" s="1152"/>
      <c r="AK279" s="1686"/>
    </row>
    <row r="280" spans="1:37" s="919" customFormat="1" ht="12">
      <c r="B280" s="928" t="s">
        <v>289</v>
      </c>
      <c r="C280" s="928" t="s">
        <v>292</v>
      </c>
      <c r="D280" s="929">
        <f t="shared" ref="D280:AH280" si="379">$C$251*D248</f>
        <v>9.016525695931479E-4</v>
      </c>
      <c r="E280" s="929">
        <f t="shared" si="379"/>
        <v>9.01652569593148E-4</v>
      </c>
      <c r="F280" s="929">
        <f t="shared" si="379"/>
        <v>9.0165256959314768E-4</v>
      </c>
      <c r="G280" s="929">
        <f t="shared" si="379"/>
        <v>9.0165256959314779E-4</v>
      </c>
      <c r="H280" s="929">
        <f t="shared" si="379"/>
        <v>9.0165256959314779E-4</v>
      </c>
      <c r="I280" s="929">
        <f t="shared" si="379"/>
        <v>9.016525695931479E-4</v>
      </c>
      <c r="J280" s="929">
        <f t="shared" si="379"/>
        <v>9.016525695931479E-4</v>
      </c>
      <c r="K280" s="929">
        <f t="shared" si="379"/>
        <v>9.016525695931479E-4</v>
      </c>
      <c r="L280" s="929">
        <f t="shared" si="379"/>
        <v>9.01652569593148E-4</v>
      </c>
      <c r="M280" s="929">
        <f t="shared" si="379"/>
        <v>9.01652569593148E-4</v>
      </c>
      <c r="N280" s="929">
        <f t="shared" si="379"/>
        <v>9.016525695931479E-4</v>
      </c>
      <c r="O280" s="929">
        <f t="shared" si="379"/>
        <v>9.016525695931479E-4</v>
      </c>
      <c r="P280" s="929">
        <f t="shared" si="379"/>
        <v>9.0165256959314779E-4</v>
      </c>
      <c r="Q280" s="929">
        <f t="shared" si="379"/>
        <v>9.016525695931479E-4</v>
      </c>
      <c r="R280" s="929">
        <f t="shared" si="379"/>
        <v>9.01652569593148E-4</v>
      </c>
      <c r="S280" s="929">
        <f t="shared" si="379"/>
        <v>9.0165256959314779E-4</v>
      </c>
      <c r="T280" s="929">
        <f t="shared" si="379"/>
        <v>9.0165256959314779E-4</v>
      </c>
      <c r="U280" s="929">
        <f t="shared" si="379"/>
        <v>9.01652569593148E-4</v>
      </c>
      <c r="V280" s="929">
        <f t="shared" si="379"/>
        <v>9.016525695931479E-4</v>
      </c>
      <c r="W280" s="929">
        <f t="shared" si="379"/>
        <v>9.016525695931479E-4</v>
      </c>
      <c r="X280" s="929">
        <f t="shared" si="379"/>
        <v>9.016525695931479E-4</v>
      </c>
      <c r="Y280" s="929">
        <f t="shared" si="379"/>
        <v>9.0165256959314768E-4</v>
      </c>
      <c r="Z280" s="929">
        <f t="shared" si="379"/>
        <v>9.016525695931479E-4</v>
      </c>
      <c r="AA280" s="929">
        <f t="shared" si="379"/>
        <v>9.016525695931479E-4</v>
      </c>
      <c r="AB280" s="929">
        <f t="shared" si="379"/>
        <v>9.0165256959314779E-4</v>
      </c>
      <c r="AC280" s="929">
        <f t="shared" si="379"/>
        <v>9.0165256959314779E-4</v>
      </c>
      <c r="AD280" s="929">
        <f t="shared" si="379"/>
        <v>9.0165256959314779E-4</v>
      </c>
      <c r="AE280" s="929">
        <f t="shared" si="379"/>
        <v>9.016525695931479E-4</v>
      </c>
      <c r="AF280" s="929">
        <f t="shared" si="379"/>
        <v>9.016525695931479E-4</v>
      </c>
      <c r="AG280" s="929">
        <f t="shared" si="379"/>
        <v>9.01652569593148E-4</v>
      </c>
      <c r="AH280" s="1152">
        <f t="shared" si="379"/>
        <v>9.016525695931479E-4</v>
      </c>
      <c r="AI280" s="1152">
        <f t="shared" ref="AI280:AJ280" si="380">$C$251*AI248</f>
        <v>9.01652569593148E-4</v>
      </c>
      <c r="AJ280" s="1152">
        <f t="shared" si="380"/>
        <v>9.0165256959314768E-4</v>
      </c>
      <c r="AK280" s="1686">
        <f t="shared" ref="AK280" si="381">$C$251*AK248</f>
        <v>9.0165256959314768E-4</v>
      </c>
    </row>
    <row r="281" spans="1:37">
      <c r="AJ281" s="235"/>
      <c r="AK281" s="235"/>
    </row>
    <row r="282" spans="1:37" s="919" customFormat="1" ht="21.5">
      <c r="A282"/>
      <c r="B282" s="89" t="s">
        <v>320</v>
      </c>
      <c r="C282" s="928"/>
      <c r="D282" s="323"/>
      <c r="E282" s="323"/>
      <c r="F282" s="323"/>
      <c r="G282" s="323"/>
      <c r="H282" s="323"/>
      <c r="I282" s="323"/>
      <c r="J282" s="323"/>
      <c r="K282" s="323"/>
      <c r="L282" s="323"/>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1348"/>
      <c r="AI282" s="323"/>
      <c r="AJ282" s="323"/>
      <c r="AK282" s="323"/>
    </row>
    <row r="283" spans="1:37">
      <c r="A283" s="919"/>
      <c r="B283" s="1038" t="s">
        <v>256</v>
      </c>
      <c r="C283" s="1038" t="s">
        <v>257</v>
      </c>
      <c r="D283" s="1039">
        <v>1990</v>
      </c>
      <c r="E283" s="1039">
        <v>1991</v>
      </c>
      <c r="F283" s="1039">
        <v>1992</v>
      </c>
      <c r="G283" s="1039">
        <v>1993</v>
      </c>
      <c r="H283" s="1039">
        <v>1994</v>
      </c>
      <c r="I283" s="1039">
        <v>1995</v>
      </c>
      <c r="J283" s="1039">
        <v>1996</v>
      </c>
      <c r="K283" s="1039">
        <v>1997</v>
      </c>
      <c r="L283" s="1039">
        <v>1998</v>
      </c>
      <c r="M283" s="1039">
        <v>1999</v>
      </c>
      <c r="N283" s="1039">
        <v>2000</v>
      </c>
      <c r="O283" s="1039">
        <v>2001</v>
      </c>
      <c r="P283" s="1039">
        <v>2002</v>
      </c>
      <c r="Q283" s="1039">
        <v>2003</v>
      </c>
      <c r="R283" s="1039">
        <v>2004</v>
      </c>
      <c r="S283" s="1039">
        <v>2005</v>
      </c>
      <c r="T283" s="1039">
        <v>2006</v>
      </c>
      <c r="U283" s="1039">
        <v>2007</v>
      </c>
      <c r="V283" s="1039">
        <v>2008</v>
      </c>
      <c r="W283" s="1039">
        <v>2009</v>
      </c>
      <c r="X283" s="1039">
        <v>2010</v>
      </c>
      <c r="Y283" s="1039">
        <v>2011</v>
      </c>
      <c r="Z283" s="1039">
        <v>2012</v>
      </c>
      <c r="AA283" s="1039">
        <v>2013</v>
      </c>
      <c r="AB283" s="1039">
        <v>2014</v>
      </c>
      <c r="AC283" s="1039">
        <v>2015</v>
      </c>
      <c r="AD283" s="1039">
        <v>2016</v>
      </c>
      <c r="AE283" s="1039">
        <v>2017</v>
      </c>
      <c r="AF283" s="1039">
        <v>2018</v>
      </c>
      <c r="AG283" s="1039">
        <v>2019</v>
      </c>
      <c r="AH283" s="1211">
        <v>2020</v>
      </c>
      <c r="AI283" s="1039">
        <v>2021</v>
      </c>
      <c r="AJ283" s="1039">
        <v>2022</v>
      </c>
      <c r="AK283" s="1039">
        <v>2023</v>
      </c>
    </row>
    <row r="284" spans="1:37">
      <c r="B284" s="924" t="s">
        <v>259</v>
      </c>
      <c r="C284" s="925"/>
      <c r="D284" s="926"/>
      <c r="E284" s="926"/>
      <c r="F284" s="926"/>
      <c r="G284" s="926"/>
      <c r="H284" s="926"/>
      <c r="I284" s="926"/>
      <c r="J284" s="926"/>
      <c r="K284" s="926"/>
      <c r="L284" s="926"/>
      <c r="M284" s="926"/>
      <c r="N284" s="926"/>
      <c r="O284" s="926"/>
      <c r="P284" s="926"/>
      <c r="Q284" s="926"/>
      <c r="R284" s="926"/>
      <c r="S284" s="926"/>
      <c r="T284" s="926"/>
      <c r="U284" s="926"/>
      <c r="V284" s="926"/>
      <c r="W284" s="926"/>
      <c r="X284" s="926"/>
      <c r="Y284" s="926"/>
      <c r="Z284" s="926"/>
      <c r="AA284" s="926"/>
      <c r="AB284" s="926"/>
      <c r="AC284" s="926"/>
      <c r="AD284" s="926"/>
      <c r="AE284" s="926"/>
      <c r="AF284" s="927"/>
      <c r="AG284" s="927"/>
      <c r="AH284" s="926"/>
      <c r="AI284" s="163"/>
      <c r="AJ284" s="163"/>
      <c r="AK284" s="163"/>
    </row>
    <row r="285" spans="1:37">
      <c r="B285" s="928" t="s">
        <v>260</v>
      </c>
      <c r="C285" s="928" t="s">
        <v>321</v>
      </c>
      <c r="D285" s="929">
        <f t="shared" ref="D285:AH285" si="382">(D30+D31)*D253</f>
        <v>699.54720282655251</v>
      </c>
      <c r="E285" s="929">
        <f t="shared" si="382"/>
        <v>691.96696997858658</v>
      </c>
      <c r="F285" s="929">
        <f t="shared" si="382"/>
        <v>680.86734330835122</v>
      </c>
      <c r="G285" s="929">
        <f t="shared" si="382"/>
        <v>628.43681051647093</v>
      </c>
      <c r="H285" s="929">
        <f t="shared" si="382"/>
        <v>613.02250855187174</v>
      </c>
      <c r="I285" s="929">
        <f t="shared" si="382"/>
        <v>582.51841830219223</v>
      </c>
      <c r="J285" s="929">
        <f t="shared" si="382"/>
        <v>548.63491365532957</v>
      </c>
      <c r="K285" s="929">
        <f t="shared" si="382"/>
        <v>518.31345022411233</v>
      </c>
      <c r="L285" s="929">
        <f t="shared" si="382"/>
        <v>488.81226141707162</v>
      </c>
      <c r="M285" s="929">
        <f t="shared" si="382"/>
        <v>460.61461910449071</v>
      </c>
      <c r="N285" s="929">
        <f t="shared" si="382"/>
        <v>425.32505056794048</v>
      </c>
      <c r="O285" s="929">
        <f t="shared" si="382"/>
        <v>393.57295682273309</v>
      </c>
      <c r="P285" s="929">
        <f t="shared" si="382"/>
        <v>364.5572987448233</v>
      </c>
      <c r="Q285" s="929">
        <f t="shared" si="382"/>
        <v>338.18676292497963</v>
      </c>
      <c r="R285" s="929">
        <f t="shared" si="382"/>
        <v>310.88609210893981</v>
      </c>
      <c r="S285" s="929">
        <f t="shared" si="382"/>
        <v>283.75119186993032</v>
      </c>
      <c r="T285" s="929">
        <f t="shared" si="382"/>
        <v>256.90896893399582</v>
      </c>
      <c r="U285" s="929">
        <f t="shared" si="382"/>
        <v>231.92835542363846</v>
      </c>
      <c r="V285" s="929">
        <f t="shared" si="382"/>
        <v>207.39467689768327</v>
      </c>
      <c r="W285" s="929">
        <f t="shared" si="382"/>
        <v>181.99887417856695</v>
      </c>
      <c r="X285" s="929">
        <f t="shared" si="382"/>
        <v>157.3048836906394</v>
      </c>
      <c r="Y285" s="929">
        <f t="shared" si="382"/>
        <v>132.99499263078744</v>
      </c>
      <c r="Z285" s="929">
        <f t="shared" si="382"/>
        <v>129.25747798962601</v>
      </c>
      <c r="AA285" s="929">
        <f t="shared" si="382"/>
        <v>125.80867016094868</v>
      </c>
      <c r="AB285" s="929">
        <f t="shared" si="382"/>
        <v>117.03529502911663</v>
      </c>
      <c r="AC285" s="929">
        <f t="shared" si="382"/>
        <v>113.02212381849982</v>
      </c>
      <c r="AD285" s="929">
        <f t="shared" si="382"/>
        <v>108.87623538439362</v>
      </c>
      <c r="AE285" s="929">
        <f t="shared" si="382"/>
        <v>103.94113094760181</v>
      </c>
      <c r="AF285" s="929">
        <f t="shared" si="382"/>
        <v>99.728253537531558</v>
      </c>
      <c r="AG285" s="929">
        <f t="shared" si="382"/>
        <v>95.75269973762903</v>
      </c>
      <c r="AH285" s="1152">
        <f t="shared" si="382"/>
        <v>92.463322945846812</v>
      </c>
      <c r="AI285" s="1152">
        <f t="shared" ref="AI285:AJ285" si="383">(AI30+AI31)*AI253</f>
        <v>87.279991301578789</v>
      </c>
      <c r="AJ285" s="1152">
        <f t="shared" si="383"/>
        <v>82.260213616938216</v>
      </c>
      <c r="AK285" s="1686">
        <f t="shared" ref="AK285" si="384">(AK30+AK31)*AK253</f>
        <v>77.2178109678825</v>
      </c>
    </row>
    <row r="286" spans="1:37">
      <c r="B286" s="930" t="s">
        <v>262</v>
      </c>
      <c r="C286" s="928" t="s">
        <v>321</v>
      </c>
      <c r="D286" s="929">
        <f t="shared" ref="D286:AH286" si="385">(D25+D26)*D254</f>
        <v>354.42151968639189</v>
      </c>
      <c r="E286" s="929">
        <f t="shared" si="385"/>
        <v>346.36080458774154</v>
      </c>
      <c r="F286" s="929">
        <f t="shared" si="385"/>
        <v>337.55025552642604</v>
      </c>
      <c r="G286" s="929">
        <f t="shared" si="385"/>
        <v>318.21759401304365</v>
      </c>
      <c r="H286" s="929">
        <f t="shared" si="385"/>
        <v>299.27585743455381</v>
      </c>
      <c r="I286" s="929">
        <f t="shared" si="385"/>
        <v>282.72447770170163</v>
      </c>
      <c r="J286" s="929">
        <f t="shared" si="385"/>
        <v>261.70611009997833</v>
      </c>
      <c r="K286" s="929">
        <f t="shared" si="385"/>
        <v>248.08231135604831</v>
      </c>
      <c r="L286" s="929">
        <f t="shared" si="385"/>
        <v>233.58214918053989</v>
      </c>
      <c r="M286" s="929">
        <f t="shared" si="385"/>
        <v>219.73441348513012</v>
      </c>
      <c r="N286" s="929">
        <f t="shared" si="385"/>
        <v>221.22200653032226</v>
      </c>
      <c r="O286" s="929">
        <f t="shared" si="385"/>
        <v>181.17223042194965</v>
      </c>
      <c r="P286" s="929">
        <f t="shared" si="385"/>
        <v>165.17101967273223</v>
      </c>
      <c r="Q286" s="929">
        <f t="shared" si="385"/>
        <v>146.97064693856262</v>
      </c>
      <c r="R286" s="929">
        <f t="shared" si="385"/>
        <v>136.86490315869361</v>
      </c>
      <c r="S286" s="929">
        <f t="shared" si="385"/>
        <v>118.30846370022317</v>
      </c>
      <c r="T286" s="929">
        <f t="shared" si="385"/>
        <v>127.71127658594828</v>
      </c>
      <c r="U286" s="929">
        <f t="shared" si="385"/>
        <v>114.92863487034506</v>
      </c>
      <c r="V286" s="929">
        <f t="shared" si="385"/>
        <v>105.06855462281558</v>
      </c>
      <c r="W286" s="929">
        <f t="shared" si="385"/>
        <v>94.606430713897453</v>
      </c>
      <c r="X286" s="929">
        <f t="shared" si="385"/>
        <v>84.140459758515661</v>
      </c>
      <c r="Y286" s="929">
        <f t="shared" si="385"/>
        <v>73.729228861530871</v>
      </c>
      <c r="Z286" s="929">
        <f t="shared" si="385"/>
        <v>70.629400842772924</v>
      </c>
      <c r="AA286" s="929">
        <f t="shared" si="385"/>
        <v>68.173366872089034</v>
      </c>
      <c r="AB286" s="929">
        <f t="shared" si="385"/>
        <v>66.03687142680235</v>
      </c>
      <c r="AC286" s="929">
        <f t="shared" si="385"/>
        <v>64.19270301185324</v>
      </c>
      <c r="AD286" s="929">
        <f t="shared" si="385"/>
        <v>61.095106690732997</v>
      </c>
      <c r="AE286" s="929">
        <f t="shared" si="385"/>
        <v>57.095371959775058</v>
      </c>
      <c r="AF286" s="929">
        <f t="shared" si="385"/>
        <v>54.701292958737632</v>
      </c>
      <c r="AG286" s="929">
        <f t="shared" si="385"/>
        <v>52.140014156276095</v>
      </c>
      <c r="AH286" s="1152">
        <f t="shared" si="385"/>
        <v>49.971564858449682</v>
      </c>
      <c r="AI286" s="1152">
        <f t="shared" ref="AI286:AJ286" si="386">(AI25+AI26)*AI254</f>
        <v>46.818936902399905</v>
      </c>
      <c r="AJ286" s="1152">
        <f t="shared" si="386"/>
        <v>46.399732789319309</v>
      </c>
      <c r="AK286" s="1686">
        <f t="shared" ref="AK286" si="387">(AK25+AK26)*AK254</f>
        <v>43.482346052442885</v>
      </c>
    </row>
    <row r="287" spans="1:37">
      <c r="B287" s="930" t="s">
        <v>263</v>
      </c>
      <c r="C287" s="928" t="s">
        <v>321</v>
      </c>
      <c r="D287" s="929">
        <f t="shared" ref="D287:AH287" si="388">(D27+D28)*D255</f>
        <v>7.6488755488323257</v>
      </c>
      <c r="E287" s="929">
        <f t="shared" si="388"/>
        <v>7.6297446641035513</v>
      </c>
      <c r="F287" s="929">
        <f t="shared" si="388"/>
        <v>7.9714918322130437</v>
      </c>
      <c r="G287" s="929">
        <f t="shared" si="388"/>
        <v>8.4359607300987438</v>
      </c>
      <c r="H287" s="929">
        <f t="shared" si="388"/>
        <v>8.8844500072011279</v>
      </c>
      <c r="I287" s="929">
        <f t="shared" si="388"/>
        <v>9.3152016477338915</v>
      </c>
      <c r="J287" s="929">
        <f t="shared" si="388"/>
        <v>9.9307525851753375</v>
      </c>
      <c r="K287" s="929">
        <f t="shared" si="388"/>
        <v>10.321172136537102</v>
      </c>
      <c r="L287" s="929">
        <f t="shared" si="388"/>
        <v>10.770421560621433</v>
      </c>
      <c r="M287" s="929">
        <f t="shared" si="388"/>
        <v>11.216382590263555</v>
      </c>
      <c r="N287" s="929">
        <f t="shared" si="388"/>
        <v>10.941044113426608</v>
      </c>
      <c r="O287" s="929">
        <f t="shared" si="388"/>
        <v>12.718508194855694</v>
      </c>
      <c r="P287" s="929">
        <f t="shared" si="388"/>
        <v>13.357725948201031</v>
      </c>
      <c r="Q287" s="929">
        <f t="shared" si="388"/>
        <v>14.176834845807592</v>
      </c>
      <c r="R287" s="929">
        <f t="shared" si="388"/>
        <v>14.651715003789784</v>
      </c>
      <c r="S287" s="929">
        <f t="shared" si="388"/>
        <v>15.552479287387161</v>
      </c>
      <c r="T287" s="929">
        <f t="shared" si="388"/>
        <v>14.389575708996523</v>
      </c>
      <c r="U287" s="929">
        <f t="shared" si="388"/>
        <v>14.979539319749559</v>
      </c>
      <c r="V287" s="929">
        <f t="shared" si="388"/>
        <v>15.401235129463835</v>
      </c>
      <c r="W287" s="929">
        <f t="shared" si="388"/>
        <v>15.910271728430573</v>
      </c>
      <c r="X287" s="929">
        <f t="shared" si="388"/>
        <v>16.489692069896094</v>
      </c>
      <c r="Y287" s="929">
        <f t="shared" si="388"/>
        <v>16.940878860174312</v>
      </c>
      <c r="Z287" s="929">
        <f t="shared" si="388"/>
        <v>16.878554273720454</v>
      </c>
      <c r="AA287" s="929">
        <f t="shared" si="388"/>
        <v>16.818938708781189</v>
      </c>
      <c r="AB287" s="929">
        <f t="shared" si="388"/>
        <v>17.081135529273837</v>
      </c>
      <c r="AC287" s="929">
        <f t="shared" si="388"/>
        <v>16.916853741926126</v>
      </c>
      <c r="AD287" s="929">
        <f t="shared" si="388"/>
        <v>16.880798972935484</v>
      </c>
      <c r="AE287" s="929">
        <f t="shared" si="388"/>
        <v>16.80177017810988</v>
      </c>
      <c r="AF287" s="929">
        <f t="shared" si="388"/>
        <v>16.774694205979348</v>
      </c>
      <c r="AG287" s="929">
        <f t="shared" si="388"/>
        <v>16.727678012395511</v>
      </c>
      <c r="AH287" s="1152">
        <f t="shared" si="388"/>
        <v>16.674491744573395</v>
      </c>
      <c r="AI287" s="1152">
        <f t="shared" ref="AI287:AJ287" si="389">(AI27+AI28)*AI255</f>
        <v>16.608446882516969</v>
      </c>
      <c r="AJ287" s="1152">
        <f t="shared" si="389"/>
        <v>16.392685140582948</v>
      </c>
      <c r="AK287" s="1686">
        <f t="shared" ref="AK287" si="390">(AK27+AK28)*AK255</f>
        <v>16.371861852179563</v>
      </c>
    </row>
    <row r="288" spans="1:37">
      <c r="B288" s="930" t="s">
        <v>264</v>
      </c>
      <c r="C288" s="928" t="s">
        <v>321</v>
      </c>
      <c r="D288" s="929">
        <f t="shared" ref="D288:AH288" si="391">D29*D256</f>
        <v>13.44240358458244</v>
      </c>
      <c r="E288" s="929">
        <f t="shared" si="391"/>
        <v>14.91477387687366</v>
      </c>
      <c r="F288" s="929">
        <f t="shared" si="391"/>
        <v>16.555736187366168</v>
      </c>
      <c r="G288" s="929">
        <f t="shared" si="391"/>
        <v>17.668265426775829</v>
      </c>
      <c r="H288" s="929">
        <f t="shared" si="391"/>
        <v>18.208382805696139</v>
      </c>
      <c r="I288" s="929">
        <f t="shared" si="391"/>
        <v>18.911285109191226</v>
      </c>
      <c r="J288" s="929">
        <f t="shared" si="391"/>
        <v>19.260250744969138</v>
      </c>
      <c r="K288" s="929">
        <f t="shared" si="391"/>
        <v>19.574210185047662</v>
      </c>
      <c r="L288" s="929">
        <f t="shared" si="391"/>
        <v>19.704764053575619</v>
      </c>
      <c r="M288" s="929">
        <f t="shared" si="391"/>
        <v>19.63556600782216</v>
      </c>
      <c r="N288" s="929">
        <f t="shared" si="391"/>
        <v>19.709686531494281</v>
      </c>
      <c r="O288" s="929">
        <f t="shared" si="391"/>
        <v>19.737128460376816</v>
      </c>
      <c r="P288" s="929">
        <f t="shared" si="391"/>
        <v>19.08310857917099</v>
      </c>
      <c r="Q288" s="929">
        <f t="shared" si="391"/>
        <v>18.352919172466493</v>
      </c>
      <c r="R288" s="929">
        <f t="shared" si="391"/>
        <v>17.735498085471143</v>
      </c>
      <c r="S288" s="929">
        <f t="shared" si="391"/>
        <v>17.06026614488178</v>
      </c>
      <c r="T288" s="929">
        <f t="shared" si="391"/>
        <v>15.327531992358249</v>
      </c>
      <c r="U288" s="929">
        <f t="shared" si="391"/>
        <v>13.946692362537153</v>
      </c>
      <c r="V288" s="929">
        <f t="shared" si="391"/>
        <v>12.423484530941414</v>
      </c>
      <c r="W288" s="929">
        <f t="shared" si="391"/>
        <v>10.736186958326602</v>
      </c>
      <c r="X288" s="929">
        <f t="shared" si="391"/>
        <v>8.9689695122028255</v>
      </c>
      <c r="Y288" s="929">
        <f t="shared" si="391"/>
        <v>7.1638586561576929</v>
      </c>
      <c r="Z288" s="929">
        <f t="shared" si="391"/>
        <v>7.4581296424259484</v>
      </c>
      <c r="AA288" s="929">
        <f t="shared" si="391"/>
        <v>7.7267236246190816</v>
      </c>
      <c r="AB288" s="929">
        <f t="shared" si="391"/>
        <v>8.0607531554527352</v>
      </c>
      <c r="AC288" s="929">
        <f t="shared" si="391"/>
        <v>8.314138496351525</v>
      </c>
      <c r="AD288" s="929">
        <f t="shared" si="391"/>
        <v>8.5785272968710107</v>
      </c>
      <c r="AE288" s="929">
        <f t="shared" si="391"/>
        <v>8.8907639471992361</v>
      </c>
      <c r="AF288" s="929">
        <f t="shared" si="391"/>
        <v>9.1230520334844858</v>
      </c>
      <c r="AG288" s="929">
        <f t="shared" si="391"/>
        <v>9.3566192560251409</v>
      </c>
      <c r="AH288" s="1152">
        <f t="shared" si="391"/>
        <v>9.5636813484289043</v>
      </c>
      <c r="AI288" s="1152">
        <f t="shared" ref="AI288:AJ288" si="392">AI29*AI256</f>
        <v>9.8024695872789671</v>
      </c>
      <c r="AJ288" s="1152">
        <f t="shared" si="392"/>
        <v>10.059225188909128</v>
      </c>
      <c r="AK288" s="1686">
        <f t="shared" ref="AK288" si="393">AK29*AK256</f>
        <v>10.301476268737471</v>
      </c>
    </row>
    <row r="289" spans="2:37">
      <c r="B289" s="930" t="s">
        <v>265</v>
      </c>
      <c r="C289" s="928" t="s">
        <v>321</v>
      </c>
      <c r="D289" s="929">
        <f t="shared" ref="D289:AH289" si="394">(D37+D38+D42+D43+D45)*D257</f>
        <v>563.11237286139465</v>
      </c>
      <c r="E289" s="929">
        <f t="shared" si="394"/>
        <v>553.88050072612009</v>
      </c>
      <c r="F289" s="929">
        <f t="shared" si="394"/>
        <v>536.66284701123061</v>
      </c>
      <c r="G289" s="929">
        <f t="shared" si="394"/>
        <v>509.8829176233462</v>
      </c>
      <c r="H289" s="929">
        <f t="shared" si="394"/>
        <v>478.07864951323415</v>
      </c>
      <c r="I289" s="929">
        <f t="shared" si="394"/>
        <v>462.54380992767796</v>
      </c>
      <c r="J289" s="929">
        <f t="shared" si="394"/>
        <v>435.76974686387933</v>
      </c>
      <c r="K289" s="929">
        <f t="shared" si="394"/>
        <v>413.80698937374962</v>
      </c>
      <c r="L289" s="929">
        <f t="shared" si="394"/>
        <v>393.18532657494194</v>
      </c>
      <c r="M289" s="929">
        <f t="shared" si="394"/>
        <v>371.96653735955806</v>
      </c>
      <c r="N289" s="929">
        <f t="shared" si="394"/>
        <v>352.31584078060513</v>
      </c>
      <c r="O289" s="929">
        <f t="shared" si="394"/>
        <v>332.3129626254788</v>
      </c>
      <c r="P289" s="929">
        <f t="shared" si="394"/>
        <v>323.89811315580988</v>
      </c>
      <c r="Q289" s="929">
        <f t="shared" si="394"/>
        <v>305.2957451521163</v>
      </c>
      <c r="R289" s="929">
        <f t="shared" si="394"/>
        <v>337.424924451923</v>
      </c>
      <c r="S289" s="929">
        <f t="shared" si="394"/>
        <v>277.72913586460152</v>
      </c>
      <c r="T289" s="929">
        <f t="shared" si="394"/>
        <v>240.99402493261624</v>
      </c>
      <c r="U289" s="929">
        <f t="shared" si="394"/>
        <v>222.78093955445115</v>
      </c>
      <c r="V289" s="929">
        <f t="shared" si="394"/>
        <v>206.58210707215406</v>
      </c>
      <c r="W289" s="929">
        <f t="shared" si="394"/>
        <v>187.82652274571575</v>
      </c>
      <c r="X289" s="929">
        <f t="shared" si="394"/>
        <v>170.20813085340407</v>
      </c>
      <c r="Y289" s="929">
        <f t="shared" si="394"/>
        <v>155.60570128994448</v>
      </c>
      <c r="Z289" s="929">
        <f t="shared" si="394"/>
        <v>149.46915163872924</v>
      </c>
      <c r="AA289" s="929">
        <f t="shared" si="394"/>
        <v>145.6439916142559</v>
      </c>
      <c r="AB289" s="929">
        <f t="shared" si="394"/>
        <v>141.589782645409</v>
      </c>
      <c r="AC289" s="929">
        <f t="shared" si="394"/>
        <v>138.07684576298675</v>
      </c>
      <c r="AD289" s="929">
        <f t="shared" si="394"/>
        <v>135.55688084053037</v>
      </c>
      <c r="AE289" s="929">
        <f t="shared" si="394"/>
        <v>128.91190224761445</v>
      </c>
      <c r="AF289" s="929">
        <f t="shared" si="394"/>
        <v>126.3689044704166</v>
      </c>
      <c r="AG289" s="929">
        <f t="shared" si="394"/>
        <v>118.67806365849879</v>
      </c>
      <c r="AH289" s="1152">
        <f t="shared" si="394"/>
        <v>116.90325424036392</v>
      </c>
      <c r="AI289" s="1152">
        <f t="shared" ref="AI289:AJ289" si="395">(AI37+AI38+AI42+AI43+AI45)*AI257</f>
        <v>111.98275401262921</v>
      </c>
      <c r="AJ289" s="1152">
        <f t="shared" si="395"/>
        <v>107.16590163123119</v>
      </c>
      <c r="AK289" s="1686">
        <f t="shared" ref="AK289" si="396">(AK37+AK38+AK42+AK43+AK45)*AK257</f>
        <v>103.07970258635444</v>
      </c>
    </row>
    <row r="290" spans="2:37">
      <c r="B290" s="930" t="s">
        <v>267</v>
      </c>
      <c r="C290" s="928" t="s">
        <v>321</v>
      </c>
      <c r="D290" s="929">
        <f t="shared" ref="D290:AH290" si="397">(D39+D40)*D258</f>
        <v>15.065149928187132</v>
      </c>
      <c r="E290" s="929">
        <f t="shared" si="397"/>
        <v>15.274831561311759</v>
      </c>
      <c r="F290" s="929">
        <f t="shared" si="397"/>
        <v>15.460192126727897</v>
      </c>
      <c r="G290" s="929">
        <f t="shared" si="397"/>
        <v>14.949959830581543</v>
      </c>
      <c r="H290" s="929">
        <f t="shared" si="397"/>
        <v>14.832865920418913</v>
      </c>
      <c r="I290" s="929">
        <f t="shared" si="397"/>
        <v>14.283557246240878</v>
      </c>
      <c r="J290" s="929">
        <f t="shared" si="397"/>
        <v>13.197870830775146</v>
      </c>
      <c r="K290" s="929">
        <f t="shared" si="397"/>
        <v>12.69834947484723</v>
      </c>
      <c r="L290" s="929">
        <f t="shared" si="397"/>
        <v>12.2042618830805</v>
      </c>
      <c r="M290" s="929">
        <f t="shared" si="397"/>
        <v>11.916575774853174</v>
      </c>
      <c r="N290" s="929">
        <f t="shared" si="397"/>
        <v>16.313909458902565</v>
      </c>
      <c r="O290" s="929">
        <f t="shared" si="397"/>
        <v>15.595121547950514</v>
      </c>
      <c r="P290" s="929">
        <f t="shared" si="397"/>
        <v>14.819986700096868</v>
      </c>
      <c r="Q290" s="929">
        <f t="shared" si="397"/>
        <v>14.030773811819602</v>
      </c>
      <c r="R290" s="929">
        <f t="shared" si="397"/>
        <v>9.8902590901321599</v>
      </c>
      <c r="S290" s="929">
        <f t="shared" si="397"/>
        <v>9.9164539404929481</v>
      </c>
      <c r="T290" s="929">
        <f t="shared" si="397"/>
        <v>9.6985115768711641</v>
      </c>
      <c r="U290" s="929">
        <f t="shared" si="397"/>
        <v>9.1038194724940276</v>
      </c>
      <c r="V290" s="929">
        <f t="shared" si="397"/>
        <v>8.465078295861213</v>
      </c>
      <c r="W290" s="929">
        <f t="shared" si="397"/>
        <v>7.8248645311542404</v>
      </c>
      <c r="X290" s="929">
        <f t="shared" si="397"/>
        <v>6.9221733575332971</v>
      </c>
      <c r="Y290" s="929">
        <f t="shared" si="397"/>
        <v>6.273883360876388</v>
      </c>
      <c r="Z290" s="929">
        <f t="shared" si="397"/>
        <v>6.1896778399032302</v>
      </c>
      <c r="AA290" s="929">
        <f t="shared" si="397"/>
        <v>6.0304577085341498</v>
      </c>
      <c r="AB290" s="929">
        <f t="shared" si="397"/>
        <v>5.9403028844487569</v>
      </c>
      <c r="AC290" s="929">
        <f t="shared" si="397"/>
        <v>5.8706655287888916</v>
      </c>
      <c r="AD290" s="929">
        <f t="shared" si="397"/>
        <v>5.7923330378111455</v>
      </c>
      <c r="AE290" s="929">
        <f t="shared" si="397"/>
        <v>5.7114072608613977</v>
      </c>
      <c r="AF290" s="929">
        <f t="shared" si="397"/>
        <v>5.5965018103667781</v>
      </c>
      <c r="AG290" s="929">
        <f t="shared" si="397"/>
        <v>5.5109233732907974</v>
      </c>
      <c r="AH290" s="1152">
        <f t="shared" si="397"/>
        <v>5.4604305699536324</v>
      </c>
      <c r="AI290" s="1152">
        <f t="shared" ref="AI290:AJ290" si="398">(AI39+AI40)*AI258</f>
        <v>5.3621526589265374</v>
      </c>
      <c r="AJ290" s="1152">
        <f t="shared" si="398"/>
        <v>5.2872524582058489</v>
      </c>
      <c r="AK290" s="1686">
        <f t="shared" ref="AK290" si="399">(AK39+AK40)*AK258</f>
        <v>5.2141065391721009</v>
      </c>
    </row>
    <row r="291" spans="2:37">
      <c r="B291" s="930" t="s">
        <v>268</v>
      </c>
      <c r="C291" s="928" t="s">
        <v>321</v>
      </c>
      <c r="D291" s="929">
        <f t="shared" ref="D291:AH291" si="400">D41*D259</f>
        <v>1.2465859103711778</v>
      </c>
      <c r="E291" s="929">
        <f t="shared" si="400"/>
        <v>1.3236051151456969</v>
      </c>
      <c r="F291" s="929">
        <f t="shared" si="400"/>
        <v>1.4559461174484047</v>
      </c>
      <c r="G291" s="929">
        <f t="shared" si="400"/>
        <v>1.6217349485241108</v>
      </c>
      <c r="H291" s="929">
        <f t="shared" si="400"/>
        <v>1.8161505511267917</v>
      </c>
      <c r="I291" s="929">
        <f t="shared" si="400"/>
        <v>1.9645030826335799</v>
      </c>
      <c r="J291" s="929">
        <f t="shared" si="400"/>
        <v>2.1771841186910574</v>
      </c>
      <c r="K291" s="929">
        <f t="shared" si="400"/>
        <v>2.376607528034155</v>
      </c>
      <c r="L291" s="929">
        <f t="shared" si="400"/>
        <v>2.5973441026218977</v>
      </c>
      <c r="M291" s="929">
        <f t="shared" si="400"/>
        <v>2.7798191458847454</v>
      </c>
      <c r="N291" s="929">
        <f t="shared" si="400"/>
        <v>3.0123060687243788</v>
      </c>
      <c r="O291" s="929">
        <f t="shared" si="400"/>
        <v>3.2146760022690026</v>
      </c>
      <c r="P291" s="929">
        <f t="shared" si="400"/>
        <v>3.4362768128504606</v>
      </c>
      <c r="Q291" s="929">
        <f t="shared" si="400"/>
        <v>3.6511324295285679</v>
      </c>
      <c r="R291" s="929">
        <f t="shared" si="400"/>
        <v>3.6937509689317238</v>
      </c>
      <c r="S291" s="929">
        <f t="shared" si="400"/>
        <v>4.0008060643783496</v>
      </c>
      <c r="T291" s="929">
        <f t="shared" si="400"/>
        <v>4.3112942408022814</v>
      </c>
      <c r="U291" s="929">
        <f t="shared" si="400"/>
        <v>4.5330175875152428</v>
      </c>
      <c r="V291" s="929">
        <f t="shared" si="400"/>
        <v>4.7643638158357167</v>
      </c>
      <c r="W291" s="929">
        <f t="shared" si="400"/>
        <v>5.010001019933827</v>
      </c>
      <c r="X291" s="929">
        <f t="shared" si="400"/>
        <v>5.2741667171956665</v>
      </c>
      <c r="Y291" s="929">
        <f t="shared" si="400"/>
        <v>5.5076244433765629</v>
      </c>
      <c r="Z291" s="929">
        <f t="shared" si="400"/>
        <v>5.7438600715141419</v>
      </c>
      <c r="AA291" s="929">
        <f t="shared" si="400"/>
        <v>5.970772646804023</v>
      </c>
      <c r="AB291" s="929">
        <f t="shared" si="400"/>
        <v>6.1687249084307796</v>
      </c>
      <c r="AC291" s="929">
        <f t="shared" si="400"/>
        <v>6.3595067822361324</v>
      </c>
      <c r="AD291" s="929">
        <f t="shared" si="400"/>
        <v>6.5319445429217149</v>
      </c>
      <c r="AE291" s="929">
        <f t="shared" si="400"/>
        <v>6.7732830712475289</v>
      </c>
      <c r="AF291" s="929">
        <f t="shared" si="400"/>
        <v>6.9381865043410764</v>
      </c>
      <c r="AG291" s="929">
        <f t="shared" si="400"/>
        <v>7.1300369672602004</v>
      </c>
      <c r="AH291" s="1152">
        <f t="shared" si="400"/>
        <v>7.2392034116512978</v>
      </c>
      <c r="AI291" s="1152">
        <f t="shared" ref="AI291:AJ291" si="401">AI41*AI259</f>
        <v>7.401745107935418</v>
      </c>
      <c r="AJ291" s="1152">
        <f t="shared" si="401"/>
        <v>7.5421019650096861</v>
      </c>
      <c r="AK291" s="1686">
        <f t="shared" ref="AK291" si="402">AK41*AK259</f>
        <v>7.6721136405187318</v>
      </c>
    </row>
    <row r="292" spans="2:37">
      <c r="B292" s="933" t="s">
        <v>269</v>
      </c>
      <c r="C292" s="928" t="s">
        <v>321</v>
      </c>
      <c r="D292" s="929">
        <f t="shared" ref="D292:AH292" si="403">D44*D260</f>
        <v>2.0332466175795396</v>
      </c>
      <c r="E292" s="929">
        <f t="shared" si="403"/>
        <v>2.1929007533194</v>
      </c>
      <c r="F292" s="929">
        <f t="shared" si="403"/>
        <v>2.869159328282548</v>
      </c>
      <c r="G292" s="929">
        <f t="shared" si="403"/>
        <v>2.1333369248997407</v>
      </c>
      <c r="H292" s="929">
        <f t="shared" si="403"/>
        <v>2.1142995753806249</v>
      </c>
      <c r="I292" s="929">
        <f t="shared" si="403"/>
        <v>2.0884837756539447</v>
      </c>
      <c r="J292" s="929">
        <f t="shared" si="403"/>
        <v>2.0742057635146076</v>
      </c>
      <c r="K292" s="929">
        <f t="shared" si="403"/>
        <v>2.0596393066855869</v>
      </c>
      <c r="L292" s="929">
        <f t="shared" si="403"/>
        <v>2.0451449610289871</v>
      </c>
      <c r="M292" s="929">
        <f t="shared" si="403"/>
        <v>2.0364195091660586</v>
      </c>
      <c r="N292" s="929">
        <f t="shared" si="403"/>
        <v>2.3193837497456489</v>
      </c>
      <c r="O292" s="929">
        <f t="shared" si="403"/>
        <v>2.3110188537448253</v>
      </c>
      <c r="P292" s="929">
        <f t="shared" si="403"/>
        <v>2.2944332840880195</v>
      </c>
      <c r="Q292" s="929">
        <f t="shared" si="403"/>
        <v>2.2751074898792196</v>
      </c>
      <c r="R292" s="929">
        <f t="shared" si="403"/>
        <v>1.795279748590588</v>
      </c>
      <c r="S292" s="929">
        <f t="shared" si="403"/>
        <v>1.7710503946571678</v>
      </c>
      <c r="T292" s="929">
        <f t="shared" si="403"/>
        <v>1.7719157287262184</v>
      </c>
      <c r="U292" s="929">
        <f t="shared" si="403"/>
        <v>1.7593683847249824</v>
      </c>
      <c r="V292" s="929">
        <f t="shared" si="403"/>
        <v>1.7463883736892216</v>
      </c>
      <c r="W292" s="929">
        <f t="shared" si="403"/>
        <v>1.7130730120307684</v>
      </c>
      <c r="X292" s="929">
        <f t="shared" si="403"/>
        <v>1.6837958760278853</v>
      </c>
      <c r="Y292" s="929">
        <f t="shared" si="403"/>
        <v>1.6478845121622798</v>
      </c>
      <c r="Z292" s="929">
        <f t="shared" si="403"/>
        <v>1.6139922611244595</v>
      </c>
      <c r="AA292" s="929">
        <f t="shared" si="403"/>
        <v>1.5724562258100243</v>
      </c>
      <c r="AB292" s="929">
        <f t="shared" si="403"/>
        <v>1.5482268718766035</v>
      </c>
      <c r="AC292" s="929">
        <f t="shared" si="403"/>
        <v>1.5196708475979297</v>
      </c>
      <c r="AD292" s="929">
        <f t="shared" si="403"/>
        <v>1.4908263786295717</v>
      </c>
      <c r="AE292" s="929">
        <f t="shared" si="403"/>
        <v>1.4376083333829517</v>
      </c>
      <c r="AF292" s="929">
        <f t="shared" si="403"/>
        <v>1.4063120845522834</v>
      </c>
      <c r="AG292" s="929">
        <f t="shared" si="403"/>
        <v>1.3572764873060752</v>
      </c>
      <c r="AH292" s="1152">
        <f t="shared" si="403"/>
        <v>1.3391044718560099</v>
      </c>
      <c r="AI292" s="1152">
        <f t="shared" ref="AI292:AJ292" si="404">AI44*AI260</f>
        <v>1.3072313336459744</v>
      </c>
      <c r="AJ292" s="1152">
        <f t="shared" si="404"/>
        <v>1.2804059775054017</v>
      </c>
      <c r="AK292" s="1686">
        <f t="shared" ref="AK292" si="405">AK44*AK260</f>
        <v>1.2331010483972951</v>
      </c>
    </row>
    <row r="293" spans="2:37">
      <c r="B293" s="924" t="s">
        <v>270</v>
      </c>
      <c r="C293" s="925"/>
      <c r="D293" s="926"/>
      <c r="E293" s="1582" t="s">
        <v>911</v>
      </c>
      <c r="F293" s="926"/>
      <c r="G293" s="926"/>
      <c r="H293" s="926"/>
      <c r="I293" s="926"/>
      <c r="J293" s="926"/>
      <c r="K293" s="926"/>
      <c r="L293" s="926"/>
      <c r="M293" s="926"/>
      <c r="N293" s="926"/>
      <c r="O293" s="926"/>
      <c r="P293" s="926"/>
      <c r="Q293" s="926"/>
      <c r="R293" s="926"/>
      <c r="S293" s="926"/>
      <c r="T293" s="926"/>
      <c r="U293" s="926"/>
      <c r="V293" s="926"/>
      <c r="W293" s="926"/>
      <c r="X293" s="926"/>
      <c r="Y293" s="926"/>
      <c r="Z293" s="926"/>
      <c r="AA293" s="927"/>
      <c r="AB293" s="926"/>
      <c r="AC293" s="926"/>
      <c r="AD293" s="926"/>
      <c r="AE293" s="926"/>
      <c r="AF293" s="927"/>
      <c r="AG293" s="927"/>
      <c r="AH293" s="926"/>
      <c r="AI293" s="926"/>
      <c r="AJ293" s="926"/>
      <c r="AK293" s="1388"/>
    </row>
    <row r="294" spans="2:37">
      <c r="B294" s="935" t="s">
        <v>271</v>
      </c>
      <c r="C294" s="928" t="s">
        <v>321</v>
      </c>
      <c r="D294" s="929">
        <f t="shared" ref="D294:D303" si="406">D52*D262</f>
        <v>48.231376180728056</v>
      </c>
      <c r="E294" s="929">
        <f>$D294+((E$283-$D$283)*($D294-$AB294)/($D$283-$AB$283))</f>
        <v>46.463574603854397</v>
      </c>
      <c r="F294" s="929">
        <f t="shared" ref="F294:AA303" si="407">$D294+((F$283-$D$283)*($D294-$AB294)/($D$283-$AB$283))</f>
        <v>44.695773026980731</v>
      </c>
      <c r="G294" s="929">
        <f t="shared" si="407"/>
        <v>42.927971450107073</v>
      </c>
      <c r="H294" s="929">
        <f t="shared" si="407"/>
        <v>41.160169873233407</v>
      </c>
      <c r="I294" s="929">
        <f t="shared" si="407"/>
        <v>39.392368296359749</v>
      </c>
      <c r="J294" s="929">
        <f t="shared" si="407"/>
        <v>37.624566719486083</v>
      </c>
      <c r="K294" s="929">
        <f t="shared" si="407"/>
        <v>35.856765142612424</v>
      </c>
      <c r="L294" s="929">
        <f t="shared" si="407"/>
        <v>34.088963565738759</v>
      </c>
      <c r="M294" s="929">
        <f t="shared" si="407"/>
        <v>32.3211619888651</v>
      </c>
      <c r="N294" s="929">
        <f t="shared" si="407"/>
        <v>30.553360411991438</v>
      </c>
      <c r="O294" s="929">
        <f t="shared" si="407"/>
        <v>28.785558835117776</v>
      </c>
      <c r="P294" s="929">
        <f t="shared" si="407"/>
        <v>27.017757258244114</v>
      </c>
      <c r="Q294" s="929">
        <f t="shared" si="407"/>
        <v>25.249955681370455</v>
      </c>
      <c r="R294" s="929">
        <f t="shared" si="407"/>
        <v>23.482154104496789</v>
      </c>
      <c r="S294" s="929">
        <f t="shared" si="407"/>
        <v>21.714352527623127</v>
      </c>
      <c r="T294" s="929">
        <f t="shared" si="407"/>
        <v>19.946550950749465</v>
      </c>
      <c r="U294" s="929">
        <f t="shared" si="407"/>
        <v>18.178749373875807</v>
      </c>
      <c r="V294" s="929">
        <f t="shared" si="407"/>
        <v>16.410947797002144</v>
      </c>
      <c r="W294" s="929">
        <f t="shared" si="407"/>
        <v>14.643146220128479</v>
      </c>
      <c r="X294" s="929">
        <f t="shared" si="407"/>
        <v>12.87534464325482</v>
      </c>
      <c r="Y294" s="929">
        <f t="shared" si="407"/>
        <v>11.107543066381155</v>
      </c>
      <c r="Z294" s="929">
        <f t="shared" si="407"/>
        <v>9.3397414895074959</v>
      </c>
      <c r="AA294" s="929">
        <f t="shared" si="407"/>
        <v>7.5719399126338374</v>
      </c>
      <c r="AB294" s="929">
        <f t="shared" ref="AB294:AH303" si="408">AB52*AB262</f>
        <v>5.8041383357601708</v>
      </c>
      <c r="AC294" s="929">
        <f t="shared" si="408"/>
        <v>5.4256075747323349</v>
      </c>
      <c r="AD294" s="929">
        <f t="shared" si="408"/>
        <v>5.9303152561027845</v>
      </c>
      <c r="AE294" s="929">
        <f t="shared" si="408"/>
        <v>5.9303152561027836</v>
      </c>
      <c r="AF294" s="929">
        <f t="shared" si="408"/>
        <v>5.9303152561027836</v>
      </c>
      <c r="AG294" s="929">
        <f t="shared" si="408"/>
        <v>5.9303152561027854</v>
      </c>
      <c r="AH294" s="1152">
        <f t="shared" si="408"/>
        <v>6.0564921764453983</v>
      </c>
      <c r="AI294" s="1152">
        <f t="shared" ref="AI294:AJ294" si="409">AI52*AI262</f>
        <v>5.9934037162740905</v>
      </c>
      <c r="AJ294" s="1152">
        <f t="shared" si="409"/>
        <v>5.9934037162740896</v>
      </c>
      <c r="AK294" s="1686">
        <f t="shared" ref="AK294" si="410">AK52*AK262</f>
        <v>5.8672267959314768</v>
      </c>
    </row>
    <row r="295" spans="2:37">
      <c r="B295" s="930" t="s">
        <v>273</v>
      </c>
      <c r="C295" s="928" t="s">
        <v>321</v>
      </c>
      <c r="D295" s="929">
        <f t="shared" si="406"/>
        <v>0.94980421927194869</v>
      </c>
      <c r="E295" s="929">
        <f t="shared" ref="E295:T303" si="411">$D295+((E$283-$D$283)*($D295-$AB295)/($D$283-$AB$283))</f>
        <v>0.91267144448608151</v>
      </c>
      <c r="F295" s="929">
        <f t="shared" si="411"/>
        <v>0.87553866970021421</v>
      </c>
      <c r="G295" s="929">
        <f t="shared" si="411"/>
        <v>0.83840589491434692</v>
      </c>
      <c r="H295" s="929">
        <f t="shared" si="411"/>
        <v>0.80127312012847973</v>
      </c>
      <c r="I295" s="929">
        <f t="shared" si="411"/>
        <v>0.76414034534261244</v>
      </c>
      <c r="J295" s="929">
        <f t="shared" si="411"/>
        <v>0.72700757055674525</v>
      </c>
      <c r="K295" s="929">
        <f t="shared" si="411"/>
        <v>0.68987479577087796</v>
      </c>
      <c r="L295" s="929">
        <f t="shared" si="411"/>
        <v>0.65274202098501077</v>
      </c>
      <c r="M295" s="929">
        <f t="shared" si="411"/>
        <v>0.61560924619914359</v>
      </c>
      <c r="N295" s="929">
        <f t="shared" si="411"/>
        <v>0.57847647141327618</v>
      </c>
      <c r="O295" s="929">
        <f t="shared" si="411"/>
        <v>0.541343696627409</v>
      </c>
      <c r="P295" s="929">
        <f t="shared" si="411"/>
        <v>0.50421092184154181</v>
      </c>
      <c r="Q295" s="929">
        <f t="shared" si="411"/>
        <v>0.46707814705567458</v>
      </c>
      <c r="R295" s="929">
        <f t="shared" si="411"/>
        <v>0.42994537226980734</v>
      </c>
      <c r="S295" s="929">
        <f t="shared" si="411"/>
        <v>0.39281259748394015</v>
      </c>
      <c r="T295" s="929">
        <f t="shared" si="411"/>
        <v>0.35567982269807286</v>
      </c>
      <c r="U295" s="929">
        <f t="shared" si="407"/>
        <v>0.31854704791220556</v>
      </c>
      <c r="V295" s="929">
        <f t="shared" si="407"/>
        <v>0.28141427312633838</v>
      </c>
      <c r="W295" s="929">
        <f t="shared" si="407"/>
        <v>0.24428149834047119</v>
      </c>
      <c r="X295" s="929">
        <f t="shared" si="407"/>
        <v>0.20714872355460379</v>
      </c>
      <c r="Y295" s="929">
        <f t="shared" si="407"/>
        <v>0.1700159487687366</v>
      </c>
      <c r="Z295" s="929">
        <f t="shared" si="407"/>
        <v>0.13288317398286942</v>
      </c>
      <c r="AA295" s="929">
        <f t="shared" si="407"/>
        <v>9.5750399197002123E-2</v>
      </c>
      <c r="AB295" s="929">
        <f t="shared" si="408"/>
        <v>5.8617624411134911E-2</v>
      </c>
      <c r="AC295" s="929">
        <f t="shared" si="408"/>
        <v>0.2051616854389722</v>
      </c>
      <c r="AD295" s="929">
        <f t="shared" si="408"/>
        <v>5.8617624411134911E-2</v>
      </c>
      <c r="AE295" s="929">
        <f t="shared" si="408"/>
        <v>5.8617624411134904E-2</v>
      </c>
      <c r="AF295" s="929">
        <f t="shared" si="408"/>
        <v>5.8617624411134911E-2</v>
      </c>
      <c r="AG295" s="929">
        <f t="shared" si="408"/>
        <v>5.8617624411134911E-2</v>
      </c>
      <c r="AH295" s="1152">
        <f t="shared" si="408"/>
        <v>5.8617624411134918E-2</v>
      </c>
      <c r="AI295" s="1152">
        <f t="shared" ref="AI295:AJ295" si="412">AI53*AI263</f>
        <v>5.8617624411134918E-2</v>
      </c>
      <c r="AJ295" s="1152">
        <f t="shared" si="412"/>
        <v>5.8617624411134918E-2</v>
      </c>
      <c r="AK295" s="1686">
        <f t="shared" ref="AK295" si="413">AK53*AK263</f>
        <v>5.8617624411134918E-2</v>
      </c>
    </row>
    <row r="296" spans="2:37">
      <c r="B296" s="930" t="s">
        <v>274</v>
      </c>
      <c r="C296" s="928" t="s">
        <v>321</v>
      </c>
      <c r="D296" s="929">
        <f t="shared" si="406"/>
        <v>0</v>
      </c>
      <c r="E296" s="929">
        <f t="shared" si="411"/>
        <v>0</v>
      </c>
      <c r="F296" s="929">
        <f t="shared" si="407"/>
        <v>0</v>
      </c>
      <c r="G296" s="929">
        <f t="shared" si="407"/>
        <v>0</v>
      </c>
      <c r="H296" s="929">
        <f t="shared" si="407"/>
        <v>0</v>
      </c>
      <c r="I296" s="929">
        <f t="shared" si="407"/>
        <v>0</v>
      </c>
      <c r="J296" s="929">
        <f t="shared" si="407"/>
        <v>0</v>
      </c>
      <c r="K296" s="929">
        <f t="shared" si="407"/>
        <v>0</v>
      </c>
      <c r="L296" s="929">
        <f t="shared" si="407"/>
        <v>0</v>
      </c>
      <c r="M296" s="929">
        <f t="shared" si="407"/>
        <v>0</v>
      </c>
      <c r="N296" s="929">
        <f t="shared" si="407"/>
        <v>0</v>
      </c>
      <c r="O296" s="929">
        <f t="shared" si="407"/>
        <v>0</v>
      </c>
      <c r="P296" s="929">
        <f t="shared" si="407"/>
        <v>0</v>
      </c>
      <c r="Q296" s="929">
        <f t="shared" si="407"/>
        <v>0</v>
      </c>
      <c r="R296" s="929">
        <f t="shared" si="407"/>
        <v>0</v>
      </c>
      <c r="S296" s="929">
        <f t="shared" si="407"/>
        <v>0</v>
      </c>
      <c r="T296" s="929">
        <f t="shared" si="407"/>
        <v>0</v>
      </c>
      <c r="U296" s="929">
        <f t="shared" si="407"/>
        <v>0</v>
      </c>
      <c r="V296" s="929">
        <f t="shared" si="407"/>
        <v>0</v>
      </c>
      <c r="W296" s="929">
        <f t="shared" si="407"/>
        <v>0</v>
      </c>
      <c r="X296" s="929">
        <f t="shared" si="407"/>
        <v>0</v>
      </c>
      <c r="Y296" s="929">
        <f t="shared" si="407"/>
        <v>0</v>
      </c>
      <c r="Z296" s="929">
        <f t="shared" si="407"/>
        <v>0</v>
      </c>
      <c r="AA296" s="929">
        <f t="shared" si="407"/>
        <v>0</v>
      </c>
      <c r="AB296" s="929">
        <f t="shared" si="408"/>
        <v>0</v>
      </c>
      <c r="AC296" s="929">
        <f t="shared" si="408"/>
        <v>0</v>
      </c>
      <c r="AD296" s="929">
        <f t="shared" si="408"/>
        <v>0</v>
      </c>
      <c r="AE296" s="929">
        <f t="shared" si="408"/>
        <v>0</v>
      </c>
      <c r="AF296" s="929">
        <f t="shared" si="408"/>
        <v>0</v>
      </c>
      <c r="AG296" s="929">
        <f t="shared" si="408"/>
        <v>0</v>
      </c>
      <c r="AH296" s="1152">
        <f t="shared" si="408"/>
        <v>0</v>
      </c>
      <c r="AI296" s="1152">
        <f t="shared" ref="AI296:AJ296" si="414">AI54*AI264</f>
        <v>0</v>
      </c>
      <c r="AJ296" s="1152">
        <f t="shared" si="414"/>
        <v>0</v>
      </c>
      <c r="AK296" s="1686">
        <f t="shared" ref="AK296" si="415">AK54*AK264</f>
        <v>0</v>
      </c>
    </row>
    <row r="297" spans="2:37">
      <c r="B297" s="930" t="s">
        <v>275</v>
      </c>
      <c r="C297" s="928" t="s">
        <v>321</v>
      </c>
      <c r="D297" s="929">
        <f t="shared" si="406"/>
        <v>4.8255220638115635</v>
      </c>
      <c r="E297" s="929">
        <f t="shared" si="411"/>
        <v>4.6351182760438974</v>
      </c>
      <c r="F297" s="929">
        <f t="shared" si="407"/>
        <v>4.4447144882762313</v>
      </c>
      <c r="G297" s="929">
        <f t="shared" si="407"/>
        <v>4.2543107005085652</v>
      </c>
      <c r="H297" s="929">
        <f t="shared" si="407"/>
        <v>4.0639069127408991</v>
      </c>
      <c r="I297" s="929">
        <f t="shared" si="407"/>
        <v>3.8735031249732335</v>
      </c>
      <c r="J297" s="929">
        <f t="shared" si="407"/>
        <v>3.6830993372055678</v>
      </c>
      <c r="K297" s="929">
        <f t="shared" si="407"/>
        <v>3.4926955494379017</v>
      </c>
      <c r="L297" s="929">
        <f t="shared" si="407"/>
        <v>3.3022917616702356</v>
      </c>
      <c r="M297" s="929">
        <f t="shared" si="407"/>
        <v>3.1118879739025695</v>
      </c>
      <c r="N297" s="929">
        <f t="shared" si="407"/>
        <v>2.9214841861349035</v>
      </c>
      <c r="O297" s="929">
        <f t="shared" si="407"/>
        <v>2.7310803983672378</v>
      </c>
      <c r="P297" s="929">
        <f t="shared" si="407"/>
        <v>2.5406766105995717</v>
      </c>
      <c r="Q297" s="929">
        <f t="shared" si="407"/>
        <v>2.3502728228319056</v>
      </c>
      <c r="R297" s="929">
        <f t="shared" si="407"/>
        <v>2.1598690350642396</v>
      </c>
      <c r="S297" s="929">
        <f t="shared" si="407"/>
        <v>1.9694652472965739</v>
      </c>
      <c r="T297" s="929">
        <f t="shared" si="407"/>
        <v>1.7790614595289078</v>
      </c>
      <c r="U297" s="929">
        <f t="shared" si="407"/>
        <v>1.5886576717612417</v>
      </c>
      <c r="V297" s="929">
        <f t="shared" si="407"/>
        <v>1.3982538839935756</v>
      </c>
      <c r="W297" s="929">
        <f t="shared" si="407"/>
        <v>1.20785009622591</v>
      </c>
      <c r="X297" s="929">
        <f t="shared" si="407"/>
        <v>1.0174463084582439</v>
      </c>
      <c r="Y297" s="929">
        <f t="shared" si="407"/>
        <v>0.82704252069057782</v>
      </c>
      <c r="Z297" s="929">
        <f t="shared" si="407"/>
        <v>0.63663873292291218</v>
      </c>
      <c r="AA297" s="929">
        <f t="shared" si="407"/>
        <v>0.44623494515524609</v>
      </c>
      <c r="AB297" s="929">
        <f t="shared" si="408"/>
        <v>0.25583115738758039</v>
      </c>
      <c r="AC297" s="929">
        <f t="shared" si="408"/>
        <v>0.46049608329764469</v>
      </c>
      <c r="AD297" s="929">
        <f t="shared" si="408"/>
        <v>0.30699738886509642</v>
      </c>
      <c r="AE297" s="929">
        <f t="shared" si="408"/>
        <v>0.30699738886509642</v>
      </c>
      <c r="AF297" s="929">
        <f t="shared" si="408"/>
        <v>0.25583115738758039</v>
      </c>
      <c r="AG297" s="929">
        <f t="shared" si="408"/>
        <v>0.25583115738758039</v>
      </c>
      <c r="AH297" s="1152">
        <f t="shared" si="408"/>
        <v>0.33258050460385447</v>
      </c>
      <c r="AI297" s="1152">
        <f t="shared" ref="AI297:AJ297" si="416">AI55*AI265</f>
        <v>0.25583115738758039</v>
      </c>
      <c r="AJ297" s="1152">
        <f t="shared" si="416"/>
        <v>0.23024804164882237</v>
      </c>
      <c r="AK297" s="1686">
        <f t="shared" ref="AK297" si="417">AK55*AK265</f>
        <v>0.40932985182012865</v>
      </c>
    </row>
    <row r="298" spans="2:37">
      <c r="B298" s="930" t="s">
        <v>276</v>
      </c>
      <c r="C298" s="928" t="s">
        <v>321</v>
      </c>
      <c r="D298" s="929">
        <f t="shared" si="406"/>
        <v>1.9373621627409E-2</v>
      </c>
      <c r="E298" s="929">
        <f t="shared" si="411"/>
        <v>1.8814767157387585E-2</v>
      </c>
      <c r="F298" s="929">
        <f t="shared" si="407"/>
        <v>1.8255912687366174E-2</v>
      </c>
      <c r="G298" s="929">
        <f t="shared" si="407"/>
        <v>1.7697058217344758E-2</v>
      </c>
      <c r="H298" s="929">
        <f t="shared" si="407"/>
        <v>1.7138203747323347E-2</v>
      </c>
      <c r="I298" s="929">
        <f t="shared" si="407"/>
        <v>1.6579349277301932E-2</v>
      </c>
      <c r="J298" s="929">
        <f t="shared" si="407"/>
        <v>1.602049480728052E-2</v>
      </c>
      <c r="K298" s="929">
        <f t="shared" si="407"/>
        <v>1.5461640337259105E-2</v>
      </c>
      <c r="L298" s="929">
        <f t="shared" si="407"/>
        <v>1.4902785867237693E-2</v>
      </c>
      <c r="M298" s="929">
        <f t="shared" si="407"/>
        <v>1.4343931397216278E-2</v>
      </c>
      <c r="N298" s="929">
        <f t="shared" si="407"/>
        <v>1.3785076927194866E-2</v>
      </c>
      <c r="O298" s="929">
        <f t="shared" si="407"/>
        <v>1.3226222457173451E-2</v>
      </c>
      <c r="P298" s="929">
        <f t="shared" si="407"/>
        <v>1.2667367987152036E-2</v>
      </c>
      <c r="Q298" s="929">
        <f t="shared" si="407"/>
        <v>1.2108513517130624E-2</v>
      </c>
      <c r="R298" s="929">
        <f t="shared" si="407"/>
        <v>1.1549659047109211E-2</v>
      </c>
      <c r="S298" s="929">
        <f t="shared" si="407"/>
        <v>1.0990804577087798E-2</v>
      </c>
      <c r="T298" s="929">
        <f t="shared" si="407"/>
        <v>1.0431950107066384E-2</v>
      </c>
      <c r="U298" s="929">
        <f t="shared" si="407"/>
        <v>9.873095637044969E-3</v>
      </c>
      <c r="V298" s="929">
        <f t="shared" si="407"/>
        <v>9.3142411670235573E-3</v>
      </c>
      <c r="W298" s="929">
        <f t="shared" si="407"/>
        <v>8.7553866970021422E-3</v>
      </c>
      <c r="X298" s="929">
        <f t="shared" si="407"/>
        <v>8.1965322269807305E-3</v>
      </c>
      <c r="Y298" s="929">
        <f t="shared" si="407"/>
        <v>7.6376777569593154E-3</v>
      </c>
      <c r="Z298" s="929">
        <f t="shared" si="407"/>
        <v>7.078823286937902E-3</v>
      </c>
      <c r="AA298" s="929">
        <f t="shared" si="407"/>
        <v>6.5199688169164886E-3</v>
      </c>
      <c r="AB298" s="929">
        <f t="shared" si="408"/>
        <v>5.961114346895076E-3</v>
      </c>
      <c r="AC298" s="929">
        <f t="shared" si="408"/>
        <v>5.9611143468950752E-3</v>
      </c>
      <c r="AD298" s="929">
        <f t="shared" si="408"/>
        <v>5.9611143468950752E-3</v>
      </c>
      <c r="AE298" s="929">
        <f t="shared" si="408"/>
        <v>7.4513929336188448E-3</v>
      </c>
      <c r="AF298" s="929">
        <f t="shared" si="408"/>
        <v>5.961114346895076E-3</v>
      </c>
      <c r="AG298" s="929">
        <f t="shared" si="408"/>
        <v>5.9611143468950752E-3</v>
      </c>
      <c r="AH298" s="1152">
        <f t="shared" si="408"/>
        <v>5.961114346895076E-3</v>
      </c>
      <c r="AI298" s="1152">
        <f t="shared" ref="AI298:AJ298" si="418">AI56*AI266</f>
        <v>5.9611143468950752E-3</v>
      </c>
      <c r="AJ298" s="1152">
        <f t="shared" si="418"/>
        <v>5.9611143468950769E-3</v>
      </c>
      <c r="AK298" s="1686">
        <f t="shared" ref="AK298" si="419">AK56*AK266</f>
        <v>5.9611143468950769E-3</v>
      </c>
    </row>
    <row r="299" spans="2:37">
      <c r="B299" s="930" t="s">
        <v>277</v>
      </c>
      <c r="C299" s="928" t="s">
        <v>321</v>
      </c>
      <c r="D299" s="929">
        <f t="shared" si="406"/>
        <v>10.461755678800854</v>
      </c>
      <c r="E299" s="929">
        <f t="shared" si="411"/>
        <v>10.039220302837256</v>
      </c>
      <c r="F299" s="929">
        <f t="shared" si="407"/>
        <v>9.6166849268736598</v>
      </c>
      <c r="G299" s="929">
        <f t="shared" si="407"/>
        <v>9.1941495509100619</v>
      </c>
      <c r="H299" s="929">
        <f t="shared" si="407"/>
        <v>8.771614174946464</v>
      </c>
      <c r="I299" s="929">
        <f t="shared" si="407"/>
        <v>8.3490787989828679</v>
      </c>
      <c r="J299" s="929">
        <f t="shared" si="407"/>
        <v>7.92654342301927</v>
      </c>
      <c r="K299" s="929">
        <f t="shared" si="407"/>
        <v>7.504008047055672</v>
      </c>
      <c r="L299" s="929">
        <f t="shared" si="407"/>
        <v>7.0814726710920759</v>
      </c>
      <c r="M299" s="929">
        <f t="shared" si="407"/>
        <v>6.658937295128478</v>
      </c>
      <c r="N299" s="929">
        <f t="shared" si="407"/>
        <v>6.236401919164881</v>
      </c>
      <c r="O299" s="929">
        <f t="shared" si="407"/>
        <v>5.813866543201283</v>
      </c>
      <c r="P299" s="929">
        <f t="shared" si="407"/>
        <v>5.391331167237686</v>
      </c>
      <c r="Q299" s="929">
        <f t="shared" si="407"/>
        <v>4.9687957912740881</v>
      </c>
      <c r="R299" s="929">
        <f t="shared" si="407"/>
        <v>4.5462604153104911</v>
      </c>
      <c r="S299" s="929">
        <f t="shared" si="407"/>
        <v>4.1237250393468949</v>
      </c>
      <c r="T299" s="929">
        <f t="shared" si="407"/>
        <v>3.701189663383297</v>
      </c>
      <c r="U299" s="929">
        <f t="shared" si="407"/>
        <v>3.2786542874196991</v>
      </c>
      <c r="V299" s="929">
        <f t="shared" si="407"/>
        <v>2.8561189114561021</v>
      </c>
      <c r="W299" s="929">
        <f t="shared" si="407"/>
        <v>2.4335835354925059</v>
      </c>
      <c r="X299" s="929">
        <f t="shared" si="407"/>
        <v>2.011048159528908</v>
      </c>
      <c r="Y299" s="929">
        <f t="shared" si="407"/>
        <v>1.5885127835653101</v>
      </c>
      <c r="Z299" s="929">
        <f t="shared" si="407"/>
        <v>1.1659774076017122</v>
      </c>
      <c r="AA299" s="929">
        <f t="shared" si="407"/>
        <v>0.74344203163811606</v>
      </c>
      <c r="AB299" s="929">
        <f t="shared" si="408"/>
        <v>0.32090665567451826</v>
      </c>
      <c r="AC299" s="929">
        <f t="shared" si="408"/>
        <v>0.30401683169164884</v>
      </c>
      <c r="AD299" s="929">
        <f t="shared" si="408"/>
        <v>0.40535577558886515</v>
      </c>
      <c r="AE299" s="929">
        <f t="shared" si="408"/>
        <v>0.41802314357601711</v>
      </c>
      <c r="AF299" s="929">
        <f t="shared" si="408"/>
        <v>0.43491296755888648</v>
      </c>
      <c r="AG299" s="929">
        <f t="shared" si="408"/>
        <v>0.43491296755888648</v>
      </c>
      <c r="AH299" s="1152">
        <f t="shared" si="408"/>
        <v>0.41802314357601711</v>
      </c>
      <c r="AI299" s="1152">
        <f t="shared" ref="AI299:AJ299" si="420">AI57*AI267</f>
        <v>0.46869261552462532</v>
      </c>
      <c r="AJ299" s="1152">
        <f t="shared" si="420"/>
        <v>0.4095782315845824</v>
      </c>
      <c r="AK299" s="1686">
        <f t="shared" ref="AK299" si="421">AK57*AK267</f>
        <v>0.42646805556745176</v>
      </c>
    </row>
    <row r="300" spans="2:37">
      <c r="B300" s="930" t="s">
        <v>278</v>
      </c>
      <c r="C300" s="928" t="s">
        <v>321</v>
      </c>
      <c r="D300" s="929">
        <f t="shared" si="406"/>
        <v>6.6168369250535319E-2</v>
      </c>
      <c r="E300" s="929">
        <f t="shared" si="411"/>
        <v>7.347073432548179E-2</v>
      </c>
      <c r="F300" s="929">
        <f t="shared" si="407"/>
        <v>8.0773099400428261E-2</v>
      </c>
      <c r="G300" s="929">
        <f t="shared" si="407"/>
        <v>8.8075464475374718E-2</v>
      </c>
      <c r="H300" s="929">
        <f t="shared" si="407"/>
        <v>9.5377829550321189E-2</v>
      </c>
      <c r="I300" s="929">
        <f t="shared" si="407"/>
        <v>0.10268019462526765</v>
      </c>
      <c r="J300" s="929">
        <f t="shared" si="407"/>
        <v>0.10998255970021412</v>
      </c>
      <c r="K300" s="929">
        <f t="shared" si="407"/>
        <v>0.11728492477516059</v>
      </c>
      <c r="L300" s="929">
        <f t="shared" si="407"/>
        <v>0.12458728985010706</v>
      </c>
      <c r="M300" s="929">
        <f t="shared" si="407"/>
        <v>0.13188965492505353</v>
      </c>
      <c r="N300" s="929">
        <f t="shared" si="407"/>
        <v>0.13919201999999997</v>
      </c>
      <c r="O300" s="929">
        <f t="shared" si="407"/>
        <v>0.14649438507494644</v>
      </c>
      <c r="P300" s="929">
        <f t="shared" si="407"/>
        <v>0.15379675014989291</v>
      </c>
      <c r="Q300" s="929">
        <f t="shared" si="407"/>
        <v>0.16109911522483938</v>
      </c>
      <c r="R300" s="929">
        <f t="shared" si="407"/>
        <v>0.16840148029978586</v>
      </c>
      <c r="S300" s="929">
        <f t="shared" si="407"/>
        <v>0.17570384537473233</v>
      </c>
      <c r="T300" s="929">
        <f t="shared" si="407"/>
        <v>0.1830062104496788</v>
      </c>
      <c r="U300" s="929">
        <f t="shared" si="407"/>
        <v>0.19030857552462527</v>
      </c>
      <c r="V300" s="929">
        <f t="shared" si="407"/>
        <v>0.19761094059957174</v>
      </c>
      <c r="W300" s="929">
        <f t="shared" si="407"/>
        <v>0.20491330567451818</v>
      </c>
      <c r="X300" s="929">
        <f t="shared" si="407"/>
        <v>0.21221567074946465</v>
      </c>
      <c r="Y300" s="929">
        <f t="shared" si="407"/>
        <v>0.21951803582441112</v>
      </c>
      <c r="Z300" s="929">
        <f t="shared" si="407"/>
        <v>0.22682040089935759</v>
      </c>
      <c r="AA300" s="929">
        <f t="shared" si="407"/>
        <v>0.23412276597430406</v>
      </c>
      <c r="AB300" s="929">
        <f t="shared" si="408"/>
        <v>0.24142513104925054</v>
      </c>
      <c r="AC300" s="929">
        <f t="shared" si="408"/>
        <v>0.24589596680942188</v>
      </c>
      <c r="AD300" s="929">
        <f t="shared" si="408"/>
        <v>0.27421125995717344</v>
      </c>
      <c r="AE300" s="929">
        <f t="shared" si="408"/>
        <v>0.26526958843683085</v>
      </c>
      <c r="AF300" s="929">
        <f t="shared" si="408"/>
        <v>0.26526958843683091</v>
      </c>
      <c r="AG300" s="929">
        <f t="shared" si="408"/>
        <v>0.26377930985010711</v>
      </c>
      <c r="AH300" s="1152">
        <f t="shared" si="408"/>
        <v>0.27421125995717344</v>
      </c>
      <c r="AI300" s="1152">
        <f t="shared" ref="AI300:AJ300" si="422">AI58*AI268</f>
        <v>0.28166265289079229</v>
      </c>
      <c r="AJ300" s="1152">
        <f t="shared" si="422"/>
        <v>0.25036680256959315</v>
      </c>
      <c r="AK300" s="1686">
        <f t="shared" ref="AK300" si="423">AK58*AK268</f>
        <v>0.2429154096359743</v>
      </c>
    </row>
    <row r="301" spans="2:37">
      <c r="B301" s="930" t="s">
        <v>279</v>
      </c>
      <c r="C301" s="928" t="s">
        <v>321</v>
      </c>
      <c r="D301" s="929">
        <f t="shared" si="406"/>
        <v>0.50629731186295512</v>
      </c>
      <c r="E301" s="929">
        <f t="shared" si="411"/>
        <v>0.50849133311563177</v>
      </c>
      <c r="F301" s="929">
        <f t="shared" si="407"/>
        <v>0.51068535436830842</v>
      </c>
      <c r="G301" s="929">
        <f t="shared" si="407"/>
        <v>0.51287937562098507</v>
      </c>
      <c r="H301" s="929">
        <f t="shared" si="407"/>
        <v>0.51507339687366172</v>
      </c>
      <c r="I301" s="929">
        <f t="shared" si="407"/>
        <v>0.51726741812633836</v>
      </c>
      <c r="J301" s="929">
        <f t="shared" si="407"/>
        <v>0.51946143937901512</v>
      </c>
      <c r="K301" s="929">
        <f t="shared" si="407"/>
        <v>0.52165546063169177</v>
      </c>
      <c r="L301" s="929">
        <f t="shared" si="407"/>
        <v>0.52384948188436842</v>
      </c>
      <c r="M301" s="929">
        <f t="shared" si="407"/>
        <v>0.52604350313704507</v>
      </c>
      <c r="N301" s="929">
        <f t="shared" si="407"/>
        <v>0.52823752438972171</v>
      </c>
      <c r="O301" s="929">
        <f t="shared" si="407"/>
        <v>0.53043154564239836</v>
      </c>
      <c r="P301" s="929">
        <f t="shared" si="407"/>
        <v>0.53262556689507501</v>
      </c>
      <c r="Q301" s="929">
        <f t="shared" si="407"/>
        <v>0.53481958814775166</v>
      </c>
      <c r="R301" s="929">
        <f t="shared" si="407"/>
        <v>0.5370136094004283</v>
      </c>
      <c r="S301" s="929">
        <f t="shared" si="407"/>
        <v>0.53920763065310495</v>
      </c>
      <c r="T301" s="929">
        <f t="shared" si="407"/>
        <v>0.5414016519057816</v>
      </c>
      <c r="U301" s="929">
        <f t="shared" si="407"/>
        <v>0.54359567315845825</v>
      </c>
      <c r="V301" s="929">
        <f t="shared" si="407"/>
        <v>0.5457896944111349</v>
      </c>
      <c r="W301" s="929">
        <f t="shared" si="407"/>
        <v>0.54798371566381165</v>
      </c>
      <c r="X301" s="929">
        <f t="shared" si="407"/>
        <v>0.5501777369164883</v>
      </c>
      <c r="Y301" s="929">
        <f t="shared" si="407"/>
        <v>0.55237175816916495</v>
      </c>
      <c r="Z301" s="929">
        <f t="shared" si="407"/>
        <v>0.5545657794218416</v>
      </c>
      <c r="AA301" s="929">
        <f t="shared" si="407"/>
        <v>0.55675980067451825</v>
      </c>
      <c r="AB301" s="929">
        <f t="shared" si="408"/>
        <v>0.55895382192719489</v>
      </c>
      <c r="AC301" s="929">
        <f t="shared" si="408"/>
        <v>0.54931668706638126</v>
      </c>
      <c r="AD301" s="929">
        <f t="shared" si="408"/>
        <v>0.52040528248394013</v>
      </c>
      <c r="AE301" s="929">
        <f t="shared" si="408"/>
        <v>0.53004241734475366</v>
      </c>
      <c r="AF301" s="929">
        <f t="shared" si="408"/>
        <v>0.53967955220556751</v>
      </c>
      <c r="AG301" s="929">
        <f t="shared" si="408"/>
        <v>0.54449811963597439</v>
      </c>
      <c r="AH301" s="1152">
        <f t="shared" si="408"/>
        <v>0.53004241734475366</v>
      </c>
      <c r="AI301" s="1152">
        <f t="shared" ref="AI301:AJ301" si="424">AI59*AI269</f>
        <v>0.48667531047109203</v>
      </c>
      <c r="AJ301" s="1152">
        <f t="shared" si="424"/>
        <v>0.48667531047109214</v>
      </c>
      <c r="AK301" s="1686">
        <f t="shared" ref="AK301" si="425">AK59*AK269</f>
        <v>0.47221960817987157</v>
      </c>
    </row>
    <row r="302" spans="2:37">
      <c r="B302" s="930" t="s">
        <v>280</v>
      </c>
      <c r="C302" s="928" t="s">
        <v>321</v>
      </c>
      <c r="D302" s="929">
        <f t="shared" si="406"/>
        <v>0.12847940075910064</v>
      </c>
      <c r="E302" s="929">
        <f t="shared" si="411"/>
        <v>0.15131719565966273</v>
      </c>
      <c r="F302" s="929">
        <f t="shared" si="407"/>
        <v>0.17415499056022485</v>
      </c>
      <c r="G302" s="929">
        <f t="shared" si="407"/>
        <v>0.19699278546078694</v>
      </c>
      <c r="H302" s="929">
        <f t="shared" si="407"/>
        <v>0.21983058036134906</v>
      </c>
      <c r="I302" s="929">
        <f t="shared" si="407"/>
        <v>0.24266837526191115</v>
      </c>
      <c r="J302" s="929">
        <f t="shared" si="407"/>
        <v>0.26550617016247324</v>
      </c>
      <c r="K302" s="929">
        <f t="shared" si="407"/>
        <v>0.28834396506303533</v>
      </c>
      <c r="L302" s="929">
        <f t="shared" si="407"/>
        <v>0.31118175996359743</v>
      </c>
      <c r="M302" s="929">
        <f t="shared" si="407"/>
        <v>0.33401955486415957</v>
      </c>
      <c r="N302" s="929">
        <f t="shared" si="407"/>
        <v>0.35685734976472167</v>
      </c>
      <c r="O302" s="929">
        <f t="shared" si="407"/>
        <v>0.37969514466528376</v>
      </c>
      <c r="P302" s="929">
        <f t="shared" si="407"/>
        <v>0.40253293956584585</v>
      </c>
      <c r="Q302" s="929">
        <f t="shared" si="407"/>
        <v>0.42537073446640794</v>
      </c>
      <c r="R302" s="929">
        <f t="shared" si="407"/>
        <v>0.44820852936697003</v>
      </c>
      <c r="S302" s="929">
        <f t="shared" si="407"/>
        <v>0.47104632426753212</v>
      </c>
      <c r="T302" s="929">
        <f t="shared" si="407"/>
        <v>0.49388411916809427</v>
      </c>
      <c r="U302" s="929">
        <f t="shared" si="407"/>
        <v>0.51672191406865631</v>
      </c>
      <c r="V302" s="929">
        <f t="shared" si="407"/>
        <v>0.53955970896921845</v>
      </c>
      <c r="W302" s="929">
        <f t="shared" si="407"/>
        <v>0.5623975038697806</v>
      </c>
      <c r="X302" s="929">
        <f t="shared" si="407"/>
        <v>0.58523529877034264</v>
      </c>
      <c r="Y302" s="929">
        <f t="shared" si="407"/>
        <v>0.60807309367090467</v>
      </c>
      <c r="Z302" s="929">
        <f t="shared" si="407"/>
        <v>0.63091088857146693</v>
      </c>
      <c r="AA302" s="929">
        <f t="shared" si="407"/>
        <v>0.65374868347202897</v>
      </c>
      <c r="AB302" s="929">
        <f t="shared" si="408"/>
        <v>0.67658647837259112</v>
      </c>
      <c r="AC302" s="929">
        <f t="shared" si="408"/>
        <v>0.69148926423982882</v>
      </c>
      <c r="AD302" s="929">
        <f t="shared" si="408"/>
        <v>0.69596010000000008</v>
      </c>
      <c r="AE302" s="929">
        <f t="shared" si="408"/>
        <v>0.68999898565310502</v>
      </c>
      <c r="AF302" s="929">
        <f t="shared" si="408"/>
        <v>0.66019341391862962</v>
      </c>
      <c r="AG302" s="929">
        <f t="shared" si="408"/>
        <v>0.65721285674518215</v>
      </c>
      <c r="AH302" s="1152">
        <f t="shared" si="408"/>
        <v>0.67658647837259112</v>
      </c>
      <c r="AI302" s="1152">
        <f t="shared" ref="AI302:AJ302" si="426">AI60*AI270</f>
        <v>0.61101422055674526</v>
      </c>
      <c r="AJ302" s="1152">
        <f t="shared" si="426"/>
        <v>0.64529062805139192</v>
      </c>
      <c r="AK302" s="1686">
        <f t="shared" ref="AK302" si="427">AK60*AK270</f>
        <v>0.56481558436830837</v>
      </c>
    </row>
    <row r="303" spans="2:37">
      <c r="B303" s="933" t="s">
        <v>281</v>
      </c>
      <c r="C303" s="928" t="s">
        <v>321</v>
      </c>
      <c r="D303" s="929">
        <f t="shared" si="406"/>
        <v>0.13279872486295505</v>
      </c>
      <c r="E303" s="929">
        <f t="shared" si="411"/>
        <v>0.13494596792665955</v>
      </c>
      <c r="F303" s="929">
        <f t="shared" si="407"/>
        <v>0.13709321099036403</v>
      </c>
      <c r="G303" s="929">
        <f t="shared" si="407"/>
        <v>0.13924045405406854</v>
      </c>
      <c r="H303" s="929">
        <f t="shared" si="407"/>
        <v>0.14138769711777305</v>
      </c>
      <c r="I303" s="929">
        <f t="shared" si="407"/>
        <v>0.14353494018147753</v>
      </c>
      <c r="J303" s="929">
        <f t="shared" si="407"/>
        <v>0.14568218324518203</v>
      </c>
      <c r="K303" s="929">
        <f t="shared" si="407"/>
        <v>0.14782942630888651</v>
      </c>
      <c r="L303" s="929">
        <f t="shared" si="407"/>
        <v>0.14997666937259102</v>
      </c>
      <c r="M303" s="929">
        <f t="shared" si="407"/>
        <v>0.15212391243629553</v>
      </c>
      <c r="N303" s="929">
        <f t="shared" si="407"/>
        <v>0.15427115550000001</v>
      </c>
      <c r="O303" s="929">
        <f t="shared" si="407"/>
        <v>0.15641839856370451</v>
      </c>
      <c r="P303" s="929">
        <f t="shared" si="407"/>
        <v>0.15856564162740899</v>
      </c>
      <c r="Q303" s="929">
        <f t="shared" si="407"/>
        <v>0.1607128846911135</v>
      </c>
      <c r="R303" s="929">
        <f t="shared" si="407"/>
        <v>0.16286012775481801</v>
      </c>
      <c r="S303" s="929">
        <f t="shared" si="407"/>
        <v>0.16500737081852249</v>
      </c>
      <c r="T303" s="929">
        <f t="shared" si="407"/>
        <v>0.16715461388222699</v>
      </c>
      <c r="U303" s="929">
        <f t="shared" si="407"/>
        <v>0.1693018569459315</v>
      </c>
      <c r="V303" s="929">
        <f t="shared" si="407"/>
        <v>0.17144910000963598</v>
      </c>
      <c r="W303" s="929">
        <f t="shared" si="407"/>
        <v>0.17359634307334049</v>
      </c>
      <c r="X303" s="929">
        <f t="shared" si="407"/>
        <v>0.17574358613704499</v>
      </c>
      <c r="Y303" s="929">
        <f t="shared" si="407"/>
        <v>0.17789082920074947</v>
      </c>
      <c r="Z303" s="929">
        <f t="shared" si="407"/>
        <v>0.18003807226445398</v>
      </c>
      <c r="AA303" s="929">
        <f t="shared" si="407"/>
        <v>0.18218531532815846</v>
      </c>
      <c r="AB303" s="929">
        <f t="shared" si="408"/>
        <v>0.18433255839186297</v>
      </c>
      <c r="AC303" s="929">
        <f t="shared" si="408"/>
        <v>0.17508289596359747</v>
      </c>
      <c r="AD303" s="929">
        <f t="shared" si="408"/>
        <v>0.14336976763811565</v>
      </c>
      <c r="AE303" s="929">
        <f t="shared" si="408"/>
        <v>0.14270907746466813</v>
      </c>
      <c r="AF303" s="929">
        <f t="shared" si="408"/>
        <v>0.1420483872912206</v>
      </c>
      <c r="AG303" s="929">
        <f t="shared" si="408"/>
        <v>0.14204838729122057</v>
      </c>
      <c r="AH303" s="1152">
        <f t="shared" si="408"/>
        <v>0.14469114798501073</v>
      </c>
      <c r="AI303" s="1152">
        <f t="shared" ref="AI303:AJ303" si="428">AI61*AI271</f>
        <v>0.14336976763811565</v>
      </c>
      <c r="AJ303" s="1152">
        <f t="shared" si="428"/>
        <v>0.14204838729122057</v>
      </c>
      <c r="AK303" s="1686">
        <f t="shared" ref="AK303" si="429">AK61*AK271</f>
        <v>0.18367186821841541</v>
      </c>
    </row>
    <row r="304" spans="2:37">
      <c r="B304" s="1033" t="s">
        <v>282</v>
      </c>
      <c r="C304" s="925"/>
      <c r="D304" s="926"/>
      <c r="E304" s="926"/>
      <c r="F304" s="926"/>
      <c r="G304" s="926"/>
      <c r="H304" s="926"/>
      <c r="I304" s="926"/>
      <c r="J304" s="926"/>
      <c r="K304" s="926"/>
      <c r="L304" s="926"/>
      <c r="M304" s="926"/>
      <c r="N304" s="926"/>
      <c r="O304" s="926"/>
      <c r="P304" s="926"/>
      <c r="Q304" s="926"/>
      <c r="R304" s="926"/>
      <c r="S304" s="926"/>
      <c r="T304" s="926"/>
      <c r="U304" s="926"/>
      <c r="V304" s="926"/>
      <c r="W304" s="926"/>
      <c r="X304" s="926"/>
      <c r="Y304" s="926"/>
      <c r="Z304" s="926"/>
      <c r="AA304" s="926"/>
      <c r="AB304" s="926"/>
      <c r="AC304" s="926"/>
      <c r="AD304" s="926"/>
      <c r="AE304" s="926"/>
      <c r="AF304" s="926"/>
      <c r="AG304" s="926"/>
      <c r="AH304" s="926"/>
      <c r="AI304" s="926"/>
      <c r="AJ304" s="926"/>
      <c r="AK304" s="1388"/>
    </row>
    <row r="305" spans="1:37">
      <c r="B305" s="1181" t="s">
        <v>127</v>
      </c>
      <c r="C305" s="928" t="s">
        <v>321</v>
      </c>
      <c r="D305" s="929">
        <f t="shared" ref="D305:AH305" si="430">D65*D273</f>
        <v>49.034161189092522</v>
      </c>
      <c r="E305" s="929">
        <f t="shared" si="430"/>
        <v>49.433430258429119</v>
      </c>
      <c r="F305" s="929">
        <f t="shared" si="430"/>
        <v>49.888290980331746</v>
      </c>
      <c r="G305" s="929">
        <f t="shared" si="430"/>
        <v>50.656928876851936</v>
      </c>
      <c r="H305" s="929">
        <f t="shared" si="430"/>
        <v>51.727813502701913</v>
      </c>
      <c r="I305" s="929">
        <f t="shared" si="430"/>
        <v>51.771260922018115</v>
      </c>
      <c r="J305" s="929">
        <f t="shared" si="430"/>
        <v>52.098190695823213</v>
      </c>
      <c r="K305" s="929">
        <f t="shared" si="430"/>
        <v>52.807422686012977</v>
      </c>
      <c r="L305" s="929">
        <f t="shared" si="430"/>
        <v>53.157807928369195</v>
      </c>
      <c r="M305" s="929">
        <f t="shared" si="430"/>
        <v>54.052228515119602</v>
      </c>
      <c r="N305" s="929">
        <f t="shared" si="430"/>
        <v>56.064313138830371</v>
      </c>
      <c r="O305" s="929">
        <f t="shared" si="430"/>
        <v>56.249633261382897</v>
      </c>
      <c r="P305" s="929">
        <f t="shared" si="430"/>
        <v>56.81712407432822</v>
      </c>
      <c r="Q305" s="929">
        <f t="shared" si="430"/>
        <v>58.078151442432819</v>
      </c>
      <c r="R305" s="929">
        <f t="shared" si="430"/>
        <v>57.263874026731848</v>
      </c>
      <c r="S305" s="929">
        <f t="shared" si="430"/>
        <v>56.885342222114282</v>
      </c>
      <c r="T305" s="929">
        <f t="shared" si="430"/>
        <v>59.136190363076309</v>
      </c>
      <c r="U305" s="929">
        <f t="shared" si="430"/>
        <v>59.689564052893658</v>
      </c>
      <c r="V305" s="929">
        <f t="shared" si="430"/>
        <v>59.884288283865253</v>
      </c>
      <c r="W305" s="929">
        <f t="shared" si="430"/>
        <v>60.079012514836883</v>
      </c>
      <c r="X305" s="929">
        <f t="shared" si="430"/>
        <v>60.922488700734199</v>
      </c>
      <c r="Y305" s="929">
        <f t="shared" si="430"/>
        <v>61.743298574031655</v>
      </c>
      <c r="Z305" s="929">
        <f t="shared" si="430"/>
        <v>63.480888452698338</v>
      </c>
      <c r="AA305" s="929">
        <f t="shared" si="430"/>
        <v>64.341550701534047</v>
      </c>
      <c r="AB305" s="929">
        <f t="shared" si="430"/>
        <v>64.068502742400582</v>
      </c>
      <c r="AC305" s="929">
        <f t="shared" si="430"/>
        <v>64.801628621114403</v>
      </c>
      <c r="AD305" s="929">
        <f t="shared" si="430"/>
        <v>65.524846208440266</v>
      </c>
      <c r="AE305" s="929">
        <f t="shared" si="430"/>
        <v>66.239646132286083</v>
      </c>
      <c r="AF305" s="929">
        <f t="shared" si="430"/>
        <v>67.198032193085268</v>
      </c>
      <c r="AG305" s="929">
        <f t="shared" si="430"/>
        <v>67.872979741392825</v>
      </c>
      <c r="AH305" s="1152">
        <f t="shared" si="430"/>
        <v>81.80416895884413</v>
      </c>
      <c r="AI305" s="1152">
        <f t="shared" ref="AI305:AJ305" si="431">AI65*AI273</f>
        <v>69.355672247804875</v>
      </c>
      <c r="AJ305" s="1152">
        <f t="shared" si="431"/>
        <v>78.484058345931913</v>
      </c>
      <c r="AK305" s="1686">
        <f t="shared" ref="AK305" si="432">AK65*AK273</f>
        <v>0</v>
      </c>
    </row>
    <row r="306" spans="1:37">
      <c r="B306" s="1182" t="s">
        <v>284</v>
      </c>
      <c r="C306" s="928" t="s">
        <v>321</v>
      </c>
      <c r="D306" s="929">
        <f t="shared" ref="D306:AH306" si="433">D66*D274</f>
        <v>59.096587259100623</v>
      </c>
      <c r="E306" s="929">
        <f t="shared" si="433"/>
        <v>61.143523554603846</v>
      </c>
      <c r="F306" s="929">
        <f t="shared" si="433"/>
        <v>59.164106531049242</v>
      </c>
      <c r="G306" s="929">
        <f t="shared" si="433"/>
        <v>70.40399839400429</v>
      </c>
      <c r="H306" s="929">
        <f t="shared" si="433"/>
        <v>63.898034261241968</v>
      </c>
      <c r="I306" s="929">
        <f t="shared" si="433"/>
        <v>71.965209314775151</v>
      </c>
      <c r="J306" s="929">
        <f t="shared" si="433"/>
        <v>72.954573340471086</v>
      </c>
      <c r="K306" s="929">
        <f t="shared" si="433"/>
        <v>74.358009635974298</v>
      </c>
      <c r="L306" s="929">
        <f t="shared" si="433"/>
        <v>74.982218415417563</v>
      </c>
      <c r="M306" s="929">
        <f t="shared" si="433"/>
        <v>77.975802462526758</v>
      </c>
      <c r="N306" s="929">
        <f t="shared" si="433"/>
        <v>81.293892398286928</v>
      </c>
      <c r="O306" s="929">
        <f t="shared" si="433"/>
        <v>83.354608137044963</v>
      </c>
      <c r="P306" s="929">
        <f t="shared" si="433"/>
        <v>84.362574411134887</v>
      </c>
      <c r="Q306" s="929">
        <f t="shared" si="433"/>
        <v>84.747709850107057</v>
      </c>
      <c r="R306" s="929">
        <f t="shared" si="433"/>
        <v>86.195240364025693</v>
      </c>
      <c r="S306" s="929">
        <f t="shared" si="433"/>
        <v>82.791717880085642</v>
      </c>
      <c r="T306" s="929">
        <f t="shared" si="433"/>
        <v>87.301729657387568</v>
      </c>
      <c r="U306" s="929">
        <f t="shared" si="433"/>
        <v>88.853294967880089</v>
      </c>
      <c r="V306" s="929">
        <f t="shared" si="433"/>
        <v>92.418036937901505</v>
      </c>
      <c r="W306" s="929">
        <f t="shared" si="433"/>
        <v>95.982778907922906</v>
      </c>
      <c r="X306" s="929">
        <f t="shared" si="433"/>
        <v>99.547520877944308</v>
      </c>
      <c r="Y306" s="929">
        <f t="shared" si="433"/>
        <v>95.233177194860801</v>
      </c>
      <c r="Z306" s="929">
        <f t="shared" si="433"/>
        <v>98.402449143468957</v>
      </c>
      <c r="AA306" s="929">
        <f t="shared" si="433"/>
        <v>99.381478586723773</v>
      </c>
      <c r="AB306" s="929">
        <f t="shared" si="433"/>
        <v>96.150199143468939</v>
      </c>
      <c r="AC306" s="929">
        <f t="shared" si="433"/>
        <v>96.837104389721617</v>
      </c>
      <c r="AD306" s="929">
        <f t="shared" si="433"/>
        <v>97.744480728051371</v>
      </c>
      <c r="AE306" s="929">
        <f t="shared" si="433"/>
        <v>98.428630085653111</v>
      </c>
      <c r="AF306" s="929">
        <f t="shared" si="433"/>
        <v>99.619862955032104</v>
      </c>
      <c r="AG306" s="929">
        <f t="shared" si="433"/>
        <v>99.741811027837244</v>
      </c>
      <c r="AH306" s="1152">
        <f t="shared" si="433"/>
        <v>121.37278104925052</v>
      </c>
      <c r="AI306" s="1152">
        <f t="shared" ref="AI306:AJ306" si="434">AI66*AI274</f>
        <v>100.53964079229122</v>
      </c>
      <c r="AJ306" s="1152">
        <f t="shared" si="434"/>
        <v>113.30767291220556</v>
      </c>
      <c r="AK306" s="1686">
        <f t="shared" ref="AK306" si="435">AK66*AK274</f>
        <v>0</v>
      </c>
    </row>
    <row r="307" spans="1:37">
      <c r="B307" s="1183" t="s">
        <v>160</v>
      </c>
      <c r="C307" s="928" t="s">
        <v>322</v>
      </c>
      <c r="D307" s="929">
        <f t="shared" ref="D307:AH307" si="436">D67*D275</f>
        <v>20.215591541755884</v>
      </c>
      <c r="E307" s="929">
        <f t="shared" si="436"/>
        <v>15.476258029978593</v>
      </c>
      <c r="F307" s="929">
        <f t="shared" si="436"/>
        <v>26.967518736616704</v>
      </c>
      <c r="G307" s="929">
        <f t="shared" si="436"/>
        <v>22.515698608137047</v>
      </c>
      <c r="H307" s="929">
        <f t="shared" si="436"/>
        <v>24.79107334047109</v>
      </c>
      <c r="I307" s="929">
        <f t="shared" si="436"/>
        <v>32.297336723768737</v>
      </c>
      <c r="J307" s="929">
        <f t="shared" si="436"/>
        <v>33.858565310492516</v>
      </c>
      <c r="K307" s="929">
        <f t="shared" si="436"/>
        <v>34.186268736616704</v>
      </c>
      <c r="L307" s="929">
        <f t="shared" si="436"/>
        <v>34.76438704496789</v>
      </c>
      <c r="M307" s="929">
        <f t="shared" si="436"/>
        <v>24.815805674518202</v>
      </c>
      <c r="N307" s="929">
        <f t="shared" si="436"/>
        <v>27.187018201284801</v>
      </c>
      <c r="O307" s="929">
        <f t="shared" si="436"/>
        <v>30.14253211991435</v>
      </c>
      <c r="P307" s="929">
        <f t="shared" si="436"/>
        <v>28.102114561027836</v>
      </c>
      <c r="Q307" s="929">
        <f t="shared" si="436"/>
        <v>34.84785867237688</v>
      </c>
      <c r="R307" s="929">
        <f t="shared" si="436"/>
        <v>33.849290685224837</v>
      </c>
      <c r="S307" s="929">
        <f t="shared" si="436"/>
        <v>37.157240364025704</v>
      </c>
      <c r="T307" s="929">
        <f t="shared" si="436"/>
        <v>38.508244111349043</v>
      </c>
      <c r="U307" s="929">
        <f t="shared" si="436"/>
        <v>39.194566381156328</v>
      </c>
      <c r="V307" s="929">
        <f t="shared" si="436"/>
        <v>39.269793897216282</v>
      </c>
      <c r="W307" s="929">
        <f t="shared" si="436"/>
        <v>39.345021413276228</v>
      </c>
      <c r="X307" s="929">
        <f t="shared" si="436"/>
        <v>39.420248929336189</v>
      </c>
      <c r="Y307" s="929">
        <f t="shared" si="436"/>
        <v>33.144419164882237</v>
      </c>
      <c r="Z307" s="929">
        <f t="shared" si="436"/>
        <v>33.512312633832984</v>
      </c>
      <c r="AA307" s="929">
        <f t="shared" si="436"/>
        <v>34.201726445396147</v>
      </c>
      <c r="AB307" s="929">
        <f t="shared" si="436"/>
        <v>33.840016059957179</v>
      </c>
      <c r="AC307" s="929">
        <f t="shared" si="436"/>
        <v>34.82930942184155</v>
      </c>
      <c r="AD307" s="929">
        <f t="shared" si="436"/>
        <v>35.039534261241982</v>
      </c>
      <c r="AE307" s="929">
        <f t="shared" si="436"/>
        <v>34.61290149892934</v>
      </c>
      <c r="AF307" s="929">
        <f t="shared" si="436"/>
        <v>34.640725374732341</v>
      </c>
      <c r="AG307" s="929">
        <f t="shared" si="436"/>
        <v>34.612901498929332</v>
      </c>
      <c r="AH307" s="1152">
        <f t="shared" si="436"/>
        <v>37.840471092077095</v>
      </c>
      <c r="AI307" s="1152">
        <f t="shared" ref="AI307:AJ307" si="437">AI67*AI275</f>
        <v>34.282106531049259</v>
      </c>
      <c r="AJ307" s="1152">
        <f t="shared" si="437"/>
        <v>36.551298179871523</v>
      </c>
      <c r="AK307" s="1686">
        <f t="shared" ref="AK307" si="438">AK67*AK275</f>
        <v>0</v>
      </c>
    </row>
    <row r="308" spans="1:37">
      <c r="B308" s="924" t="s">
        <v>285</v>
      </c>
      <c r="C308" s="925"/>
      <c r="D308" s="926"/>
      <c r="E308" s="926"/>
      <c r="F308" s="926"/>
      <c r="G308" s="926"/>
      <c r="H308" s="926"/>
      <c r="I308" s="926"/>
      <c r="J308" s="926"/>
      <c r="K308" s="926"/>
      <c r="L308" s="926"/>
      <c r="M308" s="926"/>
      <c r="N308" s="926"/>
      <c r="O308" s="926"/>
      <c r="P308" s="926"/>
      <c r="Q308" s="926"/>
      <c r="R308" s="926"/>
      <c r="S308" s="926"/>
      <c r="T308" s="926"/>
      <c r="U308" s="926"/>
      <c r="V308" s="926"/>
      <c r="W308" s="926"/>
      <c r="X308" s="926"/>
      <c r="Y308" s="926"/>
      <c r="Z308" s="926"/>
      <c r="AA308" s="926"/>
      <c r="AB308" s="926"/>
      <c r="AC308" s="926"/>
      <c r="AD308" s="926"/>
      <c r="AE308" s="926"/>
      <c r="AF308" s="926"/>
      <c r="AG308" s="926"/>
      <c r="AH308" s="926"/>
      <c r="AI308" s="926"/>
      <c r="AJ308" s="926"/>
      <c r="AK308" s="1388"/>
    </row>
    <row r="309" spans="1:37">
      <c r="B309" s="928" t="s">
        <v>286</v>
      </c>
      <c r="C309" s="928" t="s">
        <v>321</v>
      </c>
      <c r="D309" s="929">
        <f t="shared" ref="D309:AH309" si="439">D34*D277</f>
        <v>0.49987845289079236</v>
      </c>
      <c r="E309" s="929">
        <f t="shared" si="439"/>
        <v>0.50174980728051399</v>
      </c>
      <c r="F309" s="929">
        <f t="shared" si="439"/>
        <v>0.5092777556209851</v>
      </c>
      <c r="G309" s="929">
        <f t="shared" si="439"/>
        <v>0.51246756423982887</v>
      </c>
      <c r="H309" s="929">
        <f t="shared" si="439"/>
        <v>0.52086030513918646</v>
      </c>
      <c r="I309" s="929">
        <f t="shared" si="439"/>
        <v>0.52809053800856542</v>
      </c>
      <c r="J309" s="929">
        <f t="shared" si="439"/>
        <v>0.53319423179871528</v>
      </c>
      <c r="K309" s="929">
        <f t="shared" si="439"/>
        <v>0.53998497992505368</v>
      </c>
      <c r="L309" s="929">
        <f t="shared" si="439"/>
        <v>0.54660560492505361</v>
      </c>
      <c r="M309" s="929">
        <f t="shared" si="439"/>
        <v>0.55307028372591005</v>
      </c>
      <c r="N309" s="929">
        <f t="shared" si="439"/>
        <v>0.55930813169164895</v>
      </c>
      <c r="O309" s="929">
        <f t="shared" si="439"/>
        <v>0.56815453426124207</v>
      </c>
      <c r="P309" s="929">
        <f t="shared" si="439"/>
        <v>0.57371188972162768</v>
      </c>
      <c r="Q309" s="929">
        <f t="shared" si="439"/>
        <v>0.57777121644724316</v>
      </c>
      <c r="R309" s="929">
        <f t="shared" si="439"/>
        <v>0.58653824731614035</v>
      </c>
      <c r="S309" s="929">
        <f t="shared" si="439"/>
        <v>0.5941370991006425</v>
      </c>
      <c r="T309" s="929">
        <f t="shared" si="439"/>
        <v>0.58910148291488229</v>
      </c>
      <c r="U309" s="929">
        <f t="shared" si="439"/>
        <v>0.59268104361616736</v>
      </c>
      <c r="V309" s="929">
        <f t="shared" si="439"/>
        <v>0.59607908294164891</v>
      </c>
      <c r="W309" s="929">
        <f t="shared" si="439"/>
        <v>0.59737871021145617</v>
      </c>
      <c r="X309" s="929">
        <f t="shared" si="439"/>
        <v>0.59919656087794448</v>
      </c>
      <c r="Y309" s="929">
        <f t="shared" si="439"/>
        <v>0.60087488222698082</v>
      </c>
      <c r="Z309" s="929">
        <f t="shared" si="439"/>
        <v>0.60350220708244107</v>
      </c>
      <c r="AA309" s="929">
        <f t="shared" si="439"/>
        <v>0.60627677350374765</v>
      </c>
      <c r="AB309" s="929">
        <f t="shared" si="439"/>
        <v>0.61035317879550333</v>
      </c>
      <c r="AC309" s="929">
        <f t="shared" si="439"/>
        <v>0.61177529471627423</v>
      </c>
      <c r="AD309" s="929">
        <f t="shared" si="439"/>
        <v>0.61332922770610288</v>
      </c>
      <c r="AE309" s="929">
        <f t="shared" si="439"/>
        <v>0.61438736519807291</v>
      </c>
      <c r="AF309" s="929">
        <f t="shared" si="439"/>
        <v>0.61568897723768745</v>
      </c>
      <c r="AG309" s="929">
        <f t="shared" si="439"/>
        <v>0.6168431208806211</v>
      </c>
      <c r="AH309" s="1152">
        <f t="shared" si="439"/>
        <v>0.61806437809689518</v>
      </c>
      <c r="AI309" s="1152">
        <f t="shared" ref="AI309:AJ309" si="440">AI34*AI277</f>
        <v>0.61754034216006437</v>
      </c>
      <c r="AJ309" s="1152">
        <f t="shared" si="440"/>
        <v>0.61931810047644553</v>
      </c>
      <c r="AK309" s="1686">
        <f t="shared" ref="AK309" si="441">AK34*AK277</f>
        <v>0.61974009089132787</v>
      </c>
    </row>
    <row r="310" spans="1:37">
      <c r="B310" s="933" t="s">
        <v>287</v>
      </c>
      <c r="C310" s="928" t="s">
        <v>321</v>
      </c>
      <c r="D310" s="929">
        <f t="shared" ref="D310:AH310" si="442">D34*D278</f>
        <v>1.0197520438972163</v>
      </c>
      <c r="E310" s="929">
        <f t="shared" si="442"/>
        <v>1.0235696068522484</v>
      </c>
      <c r="F310" s="929">
        <f t="shared" si="442"/>
        <v>1.0389266214668096</v>
      </c>
      <c r="G310" s="929">
        <f t="shared" si="442"/>
        <v>1.0454338310492504</v>
      </c>
      <c r="H310" s="929">
        <f t="shared" si="442"/>
        <v>1.06255502248394</v>
      </c>
      <c r="I310" s="929">
        <f t="shared" si="442"/>
        <v>1.0773046975374734</v>
      </c>
      <c r="J310" s="929">
        <f t="shared" si="442"/>
        <v>1.087716232869379</v>
      </c>
      <c r="K310" s="929">
        <f t="shared" si="442"/>
        <v>1.1015693590471092</v>
      </c>
      <c r="L310" s="929">
        <f t="shared" si="442"/>
        <v>1.1150754340471092</v>
      </c>
      <c r="M310" s="929">
        <f t="shared" si="442"/>
        <v>1.1282633788008565</v>
      </c>
      <c r="N310" s="929">
        <f t="shared" si="442"/>
        <v>1.1409885886509636</v>
      </c>
      <c r="O310" s="929">
        <f t="shared" si="442"/>
        <v>1.1590352498929335</v>
      </c>
      <c r="P310" s="929">
        <f t="shared" si="442"/>
        <v>1.1703722550321201</v>
      </c>
      <c r="Q310" s="929">
        <f t="shared" si="442"/>
        <v>1.1786532815523758</v>
      </c>
      <c r="R310" s="929">
        <f t="shared" si="442"/>
        <v>1.196538024524926</v>
      </c>
      <c r="S310" s="929">
        <f t="shared" si="442"/>
        <v>1.2120396821653103</v>
      </c>
      <c r="T310" s="929">
        <f t="shared" si="442"/>
        <v>1.2017670251463597</v>
      </c>
      <c r="U310" s="929">
        <f t="shared" si="442"/>
        <v>1.2090693289769809</v>
      </c>
      <c r="V310" s="929">
        <f t="shared" si="442"/>
        <v>1.2160013292009639</v>
      </c>
      <c r="W310" s="929">
        <f t="shared" si="442"/>
        <v>1.2186525688313703</v>
      </c>
      <c r="X310" s="929">
        <f t="shared" si="442"/>
        <v>1.2223609841910064</v>
      </c>
      <c r="Y310" s="929">
        <f t="shared" si="442"/>
        <v>1.2257847597430405</v>
      </c>
      <c r="Z310" s="929">
        <f t="shared" si="442"/>
        <v>1.2311445024481797</v>
      </c>
      <c r="AA310" s="929">
        <f t="shared" si="442"/>
        <v>1.2368046179476448</v>
      </c>
      <c r="AB310" s="929">
        <f t="shared" si="442"/>
        <v>1.2451204847428261</v>
      </c>
      <c r="AC310" s="929">
        <f t="shared" si="442"/>
        <v>1.2480216012211991</v>
      </c>
      <c r="AD310" s="929">
        <f t="shared" si="442"/>
        <v>1.2511916245204497</v>
      </c>
      <c r="AE310" s="929">
        <f t="shared" si="442"/>
        <v>1.2533502250040682</v>
      </c>
      <c r="AF310" s="929">
        <f t="shared" si="442"/>
        <v>1.2560055135648818</v>
      </c>
      <c r="AG310" s="929">
        <f t="shared" si="442"/>
        <v>1.2583599665964669</v>
      </c>
      <c r="AH310" s="1152">
        <f t="shared" si="442"/>
        <v>1.2608513313176659</v>
      </c>
      <c r="AI310" s="1152">
        <f t="shared" ref="AI310:AJ310" si="443">AI34*AI278</f>
        <v>1.2597822980065307</v>
      </c>
      <c r="AJ310" s="1152">
        <f t="shared" si="443"/>
        <v>1.2634089249719489</v>
      </c>
      <c r="AK310" s="1686">
        <f t="shared" ref="AK310" si="444">AK34*AK278</f>
        <v>1.2642697854183087</v>
      </c>
    </row>
    <row r="311" spans="1:37">
      <c r="B311" s="924" t="s">
        <v>288</v>
      </c>
      <c r="C311" s="925"/>
      <c r="D311" s="926"/>
      <c r="E311" s="926"/>
      <c r="F311" s="926"/>
      <c r="G311" s="926"/>
      <c r="H311" s="926"/>
      <c r="I311" s="926"/>
      <c r="J311" s="926"/>
      <c r="K311" s="926"/>
      <c r="L311" s="926"/>
      <c r="M311" s="926"/>
      <c r="N311" s="926"/>
      <c r="O311" s="926"/>
      <c r="P311" s="926"/>
      <c r="Q311" s="926"/>
      <c r="R311" s="926"/>
      <c r="S311" s="926"/>
      <c r="T311" s="926"/>
      <c r="U311" s="926"/>
      <c r="V311" s="926"/>
      <c r="W311" s="926"/>
      <c r="X311" s="926"/>
      <c r="Y311" s="926"/>
      <c r="Z311" s="926"/>
      <c r="AA311" s="926"/>
      <c r="AB311" s="926"/>
      <c r="AC311" s="926"/>
      <c r="AD311" s="926"/>
      <c r="AE311" s="926"/>
      <c r="AF311" s="926"/>
      <c r="AG311" s="926"/>
      <c r="AH311" s="926"/>
      <c r="AI311" s="926"/>
      <c r="AJ311" s="926"/>
      <c r="AK311" s="1388"/>
    </row>
    <row r="312" spans="1:37" s="919" customFormat="1">
      <c r="A312"/>
      <c r="B312" s="928" t="s">
        <v>289</v>
      </c>
      <c r="C312" s="928" t="s">
        <v>321</v>
      </c>
      <c r="D312" s="929">
        <f t="shared" ref="D312:AH312" si="445">D34*D280</f>
        <v>15.896134801927197</v>
      </c>
      <c r="E312" s="929">
        <f t="shared" si="445"/>
        <v>15.955643871520348</v>
      </c>
      <c r="F312" s="929">
        <f t="shared" si="445"/>
        <v>16.19503262874732</v>
      </c>
      <c r="G312" s="929">
        <f t="shared" si="445"/>
        <v>16.296468542826553</v>
      </c>
      <c r="H312" s="929">
        <f t="shared" si="445"/>
        <v>16.563357703426124</v>
      </c>
      <c r="I312" s="929">
        <f t="shared" si="445"/>
        <v>16.79327910867238</v>
      </c>
      <c r="J312" s="929">
        <f t="shared" si="445"/>
        <v>16.955576571199146</v>
      </c>
      <c r="K312" s="929">
        <f t="shared" si="445"/>
        <v>17.171522361616706</v>
      </c>
      <c r="L312" s="929">
        <f t="shared" si="445"/>
        <v>17.382058236616707</v>
      </c>
      <c r="M312" s="929">
        <f t="shared" si="445"/>
        <v>17.587635022483944</v>
      </c>
      <c r="N312" s="929">
        <f t="shared" si="445"/>
        <v>17.785998587794435</v>
      </c>
      <c r="O312" s="929">
        <f t="shared" si="445"/>
        <v>18.067314189507499</v>
      </c>
      <c r="P312" s="929">
        <f t="shared" si="445"/>
        <v>18.244038093147751</v>
      </c>
      <c r="Q312" s="929">
        <f t="shared" si="445"/>
        <v>18.373124683022333</v>
      </c>
      <c r="R312" s="929">
        <f t="shared" si="445"/>
        <v>18.651916264653266</v>
      </c>
      <c r="S312" s="929">
        <f t="shared" si="445"/>
        <v>18.893559751400431</v>
      </c>
      <c r="T312" s="929">
        <f t="shared" si="445"/>
        <v>18.733427156693256</v>
      </c>
      <c r="U312" s="929">
        <f t="shared" si="445"/>
        <v>18.847257186994121</v>
      </c>
      <c r="V312" s="929">
        <f t="shared" si="445"/>
        <v>18.955314837544435</v>
      </c>
      <c r="W312" s="929">
        <f t="shared" si="445"/>
        <v>18.996642984724303</v>
      </c>
      <c r="X312" s="929">
        <f t="shared" si="445"/>
        <v>19.054450635918634</v>
      </c>
      <c r="Y312" s="929">
        <f t="shared" si="445"/>
        <v>19.107821254817981</v>
      </c>
      <c r="Z312" s="929">
        <f t="shared" si="445"/>
        <v>19.191370185221629</v>
      </c>
      <c r="AA312" s="929">
        <f t="shared" si="445"/>
        <v>19.279601397419171</v>
      </c>
      <c r="AB312" s="929">
        <f t="shared" si="445"/>
        <v>19.409231085697002</v>
      </c>
      <c r="AC312" s="929">
        <f t="shared" si="445"/>
        <v>19.454454371977516</v>
      </c>
      <c r="AD312" s="929">
        <f t="shared" si="445"/>
        <v>19.503869441054068</v>
      </c>
      <c r="AE312" s="929">
        <f t="shared" si="445"/>
        <v>19.537518213298718</v>
      </c>
      <c r="AF312" s="929">
        <f t="shared" si="445"/>
        <v>19.578909476158458</v>
      </c>
      <c r="AG312" s="929">
        <f t="shared" si="445"/>
        <v>19.615611244003755</v>
      </c>
      <c r="AH312" s="1152">
        <f t="shared" si="445"/>
        <v>19.654447223481267</v>
      </c>
      <c r="AI312" s="1152">
        <f t="shared" ref="AI312:AJ312" si="446">AI34*AI280</f>
        <v>19.637782880690047</v>
      </c>
      <c r="AJ312" s="1152">
        <f t="shared" si="446"/>
        <v>19.694315595150961</v>
      </c>
      <c r="AK312" s="1686">
        <f t="shared" ref="AK312" si="447">AK34*AK280</f>
        <v>19.70773489034422</v>
      </c>
    </row>
    <row r="313" spans="1:37">
      <c r="A313" s="918"/>
      <c r="B313" s="940" t="s">
        <v>25</v>
      </c>
      <c r="C313" s="939" t="s">
        <v>321</v>
      </c>
      <c r="D313" s="941">
        <f t="shared" ref="D313:AH313" si="448">SUM(D285:D312)</f>
        <v>1867.6010378235317</v>
      </c>
      <c r="E313" s="941">
        <f t="shared" si="448"/>
        <v>1840.0159310172733</v>
      </c>
      <c r="F313" s="941">
        <f t="shared" si="448"/>
        <v>1813.7097983717163</v>
      </c>
      <c r="G313" s="941">
        <f t="shared" si="448"/>
        <v>1720.947298565118</v>
      </c>
      <c r="H313" s="941">
        <f t="shared" si="448"/>
        <v>1650.5826302836476</v>
      </c>
      <c r="I313" s="941">
        <f t="shared" si="448"/>
        <v>1602.1840389409367</v>
      </c>
      <c r="J313" s="941">
        <f t="shared" si="448"/>
        <v>1521.2567209425279</v>
      </c>
      <c r="K313" s="941">
        <f t="shared" si="448"/>
        <v>1456.0314262962477</v>
      </c>
      <c r="L313" s="941">
        <f t="shared" si="448"/>
        <v>1391.0997944042497</v>
      </c>
      <c r="M313" s="941">
        <f t="shared" si="448"/>
        <v>1319.8791553751994</v>
      </c>
      <c r="N313" s="941">
        <f t="shared" si="448"/>
        <v>1276.6728129629871</v>
      </c>
      <c r="O313" s="941">
        <f t="shared" si="448"/>
        <v>1189.2739955910795</v>
      </c>
      <c r="P313" s="941">
        <f t="shared" si="448"/>
        <v>1132.6020624063135</v>
      </c>
      <c r="Q313" s="941">
        <f t="shared" si="448"/>
        <v>1075.0734051896779</v>
      </c>
      <c r="R313" s="941">
        <f t="shared" si="448"/>
        <v>1062.6320825619589</v>
      </c>
      <c r="S313" s="941">
        <f t="shared" si="448"/>
        <v>955.186195652886</v>
      </c>
      <c r="T313" s="941">
        <f t="shared" si="448"/>
        <v>903.76191993875466</v>
      </c>
      <c r="U313" s="941">
        <f t="shared" si="448"/>
        <v>847.14120943327669</v>
      </c>
      <c r="V313" s="941">
        <f t="shared" si="448"/>
        <v>796.59586165784901</v>
      </c>
      <c r="W313" s="941">
        <f t="shared" si="448"/>
        <v>741.87221959302497</v>
      </c>
      <c r="X313" s="941">
        <f t="shared" si="448"/>
        <v>689.40109518401425</v>
      </c>
      <c r="Y313" s="941">
        <f t="shared" si="448"/>
        <v>626.17803415960077</v>
      </c>
      <c r="Z313" s="941">
        <f t="shared" si="448"/>
        <v>616.53656645302794</v>
      </c>
      <c r="AA313" s="941">
        <f t="shared" si="448"/>
        <v>607.28351990725673</v>
      </c>
      <c r="AB313" s="941">
        <f t="shared" si="448"/>
        <v>586.89126802319413</v>
      </c>
      <c r="AC313" s="941">
        <f t="shared" si="448"/>
        <v>580.11782979441966</v>
      </c>
      <c r="AD313" s="941">
        <f t="shared" si="448"/>
        <v>572.82109820523419</v>
      </c>
      <c r="AE313" s="941">
        <f t="shared" si="448"/>
        <v>558.59909634094981</v>
      </c>
      <c r="AF313" s="941">
        <f t="shared" si="448"/>
        <v>551.83925115687998</v>
      </c>
      <c r="AG313" s="941">
        <f t="shared" si="448"/>
        <v>538.66499504165165</v>
      </c>
      <c r="AH313" s="941">
        <f t="shared" si="448"/>
        <v>570.66304349123402</v>
      </c>
      <c r="AI313" s="941">
        <f t="shared" ref="AI313:AJ313" si="449">SUM(AI285:AI312)</f>
        <v>520.56148105841487</v>
      </c>
      <c r="AJ313" s="941">
        <f t="shared" si="449"/>
        <v>534.52978068295897</v>
      </c>
      <c r="AK313" s="1691">
        <f t="shared" ref="AK313" si="450">SUM(AK285:AK312)</f>
        <v>294.3954896348186</v>
      </c>
    </row>
    <row r="315" spans="1:37" ht="22" thickBot="1">
      <c r="B315" s="89" t="s">
        <v>323</v>
      </c>
      <c r="C315" s="1330"/>
    </row>
    <row r="316" spans="1:37" ht="15" thickBot="1">
      <c r="B316" s="1353" t="s">
        <v>291</v>
      </c>
      <c r="C316" s="1351">
        <v>1E-3</v>
      </c>
    </row>
    <row r="317" spans="1:37" s="1261" customFormat="1" ht="12">
      <c r="A317" s="919"/>
      <c r="B317" s="924" t="s">
        <v>300</v>
      </c>
      <c r="C317" s="924"/>
      <c r="D317" s="926"/>
      <c r="E317" s="926"/>
      <c r="F317" s="926"/>
      <c r="G317" s="926"/>
      <c r="H317" s="926"/>
      <c r="I317" s="926"/>
      <c r="J317" s="926"/>
      <c r="K317" s="926"/>
      <c r="L317" s="926"/>
      <c r="M317" s="926"/>
      <c r="N317" s="926"/>
      <c r="O317" s="926"/>
      <c r="P317" s="926"/>
      <c r="Q317" s="926"/>
      <c r="R317" s="926"/>
      <c r="S317" s="926"/>
      <c r="T317" s="926"/>
      <c r="U317" s="926"/>
      <c r="V317" s="926"/>
      <c r="W317" s="926"/>
      <c r="X317" s="926"/>
      <c r="Y317" s="926"/>
      <c r="Z317" s="926"/>
      <c r="AA317" s="926"/>
      <c r="AB317" s="926"/>
      <c r="AC317" s="926"/>
      <c r="AD317" s="926"/>
      <c r="AE317" s="926"/>
      <c r="AF317" s="927"/>
      <c r="AG317" s="927"/>
      <c r="AH317" s="926"/>
      <c r="AI317" s="1388"/>
      <c r="AJ317" s="1388"/>
      <c r="AK317" s="1388"/>
    </row>
    <row r="318" spans="1:37" s="1261" customFormat="1" ht="12">
      <c r="B318" s="1258" t="s">
        <v>127</v>
      </c>
      <c r="C318" s="1269" t="s">
        <v>301</v>
      </c>
      <c r="D318" s="1270" t="s">
        <v>324</v>
      </c>
      <c r="E318" s="1270" t="s">
        <v>324</v>
      </c>
      <c r="F318" s="1270" t="s">
        <v>324</v>
      </c>
      <c r="G318" s="1270" t="s">
        <v>324</v>
      </c>
      <c r="H318" s="1270" t="s">
        <v>324</v>
      </c>
      <c r="I318" s="1270" t="s">
        <v>324</v>
      </c>
      <c r="J318" s="1270" t="s">
        <v>324</v>
      </c>
      <c r="K318" s="1270" t="s">
        <v>324</v>
      </c>
      <c r="L318" s="1270" t="s">
        <v>324</v>
      </c>
      <c r="M318" s="1270" t="s">
        <v>324</v>
      </c>
      <c r="N318" s="1270" t="s">
        <v>324</v>
      </c>
      <c r="O318" s="1270" t="s">
        <v>324</v>
      </c>
      <c r="P318" s="1270" t="s">
        <v>324</v>
      </c>
      <c r="Q318" s="1270" t="s">
        <v>324</v>
      </c>
      <c r="R318" s="1270" t="s">
        <v>324</v>
      </c>
      <c r="S318" s="1270" t="s">
        <v>324</v>
      </c>
      <c r="T318" s="1270" t="s">
        <v>324</v>
      </c>
      <c r="U318" s="1270" t="s">
        <v>324</v>
      </c>
      <c r="V318" s="1270" t="s">
        <v>324</v>
      </c>
      <c r="W318" s="1270" t="s">
        <v>324</v>
      </c>
      <c r="X318" s="1270" t="s">
        <v>324</v>
      </c>
      <c r="Y318" s="1270" t="s">
        <v>324</v>
      </c>
      <c r="Z318" s="1270" t="s">
        <v>324</v>
      </c>
      <c r="AA318" s="1270" t="s">
        <v>324</v>
      </c>
      <c r="AB318" s="1270" t="s">
        <v>324</v>
      </c>
      <c r="AC318" s="1270" t="s">
        <v>324</v>
      </c>
      <c r="AD318" s="1270" t="s">
        <v>324</v>
      </c>
      <c r="AE318" s="1270" t="s">
        <v>324</v>
      </c>
      <c r="AF318" s="1270" t="s">
        <v>324</v>
      </c>
      <c r="AG318" s="1270" t="s">
        <v>324</v>
      </c>
      <c r="AH318" s="1270" t="s">
        <v>324</v>
      </c>
      <c r="AI318" s="1160" t="s">
        <v>324</v>
      </c>
      <c r="AJ318" s="1160" t="s">
        <v>324</v>
      </c>
      <c r="AK318" s="1160" t="s">
        <v>324</v>
      </c>
    </row>
    <row r="319" spans="1:37" s="1261" customFormat="1" ht="12">
      <c r="B319" s="1258" t="s">
        <v>284</v>
      </c>
      <c r="C319" s="1258" t="s">
        <v>302</v>
      </c>
      <c r="D319" s="1271">
        <v>3.3000000000000002E-2</v>
      </c>
      <c r="E319" s="1271">
        <v>3.2999999999999995E-2</v>
      </c>
      <c r="F319" s="1271">
        <v>3.3000000000000002E-2</v>
      </c>
      <c r="G319" s="1271">
        <v>3.3000000000000002E-2</v>
      </c>
      <c r="H319" s="1271">
        <v>3.2999999999999995E-2</v>
      </c>
      <c r="I319" s="1271">
        <v>3.3000000000000008E-2</v>
      </c>
      <c r="J319" s="1271">
        <v>3.3000000000000002E-2</v>
      </c>
      <c r="K319" s="1271">
        <v>3.3000000000000002E-2</v>
      </c>
      <c r="L319" s="1271">
        <v>3.2999999999999995E-2</v>
      </c>
      <c r="M319" s="1271">
        <v>3.3000000000000002E-2</v>
      </c>
      <c r="N319" s="1271">
        <v>3.3000000000000002E-2</v>
      </c>
      <c r="O319" s="1271">
        <v>3.3000000000000002E-2</v>
      </c>
      <c r="P319" s="1271">
        <v>3.3000000000000002E-2</v>
      </c>
      <c r="Q319" s="1271">
        <v>3.3000000000000008E-2</v>
      </c>
      <c r="R319" s="1271">
        <v>3.3000000000000002E-2</v>
      </c>
      <c r="S319" s="1271">
        <v>3.3000000000000002E-2</v>
      </c>
      <c r="T319" s="1271">
        <v>3.3000000000000002E-2</v>
      </c>
      <c r="U319" s="1271">
        <v>3.3000000000000002E-2</v>
      </c>
      <c r="V319" s="1271">
        <v>3.3000000000000002E-2</v>
      </c>
      <c r="W319" s="1271">
        <v>3.3000000000000008E-2</v>
      </c>
      <c r="X319" s="1271">
        <v>3.3000000000000008E-2</v>
      </c>
      <c r="Y319" s="1271">
        <v>3.3000000000000002E-2</v>
      </c>
      <c r="Z319" s="1271">
        <v>3.3000000000000002E-2</v>
      </c>
      <c r="AA319" s="1271">
        <v>3.3000000000000002E-2</v>
      </c>
      <c r="AB319" s="1271">
        <v>3.2999999999999995E-2</v>
      </c>
      <c r="AC319" s="1271">
        <v>3.3000000000000002E-2</v>
      </c>
      <c r="AD319" s="1271">
        <v>3.3000000000000008E-2</v>
      </c>
      <c r="AE319" s="1271">
        <v>3.3000000000000002E-2</v>
      </c>
      <c r="AF319" s="1271">
        <v>3.3000000000000002E-2</v>
      </c>
      <c r="AG319" s="1271">
        <v>3.3000000000000002E-2</v>
      </c>
      <c r="AH319" s="1271">
        <v>3.3000000000000002E-2</v>
      </c>
      <c r="AI319" s="1572">
        <v>3.3000000000000002E-2</v>
      </c>
      <c r="AJ319" s="1572">
        <v>3.3000000000000002E-2</v>
      </c>
      <c r="AK319" s="1692">
        <v>3.3000000000000002E-2</v>
      </c>
    </row>
    <row r="320" spans="1:37" s="1261" customFormat="1" ht="12">
      <c r="B320" s="1258" t="s">
        <v>303</v>
      </c>
      <c r="C320" s="1258" t="s">
        <v>304</v>
      </c>
      <c r="D320" s="1271">
        <v>93.442859691298793</v>
      </c>
      <c r="E320" s="1271">
        <v>93.44285969129875</v>
      </c>
      <c r="F320" s="1271">
        <v>93.442859691298764</v>
      </c>
      <c r="G320" s="1271">
        <v>93.442859691298764</v>
      </c>
      <c r="H320" s="1271">
        <v>93.442859691298764</v>
      </c>
      <c r="I320" s="1271">
        <v>93.442859691298779</v>
      </c>
      <c r="J320" s="1271">
        <v>93.442859691298793</v>
      </c>
      <c r="K320" s="1271">
        <v>93.442859691298779</v>
      </c>
      <c r="L320" s="1271">
        <v>93.442859691298779</v>
      </c>
      <c r="M320" s="1271">
        <v>93.442859691298793</v>
      </c>
      <c r="N320" s="1271">
        <v>93.442859691298764</v>
      </c>
      <c r="O320" s="1271">
        <v>93.442859691298764</v>
      </c>
      <c r="P320" s="1271">
        <v>93.442859691298764</v>
      </c>
      <c r="Q320" s="1271">
        <v>93.442859691298779</v>
      </c>
      <c r="R320" s="1271">
        <v>93.442859691298764</v>
      </c>
      <c r="S320" s="1271">
        <v>93.442859691298764</v>
      </c>
      <c r="T320" s="1271">
        <v>93.442859691298764</v>
      </c>
      <c r="U320" s="1271">
        <v>93.442859691298764</v>
      </c>
      <c r="V320" s="1271">
        <v>93.442859691298779</v>
      </c>
      <c r="W320" s="1271">
        <v>93.442859691298764</v>
      </c>
      <c r="X320" s="1271">
        <v>93.442859691298764</v>
      </c>
      <c r="Y320" s="1271">
        <v>93.442859691298764</v>
      </c>
      <c r="Z320" s="1271">
        <v>93.442859691298764</v>
      </c>
      <c r="AA320" s="1271">
        <v>93.442859691298764</v>
      </c>
      <c r="AB320" s="1271">
        <v>93.442859691298764</v>
      </c>
      <c r="AC320" s="1271">
        <v>93.442859691298779</v>
      </c>
      <c r="AD320" s="1271">
        <v>93.44285969129875</v>
      </c>
      <c r="AE320" s="1271">
        <v>93.442859691298779</v>
      </c>
      <c r="AF320" s="1271">
        <v>93.442859691298779</v>
      </c>
      <c r="AG320" s="1271">
        <v>93.442859691298764</v>
      </c>
      <c r="AH320" s="1271">
        <v>93.442859691298764</v>
      </c>
      <c r="AI320" s="1572">
        <v>93.442859691298779</v>
      </c>
      <c r="AJ320" s="1572">
        <v>93.442859691298764</v>
      </c>
      <c r="AK320" s="1692">
        <v>93.442859691298764</v>
      </c>
    </row>
    <row r="321" spans="1:37">
      <c r="A321" s="1261"/>
      <c r="B321" s="1258" t="s">
        <v>305</v>
      </c>
      <c r="C321" s="1258" t="s">
        <v>306</v>
      </c>
      <c r="D321" s="1271">
        <v>2.3E-3</v>
      </c>
      <c r="E321" s="1271">
        <v>2.2999999999999995E-3</v>
      </c>
      <c r="F321" s="1271">
        <v>2.3E-3</v>
      </c>
      <c r="G321" s="1271">
        <v>2.2999999999999995E-3</v>
      </c>
      <c r="H321" s="1271">
        <v>2.2999999999999995E-3</v>
      </c>
      <c r="I321" s="1271">
        <v>2.3E-3</v>
      </c>
      <c r="J321" s="1271">
        <v>2.2999999999999995E-3</v>
      </c>
      <c r="K321" s="1271">
        <v>2.3000000000000004E-3</v>
      </c>
      <c r="L321" s="1271">
        <v>2.3E-3</v>
      </c>
      <c r="M321" s="1271">
        <v>2.3E-3</v>
      </c>
      <c r="N321" s="1271">
        <v>2.3E-3</v>
      </c>
      <c r="O321" s="1271">
        <v>2.2999999999999995E-3</v>
      </c>
      <c r="P321" s="1271">
        <v>2.3E-3</v>
      </c>
      <c r="Q321" s="1271">
        <v>2.3E-3</v>
      </c>
      <c r="R321" s="1271">
        <v>2.3E-3</v>
      </c>
      <c r="S321" s="1271">
        <v>2.3000000000000004E-3</v>
      </c>
      <c r="T321" s="1271">
        <v>2.3E-3</v>
      </c>
      <c r="U321" s="1271">
        <v>2.3E-3</v>
      </c>
      <c r="V321" s="1271">
        <v>2.3E-3</v>
      </c>
      <c r="W321" s="1271">
        <v>2.3E-3</v>
      </c>
      <c r="X321" s="1271">
        <v>2.3E-3</v>
      </c>
      <c r="Y321" s="1271">
        <v>2.3E-3</v>
      </c>
      <c r="Z321" s="1271">
        <v>2.2999999999999995E-3</v>
      </c>
      <c r="AA321" s="1271">
        <v>2.3E-3</v>
      </c>
      <c r="AB321" s="1271">
        <v>2.3E-3</v>
      </c>
      <c r="AC321" s="1271">
        <v>2.3E-3</v>
      </c>
      <c r="AD321" s="1271">
        <v>2.3000000000000004E-3</v>
      </c>
      <c r="AE321" s="1271">
        <v>2.3E-3</v>
      </c>
      <c r="AF321" s="1271">
        <v>2.3E-3</v>
      </c>
      <c r="AG321" s="1271">
        <v>2.3E-3</v>
      </c>
      <c r="AH321" s="1271">
        <v>2.3E-3</v>
      </c>
      <c r="AI321" s="1572">
        <v>2.3E-3</v>
      </c>
      <c r="AJ321" s="1572">
        <v>2.3E-3</v>
      </c>
      <c r="AK321" s="1692">
        <v>2.3E-3</v>
      </c>
    </row>
    <row r="322" spans="1:37" s="1273" customFormat="1" ht="15.65" customHeight="1">
      <c r="A322" s="919"/>
      <c r="B322" s="924" t="s">
        <v>300</v>
      </c>
      <c r="C322" s="924"/>
      <c r="D322" s="926"/>
      <c r="E322" s="926"/>
      <c r="F322" s="926"/>
      <c r="G322" s="926"/>
      <c r="H322" s="926"/>
      <c r="I322" s="926"/>
      <c r="J322" s="926"/>
      <c r="K322" s="926"/>
      <c r="L322" s="926"/>
      <c r="M322" s="926"/>
      <c r="N322" s="926"/>
      <c r="O322" s="926"/>
      <c r="P322" s="926"/>
      <c r="Q322" s="926"/>
      <c r="R322" s="926"/>
      <c r="S322" s="926"/>
      <c r="T322" s="926"/>
      <c r="U322" s="926"/>
      <c r="V322" s="926"/>
      <c r="W322" s="926"/>
      <c r="X322" s="926"/>
      <c r="Y322" s="926"/>
      <c r="Z322" s="926"/>
      <c r="AA322" s="926"/>
      <c r="AB322" s="926"/>
      <c r="AC322" s="926"/>
      <c r="AD322" s="926"/>
      <c r="AE322" s="926"/>
      <c r="AF322" s="927"/>
      <c r="AG322" s="927"/>
      <c r="AH322" s="926"/>
      <c r="AI322" s="926"/>
      <c r="AJ322" s="926"/>
      <c r="AK322" s="1388"/>
    </row>
    <row r="323" spans="1:37" s="1273" customFormat="1" ht="12">
      <c r="B323" s="1269" t="s">
        <v>127</v>
      </c>
      <c r="C323" s="1269" t="s">
        <v>307</v>
      </c>
      <c r="D323" s="1272" t="str">
        <f t="shared" ref="D323:AH323" si="451">D318</f>
        <v>NA</v>
      </c>
      <c r="E323" s="1272" t="str">
        <f t="shared" si="451"/>
        <v>NA</v>
      </c>
      <c r="F323" s="1272" t="str">
        <f t="shared" si="451"/>
        <v>NA</v>
      </c>
      <c r="G323" s="1272" t="str">
        <f t="shared" si="451"/>
        <v>NA</v>
      </c>
      <c r="H323" s="1272" t="str">
        <f t="shared" si="451"/>
        <v>NA</v>
      </c>
      <c r="I323" s="1272" t="str">
        <f t="shared" si="451"/>
        <v>NA</v>
      </c>
      <c r="J323" s="1272" t="str">
        <f t="shared" si="451"/>
        <v>NA</v>
      </c>
      <c r="K323" s="1272" t="str">
        <f t="shared" si="451"/>
        <v>NA</v>
      </c>
      <c r="L323" s="1272" t="str">
        <f t="shared" si="451"/>
        <v>NA</v>
      </c>
      <c r="M323" s="1272" t="str">
        <f t="shared" si="451"/>
        <v>NA</v>
      </c>
      <c r="N323" s="1272" t="str">
        <f t="shared" si="451"/>
        <v>NA</v>
      </c>
      <c r="O323" s="1272" t="str">
        <f t="shared" si="451"/>
        <v>NA</v>
      </c>
      <c r="P323" s="1272" t="str">
        <f t="shared" si="451"/>
        <v>NA</v>
      </c>
      <c r="Q323" s="1272" t="str">
        <f t="shared" si="451"/>
        <v>NA</v>
      </c>
      <c r="R323" s="1272" t="str">
        <f t="shared" si="451"/>
        <v>NA</v>
      </c>
      <c r="S323" s="1272" t="str">
        <f t="shared" si="451"/>
        <v>NA</v>
      </c>
      <c r="T323" s="1272" t="str">
        <f t="shared" si="451"/>
        <v>NA</v>
      </c>
      <c r="U323" s="1272" t="str">
        <f t="shared" si="451"/>
        <v>NA</v>
      </c>
      <c r="V323" s="1272" t="str">
        <f t="shared" si="451"/>
        <v>NA</v>
      </c>
      <c r="W323" s="1272" t="str">
        <f t="shared" si="451"/>
        <v>NA</v>
      </c>
      <c r="X323" s="1272" t="str">
        <f t="shared" si="451"/>
        <v>NA</v>
      </c>
      <c r="Y323" s="1272" t="str">
        <f t="shared" si="451"/>
        <v>NA</v>
      </c>
      <c r="Z323" s="1272" t="str">
        <f t="shared" si="451"/>
        <v>NA</v>
      </c>
      <c r="AA323" s="1272" t="str">
        <f t="shared" si="451"/>
        <v>NA</v>
      </c>
      <c r="AB323" s="1272" t="str">
        <f t="shared" si="451"/>
        <v>NA</v>
      </c>
      <c r="AC323" s="1272" t="str">
        <f t="shared" si="451"/>
        <v>NA</v>
      </c>
      <c r="AD323" s="1272" t="str">
        <f t="shared" si="451"/>
        <v>NA</v>
      </c>
      <c r="AE323" s="1272" t="str">
        <f t="shared" si="451"/>
        <v>NA</v>
      </c>
      <c r="AF323" s="1272" t="str">
        <f t="shared" si="451"/>
        <v>NA</v>
      </c>
      <c r="AG323" s="1272" t="str">
        <f t="shared" si="451"/>
        <v>NA</v>
      </c>
      <c r="AH323" s="1272" t="str">
        <f t="shared" si="451"/>
        <v>NA</v>
      </c>
      <c r="AI323" s="1272" t="str">
        <f t="shared" ref="AI323:AJ323" si="452">AI318</f>
        <v>NA</v>
      </c>
      <c r="AJ323" s="1567" t="str">
        <f t="shared" si="452"/>
        <v>NA</v>
      </c>
      <c r="AK323" s="1678" t="str">
        <f t="shared" ref="AK323" si="453">AK318</f>
        <v>NA</v>
      </c>
    </row>
    <row r="324" spans="1:37" s="1273" customFormat="1" ht="12">
      <c r="B324" s="1258" t="s">
        <v>284</v>
      </c>
      <c r="C324" s="1258" t="s">
        <v>308</v>
      </c>
      <c r="D324" s="1354">
        <f>$C$316*D319</f>
        <v>3.3000000000000003E-5</v>
      </c>
      <c r="E324" s="1354">
        <f t="shared" ref="E324:AH326" si="454">$C$316*E319</f>
        <v>3.2999999999999996E-5</v>
      </c>
      <c r="F324" s="1354">
        <f t="shared" si="454"/>
        <v>3.3000000000000003E-5</v>
      </c>
      <c r="G324" s="1354">
        <f t="shared" si="454"/>
        <v>3.3000000000000003E-5</v>
      </c>
      <c r="H324" s="1354">
        <f t="shared" si="454"/>
        <v>3.2999999999999996E-5</v>
      </c>
      <c r="I324" s="1354">
        <f t="shared" si="454"/>
        <v>3.3000000000000009E-5</v>
      </c>
      <c r="J324" s="1354">
        <f t="shared" si="454"/>
        <v>3.3000000000000003E-5</v>
      </c>
      <c r="K324" s="1354">
        <f t="shared" si="454"/>
        <v>3.3000000000000003E-5</v>
      </c>
      <c r="L324" s="1354">
        <f t="shared" si="454"/>
        <v>3.2999999999999996E-5</v>
      </c>
      <c r="M324" s="1354">
        <f t="shared" si="454"/>
        <v>3.3000000000000003E-5</v>
      </c>
      <c r="N324" s="1354">
        <f t="shared" si="454"/>
        <v>3.3000000000000003E-5</v>
      </c>
      <c r="O324" s="1354">
        <f t="shared" si="454"/>
        <v>3.3000000000000003E-5</v>
      </c>
      <c r="P324" s="1354">
        <f t="shared" si="454"/>
        <v>3.3000000000000003E-5</v>
      </c>
      <c r="Q324" s="1354">
        <f t="shared" si="454"/>
        <v>3.3000000000000009E-5</v>
      </c>
      <c r="R324" s="1354">
        <f t="shared" si="454"/>
        <v>3.3000000000000003E-5</v>
      </c>
      <c r="S324" s="1354">
        <f t="shared" si="454"/>
        <v>3.3000000000000003E-5</v>
      </c>
      <c r="T324" s="1354">
        <f t="shared" si="454"/>
        <v>3.3000000000000003E-5</v>
      </c>
      <c r="U324" s="1354">
        <f t="shared" si="454"/>
        <v>3.3000000000000003E-5</v>
      </c>
      <c r="V324" s="1354">
        <f t="shared" si="454"/>
        <v>3.3000000000000003E-5</v>
      </c>
      <c r="W324" s="1354">
        <f t="shared" si="454"/>
        <v>3.3000000000000009E-5</v>
      </c>
      <c r="X324" s="1354">
        <f t="shared" si="454"/>
        <v>3.3000000000000009E-5</v>
      </c>
      <c r="Y324" s="1354">
        <f t="shared" si="454"/>
        <v>3.3000000000000003E-5</v>
      </c>
      <c r="Z324" s="1354">
        <f t="shared" si="454"/>
        <v>3.3000000000000003E-5</v>
      </c>
      <c r="AA324" s="1354">
        <f t="shared" si="454"/>
        <v>3.3000000000000003E-5</v>
      </c>
      <c r="AB324" s="1354">
        <f t="shared" si="454"/>
        <v>3.2999999999999996E-5</v>
      </c>
      <c r="AC324" s="1354">
        <f t="shared" si="454"/>
        <v>3.3000000000000003E-5</v>
      </c>
      <c r="AD324" s="1354">
        <f t="shared" si="454"/>
        <v>3.3000000000000009E-5</v>
      </c>
      <c r="AE324" s="1354">
        <f t="shared" si="454"/>
        <v>3.3000000000000003E-5</v>
      </c>
      <c r="AF324" s="1354">
        <f t="shared" si="454"/>
        <v>3.3000000000000003E-5</v>
      </c>
      <c r="AG324" s="1354">
        <f t="shared" si="454"/>
        <v>3.3000000000000003E-5</v>
      </c>
      <c r="AH324" s="1354">
        <f t="shared" si="454"/>
        <v>3.3000000000000003E-5</v>
      </c>
      <c r="AI324" s="1573">
        <f t="shared" ref="AI324:AJ324" si="455">$C$316*AI319</f>
        <v>3.3000000000000003E-5</v>
      </c>
      <c r="AJ324" s="1573">
        <f t="shared" si="455"/>
        <v>3.3000000000000003E-5</v>
      </c>
      <c r="AK324" s="1693">
        <f t="shared" ref="AK324" si="456">$C$316*AK319</f>
        <v>3.3000000000000003E-5</v>
      </c>
    </row>
    <row r="325" spans="1:37" s="1273" customFormat="1" ht="12">
      <c r="B325" s="1347" t="s">
        <v>303</v>
      </c>
      <c r="C325" s="1347" t="s">
        <v>309</v>
      </c>
      <c r="D325" s="1271">
        <f t="shared" ref="D325:S326" si="457">$C$316*D320</f>
        <v>9.3442859691298799E-2</v>
      </c>
      <c r="E325" s="1271">
        <f t="shared" si="457"/>
        <v>9.3442859691298757E-2</v>
      </c>
      <c r="F325" s="1271">
        <f t="shared" si="457"/>
        <v>9.3442859691298771E-2</v>
      </c>
      <c r="G325" s="1271">
        <f t="shared" si="457"/>
        <v>9.3442859691298771E-2</v>
      </c>
      <c r="H325" s="1271">
        <f t="shared" si="457"/>
        <v>9.3442859691298771E-2</v>
      </c>
      <c r="I325" s="1271">
        <f t="shared" si="457"/>
        <v>9.3442859691298785E-2</v>
      </c>
      <c r="J325" s="1271">
        <f t="shared" si="457"/>
        <v>9.3442859691298799E-2</v>
      </c>
      <c r="K325" s="1271">
        <f t="shared" si="457"/>
        <v>9.3442859691298785E-2</v>
      </c>
      <c r="L325" s="1271">
        <f t="shared" si="457"/>
        <v>9.3442859691298785E-2</v>
      </c>
      <c r="M325" s="1271">
        <f t="shared" si="457"/>
        <v>9.3442859691298799E-2</v>
      </c>
      <c r="N325" s="1271">
        <f t="shared" si="457"/>
        <v>9.3442859691298771E-2</v>
      </c>
      <c r="O325" s="1271">
        <f t="shared" si="457"/>
        <v>9.3442859691298771E-2</v>
      </c>
      <c r="P325" s="1271">
        <f t="shared" si="457"/>
        <v>9.3442859691298771E-2</v>
      </c>
      <c r="Q325" s="1271">
        <f t="shared" si="457"/>
        <v>9.3442859691298785E-2</v>
      </c>
      <c r="R325" s="1271">
        <f t="shared" si="457"/>
        <v>9.3442859691298771E-2</v>
      </c>
      <c r="S325" s="1271">
        <f t="shared" si="457"/>
        <v>9.3442859691298771E-2</v>
      </c>
      <c r="T325" s="1271">
        <f t="shared" si="454"/>
        <v>9.3442859691298771E-2</v>
      </c>
      <c r="U325" s="1271">
        <f t="shared" si="454"/>
        <v>9.3442859691298771E-2</v>
      </c>
      <c r="V325" s="1271">
        <f t="shared" si="454"/>
        <v>9.3442859691298785E-2</v>
      </c>
      <c r="W325" s="1271">
        <f t="shared" si="454"/>
        <v>9.3442859691298771E-2</v>
      </c>
      <c r="X325" s="1271">
        <f t="shared" si="454"/>
        <v>9.3442859691298771E-2</v>
      </c>
      <c r="Y325" s="1271">
        <f t="shared" si="454"/>
        <v>9.3442859691298771E-2</v>
      </c>
      <c r="Z325" s="1271">
        <f t="shared" si="454"/>
        <v>9.3442859691298771E-2</v>
      </c>
      <c r="AA325" s="1271">
        <f t="shared" si="454"/>
        <v>9.3442859691298771E-2</v>
      </c>
      <c r="AB325" s="1271">
        <f t="shared" si="454"/>
        <v>9.3442859691298771E-2</v>
      </c>
      <c r="AC325" s="1271">
        <f t="shared" si="454"/>
        <v>9.3442859691298785E-2</v>
      </c>
      <c r="AD325" s="1271">
        <f t="shared" si="454"/>
        <v>9.3442859691298757E-2</v>
      </c>
      <c r="AE325" s="1271">
        <f t="shared" si="454"/>
        <v>9.3442859691298785E-2</v>
      </c>
      <c r="AF325" s="1271">
        <f t="shared" si="454"/>
        <v>9.3442859691298785E-2</v>
      </c>
      <c r="AG325" s="1271">
        <f t="shared" si="454"/>
        <v>9.3442859691298771E-2</v>
      </c>
      <c r="AH325" s="1271">
        <f t="shared" si="454"/>
        <v>9.3442859691298771E-2</v>
      </c>
      <c r="AI325" s="1572">
        <f t="shared" ref="AI325:AJ325" si="458">$C$316*AI320</f>
        <v>9.3442859691298785E-2</v>
      </c>
      <c r="AJ325" s="1572">
        <f t="shared" si="458"/>
        <v>9.3442859691298771E-2</v>
      </c>
      <c r="AK325" s="1692">
        <f t="shared" ref="AK325" si="459">$C$316*AK320</f>
        <v>9.3442859691298771E-2</v>
      </c>
    </row>
    <row r="326" spans="1:37">
      <c r="A326" s="1273"/>
      <c r="B326" s="1258" t="s">
        <v>305</v>
      </c>
      <c r="C326" s="1258" t="s">
        <v>310</v>
      </c>
      <c r="D326" s="1271">
        <f t="shared" si="457"/>
        <v>2.3E-6</v>
      </c>
      <c r="E326" s="1271">
        <f t="shared" si="454"/>
        <v>2.2999999999999996E-6</v>
      </c>
      <c r="F326" s="1271">
        <f t="shared" si="454"/>
        <v>2.3E-6</v>
      </c>
      <c r="G326" s="1271">
        <f t="shared" si="454"/>
        <v>2.2999999999999996E-6</v>
      </c>
      <c r="H326" s="1271">
        <f t="shared" si="454"/>
        <v>2.2999999999999996E-6</v>
      </c>
      <c r="I326" s="1271">
        <f t="shared" si="454"/>
        <v>2.3E-6</v>
      </c>
      <c r="J326" s="1271">
        <f t="shared" si="454"/>
        <v>2.2999999999999996E-6</v>
      </c>
      <c r="K326" s="1271">
        <f t="shared" si="454"/>
        <v>2.3000000000000004E-6</v>
      </c>
      <c r="L326" s="1271">
        <f t="shared" si="454"/>
        <v>2.3E-6</v>
      </c>
      <c r="M326" s="1271">
        <f t="shared" si="454"/>
        <v>2.3E-6</v>
      </c>
      <c r="N326" s="1271">
        <f t="shared" si="454"/>
        <v>2.3E-6</v>
      </c>
      <c r="O326" s="1271">
        <f t="shared" si="454"/>
        <v>2.2999999999999996E-6</v>
      </c>
      <c r="P326" s="1271">
        <f t="shared" si="454"/>
        <v>2.3E-6</v>
      </c>
      <c r="Q326" s="1271">
        <f t="shared" si="454"/>
        <v>2.3E-6</v>
      </c>
      <c r="R326" s="1271">
        <f t="shared" si="454"/>
        <v>2.3E-6</v>
      </c>
      <c r="S326" s="1271">
        <f t="shared" si="454"/>
        <v>2.3000000000000004E-6</v>
      </c>
      <c r="T326" s="1271">
        <f t="shared" si="454"/>
        <v>2.3E-6</v>
      </c>
      <c r="U326" s="1271">
        <f t="shared" si="454"/>
        <v>2.3E-6</v>
      </c>
      <c r="V326" s="1271">
        <f t="shared" si="454"/>
        <v>2.3E-6</v>
      </c>
      <c r="W326" s="1271">
        <f t="shared" si="454"/>
        <v>2.3E-6</v>
      </c>
      <c r="X326" s="1271">
        <f t="shared" si="454"/>
        <v>2.3E-6</v>
      </c>
      <c r="Y326" s="1271">
        <f t="shared" si="454"/>
        <v>2.3E-6</v>
      </c>
      <c r="Z326" s="1271">
        <f t="shared" si="454"/>
        <v>2.2999999999999996E-6</v>
      </c>
      <c r="AA326" s="1271">
        <f t="shared" si="454"/>
        <v>2.3E-6</v>
      </c>
      <c r="AB326" s="1271">
        <f t="shared" si="454"/>
        <v>2.3E-6</v>
      </c>
      <c r="AC326" s="1271">
        <f t="shared" si="454"/>
        <v>2.3E-6</v>
      </c>
      <c r="AD326" s="1271">
        <f t="shared" si="454"/>
        <v>2.3000000000000004E-6</v>
      </c>
      <c r="AE326" s="1271">
        <f t="shared" si="454"/>
        <v>2.3E-6</v>
      </c>
      <c r="AF326" s="1271">
        <f t="shared" si="454"/>
        <v>2.3E-6</v>
      </c>
      <c r="AG326" s="1271">
        <f t="shared" si="454"/>
        <v>2.3E-6</v>
      </c>
      <c r="AH326" s="1271">
        <f t="shared" si="454"/>
        <v>2.3E-6</v>
      </c>
      <c r="AI326" s="1572">
        <f t="shared" ref="AI326:AJ326" si="460">$C$316*AI321</f>
        <v>2.3E-6</v>
      </c>
      <c r="AJ326" s="1572">
        <f t="shared" si="460"/>
        <v>2.3E-6</v>
      </c>
      <c r="AK326" s="1692">
        <f t="shared" ref="AK326" si="461">$C$316*AK321</f>
        <v>2.3E-6</v>
      </c>
    </row>
    <row r="327" spans="1:37" ht="24">
      <c r="B327" s="1269" t="s">
        <v>311</v>
      </c>
      <c r="C327" s="1269" t="s">
        <v>321</v>
      </c>
      <c r="D327" s="1278" t="str">
        <f t="shared" ref="D327:AH327" si="462">D323</f>
        <v>NA</v>
      </c>
      <c r="E327" s="1278" t="str">
        <f t="shared" si="462"/>
        <v>NA</v>
      </c>
      <c r="F327" s="1278" t="str">
        <f t="shared" si="462"/>
        <v>NA</v>
      </c>
      <c r="G327" s="1278" t="str">
        <f t="shared" si="462"/>
        <v>NA</v>
      </c>
      <c r="H327" s="1278" t="str">
        <f t="shared" si="462"/>
        <v>NA</v>
      </c>
      <c r="I327" s="1278" t="str">
        <f t="shared" si="462"/>
        <v>NA</v>
      </c>
      <c r="J327" s="1278" t="str">
        <f t="shared" si="462"/>
        <v>NA</v>
      </c>
      <c r="K327" s="1278" t="str">
        <f t="shared" si="462"/>
        <v>NA</v>
      </c>
      <c r="L327" s="1278" t="str">
        <f t="shared" si="462"/>
        <v>NA</v>
      </c>
      <c r="M327" s="1278" t="str">
        <f t="shared" si="462"/>
        <v>NA</v>
      </c>
      <c r="N327" s="1278" t="str">
        <f t="shared" si="462"/>
        <v>NA</v>
      </c>
      <c r="O327" s="1278" t="str">
        <f t="shared" si="462"/>
        <v>NA</v>
      </c>
      <c r="P327" s="1278" t="str">
        <f t="shared" si="462"/>
        <v>NA</v>
      </c>
      <c r="Q327" s="1278" t="str">
        <f t="shared" si="462"/>
        <v>NA</v>
      </c>
      <c r="R327" s="1278" t="str">
        <f t="shared" si="462"/>
        <v>NA</v>
      </c>
      <c r="S327" s="1278" t="str">
        <f t="shared" si="462"/>
        <v>NA</v>
      </c>
      <c r="T327" s="1278" t="str">
        <f t="shared" si="462"/>
        <v>NA</v>
      </c>
      <c r="U327" s="1278" t="str">
        <f t="shared" si="462"/>
        <v>NA</v>
      </c>
      <c r="V327" s="1278" t="str">
        <f t="shared" si="462"/>
        <v>NA</v>
      </c>
      <c r="W327" s="1278" t="str">
        <f t="shared" si="462"/>
        <v>NA</v>
      </c>
      <c r="X327" s="1278" t="str">
        <f t="shared" si="462"/>
        <v>NA</v>
      </c>
      <c r="Y327" s="1278" t="str">
        <f t="shared" si="462"/>
        <v>NA</v>
      </c>
      <c r="Z327" s="1278" t="str">
        <f t="shared" si="462"/>
        <v>NA</v>
      </c>
      <c r="AA327" s="1278" t="str">
        <f t="shared" si="462"/>
        <v>NA</v>
      </c>
      <c r="AB327" s="1278" t="str">
        <f t="shared" si="462"/>
        <v>NA</v>
      </c>
      <c r="AC327" s="1278" t="str">
        <f t="shared" si="462"/>
        <v>NA</v>
      </c>
      <c r="AD327" s="1278" t="str">
        <f t="shared" si="462"/>
        <v>NA</v>
      </c>
      <c r="AE327" s="1278" t="str">
        <f t="shared" si="462"/>
        <v>NA</v>
      </c>
      <c r="AF327" s="1278" t="str">
        <f t="shared" si="462"/>
        <v>NA</v>
      </c>
      <c r="AG327" s="1278" t="str">
        <f t="shared" si="462"/>
        <v>NA</v>
      </c>
      <c r="AH327" s="1278" t="str">
        <f t="shared" si="462"/>
        <v>NA</v>
      </c>
      <c r="AI327" s="1574" t="str">
        <f t="shared" ref="AI327:AJ327" si="463">AI323</f>
        <v>NA</v>
      </c>
      <c r="AJ327" s="1574" t="str">
        <f t="shared" si="463"/>
        <v>NA</v>
      </c>
      <c r="AK327" s="1694" t="str">
        <f t="shared" ref="AK327" si="464">AK323</f>
        <v>NA</v>
      </c>
    </row>
    <row r="328" spans="1:37">
      <c r="B328" s="1258" t="s">
        <v>312</v>
      </c>
      <c r="C328" s="1258" t="s">
        <v>321</v>
      </c>
      <c r="D328" s="1271">
        <f>D206*D324</f>
        <v>1.1322300000000002E-2</v>
      </c>
      <c r="E328" s="1271">
        <f t="shared" ref="E328:AH330" si="465">E206*E324</f>
        <v>1.1714472000000002E-2</v>
      </c>
      <c r="F328" s="1271">
        <f t="shared" si="465"/>
        <v>1.1335236000000004E-2</v>
      </c>
      <c r="G328" s="1271">
        <f t="shared" si="465"/>
        <v>1.3488684000000001E-2</v>
      </c>
      <c r="H328" s="1271">
        <f t="shared" si="465"/>
        <v>1.2242207999999999E-2</v>
      </c>
      <c r="I328" s="1271">
        <f t="shared" si="465"/>
        <v>1.3787796000000005E-2</v>
      </c>
      <c r="J328" s="1271">
        <f t="shared" si="465"/>
        <v>1.3977347999999999E-2</v>
      </c>
      <c r="K328" s="1271">
        <f t="shared" si="465"/>
        <v>1.4246232000000001E-2</v>
      </c>
      <c r="L328" s="1271">
        <f t="shared" si="465"/>
        <v>1.4365824000000001E-2</v>
      </c>
      <c r="M328" s="1271">
        <f t="shared" si="465"/>
        <v>1.4939364000000002E-2</v>
      </c>
      <c r="N328" s="1271">
        <f t="shared" si="465"/>
        <v>1.5575076000000002E-2</v>
      </c>
      <c r="O328" s="1271">
        <f t="shared" si="465"/>
        <v>1.5969888000000002E-2</v>
      </c>
      <c r="P328" s="1271">
        <f t="shared" si="465"/>
        <v>1.6163004000000002E-2</v>
      </c>
      <c r="Q328" s="1271">
        <f t="shared" si="465"/>
        <v>1.6236792000000003E-2</v>
      </c>
      <c r="R328" s="1271">
        <f t="shared" si="465"/>
        <v>1.6514124000000005E-2</v>
      </c>
      <c r="S328" s="1271">
        <f t="shared" si="465"/>
        <v>1.5862044000000002E-2</v>
      </c>
      <c r="T328" s="1271">
        <f t="shared" si="465"/>
        <v>1.6726116000000003E-2</v>
      </c>
      <c r="U328" s="1271">
        <f t="shared" si="465"/>
        <v>1.7023379999999998E-2</v>
      </c>
      <c r="V328" s="1271">
        <f t="shared" si="465"/>
        <v>1.7706348000000004E-2</v>
      </c>
      <c r="W328" s="1271">
        <f t="shared" si="465"/>
        <v>1.8389316000000006E-2</v>
      </c>
      <c r="X328" s="1271">
        <f t="shared" si="465"/>
        <v>1.9072284000000005E-2</v>
      </c>
      <c r="Y328" s="1271">
        <f t="shared" si="465"/>
        <v>1.82457E-2</v>
      </c>
      <c r="Z328" s="1271">
        <f t="shared" si="465"/>
        <v>1.8852900000000002E-2</v>
      </c>
      <c r="AA328" s="1271">
        <f t="shared" si="465"/>
        <v>1.9040472000000003E-2</v>
      </c>
      <c r="AB328" s="1271">
        <f t="shared" si="465"/>
        <v>1.8421391999999998E-2</v>
      </c>
      <c r="AC328" s="1271">
        <f t="shared" si="465"/>
        <v>1.8552996000000002E-2</v>
      </c>
      <c r="AD328" s="1271">
        <f t="shared" si="465"/>
        <v>1.8726840000000005E-2</v>
      </c>
      <c r="AE328" s="1271">
        <f t="shared" si="465"/>
        <v>1.8857915999999999E-2</v>
      </c>
      <c r="AF328" s="1271">
        <f t="shared" si="465"/>
        <v>1.9086144000000003E-2</v>
      </c>
      <c r="AG328" s="1271">
        <f t="shared" si="465"/>
        <v>1.9109508000000001E-2</v>
      </c>
      <c r="AH328" s="1271">
        <f t="shared" si="465"/>
        <v>2.3253780000000002E-2</v>
      </c>
      <c r="AI328" s="1572">
        <f t="shared" ref="AI328:AJ328" si="466">AI206*AI324</f>
        <v>1.9262363999999997E-2</v>
      </c>
      <c r="AJ328" s="1572">
        <f t="shared" si="466"/>
        <v>2.1708588000000004E-2</v>
      </c>
      <c r="AK328" s="1692">
        <f t="shared" ref="AK328" si="467">AK206*AK324</f>
        <v>0</v>
      </c>
    </row>
    <row r="329" spans="1:37">
      <c r="B329" s="1258" t="s">
        <v>313</v>
      </c>
      <c r="C329" s="1258" t="s">
        <v>321</v>
      </c>
      <c r="D329" s="1271">
        <f t="shared" ref="D329:S330" si="468">D207*D325</f>
        <v>111.36476791342101</v>
      </c>
      <c r="E329" s="1271">
        <f t="shared" si="468"/>
        <v>122.27051367069036</v>
      </c>
      <c r="F329" s="1271">
        <f t="shared" si="468"/>
        <v>154.90519580186719</v>
      </c>
      <c r="G329" s="1271">
        <f t="shared" si="468"/>
        <v>157.56177789141941</v>
      </c>
      <c r="H329" s="1271">
        <f t="shared" si="468"/>
        <v>175.27091395611583</v>
      </c>
      <c r="I329" s="1271">
        <f t="shared" si="468"/>
        <v>202.93535326158059</v>
      </c>
      <c r="J329" s="1271">
        <f t="shared" si="468"/>
        <v>174.06539722304817</v>
      </c>
      <c r="K329" s="1271">
        <f t="shared" si="468"/>
        <v>192.71333341261823</v>
      </c>
      <c r="L329" s="1271">
        <f t="shared" si="468"/>
        <v>174.33423062971997</v>
      </c>
      <c r="M329" s="1271">
        <f t="shared" si="468"/>
        <v>181.19794969376233</v>
      </c>
      <c r="N329" s="1271">
        <f t="shared" si="468"/>
        <v>172.46933117083904</v>
      </c>
      <c r="O329" s="1271">
        <f t="shared" si="468"/>
        <v>187.84258011535948</v>
      </c>
      <c r="P329" s="1271">
        <f t="shared" si="468"/>
        <v>227.34733170601177</v>
      </c>
      <c r="Q329" s="1271">
        <f t="shared" si="468"/>
        <v>225.84122958910632</v>
      </c>
      <c r="R329" s="1271">
        <f t="shared" si="468"/>
        <v>212.68109345305342</v>
      </c>
      <c r="S329" s="1271">
        <f t="shared" si="468"/>
        <v>211.89470281857646</v>
      </c>
      <c r="T329" s="1271">
        <f t="shared" si="465"/>
        <v>224.68334082178748</v>
      </c>
      <c r="U329" s="1271">
        <f t="shared" si="465"/>
        <v>242.97142127014334</v>
      </c>
      <c r="V329" s="1271">
        <f t="shared" si="465"/>
        <v>211.34539361360532</v>
      </c>
      <c r="W329" s="1271">
        <f t="shared" si="465"/>
        <v>200.63121811857053</v>
      </c>
      <c r="X329" s="1271">
        <f t="shared" si="465"/>
        <v>243.51755527739786</v>
      </c>
      <c r="Y329" s="1271">
        <f t="shared" si="465"/>
        <v>247.12881348040673</v>
      </c>
      <c r="Z329" s="1271">
        <f t="shared" si="465"/>
        <v>236.57974826663497</v>
      </c>
      <c r="AA329" s="1271">
        <f t="shared" si="465"/>
        <v>212.62605669263243</v>
      </c>
      <c r="AB329" s="1271">
        <f t="shared" si="465"/>
        <v>190.97650026164001</v>
      </c>
      <c r="AC329" s="1271">
        <f t="shared" si="465"/>
        <v>213.10762834631626</v>
      </c>
      <c r="AD329" s="1271">
        <f t="shared" si="465"/>
        <v>213.95963973360287</v>
      </c>
      <c r="AE329" s="1271">
        <f t="shared" si="465"/>
        <v>222.22997138609745</v>
      </c>
      <c r="AF329" s="1271">
        <f t="shared" si="465"/>
        <v>191.81898605577697</v>
      </c>
      <c r="AG329" s="1271">
        <f t="shared" si="465"/>
        <v>170.94841146458944</v>
      </c>
      <c r="AH329" s="1271">
        <f t="shared" si="465"/>
        <v>159.26368386751503</v>
      </c>
      <c r="AI329" s="1572">
        <f t="shared" ref="AI329:AJ329" si="469">AI207*AI325</f>
        <v>168.29923816970927</v>
      </c>
      <c r="AJ329" s="1572">
        <f t="shared" si="469"/>
        <v>176.50500746863293</v>
      </c>
      <c r="AK329" s="1692">
        <f t="shared" ref="AK329" si="470">AK207*AK325</f>
        <v>161.6493157519177</v>
      </c>
    </row>
    <row r="330" spans="1:37" s="918" customFormat="1">
      <c r="A330"/>
      <c r="B330" s="1258" t="s">
        <v>305</v>
      </c>
      <c r="C330" s="1258" t="s">
        <v>321</v>
      </c>
      <c r="D330" s="1271">
        <f t="shared" si="468"/>
        <v>0</v>
      </c>
      <c r="E330" s="1271">
        <f t="shared" si="465"/>
        <v>0</v>
      </c>
      <c r="F330" s="1271">
        <f t="shared" si="465"/>
        <v>0</v>
      </c>
      <c r="G330" s="1271">
        <f t="shared" si="465"/>
        <v>0</v>
      </c>
      <c r="H330" s="1271">
        <f t="shared" si="465"/>
        <v>0</v>
      </c>
      <c r="I330" s="1271">
        <f t="shared" si="465"/>
        <v>0</v>
      </c>
      <c r="J330" s="1271">
        <f t="shared" si="465"/>
        <v>0</v>
      </c>
      <c r="K330" s="1271">
        <f t="shared" si="465"/>
        <v>0</v>
      </c>
      <c r="L330" s="1271">
        <f t="shared" si="465"/>
        <v>0</v>
      </c>
      <c r="M330" s="1271">
        <f t="shared" si="465"/>
        <v>0</v>
      </c>
      <c r="N330" s="1271">
        <f t="shared" si="465"/>
        <v>0</v>
      </c>
      <c r="O330" s="1271">
        <f t="shared" si="465"/>
        <v>0</v>
      </c>
      <c r="P330" s="1271">
        <f t="shared" si="465"/>
        <v>0</v>
      </c>
      <c r="Q330" s="1271">
        <f t="shared" si="465"/>
        <v>0</v>
      </c>
      <c r="R330" s="1271">
        <f t="shared" si="465"/>
        <v>0</v>
      </c>
      <c r="S330" s="1271">
        <f t="shared" si="465"/>
        <v>0</v>
      </c>
      <c r="T330" s="1271">
        <f t="shared" si="465"/>
        <v>0</v>
      </c>
      <c r="U330" s="1271">
        <f t="shared" si="465"/>
        <v>0</v>
      </c>
      <c r="V330" s="1271">
        <f t="shared" si="465"/>
        <v>0</v>
      </c>
      <c r="W330" s="1271">
        <f t="shared" si="465"/>
        <v>0</v>
      </c>
      <c r="X330" s="1271">
        <f t="shared" si="465"/>
        <v>0</v>
      </c>
      <c r="Y330" s="1271">
        <f t="shared" si="465"/>
        <v>0</v>
      </c>
      <c r="Z330" s="1271">
        <f t="shared" si="465"/>
        <v>0</v>
      </c>
      <c r="AA330" s="1271">
        <f t="shared" si="465"/>
        <v>0</v>
      </c>
      <c r="AB330" s="1271">
        <f t="shared" si="465"/>
        <v>0</v>
      </c>
      <c r="AC330" s="1271">
        <f t="shared" si="465"/>
        <v>0</v>
      </c>
      <c r="AD330" s="1271">
        <f t="shared" si="465"/>
        <v>0</v>
      </c>
      <c r="AE330" s="1271">
        <f t="shared" si="465"/>
        <v>0</v>
      </c>
      <c r="AF330" s="1271">
        <f t="shared" si="465"/>
        <v>5.9891999999999991E-7</v>
      </c>
      <c r="AG330" s="1271">
        <f t="shared" si="465"/>
        <v>6.1686000000000003E-7</v>
      </c>
      <c r="AH330" s="1271">
        <f t="shared" si="465"/>
        <v>5.8166999999999999E-7</v>
      </c>
      <c r="AI330" s="1572">
        <f t="shared" ref="AI330:AJ330" si="471">AI208*AI326</f>
        <v>5.3198999999999999E-7</v>
      </c>
      <c r="AJ330" s="1572">
        <f t="shared" si="471"/>
        <v>5.3750999999999989E-7</v>
      </c>
      <c r="AK330" s="1692">
        <f t="shared" ref="AK330" si="472">AK208*AK326</f>
        <v>5.5958999999999984E-7</v>
      </c>
    </row>
    <row r="331" spans="1:37">
      <c r="B331" s="940" t="s">
        <v>25</v>
      </c>
      <c r="C331" s="939" t="s">
        <v>321</v>
      </c>
      <c r="D331" s="941">
        <f>SUM(D328:D330)</f>
        <v>111.37609021342101</v>
      </c>
      <c r="E331" s="941">
        <f>SUM(E328:E330)</f>
        <v>122.28222814269036</v>
      </c>
      <c r="F331" s="941">
        <f t="shared" ref="F331:AH331" si="473">SUM(F328:F330)</f>
        <v>154.9165310378672</v>
      </c>
      <c r="G331" s="941">
        <f t="shared" si="473"/>
        <v>157.57526657541942</v>
      </c>
      <c r="H331" s="941">
        <f t="shared" si="473"/>
        <v>175.28315616411584</v>
      </c>
      <c r="I331" s="941">
        <f t="shared" si="473"/>
        <v>202.94914105758059</v>
      </c>
      <c r="J331" s="941">
        <f t="shared" si="473"/>
        <v>174.07937457104816</v>
      </c>
      <c r="K331" s="941">
        <f t="shared" si="473"/>
        <v>192.72757964461823</v>
      </c>
      <c r="L331" s="941">
        <f t="shared" si="473"/>
        <v>174.34859645371998</v>
      </c>
      <c r="M331" s="941">
        <f t="shared" si="473"/>
        <v>181.21288905776234</v>
      </c>
      <c r="N331" s="941">
        <f t="shared" si="473"/>
        <v>172.48490624683905</v>
      </c>
      <c r="O331" s="941">
        <f t="shared" si="473"/>
        <v>187.85855000335948</v>
      </c>
      <c r="P331" s="941">
        <f t="shared" si="473"/>
        <v>227.36349471001176</v>
      </c>
      <c r="Q331" s="941">
        <f t="shared" si="473"/>
        <v>225.85746638110632</v>
      </c>
      <c r="R331" s="941">
        <f t="shared" si="473"/>
        <v>212.69760757705342</v>
      </c>
      <c r="S331" s="941">
        <f t="shared" si="473"/>
        <v>211.91056486257645</v>
      </c>
      <c r="T331" s="941">
        <f t="shared" si="473"/>
        <v>224.70006693778748</v>
      </c>
      <c r="U331" s="941">
        <f t="shared" si="473"/>
        <v>242.98844465014335</v>
      </c>
      <c r="V331" s="941">
        <f t="shared" si="473"/>
        <v>211.36309996160531</v>
      </c>
      <c r="W331" s="941">
        <f t="shared" si="473"/>
        <v>200.64960743457053</v>
      </c>
      <c r="X331" s="941">
        <f t="shared" si="473"/>
        <v>243.53662756139786</v>
      </c>
      <c r="Y331" s="941">
        <f t="shared" si="473"/>
        <v>247.14705918040673</v>
      </c>
      <c r="Z331" s="941">
        <f t="shared" si="473"/>
        <v>236.59860116663498</v>
      </c>
      <c r="AA331" s="941">
        <f t="shared" si="473"/>
        <v>212.64509716463243</v>
      </c>
      <c r="AB331" s="941">
        <f t="shared" si="473"/>
        <v>190.99492165364001</v>
      </c>
      <c r="AC331" s="941">
        <f t="shared" si="473"/>
        <v>213.12618134231627</v>
      </c>
      <c r="AD331" s="941">
        <f t="shared" si="473"/>
        <v>213.97836657360287</v>
      </c>
      <c r="AE331" s="941">
        <f t="shared" si="473"/>
        <v>222.24882930209745</v>
      </c>
      <c r="AF331" s="941">
        <f t="shared" si="473"/>
        <v>191.83807279869697</v>
      </c>
      <c r="AG331" s="941">
        <f t="shared" si="473"/>
        <v>170.96752158944946</v>
      </c>
      <c r="AH331" s="941">
        <f t="shared" si="473"/>
        <v>159.28693822918504</v>
      </c>
      <c r="AI331" s="941">
        <f t="shared" ref="AI331:AJ331" si="474">SUM(AI328:AI330)</f>
        <v>168.31850106569928</v>
      </c>
      <c r="AJ331" s="941">
        <f t="shared" si="474"/>
        <v>176.52671659414293</v>
      </c>
      <c r="AK331" s="1691">
        <f t="shared" ref="AK331" si="475">SUM(AK328:AK330)</f>
        <v>161.6493163115077</v>
      </c>
    </row>
    <row r="332" spans="1:37" ht="15" thickBot="1">
      <c r="B332" s="183"/>
      <c r="C332" s="183"/>
      <c r="AI332" s="235"/>
      <c r="AJ332" s="235"/>
      <c r="AK332" s="234"/>
    </row>
    <row r="333" spans="1:37" ht="15" thickBot="1">
      <c r="B333" s="962" t="s">
        <v>314</v>
      </c>
      <c r="C333" s="962" t="s">
        <v>321</v>
      </c>
      <c r="D333" s="1342">
        <f>D313+D331</f>
        <v>1978.9771280369528</v>
      </c>
      <c r="E333" s="1342">
        <f t="shared" ref="E333:AH333" si="476">E313+E331</f>
        <v>1962.2981591599637</v>
      </c>
      <c r="F333" s="1342">
        <f t="shared" si="476"/>
        <v>1968.6263294095834</v>
      </c>
      <c r="G333" s="1342">
        <f t="shared" si="476"/>
        <v>1878.5225651405374</v>
      </c>
      <c r="H333" s="1342">
        <f t="shared" si="476"/>
        <v>1825.8657864477634</v>
      </c>
      <c r="I333" s="1342">
        <f t="shared" si="476"/>
        <v>1805.1331799985173</v>
      </c>
      <c r="J333" s="1342">
        <f t="shared" si="476"/>
        <v>1695.3360955135761</v>
      </c>
      <c r="K333" s="1342">
        <f t="shared" si="476"/>
        <v>1648.7590059408658</v>
      </c>
      <c r="L333" s="1342">
        <f t="shared" si="476"/>
        <v>1565.4483908579696</v>
      </c>
      <c r="M333" s="1342">
        <f t="shared" si="476"/>
        <v>1501.0920444329618</v>
      </c>
      <c r="N333" s="1342">
        <f t="shared" si="476"/>
        <v>1449.1577192098262</v>
      </c>
      <c r="O333" s="1342">
        <f t="shared" si="476"/>
        <v>1377.1325455944389</v>
      </c>
      <c r="P333" s="1342">
        <f t="shared" si="476"/>
        <v>1359.9655571163253</v>
      </c>
      <c r="Q333" s="1342">
        <f t="shared" si="476"/>
        <v>1300.9308715707843</v>
      </c>
      <c r="R333" s="1342">
        <f t="shared" si="476"/>
        <v>1275.3296901390122</v>
      </c>
      <c r="S333" s="1342">
        <f t="shared" si="476"/>
        <v>1167.0967605154624</v>
      </c>
      <c r="T333" s="1342">
        <f t="shared" si="476"/>
        <v>1128.4619868765421</v>
      </c>
      <c r="U333" s="1342">
        <f t="shared" si="476"/>
        <v>1090.1296540834201</v>
      </c>
      <c r="V333" s="1342">
        <f t="shared" si="476"/>
        <v>1007.9589616194544</v>
      </c>
      <c r="W333" s="1342">
        <f t="shared" si="476"/>
        <v>942.52182702759546</v>
      </c>
      <c r="X333" s="1342">
        <f t="shared" si="476"/>
        <v>932.93772274541209</v>
      </c>
      <c r="Y333" s="1342">
        <f t="shared" si="476"/>
        <v>873.32509334000747</v>
      </c>
      <c r="Z333" s="1342">
        <f t="shared" si="476"/>
        <v>853.13516761966298</v>
      </c>
      <c r="AA333" s="1342">
        <f t="shared" si="476"/>
        <v>819.92861707188922</v>
      </c>
      <c r="AB333" s="1342">
        <f t="shared" si="476"/>
        <v>777.88618967683419</v>
      </c>
      <c r="AC333" s="1342">
        <f t="shared" si="476"/>
        <v>793.24401113673593</v>
      </c>
      <c r="AD333" s="1342">
        <f t="shared" si="476"/>
        <v>786.79946477883709</v>
      </c>
      <c r="AE333" s="1342">
        <f t="shared" si="476"/>
        <v>780.84792564304723</v>
      </c>
      <c r="AF333" s="1342">
        <f t="shared" si="476"/>
        <v>743.67732395557698</v>
      </c>
      <c r="AG333" s="1342">
        <f t="shared" si="476"/>
        <v>709.63251663110111</v>
      </c>
      <c r="AH333" s="1342">
        <f t="shared" si="476"/>
        <v>729.94998172041903</v>
      </c>
      <c r="AI333" s="1565">
        <f t="shared" ref="AI333:AJ333" si="477">AI313+AI331</f>
        <v>688.87998212411412</v>
      </c>
      <c r="AJ333" s="1565">
        <f t="shared" si="477"/>
        <v>711.05649727710193</v>
      </c>
      <c r="AK333" s="1683">
        <f t="shared" ref="AK333" si="478">AK313+AK331</f>
        <v>456.04480594632628</v>
      </c>
    </row>
    <row r="334" spans="1:37">
      <c r="AJ334" s="235"/>
      <c r="AK334" s="235"/>
    </row>
  </sheetData>
  <mergeCells count="4">
    <mergeCell ref="B3:O3"/>
    <mergeCell ref="B79:H79"/>
    <mergeCell ref="D114:F114"/>
    <mergeCell ref="B23:D23"/>
  </mergeCells>
  <phoneticPr fontId="43" type="noConversion"/>
  <conditionalFormatting sqref="B3:C3">
    <cfRule type="cellIs" dxfId="26" priority="8" stopIfTrue="1" operator="equal">
      <formula>0</formula>
    </cfRule>
    <cfRule type="cellIs" dxfId="25" priority="9" stopIfTrue="1" operator="notEqual">
      <formula>0</formula>
    </cfRule>
  </conditionalFormatting>
  <conditionalFormatting sqref="B221:C248">
    <cfRule type="cellIs" dxfId="24" priority="4" operator="between">
      <formula>0.000001</formula>
      <formula>0.049999</formula>
    </cfRule>
  </conditionalFormatting>
  <conditionalFormatting sqref="B253:C280">
    <cfRule type="cellIs" dxfId="23" priority="5" operator="between">
      <formula>0.000001</formula>
      <formula>0.049999</formula>
    </cfRule>
  </conditionalFormatting>
  <conditionalFormatting sqref="B285:C312">
    <cfRule type="cellIs" dxfId="22" priority="23" operator="between">
      <formula>0.000001</formula>
      <formula>0.049999</formula>
    </cfRule>
  </conditionalFormatting>
  <conditionalFormatting sqref="B317:C317">
    <cfRule type="cellIs" dxfId="21" priority="3" operator="between">
      <formula>0.000001</formula>
      <formula>0.049999</formula>
    </cfRule>
  </conditionalFormatting>
  <conditionalFormatting sqref="B322:C326">
    <cfRule type="cellIs" dxfId="20" priority="2" operator="between">
      <formula>0.000001</formula>
      <formula>0.049999</formula>
    </cfRule>
  </conditionalFormatting>
  <conditionalFormatting sqref="C282">
    <cfRule type="cellIs" dxfId="19" priority="112" operator="between">
      <formula>0.000001</formula>
      <formula>0.049999</formula>
    </cfRule>
  </conditionalFormatting>
  <conditionalFormatting sqref="D220:AJ220">
    <cfRule type="cellIs" dxfId="18" priority="110" operator="between">
      <formula>0.0000001</formula>
      <formula>0.049999</formula>
    </cfRule>
  </conditionalFormatting>
  <hyperlinks>
    <hyperlink ref="F64" r:id="rId1" xr:uid="{00000000-0004-0000-0900-000000000000}"/>
  </hyperlinks>
  <pageMargins left="0" right="0" top="0" bottom="0" header="0.3" footer="0.3"/>
  <pageSetup scale="36" fitToHeight="0" orientation="landscape" r:id="rId2"/>
  <headerFooter>
    <oddFooter>&amp;L&amp;F &amp;A&amp;R Page &amp;P of &amp;N</oddFooter>
  </headerFooter>
  <rowBreaks count="2" manualBreakCount="2">
    <brk id="50" max="16383" man="1"/>
    <brk id="214" max="16383" man="1"/>
  </rowBreaks>
  <colBreaks count="1" manualBreakCount="1">
    <brk id="27" max="1048575" man="1"/>
  </colBreaks>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E64D-1BE4-6843-B8FA-061FED80C052}">
  <dimension ref="B1:AL305"/>
  <sheetViews>
    <sheetView zoomScaleNormal="100" zoomScaleSheetLayoutView="10" workbookViewId="0"/>
  </sheetViews>
  <sheetFormatPr defaultColWidth="10.81640625" defaultRowHeight="14.5"/>
  <cols>
    <col min="1" max="1" width="6.26953125" customWidth="1"/>
    <col min="2" max="2" width="49.26953125" customWidth="1"/>
    <col min="3" max="3" width="16.453125" customWidth="1"/>
    <col min="4" max="31" width="10.81640625" customWidth="1"/>
    <col min="32" max="32" width="11.81640625" bestFit="1" customWidth="1"/>
  </cols>
  <sheetData>
    <row r="1" spans="2:38" ht="22" thickBot="1">
      <c r="B1" s="1467" t="s">
        <v>325</v>
      </c>
      <c r="C1" s="151"/>
      <c r="D1" s="151"/>
      <c r="E1" s="151"/>
      <c r="F1" s="151"/>
      <c r="G1" s="234"/>
    </row>
    <row r="2" spans="2:38" ht="17.149999999999999" customHeight="1">
      <c r="B2" s="1466" t="s">
        <v>326</v>
      </c>
    </row>
    <row r="3" spans="2:38">
      <c r="B3" t="s">
        <v>327</v>
      </c>
    </row>
    <row r="4" spans="2:38" s="995" customFormat="1" ht="25" customHeight="1">
      <c r="B4" s="89" t="s">
        <v>328</v>
      </c>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row>
    <row r="5" spans="2:38" s="995" customFormat="1" ht="25" customHeight="1">
      <c r="B5" s="1058" t="s">
        <v>329</v>
      </c>
      <c r="C5" s="1059"/>
      <c r="D5" s="1060"/>
      <c r="E5" s="1060"/>
      <c r="F5" s="1060"/>
      <c r="G5" s="1060"/>
      <c r="H5" s="1057"/>
      <c r="I5" s="1057"/>
      <c r="J5" s="994"/>
      <c r="K5" s="994"/>
      <c r="L5" s="994"/>
      <c r="M5" s="994"/>
      <c r="N5" s="994"/>
      <c r="O5" s="994"/>
      <c r="P5" s="994"/>
      <c r="Q5" s="994"/>
      <c r="R5" s="994"/>
      <c r="S5" s="994"/>
      <c r="T5" s="994"/>
      <c r="U5" s="994"/>
      <c r="V5" s="994"/>
      <c r="W5" s="994"/>
      <c r="X5" s="994"/>
      <c r="Y5" s="994"/>
      <c r="Z5" s="994"/>
      <c r="AA5" s="994"/>
      <c r="AB5" s="994"/>
      <c r="AC5" s="994"/>
      <c r="AD5" s="994"/>
      <c r="AE5" s="994"/>
      <c r="AF5" s="994"/>
      <c r="AG5" s="994"/>
      <c r="AH5" s="994"/>
      <c r="AI5" s="1465"/>
      <c r="AJ5" s="1465"/>
      <c r="AK5" s="1465" t="s">
        <v>0</v>
      </c>
      <c r="AL5" s="1056"/>
    </row>
    <row r="6" spans="2:38" s="955" customFormat="1" ht="16" customHeight="1">
      <c r="B6" s="1048" t="s">
        <v>330</v>
      </c>
      <c r="C6" s="1048" t="s">
        <v>257</v>
      </c>
      <c r="D6" s="1049">
        <v>1990</v>
      </c>
      <c r="E6" s="1049">
        <v>1991</v>
      </c>
      <c r="F6" s="1049">
        <v>1992</v>
      </c>
      <c r="G6" s="1049">
        <v>1993</v>
      </c>
      <c r="H6" s="1049">
        <v>1994</v>
      </c>
      <c r="I6" s="1049">
        <v>1995</v>
      </c>
      <c r="J6" s="1049">
        <v>1996</v>
      </c>
      <c r="K6" s="1049">
        <v>1997</v>
      </c>
      <c r="L6" s="1049">
        <v>1998</v>
      </c>
      <c r="M6" s="1049">
        <v>1999</v>
      </c>
      <c r="N6" s="1049">
        <v>2000</v>
      </c>
      <c r="O6" s="1049">
        <v>2001</v>
      </c>
      <c r="P6" s="1049">
        <v>2002</v>
      </c>
      <c r="Q6" s="1049">
        <v>2003</v>
      </c>
      <c r="R6" s="1049">
        <v>2004</v>
      </c>
      <c r="S6" s="1049">
        <v>2005</v>
      </c>
      <c r="T6" s="1049">
        <v>2006</v>
      </c>
      <c r="U6" s="1049">
        <v>2007</v>
      </c>
      <c r="V6" s="1049">
        <v>2008</v>
      </c>
      <c r="W6" s="1049">
        <v>2009</v>
      </c>
      <c r="X6" s="1049">
        <v>2010</v>
      </c>
      <c r="Y6" s="1049">
        <v>2011</v>
      </c>
      <c r="Z6" s="1049">
        <v>2012</v>
      </c>
      <c r="AA6" s="1049">
        <v>2013</v>
      </c>
      <c r="AB6" s="1049">
        <v>2014</v>
      </c>
      <c r="AC6" s="1049">
        <v>2015</v>
      </c>
      <c r="AD6" s="1049">
        <v>2016</v>
      </c>
      <c r="AE6" s="1049">
        <v>2017</v>
      </c>
      <c r="AF6" s="1049">
        <v>2018</v>
      </c>
      <c r="AG6" s="1049">
        <v>2019</v>
      </c>
      <c r="AH6" s="1217">
        <v>2020</v>
      </c>
      <c r="AI6" s="1049">
        <v>2021</v>
      </c>
      <c r="AJ6" s="1217">
        <v>2022</v>
      </c>
      <c r="AK6" s="1049">
        <v>2023</v>
      </c>
      <c r="AL6" s="1209"/>
    </row>
    <row r="7" spans="2:38" s="955" customFormat="1" ht="12">
      <c r="B7" s="930" t="s">
        <v>331</v>
      </c>
      <c r="C7" s="930" t="s">
        <v>332</v>
      </c>
      <c r="D7" s="954">
        <v>925</v>
      </c>
      <c r="E7" s="954">
        <v>934.3</v>
      </c>
      <c r="F7" s="954">
        <v>934.8</v>
      </c>
      <c r="G7" s="954">
        <v>940.4</v>
      </c>
      <c r="H7" s="954">
        <v>943.3</v>
      </c>
      <c r="I7" s="954">
        <v>944.3</v>
      </c>
      <c r="J7" s="954">
        <v>967.40000000000009</v>
      </c>
      <c r="K7" s="954">
        <v>966.5</v>
      </c>
      <c r="L7" s="954">
        <v>975</v>
      </c>
      <c r="M7" s="954">
        <v>990.93911671924297</v>
      </c>
      <c r="N7" s="954">
        <v>995.93911671924297</v>
      </c>
      <c r="O7" s="954">
        <v>1040</v>
      </c>
      <c r="P7" s="954">
        <v>1054.1300000000001</v>
      </c>
      <c r="Q7" s="954">
        <v>1051.2840000000001</v>
      </c>
      <c r="R7" s="954">
        <v>1096</v>
      </c>
      <c r="S7" s="954">
        <v>1100.26</v>
      </c>
      <c r="T7" s="954">
        <v>1093.7399999999998</v>
      </c>
      <c r="U7" s="954">
        <v>1110.4699999999998</v>
      </c>
      <c r="V7" s="954">
        <v>1109.7399999999998</v>
      </c>
      <c r="W7" s="954">
        <v>1113.27</v>
      </c>
      <c r="X7" s="954">
        <v>1124.5</v>
      </c>
      <c r="Y7" s="954">
        <v>1125.1600000000001</v>
      </c>
      <c r="Z7" s="954">
        <v>1125.1699999999998</v>
      </c>
      <c r="AA7" s="954">
        <v>1129.32</v>
      </c>
      <c r="AB7" s="954">
        <v>1129.346</v>
      </c>
      <c r="AC7" s="954">
        <v>1130.3899999999999</v>
      </c>
      <c r="AD7" s="954">
        <v>1135.0399999999997</v>
      </c>
      <c r="AE7" s="954">
        <v>1132.8789999999999</v>
      </c>
      <c r="AF7" s="954">
        <v>1133.579</v>
      </c>
      <c r="AG7" s="954">
        <v>1127.819</v>
      </c>
      <c r="AH7" s="954">
        <v>1130.329</v>
      </c>
      <c r="AI7" s="954">
        <v>1130.8490000000002</v>
      </c>
      <c r="AJ7" s="990">
        <v>1128</v>
      </c>
      <c r="AK7" s="990">
        <v>1112.2160000000001</v>
      </c>
      <c r="AL7" s="990"/>
    </row>
    <row r="8" spans="2:38" s="955" customFormat="1" ht="12">
      <c r="B8" s="924" t="s">
        <v>333</v>
      </c>
      <c r="C8" s="925"/>
      <c r="D8" s="954"/>
      <c r="E8" s="954"/>
      <c r="F8" s="954"/>
      <c r="G8" s="954"/>
      <c r="H8" s="954"/>
      <c r="I8" s="954"/>
      <c r="J8" s="954"/>
      <c r="K8" s="954"/>
      <c r="L8" s="954"/>
      <c r="M8" s="954"/>
      <c r="N8" s="954"/>
      <c r="O8" s="954"/>
      <c r="P8" s="954"/>
      <c r="Q8" s="954"/>
      <c r="R8" s="954"/>
      <c r="S8" s="954"/>
      <c r="T8" s="954"/>
      <c r="U8" s="954"/>
      <c r="V8" s="954"/>
      <c r="W8" s="954"/>
      <c r="X8" s="954"/>
      <c r="Y8" s="954"/>
      <c r="Z8" s="954"/>
      <c r="AA8" s="954"/>
      <c r="AB8" s="954"/>
      <c r="AC8" s="954"/>
      <c r="AD8" s="954"/>
      <c r="AE8" s="954"/>
      <c r="AF8" s="954"/>
      <c r="AG8" s="954"/>
      <c r="AH8" s="954"/>
      <c r="AI8" s="954"/>
      <c r="AJ8" s="954"/>
      <c r="AK8" s="954"/>
      <c r="AL8" s="990"/>
    </row>
    <row r="9" spans="2:38" s="955" customFormat="1" ht="12">
      <c r="B9" s="928" t="s">
        <v>334</v>
      </c>
      <c r="C9" s="928" t="s">
        <v>335</v>
      </c>
      <c r="D9" s="958">
        <v>4</v>
      </c>
      <c r="E9" s="958">
        <v>4</v>
      </c>
      <c r="F9" s="958">
        <v>4</v>
      </c>
      <c r="G9" s="958">
        <v>4</v>
      </c>
      <c r="H9" s="958">
        <v>4</v>
      </c>
      <c r="I9" s="958">
        <v>4</v>
      </c>
      <c r="J9" s="958">
        <v>4</v>
      </c>
      <c r="K9" s="958">
        <v>4</v>
      </c>
      <c r="L9" s="958">
        <v>4</v>
      </c>
      <c r="M9" s="958">
        <v>4</v>
      </c>
      <c r="N9" s="958">
        <v>4</v>
      </c>
      <c r="O9" s="958">
        <v>4</v>
      </c>
      <c r="P9" s="958">
        <v>4</v>
      </c>
      <c r="Q9" s="958">
        <v>4</v>
      </c>
      <c r="R9" s="958">
        <v>4</v>
      </c>
      <c r="S9" s="958">
        <v>4</v>
      </c>
      <c r="T9" s="958">
        <v>4</v>
      </c>
      <c r="U9" s="958">
        <v>4</v>
      </c>
      <c r="V9" s="958">
        <v>4</v>
      </c>
      <c r="W9" s="958">
        <v>4</v>
      </c>
      <c r="X9" s="958">
        <v>4</v>
      </c>
      <c r="Y9" s="958">
        <v>4</v>
      </c>
      <c r="Z9" s="958">
        <v>5</v>
      </c>
      <c r="AA9" s="958">
        <v>5</v>
      </c>
      <c r="AB9" s="958">
        <v>5</v>
      </c>
      <c r="AC9" s="958">
        <v>5</v>
      </c>
      <c r="AD9" s="958">
        <v>5</v>
      </c>
      <c r="AE9" s="958">
        <v>5</v>
      </c>
      <c r="AF9" s="958">
        <v>5</v>
      </c>
      <c r="AG9" s="958">
        <v>5</v>
      </c>
      <c r="AH9" s="958">
        <v>5</v>
      </c>
      <c r="AI9" s="958">
        <v>6</v>
      </c>
      <c r="AJ9" s="958">
        <v>6</v>
      </c>
      <c r="AK9" s="1222"/>
      <c r="AL9" s="1222"/>
    </row>
    <row r="10" spans="2:38" s="955" customFormat="1" ht="12">
      <c r="B10" s="959" t="s">
        <v>336</v>
      </c>
      <c r="C10" s="930" t="s">
        <v>335</v>
      </c>
      <c r="D10" s="958">
        <v>4</v>
      </c>
      <c r="E10" s="958">
        <v>4</v>
      </c>
      <c r="F10" s="958">
        <v>4</v>
      </c>
      <c r="G10" s="958">
        <v>4</v>
      </c>
      <c r="H10" s="958">
        <v>4</v>
      </c>
      <c r="I10" s="958">
        <v>4</v>
      </c>
      <c r="J10" s="958">
        <v>4</v>
      </c>
      <c r="K10" s="958">
        <v>4</v>
      </c>
      <c r="L10" s="958">
        <v>4</v>
      </c>
      <c r="M10" s="958">
        <v>4</v>
      </c>
      <c r="N10" s="958">
        <v>4</v>
      </c>
      <c r="O10" s="958">
        <v>4</v>
      </c>
      <c r="P10" s="958">
        <v>4</v>
      </c>
      <c r="Q10" s="958">
        <v>4</v>
      </c>
      <c r="R10" s="958">
        <v>4</v>
      </c>
      <c r="S10" s="958">
        <v>4</v>
      </c>
      <c r="T10" s="958">
        <v>4</v>
      </c>
      <c r="U10" s="958">
        <v>4</v>
      </c>
      <c r="V10" s="958">
        <v>4</v>
      </c>
      <c r="W10" s="958">
        <v>4</v>
      </c>
      <c r="X10" s="958">
        <v>4</v>
      </c>
      <c r="Y10" s="958">
        <v>4</v>
      </c>
      <c r="Z10" s="958">
        <v>5</v>
      </c>
      <c r="AA10" s="958">
        <v>5</v>
      </c>
      <c r="AB10" s="958">
        <v>5</v>
      </c>
      <c r="AC10" s="958">
        <v>5</v>
      </c>
      <c r="AD10" s="958">
        <v>5</v>
      </c>
      <c r="AE10" s="958">
        <v>5</v>
      </c>
      <c r="AF10" s="958">
        <v>5</v>
      </c>
      <c r="AG10" s="958">
        <v>5</v>
      </c>
      <c r="AH10" s="958">
        <v>5</v>
      </c>
      <c r="AI10" s="958">
        <v>6</v>
      </c>
      <c r="AJ10" s="958">
        <v>6</v>
      </c>
      <c r="AK10" s="1222"/>
      <c r="AL10" s="1222"/>
    </row>
    <row r="11" spans="2:38" s="955" customFormat="1" ht="12">
      <c r="B11" s="959" t="s">
        <v>337</v>
      </c>
      <c r="C11" s="930" t="s">
        <v>338</v>
      </c>
      <c r="D11" s="958">
        <v>3</v>
      </c>
      <c r="E11" s="958">
        <v>3</v>
      </c>
      <c r="F11" s="958">
        <v>3</v>
      </c>
      <c r="G11" s="958">
        <v>3</v>
      </c>
      <c r="H11" s="958">
        <v>3</v>
      </c>
      <c r="I11" s="958">
        <v>3</v>
      </c>
      <c r="J11" s="958">
        <v>3</v>
      </c>
      <c r="K11" s="958">
        <v>3</v>
      </c>
      <c r="L11" s="958">
        <v>3</v>
      </c>
      <c r="M11" s="958">
        <v>3</v>
      </c>
      <c r="N11" s="958">
        <v>3</v>
      </c>
      <c r="O11" s="958">
        <v>3</v>
      </c>
      <c r="P11" s="958">
        <v>3</v>
      </c>
      <c r="Q11" s="958">
        <v>3</v>
      </c>
      <c r="R11" s="958">
        <v>3</v>
      </c>
      <c r="S11" s="958">
        <v>3</v>
      </c>
      <c r="T11" s="958">
        <v>3</v>
      </c>
      <c r="U11" s="958">
        <v>3</v>
      </c>
      <c r="V11" s="958">
        <v>3</v>
      </c>
      <c r="W11" s="958">
        <v>3</v>
      </c>
      <c r="X11" s="958">
        <v>3</v>
      </c>
      <c r="Y11" s="958">
        <v>1</v>
      </c>
      <c r="Z11" s="958">
        <v>1</v>
      </c>
      <c r="AA11" s="958">
        <v>1</v>
      </c>
      <c r="AB11" s="958">
        <v>1</v>
      </c>
      <c r="AC11" s="958">
        <v>1</v>
      </c>
      <c r="AD11" s="958">
        <v>1</v>
      </c>
      <c r="AE11" s="958">
        <v>1</v>
      </c>
      <c r="AF11" s="958">
        <v>1</v>
      </c>
      <c r="AG11" s="958">
        <v>1</v>
      </c>
      <c r="AH11" s="958">
        <v>1</v>
      </c>
      <c r="AI11" s="958">
        <v>1</v>
      </c>
      <c r="AJ11" s="958">
        <v>1</v>
      </c>
      <c r="AK11" s="1222"/>
      <c r="AL11" s="1222"/>
    </row>
    <row r="12" spans="2:38" s="955" customFormat="1" ht="12">
      <c r="B12" s="959" t="s">
        <v>339</v>
      </c>
      <c r="C12" s="930" t="s">
        <v>338</v>
      </c>
      <c r="D12" s="958">
        <v>11</v>
      </c>
      <c r="E12" s="958">
        <v>11</v>
      </c>
      <c r="F12" s="958">
        <v>11</v>
      </c>
      <c r="G12" s="958">
        <v>11</v>
      </c>
      <c r="H12" s="958">
        <v>11</v>
      </c>
      <c r="I12" s="958">
        <v>11</v>
      </c>
      <c r="J12" s="958">
        <v>11</v>
      </c>
      <c r="K12" s="958">
        <v>11</v>
      </c>
      <c r="L12" s="958">
        <v>11</v>
      </c>
      <c r="M12" s="958">
        <v>11</v>
      </c>
      <c r="N12" s="958">
        <v>11</v>
      </c>
      <c r="O12" s="958">
        <v>11</v>
      </c>
      <c r="P12" s="958">
        <v>11</v>
      </c>
      <c r="Q12" s="958">
        <v>11</v>
      </c>
      <c r="R12" s="958">
        <v>11</v>
      </c>
      <c r="S12" s="958">
        <v>11</v>
      </c>
      <c r="T12" s="958">
        <v>11</v>
      </c>
      <c r="U12" s="958">
        <v>11</v>
      </c>
      <c r="V12" s="958">
        <v>11</v>
      </c>
      <c r="W12" s="958">
        <v>11</v>
      </c>
      <c r="X12" s="958">
        <v>11</v>
      </c>
      <c r="Y12" s="958">
        <v>9</v>
      </c>
      <c r="Z12" s="958">
        <v>9</v>
      </c>
      <c r="AA12" s="958">
        <v>9</v>
      </c>
      <c r="AB12" s="958">
        <v>9</v>
      </c>
      <c r="AC12" s="958">
        <v>9</v>
      </c>
      <c r="AD12" s="958">
        <v>9</v>
      </c>
      <c r="AE12" s="958">
        <v>9</v>
      </c>
      <c r="AF12" s="958">
        <v>9</v>
      </c>
      <c r="AG12" s="958">
        <v>9</v>
      </c>
      <c r="AH12" s="958">
        <v>9</v>
      </c>
      <c r="AI12" s="958">
        <v>9</v>
      </c>
      <c r="AJ12" s="958">
        <v>9</v>
      </c>
      <c r="AK12" s="1222"/>
      <c r="AL12" s="1222"/>
    </row>
    <row r="13" spans="2:38" s="955" customFormat="1" ht="12">
      <c r="B13" s="960" t="s">
        <v>340</v>
      </c>
      <c r="C13" s="930" t="s">
        <v>338</v>
      </c>
      <c r="D13" s="958">
        <v>0</v>
      </c>
      <c r="E13" s="958">
        <v>0</v>
      </c>
      <c r="F13" s="958">
        <v>0</v>
      </c>
      <c r="G13" s="958">
        <v>0</v>
      </c>
      <c r="H13" s="958">
        <v>0</v>
      </c>
      <c r="I13" s="958">
        <v>0</v>
      </c>
      <c r="J13" s="958">
        <v>0</v>
      </c>
      <c r="K13" s="958">
        <v>0</v>
      </c>
      <c r="L13" s="958">
        <v>0</v>
      </c>
      <c r="M13" s="958">
        <v>0</v>
      </c>
      <c r="N13" s="958">
        <v>0</v>
      </c>
      <c r="O13" s="958">
        <v>0</v>
      </c>
      <c r="P13" s="958">
        <v>0</v>
      </c>
      <c r="Q13" s="958">
        <v>0</v>
      </c>
      <c r="R13" s="958">
        <v>0</v>
      </c>
      <c r="S13" s="958">
        <v>0</v>
      </c>
      <c r="T13" s="958">
        <v>0</v>
      </c>
      <c r="U13" s="958">
        <v>0</v>
      </c>
      <c r="V13" s="958">
        <v>0</v>
      </c>
      <c r="W13" s="958">
        <v>0</v>
      </c>
      <c r="X13" s="958">
        <v>0</v>
      </c>
      <c r="Y13" s="958">
        <v>5</v>
      </c>
      <c r="Z13" s="958">
        <v>6</v>
      </c>
      <c r="AA13" s="958">
        <v>6</v>
      </c>
      <c r="AB13" s="958">
        <v>6</v>
      </c>
      <c r="AC13" s="958">
        <v>6</v>
      </c>
      <c r="AD13" s="958">
        <v>6</v>
      </c>
      <c r="AE13" s="958">
        <v>6</v>
      </c>
      <c r="AF13" s="958">
        <v>6</v>
      </c>
      <c r="AG13" s="958">
        <v>6</v>
      </c>
      <c r="AH13" s="958">
        <v>6</v>
      </c>
      <c r="AI13" s="958">
        <v>7</v>
      </c>
      <c r="AJ13" s="958">
        <v>7</v>
      </c>
      <c r="AK13" s="1222"/>
      <c r="AL13" s="1222"/>
    </row>
    <row r="14" spans="2:38" s="955" customFormat="1" ht="12">
      <c r="B14" s="924" t="s">
        <v>341</v>
      </c>
      <c r="C14" s="925"/>
      <c r="D14" s="954"/>
      <c r="E14" s="954"/>
      <c r="F14" s="954"/>
      <c r="G14" s="954"/>
      <c r="H14" s="954"/>
      <c r="I14" s="954"/>
      <c r="J14" s="954"/>
      <c r="K14" s="954"/>
      <c r="L14" s="954"/>
      <c r="M14" s="954"/>
      <c r="N14" s="954"/>
      <c r="O14" s="954"/>
      <c r="P14" s="954"/>
      <c r="Q14" s="954"/>
      <c r="R14" s="954"/>
      <c r="S14" s="954"/>
      <c r="T14" s="954"/>
      <c r="U14" s="954"/>
      <c r="V14" s="954"/>
      <c r="W14" s="954"/>
      <c r="X14" s="954"/>
      <c r="Y14" s="954"/>
      <c r="Z14" s="954"/>
      <c r="AA14" s="954"/>
      <c r="AB14" s="954"/>
      <c r="AC14" s="954"/>
      <c r="AD14" s="954"/>
      <c r="AE14" s="954"/>
      <c r="AF14" s="954"/>
      <c r="AG14" s="954"/>
      <c r="AH14" s="954"/>
      <c r="AI14" s="958"/>
      <c r="AJ14" s="958"/>
      <c r="AK14" s="990"/>
      <c r="AL14" s="990"/>
    </row>
    <row r="15" spans="2:38" s="955" customFormat="1" ht="12">
      <c r="B15" s="928" t="s">
        <v>342</v>
      </c>
      <c r="C15" s="930" t="s">
        <v>343</v>
      </c>
      <c r="D15" s="958">
        <v>0</v>
      </c>
      <c r="E15" s="958">
        <v>0</v>
      </c>
      <c r="F15" s="958">
        <v>0</v>
      </c>
      <c r="G15" s="958">
        <v>0</v>
      </c>
      <c r="H15" s="958">
        <v>0</v>
      </c>
      <c r="I15" s="958">
        <v>0</v>
      </c>
      <c r="J15" s="958">
        <v>0</v>
      </c>
      <c r="K15" s="958">
        <v>0</v>
      </c>
      <c r="L15" s="958">
        <v>0</v>
      </c>
      <c r="M15" s="958">
        <v>0</v>
      </c>
      <c r="N15" s="958">
        <v>0</v>
      </c>
      <c r="O15" s="958">
        <v>0</v>
      </c>
      <c r="P15" s="958">
        <v>0</v>
      </c>
      <c r="Q15" s="958">
        <v>0</v>
      </c>
      <c r="R15" s="958">
        <v>0</v>
      </c>
      <c r="S15" s="958">
        <v>0</v>
      </c>
      <c r="T15" s="958">
        <v>0</v>
      </c>
      <c r="U15" s="958">
        <v>0</v>
      </c>
      <c r="V15" s="958">
        <v>0</v>
      </c>
      <c r="W15" s="958">
        <v>0</v>
      </c>
      <c r="X15" s="958">
        <v>0</v>
      </c>
      <c r="Y15" s="958">
        <v>0</v>
      </c>
      <c r="Z15" s="958">
        <v>0</v>
      </c>
      <c r="AA15" s="958">
        <v>0</v>
      </c>
      <c r="AB15" s="958">
        <v>0</v>
      </c>
      <c r="AC15" s="958">
        <v>0</v>
      </c>
      <c r="AD15" s="958">
        <v>0</v>
      </c>
      <c r="AE15" s="958">
        <v>0</v>
      </c>
      <c r="AF15" s="958">
        <v>0</v>
      </c>
      <c r="AG15" s="958">
        <v>0</v>
      </c>
      <c r="AH15" s="958">
        <v>0</v>
      </c>
      <c r="AI15" s="958">
        <v>0</v>
      </c>
      <c r="AJ15" s="958">
        <v>0</v>
      </c>
      <c r="AK15" s="1222"/>
      <c r="AL15" s="1222"/>
    </row>
    <row r="16" spans="2:38" s="955" customFormat="1" ht="12">
      <c r="B16" s="963" t="s">
        <v>344</v>
      </c>
      <c r="C16" s="930" t="s">
        <v>335</v>
      </c>
      <c r="D16" s="958">
        <v>0</v>
      </c>
      <c r="E16" s="958">
        <v>0</v>
      </c>
      <c r="F16" s="958">
        <v>0</v>
      </c>
      <c r="G16" s="958">
        <v>0</v>
      </c>
      <c r="H16" s="958">
        <v>0</v>
      </c>
      <c r="I16" s="958">
        <v>0</v>
      </c>
      <c r="J16" s="958">
        <v>0</v>
      </c>
      <c r="K16" s="958">
        <v>0</v>
      </c>
      <c r="L16" s="958">
        <v>0</v>
      </c>
      <c r="M16" s="958">
        <v>0</v>
      </c>
      <c r="N16" s="958">
        <v>0</v>
      </c>
      <c r="O16" s="958">
        <v>0</v>
      </c>
      <c r="P16" s="958">
        <v>0</v>
      </c>
      <c r="Q16" s="958">
        <v>0</v>
      </c>
      <c r="R16" s="958">
        <v>0</v>
      </c>
      <c r="S16" s="958">
        <v>0</v>
      </c>
      <c r="T16" s="958">
        <v>0</v>
      </c>
      <c r="U16" s="958">
        <v>0</v>
      </c>
      <c r="V16" s="958">
        <v>0</v>
      </c>
      <c r="W16" s="958">
        <v>0</v>
      </c>
      <c r="X16" s="958">
        <v>0</v>
      </c>
      <c r="Y16" s="958">
        <v>0</v>
      </c>
      <c r="Z16" s="958">
        <v>0</v>
      </c>
      <c r="AA16" s="958">
        <v>0</v>
      </c>
      <c r="AB16" s="958">
        <v>0</v>
      </c>
      <c r="AC16" s="958">
        <v>0</v>
      </c>
      <c r="AD16" s="958">
        <v>0</v>
      </c>
      <c r="AE16" s="958">
        <v>0</v>
      </c>
      <c r="AF16" s="958">
        <v>0</v>
      </c>
      <c r="AG16" s="958">
        <v>0</v>
      </c>
      <c r="AH16" s="958">
        <v>0</v>
      </c>
      <c r="AI16" s="958">
        <v>0</v>
      </c>
      <c r="AJ16" s="958">
        <v>0</v>
      </c>
      <c r="AK16" s="1222"/>
      <c r="AL16" s="1222"/>
    </row>
    <row r="17" spans="2:38" s="955" customFormat="1" ht="12">
      <c r="B17" s="924" t="s">
        <v>345</v>
      </c>
      <c r="C17" s="925"/>
      <c r="D17" s="954"/>
      <c r="E17" s="954"/>
      <c r="F17" s="954"/>
      <c r="G17" s="954"/>
      <c r="H17" s="954"/>
      <c r="I17" s="954"/>
      <c r="J17" s="954"/>
      <c r="K17" s="954"/>
      <c r="L17" s="954"/>
      <c r="M17" s="954"/>
      <c r="N17" s="954"/>
      <c r="O17" s="954"/>
      <c r="P17" s="954"/>
      <c r="Q17" s="954"/>
      <c r="R17" s="954"/>
      <c r="S17" s="954"/>
      <c r="T17" s="954"/>
      <c r="U17" s="954"/>
      <c r="V17" s="954"/>
      <c r="W17" s="954"/>
      <c r="X17" s="954"/>
      <c r="Y17" s="954"/>
      <c r="Z17" s="954"/>
      <c r="AA17" s="954"/>
      <c r="AB17" s="954"/>
      <c r="AC17" s="954"/>
      <c r="AD17" s="954"/>
      <c r="AE17" s="954"/>
      <c r="AF17" s="954"/>
      <c r="AG17" s="954"/>
      <c r="AH17" s="954"/>
      <c r="AI17" s="958"/>
      <c r="AJ17" s="958"/>
      <c r="AK17" s="990"/>
      <c r="AL17" s="990"/>
    </row>
    <row r="18" spans="2:38" s="955" customFormat="1" ht="12">
      <c r="B18" s="928" t="s">
        <v>345</v>
      </c>
      <c r="C18" s="928" t="s">
        <v>346</v>
      </c>
      <c r="D18" s="958">
        <v>136</v>
      </c>
      <c r="E18" s="958">
        <v>136</v>
      </c>
      <c r="F18" s="958">
        <v>136</v>
      </c>
      <c r="G18" s="958">
        <v>136</v>
      </c>
      <c r="H18" s="958">
        <v>136</v>
      </c>
      <c r="I18" s="958">
        <v>136</v>
      </c>
      <c r="J18" s="958">
        <v>136</v>
      </c>
      <c r="K18" s="958">
        <v>136</v>
      </c>
      <c r="L18" s="958">
        <v>136</v>
      </c>
      <c r="M18" s="958">
        <v>136</v>
      </c>
      <c r="N18" s="958">
        <v>136</v>
      </c>
      <c r="O18" s="958">
        <v>136</v>
      </c>
      <c r="P18" s="958">
        <v>136</v>
      </c>
      <c r="Q18" s="958">
        <v>136</v>
      </c>
      <c r="R18" s="958">
        <v>136</v>
      </c>
      <c r="S18" s="958">
        <v>136</v>
      </c>
      <c r="T18" s="958">
        <v>136</v>
      </c>
      <c r="U18" s="958">
        <v>136</v>
      </c>
      <c r="V18" s="958">
        <v>136</v>
      </c>
      <c r="W18" s="958">
        <v>136</v>
      </c>
      <c r="X18" s="958">
        <v>136</v>
      </c>
      <c r="Y18" s="958">
        <v>169</v>
      </c>
      <c r="Z18" s="958">
        <v>169</v>
      </c>
      <c r="AA18" s="958">
        <v>169</v>
      </c>
      <c r="AB18" s="958">
        <v>169</v>
      </c>
      <c r="AC18" s="958">
        <v>169</v>
      </c>
      <c r="AD18" s="958">
        <v>169</v>
      </c>
      <c r="AE18" s="958">
        <v>169</v>
      </c>
      <c r="AF18" s="958">
        <v>169</v>
      </c>
      <c r="AG18" s="958">
        <v>169</v>
      </c>
      <c r="AH18" s="958">
        <v>169</v>
      </c>
      <c r="AI18" s="958">
        <f>SUM(AI19:AI21)</f>
        <v>175</v>
      </c>
      <c r="AJ18" s="958">
        <f>SUM(AJ19:AJ21)</f>
        <v>175</v>
      </c>
      <c r="AK18" s="1222"/>
      <c r="AL18" s="1222"/>
    </row>
    <row r="19" spans="2:38" s="955" customFormat="1" ht="12">
      <c r="B19" s="959" t="s">
        <v>347</v>
      </c>
      <c r="C19" s="928" t="s">
        <v>346</v>
      </c>
      <c r="D19" s="958">
        <v>0</v>
      </c>
      <c r="E19" s="958">
        <v>0</v>
      </c>
      <c r="F19" s="958">
        <v>0</v>
      </c>
      <c r="G19" s="958">
        <v>0</v>
      </c>
      <c r="H19" s="958">
        <v>0</v>
      </c>
      <c r="I19" s="958">
        <v>0</v>
      </c>
      <c r="J19" s="958">
        <v>0</v>
      </c>
      <c r="K19" s="958">
        <v>0</v>
      </c>
      <c r="L19" s="958">
        <v>0</v>
      </c>
      <c r="M19" s="958">
        <v>0</v>
      </c>
      <c r="N19" s="958">
        <v>0</v>
      </c>
      <c r="O19" s="958">
        <v>0</v>
      </c>
      <c r="P19" s="958">
        <v>0</v>
      </c>
      <c r="Q19" s="958">
        <v>0</v>
      </c>
      <c r="R19" s="958">
        <v>0</v>
      </c>
      <c r="S19" s="958">
        <v>0</v>
      </c>
      <c r="T19" s="958">
        <v>0</v>
      </c>
      <c r="U19" s="958">
        <v>0</v>
      </c>
      <c r="V19" s="958">
        <v>0</v>
      </c>
      <c r="W19" s="958">
        <v>0</v>
      </c>
      <c r="X19" s="958">
        <v>0</v>
      </c>
      <c r="Y19" s="958">
        <v>0</v>
      </c>
      <c r="Z19" s="958">
        <v>0</v>
      </c>
      <c r="AA19" s="958">
        <v>0</v>
      </c>
      <c r="AB19" s="958">
        <v>0</v>
      </c>
      <c r="AC19" s="958">
        <v>0</v>
      </c>
      <c r="AD19" s="958">
        <v>0</v>
      </c>
      <c r="AE19" s="958">
        <v>0</v>
      </c>
      <c r="AF19" s="958">
        <v>0</v>
      </c>
      <c r="AG19" s="958">
        <v>0</v>
      </c>
      <c r="AH19" s="958">
        <v>0</v>
      </c>
      <c r="AI19" s="958">
        <v>0</v>
      </c>
      <c r="AJ19" s="958">
        <v>0</v>
      </c>
      <c r="AK19" s="1222"/>
      <c r="AL19" s="1222"/>
    </row>
    <row r="20" spans="2:38" s="955" customFormat="1" ht="12">
      <c r="B20" s="959" t="s">
        <v>348</v>
      </c>
      <c r="C20" s="928" t="s">
        <v>346</v>
      </c>
      <c r="D20" s="958">
        <v>136</v>
      </c>
      <c r="E20" s="958">
        <v>136</v>
      </c>
      <c r="F20" s="958">
        <v>136</v>
      </c>
      <c r="G20" s="958">
        <v>136</v>
      </c>
      <c r="H20" s="958">
        <v>136</v>
      </c>
      <c r="I20" s="958">
        <v>136</v>
      </c>
      <c r="J20" s="958">
        <v>136</v>
      </c>
      <c r="K20" s="958">
        <v>136</v>
      </c>
      <c r="L20" s="958">
        <v>136</v>
      </c>
      <c r="M20" s="958">
        <v>136</v>
      </c>
      <c r="N20" s="958">
        <v>136</v>
      </c>
      <c r="O20" s="958">
        <v>136</v>
      </c>
      <c r="P20" s="958">
        <v>136</v>
      </c>
      <c r="Q20" s="958">
        <v>136</v>
      </c>
      <c r="R20" s="958">
        <v>136</v>
      </c>
      <c r="S20" s="958">
        <v>136</v>
      </c>
      <c r="T20" s="958">
        <v>136</v>
      </c>
      <c r="U20" s="958">
        <v>136</v>
      </c>
      <c r="V20" s="958">
        <v>136</v>
      </c>
      <c r="W20" s="958">
        <v>136</v>
      </c>
      <c r="X20" s="958">
        <v>136</v>
      </c>
      <c r="Y20" s="958">
        <v>169</v>
      </c>
      <c r="Z20" s="958">
        <v>169</v>
      </c>
      <c r="AA20" s="958">
        <v>169</v>
      </c>
      <c r="AB20" s="958">
        <v>169</v>
      </c>
      <c r="AC20" s="958">
        <v>169</v>
      </c>
      <c r="AD20" s="958">
        <v>169</v>
      </c>
      <c r="AE20" s="958">
        <v>169</v>
      </c>
      <c r="AF20" s="958">
        <v>169</v>
      </c>
      <c r="AG20" s="958">
        <v>169</v>
      </c>
      <c r="AH20" s="958">
        <v>169</v>
      </c>
      <c r="AI20" s="958">
        <f>64+25+47+33+6</f>
        <v>175</v>
      </c>
      <c r="AJ20" s="958">
        <f>64+25+47+33+6</f>
        <v>175</v>
      </c>
      <c r="AK20" s="1222"/>
      <c r="AL20" s="1222"/>
    </row>
    <row r="21" spans="2:38" s="955" customFormat="1" ht="12">
      <c r="B21" s="959" t="s">
        <v>349</v>
      </c>
      <c r="C21" s="928" t="s">
        <v>346</v>
      </c>
      <c r="D21" s="958">
        <v>0</v>
      </c>
      <c r="E21" s="958">
        <v>0</v>
      </c>
      <c r="F21" s="958">
        <v>0</v>
      </c>
      <c r="G21" s="958">
        <v>0</v>
      </c>
      <c r="H21" s="958">
        <v>0</v>
      </c>
      <c r="I21" s="958">
        <v>0</v>
      </c>
      <c r="J21" s="958">
        <v>0</v>
      </c>
      <c r="K21" s="958">
        <v>0</v>
      </c>
      <c r="L21" s="958">
        <v>0</v>
      </c>
      <c r="M21" s="958">
        <v>0</v>
      </c>
      <c r="N21" s="958">
        <v>0</v>
      </c>
      <c r="O21" s="958">
        <v>0</v>
      </c>
      <c r="P21" s="958">
        <v>0</v>
      </c>
      <c r="Q21" s="958">
        <v>0</v>
      </c>
      <c r="R21" s="958">
        <v>0</v>
      </c>
      <c r="S21" s="958">
        <v>0</v>
      </c>
      <c r="T21" s="958">
        <v>0</v>
      </c>
      <c r="U21" s="958">
        <v>0</v>
      </c>
      <c r="V21" s="958">
        <v>0</v>
      </c>
      <c r="W21" s="958">
        <v>0</v>
      </c>
      <c r="X21" s="958">
        <v>0</v>
      </c>
      <c r="Y21" s="958">
        <v>0</v>
      </c>
      <c r="Z21" s="958">
        <v>0</v>
      </c>
      <c r="AA21" s="958">
        <v>0</v>
      </c>
      <c r="AB21" s="958">
        <v>0</v>
      </c>
      <c r="AC21" s="958">
        <v>0</v>
      </c>
      <c r="AD21" s="958">
        <v>0</v>
      </c>
      <c r="AE21" s="958">
        <v>0</v>
      </c>
      <c r="AF21" s="958">
        <v>0</v>
      </c>
      <c r="AG21" s="958">
        <v>0</v>
      </c>
      <c r="AH21" s="958">
        <v>0</v>
      </c>
      <c r="AI21" s="958">
        <v>0</v>
      </c>
      <c r="AJ21" s="958">
        <v>0</v>
      </c>
      <c r="AK21" s="1222"/>
      <c r="AL21" s="1222"/>
    </row>
    <row r="22" spans="2:38" s="955" customFormat="1" ht="12">
      <c r="B22" s="1033" t="s">
        <v>350</v>
      </c>
      <c r="C22" s="925"/>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8"/>
      <c r="AJ22" s="958"/>
      <c r="AK22" s="990"/>
      <c r="AL22" s="990"/>
    </row>
    <row r="23" spans="2:38" s="955" customFormat="1" ht="12">
      <c r="B23" s="961" t="s">
        <v>351</v>
      </c>
      <c r="C23" s="961" t="s">
        <v>332</v>
      </c>
      <c r="D23" s="954">
        <f t="shared" ref="D23:AK23" si="0">D7</f>
        <v>925</v>
      </c>
      <c r="E23" s="954">
        <f t="shared" si="0"/>
        <v>934.3</v>
      </c>
      <c r="F23" s="954">
        <f t="shared" si="0"/>
        <v>934.8</v>
      </c>
      <c r="G23" s="954">
        <f t="shared" si="0"/>
        <v>940.4</v>
      </c>
      <c r="H23" s="954">
        <f t="shared" si="0"/>
        <v>943.3</v>
      </c>
      <c r="I23" s="954">
        <f t="shared" si="0"/>
        <v>944.3</v>
      </c>
      <c r="J23" s="954">
        <f t="shared" si="0"/>
        <v>967.40000000000009</v>
      </c>
      <c r="K23" s="954">
        <f t="shared" si="0"/>
        <v>966.5</v>
      </c>
      <c r="L23" s="954">
        <f t="shared" si="0"/>
        <v>975</v>
      </c>
      <c r="M23" s="954">
        <f t="shared" si="0"/>
        <v>990.93911671924297</v>
      </c>
      <c r="N23" s="954">
        <f t="shared" si="0"/>
        <v>995.93911671924297</v>
      </c>
      <c r="O23" s="954">
        <f t="shared" si="0"/>
        <v>1040</v>
      </c>
      <c r="P23" s="954">
        <f t="shared" si="0"/>
        <v>1054.1300000000001</v>
      </c>
      <c r="Q23" s="954">
        <f t="shared" si="0"/>
        <v>1051.2840000000001</v>
      </c>
      <c r="R23" s="954">
        <f t="shared" si="0"/>
        <v>1096</v>
      </c>
      <c r="S23" s="954">
        <f t="shared" si="0"/>
        <v>1100.26</v>
      </c>
      <c r="T23" s="954">
        <f t="shared" si="0"/>
        <v>1093.7399999999998</v>
      </c>
      <c r="U23" s="954">
        <f t="shared" si="0"/>
        <v>1110.4699999999998</v>
      </c>
      <c r="V23" s="954">
        <f t="shared" si="0"/>
        <v>1109.7399999999998</v>
      </c>
      <c r="W23" s="954">
        <f t="shared" si="0"/>
        <v>1113.27</v>
      </c>
      <c r="X23" s="954">
        <f t="shared" si="0"/>
        <v>1124.5</v>
      </c>
      <c r="Y23" s="954">
        <f t="shared" si="0"/>
        <v>1125.1600000000001</v>
      </c>
      <c r="Z23" s="954">
        <f t="shared" si="0"/>
        <v>1125.1699999999998</v>
      </c>
      <c r="AA23" s="954">
        <f t="shared" si="0"/>
        <v>1129.32</v>
      </c>
      <c r="AB23" s="954">
        <f t="shared" si="0"/>
        <v>1129.346</v>
      </c>
      <c r="AC23" s="954">
        <f t="shared" si="0"/>
        <v>1130.3899999999999</v>
      </c>
      <c r="AD23" s="954">
        <f t="shared" si="0"/>
        <v>1135.0399999999997</v>
      </c>
      <c r="AE23" s="954">
        <f t="shared" si="0"/>
        <v>1132.8789999999999</v>
      </c>
      <c r="AF23" s="954">
        <f t="shared" si="0"/>
        <v>1133.579</v>
      </c>
      <c r="AG23" s="954">
        <f t="shared" si="0"/>
        <v>1127.819</v>
      </c>
      <c r="AH23" s="954">
        <f t="shared" si="0"/>
        <v>1130.329</v>
      </c>
      <c r="AI23" s="954">
        <f t="shared" si="0"/>
        <v>1130.8490000000002</v>
      </c>
      <c r="AJ23" s="954">
        <f t="shared" si="0"/>
        <v>1128</v>
      </c>
      <c r="AK23" s="954">
        <f t="shared" si="0"/>
        <v>1112.2160000000001</v>
      </c>
      <c r="AL23" s="990"/>
    </row>
    <row r="24" spans="2:38" s="955" customFormat="1" ht="12">
      <c r="B24" s="1033" t="s">
        <v>352</v>
      </c>
      <c r="C24" s="925"/>
      <c r="D24" s="954"/>
      <c r="E24" s="954"/>
      <c r="F24" s="954"/>
      <c r="G24" s="954"/>
      <c r="H24" s="954"/>
      <c r="I24" s="954"/>
      <c r="J24" s="954"/>
      <c r="K24" s="954"/>
      <c r="L24" s="954"/>
      <c r="M24" s="954"/>
      <c r="N24" s="954"/>
      <c r="O24" s="954"/>
      <c r="P24" s="954"/>
      <c r="Q24" s="954"/>
      <c r="R24" s="954"/>
      <c r="S24" s="954"/>
      <c r="T24" s="954"/>
      <c r="U24" s="954"/>
      <c r="V24" s="954"/>
      <c r="W24" s="954"/>
      <c r="X24" s="954"/>
      <c r="Y24" s="954"/>
      <c r="Z24" s="954"/>
      <c r="AA24" s="954"/>
      <c r="AB24" s="954"/>
      <c r="AC24" s="954"/>
      <c r="AD24" s="954"/>
      <c r="AE24" s="954"/>
      <c r="AF24" s="954"/>
      <c r="AG24" s="954"/>
      <c r="AH24" s="954"/>
      <c r="AI24" s="958"/>
      <c r="AJ24" s="958"/>
      <c r="AK24" s="958"/>
      <c r="AL24" s="990"/>
    </row>
    <row r="25" spans="2:38" s="955" customFormat="1" ht="12">
      <c r="B25" s="928" t="s">
        <v>352</v>
      </c>
      <c r="C25" s="928" t="s">
        <v>335</v>
      </c>
      <c r="D25" s="958">
        <v>4</v>
      </c>
      <c r="E25" s="958">
        <v>4</v>
      </c>
      <c r="F25" s="958">
        <v>4</v>
      </c>
      <c r="G25" s="958">
        <v>4</v>
      </c>
      <c r="H25" s="958">
        <v>4</v>
      </c>
      <c r="I25" s="958">
        <v>4</v>
      </c>
      <c r="J25" s="958">
        <v>4</v>
      </c>
      <c r="K25" s="958">
        <v>4</v>
      </c>
      <c r="L25" s="958">
        <v>4</v>
      </c>
      <c r="M25" s="958">
        <v>4</v>
      </c>
      <c r="N25" s="958">
        <v>4</v>
      </c>
      <c r="O25" s="958">
        <v>4</v>
      </c>
      <c r="P25" s="958">
        <v>4</v>
      </c>
      <c r="Q25" s="958">
        <v>4</v>
      </c>
      <c r="R25" s="958">
        <v>4</v>
      </c>
      <c r="S25" s="958">
        <v>4</v>
      </c>
      <c r="T25" s="958">
        <v>4</v>
      </c>
      <c r="U25" s="958">
        <v>4</v>
      </c>
      <c r="V25" s="958">
        <v>4</v>
      </c>
      <c r="W25" s="958">
        <v>4</v>
      </c>
      <c r="X25" s="958">
        <v>4</v>
      </c>
      <c r="Y25" s="958">
        <v>4</v>
      </c>
      <c r="Z25" s="958">
        <v>5</v>
      </c>
      <c r="AA25" s="958">
        <v>5</v>
      </c>
      <c r="AB25" s="958">
        <v>5</v>
      </c>
      <c r="AC25" s="958">
        <v>5</v>
      </c>
      <c r="AD25" s="958">
        <v>5</v>
      </c>
      <c r="AE25" s="958">
        <v>5</v>
      </c>
      <c r="AF25" s="958">
        <v>5</v>
      </c>
      <c r="AG25" s="958">
        <v>5</v>
      </c>
      <c r="AH25" s="958">
        <v>5</v>
      </c>
      <c r="AI25" s="958">
        <v>6</v>
      </c>
      <c r="AJ25" s="958">
        <v>6</v>
      </c>
      <c r="AK25" s="958">
        <v>6</v>
      </c>
      <c r="AL25" s="1222"/>
    </row>
    <row r="26" spans="2:38" s="955" customFormat="1" ht="12">
      <c r="B26" s="1033" t="s">
        <v>353</v>
      </c>
      <c r="C26" s="925"/>
      <c r="D26" s="954"/>
      <c r="E26" s="954"/>
      <c r="F26" s="954"/>
      <c r="G26" s="954"/>
      <c r="H26" s="954"/>
      <c r="I26" s="954"/>
      <c r="J26" s="954"/>
      <c r="K26" s="954"/>
      <c r="L26" s="954"/>
      <c r="M26" s="954"/>
      <c r="N26" s="954"/>
      <c r="O26" s="954"/>
      <c r="P26" s="954"/>
      <c r="Q26" s="954"/>
      <c r="R26" s="954"/>
      <c r="S26" s="954"/>
      <c r="T26" s="954"/>
      <c r="U26" s="954"/>
      <c r="V26" s="954"/>
      <c r="W26" s="954"/>
      <c r="X26" s="954"/>
      <c r="Y26" s="954"/>
      <c r="Z26" s="954"/>
      <c r="AA26" s="954"/>
      <c r="AB26" s="954"/>
      <c r="AC26" s="954"/>
      <c r="AD26" s="954"/>
      <c r="AE26" s="954"/>
      <c r="AF26" s="954"/>
      <c r="AG26" s="954"/>
      <c r="AH26" s="954"/>
      <c r="AI26" s="958"/>
      <c r="AJ26" s="958"/>
      <c r="AK26" s="958"/>
      <c r="AL26" s="990"/>
    </row>
    <row r="27" spans="2:38" s="955" customFormat="1" ht="12">
      <c r="B27" s="928" t="s">
        <v>354</v>
      </c>
      <c r="C27" s="928" t="s">
        <v>355</v>
      </c>
      <c r="D27" s="958">
        <v>18</v>
      </c>
      <c r="E27" s="958">
        <v>18</v>
      </c>
      <c r="F27" s="958">
        <v>18</v>
      </c>
      <c r="G27" s="958">
        <v>18</v>
      </c>
      <c r="H27" s="958">
        <v>18</v>
      </c>
      <c r="I27" s="958">
        <v>18</v>
      </c>
      <c r="J27" s="958">
        <v>18</v>
      </c>
      <c r="K27" s="958">
        <v>18</v>
      </c>
      <c r="L27" s="958">
        <v>18</v>
      </c>
      <c r="M27" s="958">
        <v>18</v>
      </c>
      <c r="N27" s="958">
        <v>19</v>
      </c>
      <c r="O27" s="958">
        <v>19</v>
      </c>
      <c r="P27" s="958">
        <v>19</v>
      </c>
      <c r="Q27" s="958">
        <v>19</v>
      </c>
      <c r="R27" s="958">
        <v>19</v>
      </c>
      <c r="S27" s="958">
        <v>19</v>
      </c>
      <c r="T27" s="958">
        <v>19</v>
      </c>
      <c r="U27" s="958">
        <v>19</v>
      </c>
      <c r="V27" s="958">
        <v>19</v>
      </c>
      <c r="W27" s="958">
        <v>19</v>
      </c>
      <c r="X27" s="958">
        <v>19</v>
      </c>
      <c r="Y27" s="958">
        <v>19</v>
      </c>
      <c r="Z27" s="958">
        <v>19</v>
      </c>
      <c r="AA27" s="958">
        <v>19</v>
      </c>
      <c r="AB27" s="958">
        <v>19</v>
      </c>
      <c r="AC27" s="958">
        <v>19</v>
      </c>
      <c r="AD27" s="958">
        <v>19</v>
      </c>
      <c r="AE27" s="958">
        <v>19</v>
      </c>
      <c r="AF27" s="958">
        <v>19</v>
      </c>
      <c r="AG27" s="958">
        <v>19</v>
      </c>
      <c r="AH27" s="958">
        <v>19</v>
      </c>
      <c r="AI27" s="958">
        <v>19</v>
      </c>
      <c r="AJ27" s="958">
        <v>19</v>
      </c>
      <c r="AK27" s="958">
        <v>19</v>
      </c>
      <c r="AL27" s="1222"/>
    </row>
    <row r="28" spans="2:38" s="955" customFormat="1" ht="12">
      <c r="B28" s="930" t="s">
        <v>356</v>
      </c>
      <c r="C28" s="928" t="s">
        <v>355</v>
      </c>
      <c r="D28" s="958">
        <v>18</v>
      </c>
      <c r="E28" s="958">
        <v>18</v>
      </c>
      <c r="F28" s="958">
        <v>18</v>
      </c>
      <c r="G28" s="958">
        <v>18</v>
      </c>
      <c r="H28" s="958">
        <v>18</v>
      </c>
      <c r="I28" s="958">
        <v>18</v>
      </c>
      <c r="J28" s="958">
        <v>18</v>
      </c>
      <c r="K28" s="958">
        <v>18</v>
      </c>
      <c r="L28" s="958">
        <v>18</v>
      </c>
      <c r="M28" s="958">
        <v>18</v>
      </c>
      <c r="N28" s="958">
        <v>19</v>
      </c>
      <c r="O28" s="958">
        <v>19</v>
      </c>
      <c r="P28" s="958">
        <v>19</v>
      </c>
      <c r="Q28" s="958">
        <v>19</v>
      </c>
      <c r="R28" s="958">
        <v>19</v>
      </c>
      <c r="S28" s="958">
        <v>19</v>
      </c>
      <c r="T28" s="958">
        <v>19</v>
      </c>
      <c r="U28" s="958">
        <v>19</v>
      </c>
      <c r="V28" s="958">
        <v>19</v>
      </c>
      <c r="W28" s="958">
        <v>19</v>
      </c>
      <c r="X28" s="958">
        <v>19</v>
      </c>
      <c r="Y28" s="958">
        <v>19</v>
      </c>
      <c r="Z28" s="958">
        <v>19</v>
      </c>
      <c r="AA28" s="958">
        <v>19</v>
      </c>
      <c r="AB28" s="958">
        <v>19</v>
      </c>
      <c r="AC28" s="958">
        <v>19</v>
      </c>
      <c r="AD28" s="958">
        <v>19</v>
      </c>
      <c r="AE28" s="958">
        <v>19</v>
      </c>
      <c r="AF28" s="958">
        <v>19</v>
      </c>
      <c r="AG28" s="983">
        <v>19</v>
      </c>
      <c r="AH28" s="983">
        <v>19</v>
      </c>
      <c r="AI28" s="983">
        <v>19</v>
      </c>
      <c r="AJ28" s="983">
        <v>19</v>
      </c>
      <c r="AK28" s="983">
        <v>19</v>
      </c>
      <c r="AL28" s="1222"/>
    </row>
    <row r="29" spans="2:38" s="955" customFormat="1" ht="12">
      <c r="B29" s="1033" t="s">
        <v>357</v>
      </c>
      <c r="C29" s="925"/>
      <c r="D29" s="954"/>
      <c r="E29" s="954"/>
      <c r="F29" s="954"/>
      <c r="G29" s="954"/>
      <c r="H29" s="954"/>
      <c r="I29" s="954"/>
      <c r="J29" s="954"/>
      <c r="K29" s="954"/>
      <c r="L29" s="954"/>
      <c r="M29" s="954"/>
      <c r="N29" s="954"/>
      <c r="O29" s="954"/>
      <c r="P29" s="954"/>
      <c r="Q29" s="954"/>
      <c r="R29" s="954"/>
      <c r="S29" s="954"/>
      <c r="T29" s="954"/>
      <c r="U29" s="954"/>
      <c r="V29" s="954">
        <v>2</v>
      </c>
      <c r="W29" s="954"/>
      <c r="X29" s="954"/>
      <c r="Y29" s="954"/>
      <c r="Z29" s="954"/>
      <c r="AA29" s="954"/>
      <c r="AB29" s="954"/>
      <c r="AC29" s="954"/>
      <c r="AD29" s="954"/>
      <c r="AE29" s="954"/>
      <c r="AF29" s="954"/>
      <c r="AI29" s="958"/>
    </row>
    <row r="30" spans="2:38" s="955" customFormat="1" ht="12">
      <c r="B30" s="930" t="s">
        <v>358</v>
      </c>
      <c r="C30" s="930" t="s">
        <v>359</v>
      </c>
      <c r="D30" s="958">
        <v>1</v>
      </c>
      <c r="E30" s="958">
        <v>1</v>
      </c>
      <c r="F30" s="958">
        <v>1</v>
      </c>
      <c r="G30" s="958">
        <v>1</v>
      </c>
      <c r="H30" s="958">
        <v>1</v>
      </c>
      <c r="I30" s="958">
        <v>1</v>
      </c>
      <c r="J30" s="958">
        <v>1</v>
      </c>
      <c r="K30" s="958">
        <v>1</v>
      </c>
      <c r="L30" s="958">
        <v>1</v>
      </c>
      <c r="M30" s="958">
        <v>1</v>
      </c>
      <c r="N30" s="958">
        <v>1</v>
      </c>
      <c r="O30" s="958">
        <v>1</v>
      </c>
      <c r="P30" s="958">
        <v>1</v>
      </c>
      <c r="Q30" s="958">
        <v>1</v>
      </c>
      <c r="R30" s="958">
        <v>1</v>
      </c>
      <c r="S30" s="958">
        <v>1</v>
      </c>
      <c r="T30" s="958">
        <v>1</v>
      </c>
      <c r="U30" s="958">
        <v>1</v>
      </c>
      <c r="V30" s="958">
        <v>2</v>
      </c>
      <c r="W30" s="958">
        <v>2</v>
      </c>
      <c r="X30" s="958">
        <v>3</v>
      </c>
      <c r="Y30" s="958">
        <v>1</v>
      </c>
      <c r="Z30" s="958">
        <v>1</v>
      </c>
      <c r="AA30" s="958">
        <v>1</v>
      </c>
      <c r="AB30" s="958">
        <v>1</v>
      </c>
      <c r="AC30" s="958">
        <v>2</v>
      </c>
      <c r="AD30" s="958">
        <v>2</v>
      </c>
      <c r="AE30" s="958">
        <v>1</v>
      </c>
      <c r="AF30" s="958">
        <v>1</v>
      </c>
      <c r="AG30" s="958">
        <v>2</v>
      </c>
      <c r="AH30" s="958">
        <v>1</v>
      </c>
      <c r="AI30" s="958">
        <v>1</v>
      </c>
      <c r="AJ30" s="958">
        <v>2</v>
      </c>
      <c r="AK30" s="958">
        <v>1</v>
      </c>
      <c r="AL30" s="1223"/>
    </row>
    <row r="31" spans="2:38" s="955" customFormat="1" ht="12">
      <c r="B31" s="930" t="s">
        <v>360</v>
      </c>
      <c r="C31" s="930" t="s">
        <v>359</v>
      </c>
      <c r="D31" s="982">
        <v>1</v>
      </c>
      <c r="E31" s="983">
        <v>1</v>
      </c>
      <c r="F31" s="983">
        <v>1</v>
      </c>
      <c r="G31" s="983">
        <v>1</v>
      </c>
      <c r="H31" s="983">
        <v>1</v>
      </c>
      <c r="I31" s="983">
        <v>1</v>
      </c>
      <c r="J31" s="983">
        <v>1</v>
      </c>
      <c r="K31" s="983">
        <v>1</v>
      </c>
      <c r="L31" s="983">
        <v>1</v>
      </c>
      <c r="M31" s="983">
        <v>1</v>
      </c>
      <c r="N31" s="983">
        <v>1</v>
      </c>
      <c r="O31" s="983">
        <v>1</v>
      </c>
      <c r="P31" s="983">
        <v>1</v>
      </c>
      <c r="Q31" s="983">
        <v>1</v>
      </c>
      <c r="R31" s="983">
        <v>1</v>
      </c>
      <c r="S31" s="983">
        <v>1</v>
      </c>
      <c r="T31" s="983">
        <v>1</v>
      </c>
      <c r="U31" s="983">
        <v>1</v>
      </c>
      <c r="V31" s="983">
        <v>2</v>
      </c>
      <c r="W31" s="983">
        <v>2</v>
      </c>
      <c r="X31" s="983">
        <v>3</v>
      </c>
      <c r="Y31" s="983">
        <v>1</v>
      </c>
      <c r="Z31" s="983">
        <v>1</v>
      </c>
      <c r="AA31" s="983">
        <v>1</v>
      </c>
      <c r="AB31" s="983">
        <v>1</v>
      </c>
      <c r="AC31" s="983">
        <v>2</v>
      </c>
      <c r="AD31" s="983">
        <v>2</v>
      </c>
      <c r="AE31" s="983">
        <v>1</v>
      </c>
      <c r="AF31" s="983">
        <v>1</v>
      </c>
      <c r="AG31" s="983">
        <v>2</v>
      </c>
      <c r="AH31" s="983">
        <v>1</v>
      </c>
      <c r="AI31" s="983">
        <v>1</v>
      </c>
      <c r="AJ31" s="983">
        <v>2</v>
      </c>
      <c r="AK31" s="983">
        <v>1</v>
      </c>
      <c r="AL31" s="1223"/>
    </row>
    <row r="33" spans="2:38" ht="21.5">
      <c r="B33" s="89" t="s">
        <v>361</v>
      </c>
    </row>
    <row r="34" spans="2:38" ht="15.5">
      <c r="B34" s="916" t="s">
        <v>254</v>
      </c>
      <c r="D34" s="234"/>
      <c r="AG34" s="581"/>
    </row>
    <row r="35" spans="2:38" ht="15.5">
      <c r="B35" s="916" t="s">
        <v>255</v>
      </c>
      <c r="C35" s="916"/>
      <c r="D35" s="916"/>
      <c r="E35" s="916"/>
      <c r="F35" s="916"/>
      <c r="G35" s="916"/>
      <c r="H35" s="916"/>
      <c r="I35" s="916"/>
      <c r="J35" s="916"/>
      <c r="AG35" s="234"/>
    </row>
    <row r="36" spans="2:38" s="955" customFormat="1" ht="15.5">
      <c r="B36" s="956" t="s">
        <v>256</v>
      </c>
      <c r="C36" s="956" t="s">
        <v>257</v>
      </c>
      <c r="D36" s="957">
        <v>1990</v>
      </c>
      <c r="E36" s="957">
        <v>1991</v>
      </c>
      <c r="F36" s="957">
        <v>1992</v>
      </c>
      <c r="G36" s="957">
        <v>1993</v>
      </c>
      <c r="H36" s="957">
        <v>1994</v>
      </c>
      <c r="I36" s="957">
        <v>1995</v>
      </c>
      <c r="J36" s="957">
        <v>1996</v>
      </c>
      <c r="K36" s="957">
        <v>1997</v>
      </c>
      <c r="L36" s="957">
        <v>1998</v>
      </c>
      <c r="M36" s="957">
        <v>1999</v>
      </c>
      <c r="N36" s="957">
        <v>2000</v>
      </c>
      <c r="O36" s="957">
        <v>2001</v>
      </c>
      <c r="P36" s="957">
        <v>2002</v>
      </c>
      <c r="Q36" s="957">
        <v>2003</v>
      </c>
      <c r="R36" s="957">
        <v>2004</v>
      </c>
      <c r="S36" s="957">
        <v>2005</v>
      </c>
      <c r="T36" s="957">
        <v>2006</v>
      </c>
      <c r="U36" s="957">
        <v>2007</v>
      </c>
      <c r="V36" s="957">
        <v>2008</v>
      </c>
      <c r="W36" s="957">
        <v>2009</v>
      </c>
      <c r="X36" s="957">
        <v>2010</v>
      </c>
      <c r="Y36" s="957">
        <v>2011</v>
      </c>
      <c r="Z36" s="957">
        <v>2012</v>
      </c>
      <c r="AA36" s="957">
        <v>2013</v>
      </c>
      <c r="AB36" s="957">
        <v>2014</v>
      </c>
      <c r="AC36" s="957">
        <v>2015</v>
      </c>
      <c r="AD36" s="957">
        <v>2016</v>
      </c>
      <c r="AE36" s="957">
        <v>2017</v>
      </c>
      <c r="AF36" s="957">
        <v>2018</v>
      </c>
      <c r="AG36" s="957">
        <v>2019</v>
      </c>
      <c r="AH36" s="1218">
        <v>2020</v>
      </c>
      <c r="AI36" s="957">
        <v>2021</v>
      </c>
      <c r="AJ36" s="1218">
        <v>2022</v>
      </c>
      <c r="AK36" s="957">
        <v>2023</v>
      </c>
      <c r="AL36" s="995"/>
    </row>
    <row r="37" spans="2:38" s="955" customFormat="1" ht="15.5">
      <c r="B37" s="920" t="s">
        <v>362</v>
      </c>
      <c r="C37" s="921"/>
      <c r="D37" s="922"/>
      <c r="E37" s="922"/>
      <c r="F37" s="922"/>
      <c r="G37" s="922"/>
      <c r="H37" s="922"/>
      <c r="I37" s="922"/>
      <c r="J37" s="922"/>
      <c r="K37" s="922"/>
      <c r="L37" s="922"/>
      <c r="M37" s="922"/>
      <c r="N37" s="922"/>
      <c r="O37" s="922"/>
      <c r="P37" s="922"/>
      <c r="Q37" s="922"/>
      <c r="R37" s="922"/>
      <c r="S37" s="922"/>
      <c r="T37" s="922"/>
      <c r="U37" s="922"/>
      <c r="V37" s="922"/>
      <c r="W37" s="922"/>
      <c r="X37" s="922"/>
      <c r="Y37" s="922"/>
      <c r="Z37" s="922"/>
      <c r="AA37" s="922"/>
      <c r="AB37" s="922"/>
      <c r="AC37" s="922"/>
      <c r="AD37" s="922"/>
      <c r="AE37" s="922"/>
      <c r="AF37" s="923"/>
      <c r="AG37" s="922"/>
      <c r="AH37" s="922"/>
      <c r="AI37" s="922"/>
      <c r="AJ37" s="922"/>
      <c r="AK37" s="922"/>
      <c r="AL37" s="1056"/>
    </row>
    <row r="38" spans="2:38" s="955" customFormat="1" ht="12">
      <c r="B38" s="930" t="s">
        <v>331</v>
      </c>
      <c r="C38" s="930" t="s">
        <v>261</v>
      </c>
      <c r="D38" s="931">
        <v>10.924027882038665</v>
      </c>
      <c r="E38" s="931">
        <v>10.924027882038665</v>
      </c>
      <c r="F38" s="931">
        <v>10.924027882038665</v>
      </c>
      <c r="G38" s="931">
        <v>10.924027882038665</v>
      </c>
      <c r="H38" s="931">
        <v>10.924027882038665</v>
      </c>
      <c r="I38" s="931">
        <v>10.924027882038665</v>
      </c>
      <c r="J38" s="931">
        <v>10.924027882038665</v>
      </c>
      <c r="K38" s="931">
        <v>10.924027882038665</v>
      </c>
      <c r="L38" s="931">
        <v>10.924027882038665</v>
      </c>
      <c r="M38" s="931">
        <v>10.924027882038667</v>
      </c>
      <c r="N38" s="931">
        <v>10.924027882038665</v>
      </c>
      <c r="O38" s="931">
        <v>10.924027882038667</v>
      </c>
      <c r="P38" s="931">
        <v>10.924027882038665</v>
      </c>
      <c r="Q38" s="931">
        <v>10.924027882038665</v>
      </c>
      <c r="R38" s="931">
        <v>10.924027882038665</v>
      </c>
      <c r="S38" s="931">
        <v>10.924027882038663</v>
      </c>
      <c r="T38" s="931">
        <v>10.924027882038667</v>
      </c>
      <c r="U38" s="931">
        <v>10.924027882038667</v>
      </c>
      <c r="V38" s="931">
        <v>10.924027882038665</v>
      </c>
      <c r="W38" s="931">
        <v>10.924027882038667</v>
      </c>
      <c r="X38" s="931">
        <v>10.924027882038665</v>
      </c>
      <c r="Y38" s="931">
        <v>10.924027882038667</v>
      </c>
      <c r="Z38" s="931">
        <v>10.924027882038665</v>
      </c>
      <c r="AA38" s="931">
        <v>10.924027882038665</v>
      </c>
      <c r="AB38" s="931">
        <v>10.924027882038665</v>
      </c>
      <c r="AC38" s="931">
        <v>10.924027882038665</v>
      </c>
      <c r="AD38" s="931">
        <v>10.924027882038665</v>
      </c>
      <c r="AE38" s="931">
        <v>10.924027882038663</v>
      </c>
      <c r="AF38" s="931">
        <v>10.924027882038663</v>
      </c>
      <c r="AG38" s="1159">
        <v>10.924027882038665</v>
      </c>
      <c r="AH38" s="1150">
        <v>10.924027882038665</v>
      </c>
      <c r="AI38" s="1150">
        <v>10.924027882038665</v>
      </c>
      <c r="AJ38" s="1150">
        <v>10.924027882038665</v>
      </c>
      <c r="AK38" s="1387">
        <v>10.9240278820387</v>
      </c>
      <c r="AL38" s="990"/>
    </row>
    <row r="39" spans="2:38" s="955" customFormat="1" ht="12">
      <c r="B39" s="924" t="s">
        <v>333</v>
      </c>
      <c r="C39" s="925"/>
      <c r="D39" s="926"/>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1153"/>
      <c r="AH39" s="1219"/>
    </row>
    <row r="40" spans="2:38" s="955" customFormat="1" ht="12">
      <c r="B40" s="928" t="s">
        <v>334</v>
      </c>
      <c r="C40" s="928" t="s">
        <v>272</v>
      </c>
      <c r="D40" s="929">
        <v>633830.39474332659</v>
      </c>
      <c r="E40" s="929">
        <v>633830.39474332682</v>
      </c>
      <c r="F40" s="929">
        <v>633830.39474332682</v>
      </c>
      <c r="G40" s="929">
        <v>617376.91532074567</v>
      </c>
      <c r="H40" s="929">
        <v>600923.43589816475</v>
      </c>
      <c r="I40" s="929">
        <v>584469.9564755836</v>
      </c>
      <c r="J40" s="929">
        <v>568016.47705300257</v>
      </c>
      <c r="K40" s="929">
        <v>551562.99763042142</v>
      </c>
      <c r="L40" s="929">
        <v>535109.51820784039</v>
      </c>
      <c r="M40" s="929">
        <v>518656.0387852593</v>
      </c>
      <c r="N40" s="929">
        <v>502202.55936267821</v>
      </c>
      <c r="O40" s="929">
        <v>485749.07994009723</v>
      </c>
      <c r="P40" s="929">
        <v>469295.60051751614</v>
      </c>
      <c r="Q40" s="929">
        <v>452842.12109493499</v>
      </c>
      <c r="R40" s="929">
        <v>436388.64167235384</v>
      </c>
      <c r="S40" s="929">
        <v>419935.16224977281</v>
      </c>
      <c r="T40" s="929">
        <v>403481.68282719166</v>
      </c>
      <c r="U40" s="929">
        <v>387028.20340461051</v>
      </c>
      <c r="V40" s="929">
        <v>370574.72398202942</v>
      </c>
      <c r="W40" s="929">
        <v>354121.24455944821</v>
      </c>
      <c r="X40" s="929">
        <v>337667.76513686712</v>
      </c>
      <c r="Y40" s="929">
        <v>321214.28571428562</v>
      </c>
      <c r="Z40" s="929">
        <v>321753.74376039935</v>
      </c>
      <c r="AA40" s="929">
        <v>321590.9342177998</v>
      </c>
      <c r="AB40" s="929">
        <v>317726.8156424581</v>
      </c>
      <c r="AC40" s="929">
        <v>319349.09909909905</v>
      </c>
      <c r="AD40" s="929">
        <v>319438.84057971014</v>
      </c>
      <c r="AE40" s="929">
        <v>318440.8117249154</v>
      </c>
      <c r="AF40" s="1152">
        <v>313608.74257960066</v>
      </c>
      <c r="AG40" s="1159">
        <v>310507.42311770935</v>
      </c>
      <c r="AH40" s="1252">
        <v>308820.11708355503</v>
      </c>
      <c r="AI40" s="1159">
        <v>298809.18367346941</v>
      </c>
      <c r="AJ40" s="1159">
        <v>293954.54545454547</v>
      </c>
      <c r="AK40" s="990"/>
      <c r="AL40" s="1225"/>
    </row>
    <row r="41" spans="2:38" s="955" customFormat="1" ht="12">
      <c r="B41" s="959" t="s">
        <v>336</v>
      </c>
      <c r="C41" s="930" t="s">
        <v>272</v>
      </c>
      <c r="D41" s="931" t="s">
        <v>324</v>
      </c>
      <c r="E41" s="929" t="s">
        <v>324</v>
      </c>
      <c r="F41" s="931" t="s">
        <v>324</v>
      </c>
      <c r="G41" s="931" t="s">
        <v>324</v>
      </c>
      <c r="H41" s="931" t="s">
        <v>324</v>
      </c>
      <c r="I41" s="931" t="s">
        <v>324</v>
      </c>
      <c r="J41" s="931" t="s">
        <v>324</v>
      </c>
      <c r="K41" s="931" t="s">
        <v>324</v>
      </c>
      <c r="L41" s="931" t="s">
        <v>324</v>
      </c>
      <c r="M41" s="931" t="s">
        <v>324</v>
      </c>
      <c r="N41" s="931" t="s">
        <v>324</v>
      </c>
      <c r="O41" s="931" t="s">
        <v>324</v>
      </c>
      <c r="P41" s="931" t="s">
        <v>324</v>
      </c>
      <c r="Q41" s="931" t="s">
        <v>324</v>
      </c>
      <c r="R41" s="931" t="s">
        <v>324</v>
      </c>
      <c r="S41" s="931" t="s">
        <v>324</v>
      </c>
      <c r="T41" s="931" t="s">
        <v>324</v>
      </c>
      <c r="U41" s="931" t="s">
        <v>324</v>
      </c>
      <c r="V41" s="931" t="s">
        <v>324</v>
      </c>
      <c r="W41" s="931" t="s">
        <v>324</v>
      </c>
      <c r="X41" s="931" t="s">
        <v>324</v>
      </c>
      <c r="Y41" s="931">
        <v>64000</v>
      </c>
      <c r="Z41" s="931">
        <v>64000</v>
      </c>
      <c r="AA41" s="931">
        <v>63999.999999999993</v>
      </c>
      <c r="AB41" s="931">
        <v>63999.999999999993</v>
      </c>
      <c r="AC41" s="931">
        <v>63999.999999999993</v>
      </c>
      <c r="AD41" s="931">
        <v>63999.999999999993</v>
      </c>
      <c r="AE41" s="931">
        <v>63999.999999999993</v>
      </c>
      <c r="AF41" s="1150">
        <v>63999.999999999993</v>
      </c>
      <c r="AG41" s="1159">
        <v>63999.999999999993</v>
      </c>
      <c r="AH41" s="1252">
        <v>63999.999999999993</v>
      </c>
      <c r="AI41" s="1159">
        <v>63999.999999999985</v>
      </c>
      <c r="AJ41" s="1159">
        <v>63999.999999999993</v>
      </c>
      <c r="AK41" s="990"/>
      <c r="AL41" s="1226"/>
    </row>
    <row r="42" spans="2:38" s="955" customFormat="1" ht="12">
      <c r="B42" s="959" t="s">
        <v>337</v>
      </c>
      <c r="C42" s="930" t="s">
        <v>363</v>
      </c>
      <c r="D42" s="931" t="s">
        <v>324</v>
      </c>
      <c r="E42" s="929" t="s">
        <v>324</v>
      </c>
      <c r="F42" s="931" t="s">
        <v>324</v>
      </c>
      <c r="G42" s="931" t="s">
        <v>324</v>
      </c>
      <c r="H42" s="931" t="s">
        <v>324</v>
      </c>
      <c r="I42" s="931" t="s">
        <v>324</v>
      </c>
      <c r="J42" s="931" t="s">
        <v>324</v>
      </c>
      <c r="K42" s="931" t="s">
        <v>324</v>
      </c>
      <c r="L42" s="931" t="s">
        <v>324</v>
      </c>
      <c r="M42" s="931" t="s">
        <v>324</v>
      </c>
      <c r="N42" s="931" t="s">
        <v>324</v>
      </c>
      <c r="O42" s="931" t="s">
        <v>324</v>
      </c>
      <c r="P42" s="931" t="s">
        <v>324</v>
      </c>
      <c r="Q42" s="931" t="s">
        <v>324</v>
      </c>
      <c r="R42" s="931" t="s">
        <v>324</v>
      </c>
      <c r="S42" s="931" t="s">
        <v>324</v>
      </c>
      <c r="T42" s="931" t="s">
        <v>324</v>
      </c>
      <c r="U42" s="931" t="s">
        <v>324</v>
      </c>
      <c r="V42" s="931" t="s">
        <v>324</v>
      </c>
      <c r="W42" s="931" t="s">
        <v>324</v>
      </c>
      <c r="X42" s="931" t="s">
        <v>324</v>
      </c>
      <c r="Y42" s="931">
        <v>64999.999999999993</v>
      </c>
      <c r="Z42" s="931">
        <v>65000</v>
      </c>
      <c r="AA42" s="931">
        <v>64999.999999999993</v>
      </c>
      <c r="AB42" s="931">
        <v>64999.999999999985</v>
      </c>
      <c r="AC42" s="931">
        <v>64999.999999999985</v>
      </c>
      <c r="AD42" s="931">
        <v>65000</v>
      </c>
      <c r="AE42" s="931">
        <v>65000</v>
      </c>
      <c r="AF42" s="1150">
        <v>65000</v>
      </c>
      <c r="AG42" s="1159">
        <v>64999.999999999985</v>
      </c>
      <c r="AH42" s="1252">
        <v>65000</v>
      </c>
      <c r="AI42" s="1159">
        <v>64999.999999999985</v>
      </c>
      <c r="AJ42" s="1159">
        <v>64999.999999999985</v>
      </c>
      <c r="AK42" s="990"/>
      <c r="AL42" s="1226"/>
    </row>
    <row r="43" spans="2:38" s="955" customFormat="1" ht="12">
      <c r="B43" s="959" t="s">
        <v>339</v>
      </c>
      <c r="C43" s="930" t="s">
        <v>363</v>
      </c>
      <c r="D43" s="931" t="s">
        <v>324</v>
      </c>
      <c r="E43" s="929" t="s">
        <v>324</v>
      </c>
      <c r="F43" s="931" t="s">
        <v>324</v>
      </c>
      <c r="G43" s="931" t="s">
        <v>324</v>
      </c>
      <c r="H43" s="931" t="s">
        <v>324</v>
      </c>
      <c r="I43" s="931" t="s">
        <v>324</v>
      </c>
      <c r="J43" s="931" t="s">
        <v>324</v>
      </c>
      <c r="K43" s="931" t="s">
        <v>324</v>
      </c>
      <c r="L43" s="931" t="s">
        <v>324</v>
      </c>
      <c r="M43" s="931" t="s">
        <v>324</v>
      </c>
      <c r="N43" s="931" t="s">
        <v>324</v>
      </c>
      <c r="O43" s="931" t="s">
        <v>324</v>
      </c>
      <c r="P43" s="931" t="s">
        <v>324</v>
      </c>
      <c r="Q43" s="931" t="s">
        <v>324</v>
      </c>
      <c r="R43" s="931" t="s">
        <v>324</v>
      </c>
      <c r="S43" s="931" t="s">
        <v>324</v>
      </c>
      <c r="T43" s="931" t="s">
        <v>324</v>
      </c>
      <c r="U43" s="931" t="s">
        <v>324</v>
      </c>
      <c r="V43" s="931" t="s">
        <v>324</v>
      </c>
      <c r="W43" s="931" t="s">
        <v>324</v>
      </c>
      <c r="X43" s="931" t="s">
        <v>324</v>
      </c>
      <c r="Y43" s="931">
        <v>68000</v>
      </c>
      <c r="Z43" s="931">
        <v>68000</v>
      </c>
      <c r="AA43" s="931">
        <v>68000</v>
      </c>
      <c r="AB43" s="931">
        <v>67999.999999999985</v>
      </c>
      <c r="AC43" s="931">
        <v>68000</v>
      </c>
      <c r="AD43" s="931">
        <v>68000</v>
      </c>
      <c r="AE43" s="931">
        <v>68000</v>
      </c>
      <c r="AF43" s="1150">
        <v>68000</v>
      </c>
      <c r="AG43" s="1159">
        <v>68000</v>
      </c>
      <c r="AH43" s="1252">
        <v>67999.999999999985</v>
      </c>
      <c r="AI43" s="1159">
        <v>68000</v>
      </c>
      <c r="AJ43" s="1159">
        <v>67999.999999999985</v>
      </c>
      <c r="AK43" s="990"/>
      <c r="AL43" s="990"/>
    </row>
    <row r="44" spans="2:38" s="955" customFormat="1" ht="12">
      <c r="B44" s="960" t="s">
        <v>340</v>
      </c>
      <c r="C44" s="933" t="s">
        <v>363</v>
      </c>
      <c r="D44" s="934" t="s">
        <v>324</v>
      </c>
      <c r="E44" s="929" t="s">
        <v>324</v>
      </c>
      <c r="F44" s="934" t="s">
        <v>324</v>
      </c>
      <c r="G44" s="934" t="s">
        <v>324</v>
      </c>
      <c r="H44" s="934" t="s">
        <v>324</v>
      </c>
      <c r="I44" s="934" t="s">
        <v>324</v>
      </c>
      <c r="J44" s="934" t="s">
        <v>324</v>
      </c>
      <c r="K44" s="934" t="s">
        <v>324</v>
      </c>
      <c r="L44" s="934" t="s">
        <v>324</v>
      </c>
      <c r="M44" s="934" t="s">
        <v>324</v>
      </c>
      <c r="N44" s="934" t="s">
        <v>324</v>
      </c>
      <c r="O44" s="934" t="s">
        <v>324</v>
      </c>
      <c r="P44" s="934" t="s">
        <v>324</v>
      </c>
      <c r="Q44" s="934" t="s">
        <v>324</v>
      </c>
      <c r="R44" s="934" t="s">
        <v>324</v>
      </c>
      <c r="S44" s="934" t="s">
        <v>324</v>
      </c>
      <c r="T44" s="934" t="s">
        <v>324</v>
      </c>
      <c r="U44" s="934" t="s">
        <v>324</v>
      </c>
      <c r="V44" s="934" t="s">
        <v>324</v>
      </c>
      <c r="W44" s="934" t="s">
        <v>324</v>
      </c>
      <c r="X44" s="934" t="s">
        <v>324</v>
      </c>
      <c r="Y44" s="934">
        <v>44000</v>
      </c>
      <c r="Z44" s="934">
        <v>44000</v>
      </c>
      <c r="AA44" s="934">
        <v>44000</v>
      </c>
      <c r="AB44" s="934">
        <v>44000</v>
      </c>
      <c r="AC44" s="934">
        <v>44000</v>
      </c>
      <c r="AD44" s="934">
        <v>44000</v>
      </c>
      <c r="AE44" s="934">
        <v>44000</v>
      </c>
      <c r="AF44" s="1151">
        <v>43999.999999999993</v>
      </c>
      <c r="AG44" s="1159">
        <v>44000</v>
      </c>
      <c r="AH44" s="1252">
        <v>43999.999999999993</v>
      </c>
      <c r="AI44" s="1159">
        <v>44000</v>
      </c>
      <c r="AJ44" s="1159">
        <v>44000</v>
      </c>
      <c r="AK44" s="990"/>
      <c r="AL44" s="990"/>
    </row>
    <row r="45" spans="2:38" s="955" customFormat="1" ht="12">
      <c r="B45" s="924" t="s">
        <v>341</v>
      </c>
      <c r="C45" s="925"/>
      <c r="D45" s="926"/>
      <c r="E45" s="926"/>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26"/>
      <c r="AG45" s="1160"/>
      <c r="AH45" s="1253"/>
    </row>
    <row r="46" spans="2:38" s="955" customFormat="1" ht="12">
      <c r="B46" s="928" t="s">
        <v>342</v>
      </c>
      <c r="C46" s="930" t="s">
        <v>364</v>
      </c>
      <c r="D46" s="1159">
        <v>1.8050472000000002</v>
      </c>
      <c r="E46" s="1159">
        <v>1.8050472000000002</v>
      </c>
      <c r="F46" s="1159">
        <v>1.8050472000000002</v>
      </c>
      <c r="G46" s="1159">
        <v>1.8050472</v>
      </c>
      <c r="H46" s="1159">
        <v>1.8050472000000002</v>
      </c>
      <c r="I46" s="1159">
        <v>1.8050472</v>
      </c>
      <c r="J46" s="1159">
        <v>1.8050472000000002</v>
      </c>
      <c r="K46" s="1159">
        <v>1.8050472000000002</v>
      </c>
      <c r="L46" s="1159">
        <v>1.8050472000000002</v>
      </c>
      <c r="M46" s="1159">
        <v>1.8050472000000002</v>
      </c>
      <c r="N46" s="1159">
        <v>1.8050472000000002</v>
      </c>
      <c r="O46" s="1159">
        <v>1.8050472000000002</v>
      </c>
      <c r="P46" s="1159">
        <v>1.8050472000000004</v>
      </c>
      <c r="Q46" s="1159">
        <v>1.8050472000000002</v>
      </c>
      <c r="R46" s="1159">
        <v>1.8050472</v>
      </c>
      <c r="S46" s="1159">
        <v>1.8050472000000002</v>
      </c>
      <c r="T46" s="1159">
        <v>1.8050472</v>
      </c>
      <c r="U46" s="1159">
        <v>1.8050472</v>
      </c>
      <c r="V46" s="1159">
        <v>1.8050472000000002</v>
      </c>
      <c r="W46" s="1159">
        <v>1.8050472000000004</v>
      </c>
      <c r="X46" s="1159">
        <v>1.8050472000000002</v>
      </c>
      <c r="Y46" s="1159">
        <v>1.8050472000000004</v>
      </c>
      <c r="Z46" s="1159">
        <v>1.8050472</v>
      </c>
      <c r="AA46" s="1159">
        <v>1.8050472000000004</v>
      </c>
      <c r="AB46" s="1159">
        <v>1.8050472000000002</v>
      </c>
      <c r="AC46" s="1159">
        <v>1.8050472000000002</v>
      </c>
      <c r="AD46" s="1159">
        <v>1.8050472000000002</v>
      </c>
      <c r="AE46" s="1159">
        <v>1.8050471999999997</v>
      </c>
      <c r="AF46" s="1159">
        <v>1.8050472</v>
      </c>
      <c r="AG46" s="1159">
        <v>1.8050472000000004</v>
      </c>
      <c r="AH46" s="1159">
        <v>1.8050472000000002</v>
      </c>
      <c r="AI46" s="1159">
        <v>1.8050472000000002</v>
      </c>
      <c r="AJ46" s="1159">
        <v>1.8050472</v>
      </c>
      <c r="AK46" s="990"/>
      <c r="AL46" s="990"/>
    </row>
    <row r="47" spans="2:38" s="955" customFormat="1" ht="12">
      <c r="B47" s="963" t="s">
        <v>344</v>
      </c>
      <c r="C47" s="930" t="s">
        <v>272</v>
      </c>
      <c r="D47" s="931">
        <v>176.2167300380228</v>
      </c>
      <c r="E47" s="931">
        <v>176.2167300380228</v>
      </c>
      <c r="F47" s="931">
        <v>176.2167300380228</v>
      </c>
      <c r="G47" s="931">
        <v>176.21673003802283</v>
      </c>
      <c r="H47" s="931">
        <v>176.2167300380228</v>
      </c>
      <c r="I47" s="931">
        <v>176.2167300380228</v>
      </c>
      <c r="J47" s="931">
        <v>176.21673003802283</v>
      </c>
      <c r="K47" s="931">
        <v>176.21673003802283</v>
      </c>
      <c r="L47" s="931">
        <v>176.2167300380228</v>
      </c>
      <c r="M47" s="931">
        <v>176.21673003802283</v>
      </c>
      <c r="N47" s="931">
        <v>176.21673003802283</v>
      </c>
      <c r="O47" s="931">
        <v>176.21673003802283</v>
      </c>
      <c r="P47" s="931">
        <v>176.21673003802283</v>
      </c>
      <c r="Q47" s="931">
        <v>176.21673003802283</v>
      </c>
      <c r="R47" s="931">
        <v>176.2167300380228</v>
      </c>
      <c r="S47" s="931">
        <v>176.21673003802283</v>
      </c>
      <c r="T47" s="931">
        <v>176.21673003802283</v>
      </c>
      <c r="U47" s="931">
        <v>176.2167300380228</v>
      </c>
      <c r="V47" s="931">
        <v>176.21673003802283</v>
      </c>
      <c r="W47" s="931">
        <v>176.2167300380228</v>
      </c>
      <c r="X47" s="931">
        <v>176.21673003802283</v>
      </c>
      <c r="Y47" s="931">
        <v>176.21673003802283</v>
      </c>
      <c r="Z47" s="931">
        <v>176.2167300380228</v>
      </c>
      <c r="AA47" s="931">
        <v>176.21673003802283</v>
      </c>
      <c r="AB47" s="931">
        <v>176.21673003802283</v>
      </c>
      <c r="AC47" s="931">
        <v>176.21673003802283</v>
      </c>
      <c r="AD47" s="931">
        <v>213.11444652908065</v>
      </c>
      <c r="AE47" s="931">
        <v>249.98137802607079</v>
      </c>
      <c r="AF47" s="931">
        <v>327.20486111111109</v>
      </c>
      <c r="AG47" s="931">
        <v>229.2845786963434</v>
      </c>
      <c r="AH47" s="1159">
        <v>277.99382716049382</v>
      </c>
      <c r="AI47" s="1159">
        <v>185.5083459787557</v>
      </c>
      <c r="AJ47" s="1159">
        <v>245.93323216995438</v>
      </c>
      <c r="AK47" s="990"/>
      <c r="AL47" s="990"/>
    </row>
    <row r="48" spans="2:38" s="955" customFormat="1" ht="12">
      <c r="B48" s="924" t="s">
        <v>345</v>
      </c>
      <c r="C48" s="925"/>
      <c r="D48" s="926"/>
      <c r="E48" s="926"/>
      <c r="F48" s="926"/>
      <c r="G48" s="926"/>
      <c r="H48" s="926"/>
      <c r="I48" s="926"/>
      <c r="J48" s="926"/>
      <c r="K48" s="926"/>
      <c r="L48" s="926"/>
      <c r="M48" s="926"/>
      <c r="N48" s="926"/>
      <c r="O48" s="926"/>
      <c r="P48" s="926"/>
      <c r="Q48" s="926"/>
      <c r="R48" s="926"/>
      <c r="S48" s="926"/>
      <c r="T48" s="926"/>
      <c r="U48" s="926"/>
      <c r="V48" s="926"/>
      <c r="W48" s="926"/>
      <c r="X48" s="926"/>
      <c r="Y48" s="926"/>
      <c r="Z48" s="926"/>
      <c r="AA48" s="926"/>
      <c r="AB48" s="926"/>
      <c r="AC48" s="926"/>
      <c r="AD48" s="926"/>
      <c r="AE48" s="926"/>
      <c r="AF48" s="927"/>
      <c r="AG48" s="1160"/>
      <c r="AH48" s="1253"/>
    </row>
    <row r="49" spans="2:38" s="955" customFormat="1" ht="12">
      <c r="B49" s="928" t="s">
        <v>345</v>
      </c>
      <c r="C49" s="928" t="s">
        <v>365</v>
      </c>
      <c r="D49" s="929">
        <v>3123.9142200000001</v>
      </c>
      <c r="E49" s="929">
        <v>3123.9142200000001</v>
      </c>
      <c r="F49" s="929">
        <v>3123.9142200000006</v>
      </c>
      <c r="G49" s="929">
        <v>3007.1602097380182</v>
      </c>
      <c r="H49" s="929">
        <v>2890.4061994760359</v>
      </c>
      <c r="I49" s="929">
        <v>2773.6521892140536</v>
      </c>
      <c r="J49" s="929">
        <v>2656.8981789520722</v>
      </c>
      <c r="K49" s="929">
        <v>2540.1441686900903</v>
      </c>
      <c r="L49" s="929">
        <v>2423.390158428108</v>
      </c>
      <c r="M49" s="929">
        <v>2306.6361481661261</v>
      </c>
      <c r="N49" s="929">
        <v>2189.8821379041442</v>
      </c>
      <c r="O49" s="929">
        <v>2073.1281276421619</v>
      </c>
      <c r="P49" s="929">
        <v>1956.37411738018</v>
      </c>
      <c r="Q49" s="929">
        <v>1839.6201071181979</v>
      </c>
      <c r="R49" s="929">
        <v>1722.866096856216</v>
      </c>
      <c r="S49" s="929">
        <v>1606.1120865942339</v>
      </c>
      <c r="T49" s="929">
        <v>1489.3580763322518</v>
      </c>
      <c r="U49" s="929">
        <v>1372.6040660702697</v>
      </c>
      <c r="V49" s="929">
        <v>1255.8500558082876</v>
      </c>
      <c r="W49" s="929">
        <v>1139.0960455463055</v>
      </c>
      <c r="X49" s="929">
        <v>1022.3420352843236</v>
      </c>
      <c r="Y49" s="929">
        <v>905.58802502234062</v>
      </c>
      <c r="Z49" s="929">
        <v>665.52124594886527</v>
      </c>
      <c r="AA49" s="929">
        <v>633.36465849974786</v>
      </c>
      <c r="AB49" s="929">
        <v>588.75400790395918</v>
      </c>
      <c r="AC49" s="929">
        <v>634.42782738095161</v>
      </c>
      <c r="AD49" s="929">
        <v>552.15218712029082</v>
      </c>
      <c r="AE49" s="929">
        <v>524.93016665542098</v>
      </c>
      <c r="AF49" s="929">
        <v>496.88903433692377</v>
      </c>
      <c r="AG49" s="929">
        <v>503.23095998855297</v>
      </c>
      <c r="AH49" s="1152">
        <v>495.69219756621339</v>
      </c>
      <c r="AI49" s="931">
        <v>475.62323666805361</v>
      </c>
      <c r="AJ49" s="931">
        <v>480.07252479880202</v>
      </c>
      <c r="AK49" s="990"/>
      <c r="AL49" s="990"/>
    </row>
    <row r="50" spans="2:38" s="955" customFormat="1" ht="12">
      <c r="B50" s="959" t="s">
        <v>347</v>
      </c>
      <c r="C50" s="930" t="s">
        <v>365</v>
      </c>
      <c r="D50" s="931" t="s">
        <v>324</v>
      </c>
      <c r="E50" s="931" t="s">
        <v>324</v>
      </c>
      <c r="F50" s="931" t="s">
        <v>324</v>
      </c>
      <c r="G50" s="931" t="s">
        <v>324</v>
      </c>
      <c r="H50" s="931" t="s">
        <v>324</v>
      </c>
      <c r="I50" s="931" t="s">
        <v>324</v>
      </c>
      <c r="J50" s="931" t="s">
        <v>324</v>
      </c>
      <c r="K50" s="931" t="s">
        <v>324</v>
      </c>
      <c r="L50" s="931" t="s">
        <v>324</v>
      </c>
      <c r="M50" s="931" t="s">
        <v>324</v>
      </c>
      <c r="N50" s="931" t="s">
        <v>324</v>
      </c>
      <c r="O50" s="931" t="s">
        <v>324</v>
      </c>
      <c r="P50" s="931" t="s">
        <v>324</v>
      </c>
      <c r="Q50" s="931" t="s">
        <v>324</v>
      </c>
      <c r="R50" s="931" t="s">
        <v>324</v>
      </c>
      <c r="S50" s="931" t="s">
        <v>324</v>
      </c>
      <c r="T50" s="931" t="s">
        <v>324</v>
      </c>
      <c r="U50" s="931" t="s">
        <v>324</v>
      </c>
      <c r="V50" s="931" t="s">
        <v>324</v>
      </c>
      <c r="W50" s="931" t="s">
        <v>324</v>
      </c>
      <c r="X50" s="931" t="s">
        <v>324</v>
      </c>
      <c r="Y50" s="931">
        <v>2996.0099863822061</v>
      </c>
      <c r="Z50" s="931">
        <v>3095.0718132854563</v>
      </c>
      <c r="AA50" s="931">
        <v>2927.2452504317785</v>
      </c>
      <c r="AB50" s="931">
        <v>2927.0332480818415</v>
      </c>
      <c r="AC50" s="931">
        <v>2802.8249336870035</v>
      </c>
      <c r="AD50" s="931">
        <v>2785.5400000000013</v>
      </c>
      <c r="AE50" s="931">
        <v>2908.850457782301</v>
      </c>
      <c r="AF50" s="931">
        <v>2862.9849340866294</v>
      </c>
      <c r="AG50" s="931">
        <v>2868.7181738367003</v>
      </c>
      <c r="AH50" s="1152">
        <v>2898.3041474654378</v>
      </c>
      <c r="AI50" s="931">
        <v>2812.6074766355146</v>
      </c>
      <c r="AJ50" s="931">
        <v>2839.2768595041334</v>
      </c>
      <c r="AK50" s="990"/>
      <c r="AL50" s="990"/>
    </row>
    <row r="51" spans="2:38" s="955" customFormat="1" ht="12">
      <c r="B51" s="959" t="s">
        <v>348</v>
      </c>
      <c r="C51" s="930" t="s">
        <v>365</v>
      </c>
      <c r="D51" s="931" t="s">
        <v>324</v>
      </c>
      <c r="E51" s="931" t="s">
        <v>324</v>
      </c>
      <c r="F51" s="931" t="s">
        <v>324</v>
      </c>
      <c r="G51" s="931" t="s">
        <v>324</v>
      </c>
      <c r="H51" s="931" t="s">
        <v>324</v>
      </c>
      <c r="I51" s="931" t="s">
        <v>324</v>
      </c>
      <c r="J51" s="931" t="s">
        <v>324</v>
      </c>
      <c r="K51" s="931" t="s">
        <v>324</v>
      </c>
      <c r="L51" s="931" t="s">
        <v>324</v>
      </c>
      <c r="M51" s="931" t="s">
        <v>324</v>
      </c>
      <c r="N51" s="931" t="s">
        <v>324</v>
      </c>
      <c r="O51" s="931" t="s">
        <v>324</v>
      </c>
      <c r="P51" s="931" t="s">
        <v>324</v>
      </c>
      <c r="Q51" s="931" t="s">
        <v>324</v>
      </c>
      <c r="R51" s="931" t="s">
        <v>324</v>
      </c>
      <c r="S51" s="931" t="s">
        <v>324</v>
      </c>
      <c r="T51" s="931" t="s">
        <v>324</v>
      </c>
      <c r="U51" s="931" t="s">
        <v>324</v>
      </c>
      <c r="V51" s="931" t="s">
        <v>324</v>
      </c>
      <c r="W51" s="931" t="s">
        <v>324</v>
      </c>
      <c r="X51" s="931" t="s">
        <v>324</v>
      </c>
      <c r="Y51" s="931">
        <v>403.35970274481605</v>
      </c>
      <c r="Z51" s="931">
        <v>408.95216150976495</v>
      </c>
      <c r="AA51" s="931">
        <v>399.45673028375239</v>
      </c>
      <c r="AB51" s="931">
        <v>379.03494623655962</v>
      </c>
      <c r="AC51" s="931">
        <v>373.509496284063</v>
      </c>
      <c r="AD51" s="931">
        <v>380.48195991091347</v>
      </c>
      <c r="AE51" s="931">
        <v>367.55382681125275</v>
      </c>
      <c r="AF51" s="931">
        <v>373.10916732931958</v>
      </c>
      <c r="AG51" s="931">
        <v>376.50774093319757</v>
      </c>
      <c r="AH51" s="1152">
        <v>373.38098297462261</v>
      </c>
      <c r="AI51" s="931">
        <v>361.77049518215142</v>
      </c>
      <c r="AJ51" s="931">
        <v>375.57907204284516</v>
      </c>
      <c r="AK51" s="990"/>
      <c r="AL51" s="990"/>
    </row>
    <row r="52" spans="2:38" s="955" customFormat="1" ht="12">
      <c r="B52" s="959" t="s">
        <v>349</v>
      </c>
      <c r="C52" s="930" t="s">
        <v>365</v>
      </c>
      <c r="D52" s="931" t="s">
        <v>324</v>
      </c>
      <c r="E52" s="931" t="s">
        <v>324</v>
      </c>
      <c r="F52" s="931" t="s">
        <v>324</v>
      </c>
      <c r="G52" s="931" t="s">
        <v>324</v>
      </c>
      <c r="H52" s="931" t="s">
        <v>324</v>
      </c>
      <c r="I52" s="931" t="s">
        <v>324</v>
      </c>
      <c r="J52" s="931" t="s">
        <v>324</v>
      </c>
      <c r="K52" s="931" t="s">
        <v>324</v>
      </c>
      <c r="L52" s="931" t="s">
        <v>324</v>
      </c>
      <c r="M52" s="931" t="s">
        <v>324</v>
      </c>
      <c r="N52" s="931" t="s">
        <v>324</v>
      </c>
      <c r="O52" s="931" t="s">
        <v>324</v>
      </c>
      <c r="P52" s="931" t="s">
        <v>324</v>
      </c>
      <c r="Q52" s="931" t="s">
        <v>324</v>
      </c>
      <c r="R52" s="931" t="s">
        <v>324</v>
      </c>
      <c r="S52" s="931" t="s">
        <v>324</v>
      </c>
      <c r="T52" s="931" t="s">
        <v>324</v>
      </c>
      <c r="U52" s="931" t="s">
        <v>324</v>
      </c>
      <c r="V52" s="931" t="s">
        <v>324</v>
      </c>
      <c r="W52" s="931" t="s">
        <v>324</v>
      </c>
      <c r="X52" s="931" t="s">
        <v>324</v>
      </c>
      <c r="Y52" s="931">
        <v>261.00931677018633</v>
      </c>
      <c r="Z52" s="931">
        <v>247.17045454545428</v>
      </c>
      <c r="AA52" s="931">
        <v>236.7211201866977</v>
      </c>
      <c r="AB52" s="931">
        <v>215.52875695732823</v>
      </c>
      <c r="AC52" s="931">
        <v>221.84898354307842</v>
      </c>
      <c r="AD52" s="931">
        <v>227.24284199363714</v>
      </c>
      <c r="AE52" s="931">
        <v>218.61510791366899</v>
      </c>
      <c r="AF52" s="931">
        <v>217.55443886097135</v>
      </c>
      <c r="AG52" s="931">
        <v>220.55889939810822</v>
      </c>
      <c r="AH52" s="1152">
        <v>225.30201342281865</v>
      </c>
      <c r="AI52" s="931">
        <v>221.22377622377616</v>
      </c>
      <c r="AJ52" s="931">
        <v>221.64467005076128</v>
      </c>
      <c r="AK52" s="990"/>
      <c r="AL52" s="990"/>
    </row>
    <row r="53" spans="2:38" s="955" customFormat="1" ht="12">
      <c r="B53" s="924" t="s">
        <v>350</v>
      </c>
      <c r="C53" s="925"/>
      <c r="D53" s="926"/>
      <c r="E53" s="926"/>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7"/>
      <c r="AG53" s="1153"/>
      <c r="AH53" s="1253"/>
      <c r="AK53" s="990"/>
    </row>
    <row r="54" spans="2:38" s="955" customFormat="1" ht="12">
      <c r="B54" s="961" t="s">
        <v>351</v>
      </c>
      <c r="C54" s="961" t="s">
        <v>261</v>
      </c>
      <c r="D54" s="964">
        <v>609.57899999999995</v>
      </c>
      <c r="E54" s="964">
        <v>609.57899999999995</v>
      </c>
      <c r="F54" s="964">
        <v>609.57900000000006</v>
      </c>
      <c r="G54" s="964">
        <v>609.57899999999995</v>
      </c>
      <c r="H54" s="964">
        <v>609.57899999999995</v>
      </c>
      <c r="I54" s="964">
        <v>609.57899999999984</v>
      </c>
      <c r="J54" s="964">
        <v>609.57899999999984</v>
      </c>
      <c r="K54" s="964">
        <v>609.57899999999995</v>
      </c>
      <c r="L54" s="964">
        <v>609.57899999999995</v>
      </c>
      <c r="M54" s="964">
        <v>609.57899999999995</v>
      </c>
      <c r="N54" s="964">
        <v>609.57899999999995</v>
      </c>
      <c r="O54" s="964">
        <v>609.57899999999995</v>
      </c>
      <c r="P54" s="964">
        <v>609.57900000000006</v>
      </c>
      <c r="Q54" s="964">
        <v>609.57899999999984</v>
      </c>
      <c r="R54" s="964">
        <v>609.57899999999995</v>
      </c>
      <c r="S54" s="964">
        <v>609.57899999999995</v>
      </c>
      <c r="T54" s="964">
        <v>609.57899999999995</v>
      </c>
      <c r="U54" s="964">
        <v>609.57899999999995</v>
      </c>
      <c r="V54" s="964">
        <v>609.57899999999995</v>
      </c>
      <c r="W54" s="964">
        <v>609.57899999999995</v>
      </c>
      <c r="X54" s="964">
        <v>609.57899999999995</v>
      </c>
      <c r="Y54" s="964">
        <v>609.57899999999995</v>
      </c>
      <c r="Z54" s="964">
        <v>609.57899999999995</v>
      </c>
      <c r="AA54" s="964">
        <v>609.57899999999995</v>
      </c>
      <c r="AB54" s="964">
        <v>609.57899999999995</v>
      </c>
      <c r="AC54" s="964">
        <v>609.57899999999995</v>
      </c>
      <c r="AD54" s="964">
        <v>832.13267341536891</v>
      </c>
      <c r="AE54" s="964">
        <v>666.84254526662642</v>
      </c>
      <c r="AF54" s="964">
        <v>691.04939713609576</v>
      </c>
      <c r="AG54" s="964">
        <v>619.39300762032246</v>
      </c>
      <c r="AH54" s="1254">
        <v>731.07501764804749</v>
      </c>
      <c r="AI54" s="931">
        <v>549.54733651510685</v>
      </c>
      <c r="AJ54" s="931">
        <v>444.69160218107282</v>
      </c>
      <c r="AK54" s="990"/>
      <c r="AL54" s="990"/>
    </row>
    <row r="55" spans="2:38" s="955" customFormat="1" ht="12">
      <c r="B55" s="924" t="s">
        <v>352</v>
      </c>
      <c r="C55" s="925"/>
      <c r="D55" s="926"/>
      <c r="E55" s="926"/>
      <c r="F55" s="926"/>
      <c r="G55" s="926"/>
      <c r="H55" s="926"/>
      <c r="I55" s="926"/>
      <c r="J55" s="926"/>
      <c r="K55" s="926"/>
      <c r="L55" s="926"/>
      <c r="M55" s="926"/>
      <c r="N55" s="926"/>
      <c r="O55" s="926"/>
      <c r="P55" s="926"/>
      <c r="Q55" s="926"/>
      <c r="R55" s="926"/>
      <c r="S55" s="926"/>
      <c r="T55" s="926"/>
      <c r="U55" s="926"/>
      <c r="V55" s="926"/>
      <c r="W55" s="926"/>
      <c r="X55" s="926"/>
      <c r="Y55" s="926"/>
      <c r="Z55" s="926"/>
      <c r="AA55" s="926"/>
      <c r="AB55" s="926"/>
      <c r="AC55" s="926"/>
      <c r="AD55" s="926"/>
      <c r="AE55" s="926"/>
      <c r="AF55" s="927"/>
      <c r="AG55" s="1153"/>
      <c r="AH55" s="1253"/>
      <c r="AK55" s="990"/>
    </row>
    <row r="56" spans="2:38" s="955" customFormat="1" ht="12">
      <c r="B56" s="928" t="s">
        <v>352</v>
      </c>
      <c r="C56" s="928" t="s">
        <v>272</v>
      </c>
      <c r="D56" s="929">
        <v>83954.339999999982</v>
      </c>
      <c r="E56" s="929">
        <v>83954.34</v>
      </c>
      <c r="F56" s="929">
        <v>83954.34</v>
      </c>
      <c r="G56" s="929">
        <v>83328.669211208224</v>
      </c>
      <c r="H56" s="929">
        <v>83701.05006117365</v>
      </c>
      <c r="I56" s="929">
        <v>83258.603134065168</v>
      </c>
      <c r="J56" s="929">
        <v>82956.387429048744</v>
      </c>
      <c r="K56" s="929">
        <v>83408.670626649677</v>
      </c>
      <c r="L56" s="929">
        <v>83236.509669129402</v>
      </c>
      <c r="M56" s="929">
        <v>83314.055960552287</v>
      </c>
      <c r="N56" s="929">
        <v>82669.300886399535</v>
      </c>
      <c r="O56" s="929">
        <v>81669.084847966573</v>
      </c>
      <c r="P56" s="929">
        <v>82450.18060887196</v>
      </c>
      <c r="Q56" s="929">
        <v>80068.559622045665</v>
      </c>
      <c r="R56" s="929">
        <v>80924.29079841869</v>
      </c>
      <c r="S56" s="929">
        <v>82743.354412980581</v>
      </c>
      <c r="T56" s="929">
        <v>78310.833385871403</v>
      </c>
      <c r="U56" s="929">
        <v>82959.813370679956</v>
      </c>
      <c r="V56" s="929">
        <v>80445.959241387711</v>
      </c>
      <c r="W56" s="929">
        <v>82093.26189574234</v>
      </c>
      <c r="X56" s="929">
        <v>82059.579313904134</v>
      </c>
      <c r="Y56" s="929">
        <v>82558.378650873288</v>
      </c>
      <c r="Z56" s="929">
        <v>82147.560442958289</v>
      </c>
      <c r="AA56" s="929">
        <v>81988.584491679692</v>
      </c>
      <c r="AB56" s="929">
        <v>82142.556029278916</v>
      </c>
      <c r="AC56" s="929">
        <v>81905.166714962339</v>
      </c>
      <c r="AD56" s="929">
        <v>73432.203243699827</v>
      </c>
      <c r="AE56" s="929">
        <v>69299.182039781823</v>
      </c>
      <c r="AF56" s="929">
        <v>68626.712709405445</v>
      </c>
      <c r="AG56" s="929">
        <v>72598.023010916557</v>
      </c>
      <c r="AH56" s="1152">
        <v>72555.716348370741</v>
      </c>
      <c r="AI56" s="931">
        <v>73026.781917647255</v>
      </c>
      <c r="AJ56" s="931">
        <v>73256.031387906405</v>
      </c>
      <c r="AK56" s="990"/>
      <c r="AL56" s="990"/>
    </row>
    <row r="57" spans="2:38" s="955" customFormat="1" ht="12">
      <c r="B57" s="924" t="s">
        <v>353</v>
      </c>
      <c r="C57" s="925"/>
      <c r="D57" s="926"/>
      <c r="E57" s="926"/>
      <c r="F57" s="926"/>
      <c r="G57" s="926"/>
      <c r="H57" s="926"/>
      <c r="I57" s="926"/>
      <c r="J57" s="926"/>
      <c r="K57" s="926"/>
      <c r="L57" s="926"/>
      <c r="M57" s="926"/>
      <c r="N57" s="926"/>
      <c r="O57" s="926"/>
      <c r="P57" s="926"/>
      <c r="Q57" s="926"/>
      <c r="R57" s="926"/>
      <c r="S57" s="926"/>
      <c r="T57" s="926"/>
      <c r="U57" s="926"/>
      <c r="V57" s="926"/>
      <c r="W57" s="926"/>
      <c r="X57" s="926"/>
      <c r="Y57" s="926"/>
      <c r="Z57" s="926"/>
      <c r="AA57" s="926"/>
      <c r="AB57" s="926"/>
      <c r="AC57" s="926"/>
      <c r="AD57" s="926"/>
      <c r="AE57" s="926"/>
      <c r="AF57" s="927"/>
      <c r="AG57" s="1153"/>
      <c r="AH57" s="1253"/>
      <c r="AK57" s="990"/>
    </row>
    <row r="58" spans="2:38" s="955" customFormat="1" ht="12">
      <c r="B58" s="928" t="s">
        <v>354</v>
      </c>
      <c r="C58" s="928" t="s">
        <v>366</v>
      </c>
      <c r="D58" s="934">
        <v>6038.8235294117649</v>
      </c>
      <c r="E58" s="934">
        <v>6038.8235294117649</v>
      </c>
      <c r="F58" s="934">
        <v>6038.823529411764</v>
      </c>
      <c r="G58" s="934">
        <v>6038.823529411764</v>
      </c>
      <c r="H58" s="934">
        <v>6038.823529411764</v>
      </c>
      <c r="I58" s="934">
        <v>6038.823529411763</v>
      </c>
      <c r="J58" s="934">
        <v>6038.8235294117649</v>
      </c>
      <c r="K58" s="934">
        <v>6038.823529411764</v>
      </c>
      <c r="L58" s="934">
        <v>6038.823529411764</v>
      </c>
      <c r="M58" s="934">
        <v>6038.823529411764</v>
      </c>
      <c r="N58" s="934">
        <v>6038.8235294117649</v>
      </c>
      <c r="O58" s="934">
        <v>6038.823529411764</v>
      </c>
      <c r="P58" s="934">
        <v>6038.823529411763</v>
      </c>
      <c r="Q58" s="934">
        <v>6038.8235294117649</v>
      </c>
      <c r="R58" s="934">
        <v>6038.8235294117649</v>
      </c>
      <c r="S58" s="934">
        <v>6038.8235294117649</v>
      </c>
      <c r="T58" s="934">
        <v>6038.8235294117649</v>
      </c>
      <c r="U58" s="934">
        <v>6038.8235294117649</v>
      </c>
      <c r="V58" s="934">
        <v>6038.8235294117649</v>
      </c>
      <c r="W58" s="934">
        <v>6038.8235294117649</v>
      </c>
      <c r="X58" s="934">
        <v>6038.823529411764</v>
      </c>
      <c r="Y58" s="934">
        <v>6038.823529411764</v>
      </c>
      <c r="Z58" s="934">
        <v>6038.823529411764</v>
      </c>
      <c r="AA58" s="934">
        <v>6038.823529411764</v>
      </c>
      <c r="AB58" s="934">
        <v>6038.823529411764</v>
      </c>
      <c r="AC58" s="934">
        <v>6038.823529411764</v>
      </c>
      <c r="AD58" s="934">
        <v>6038.8235294117649</v>
      </c>
      <c r="AE58" s="934">
        <v>6038.823529411764</v>
      </c>
      <c r="AF58" s="934">
        <v>4577.333333333333</v>
      </c>
      <c r="AG58" s="934">
        <v>6403.9999999999973</v>
      </c>
      <c r="AH58" s="1151">
        <v>14027.333333333332</v>
      </c>
      <c r="AI58" s="931">
        <v>25748.666666666668</v>
      </c>
      <c r="AJ58" s="931">
        <v>32798.000000000007</v>
      </c>
      <c r="AK58" s="990"/>
      <c r="AL58" s="990"/>
    </row>
    <row r="59" spans="2:38" s="955" customFormat="1" ht="12">
      <c r="B59" s="930" t="s">
        <v>356</v>
      </c>
      <c r="C59" s="928" t="s">
        <v>366</v>
      </c>
      <c r="D59" s="934">
        <v>83954.340000000011</v>
      </c>
      <c r="E59" s="934">
        <v>83954.34</v>
      </c>
      <c r="F59" s="934">
        <v>83954.339999999982</v>
      </c>
      <c r="G59" s="934">
        <v>83954.34</v>
      </c>
      <c r="H59" s="934">
        <v>83954.339999999982</v>
      </c>
      <c r="I59" s="934">
        <v>83954.34</v>
      </c>
      <c r="J59" s="934">
        <v>83954.34</v>
      </c>
      <c r="K59" s="934">
        <v>83954.34</v>
      </c>
      <c r="L59" s="934">
        <v>83954.34</v>
      </c>
      <c r="M59" s="934">
        <v>83954.34</v>
      </c>
      <c r="N59" s="934">
        <v>83954.339999999982</v>
      </c>
      <c r="O59" s="934">
        <v>83954.34</v>
      </c>
      <c r="P59" s="934">
        <v>83954.34</v>
      </c>
      <c r="Q59" s="934">
        <v>83954.34</v>
      </c>
      <c r="R59" s="934">
        <v>83954.34</v>
      </c>
      <c r="S59" s="934">
        <v>83954.34</v>
      </c>
      <c r="T59" s="934">
        <v>83954.34</v>
      </c>
      <c r="U59" s="934">
        <v>83954.34</v>
      </c>
      <c r="V59" s="934">
        <v>83954.34</v>
      </c>
      <c r="W59" s="934">
        <v>83954.34</v>
      </c>
      <c r="X59" s="934">
        <v>83954.34</v>
      </c>
      <c r="Y59" s="934">
        <v>83954.34</v>
      </c>
      <c r="Z59" s="934">
        <v>83954.339999999982</v>
      </c>
      <c r="AA59" s="934">
        <v>83954.339999999982</v>
      </c>
      <c r="AB59" s="934">
        <v>83954.339999999982</v>
      </c>
      <c r="AC59" s="934">
        <v>83954.339999999982</v>
      </c>
      <c r="AD59" s="934">
        <v>83954.34</v>
      </c>
      <c r="AE59" s="934">
        <v>83954.34</v>
      </c>
      <c r="AF59" s="934">
        <v>83954.34</v>
      </c>
      <c r="AG59" s="934">
        <v>83954.339999999982</v>
      </c>
      <c r="AH59" s="1151">
        <v>83954.34</v>
      </c>
      <c r="AI59" s="931">
        <v>83954.34</v>
      </c>
      <c r="AJ59" s="931">
        <v>83954.34</v>
      </c>
      <c r="AK59" s="990"/>
      <c r="AL59" s="990"/>
    </row>
    <row r="60" spans="2:38" s="955" customFormat="1" ht="12">
      <c r="B60" s="924" t="s">
        <v>357</v>
      </c>
      <c r="C60" s="925"/>
      <c r="D60" s="926"/>
      <c r="E60" s="926"/>
      <c r="F60" s="926"/>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7"/>
      <c r="AG60" s="927"/>
      <c r="AH60" s="926"/>
      <c r="AK60" s="990"/>
    </row>
    <row r="61" spans="2:38" s="955" customFormat="1" ht="12">
      <c r="B61" s="930" t="s">
        <v>358</v>
      </c>
      <c r="C61" s="930" t="s">
        <v>367</v>
      </c>
      <c r="D61" s="934">
        <v>57731.333333333328</v>
      </c>
      <c r="E61" s="934">
        <v>54123.125</v>
      </c>
      <c r="F61" s="934">
        <v>54123.125</v>
      </c>
      <c r="G61" s="934">
        <v>54123.125</v>
      </c>
      <c r="H61" s="934">
        <v>54123.125</v>
      </c>
      <c r="I61" s="934">
        <v>54123.125</v>
      </c>
      <c r="J61" s="934">
        <v>54123.125</v>
      </c>
      <c r="K61" s="934">
        <v>54123.125</v>
      </c>
      <c r="L61" s="934">
        <v>54123.125</v>
      </c>
      <c r="M61" s="934">
        <v>54123.125</v>
      </c>
      <c r="N61" s="934">
        <v>54123.125</v>
      </c>
      <c r="O61" s="934">
        <v>54123.124999999993</v>
      </c>
      <c r="P61" s="934">
        <v>54123.124999999993</v>
      </c>
      <c r="Q61" s="934">
        <v>54123.125</v>
      </c>
      <c r="R61" s="934">
        <v>54123.125</v>
      </c>
      <c r="S61" s="934">
        <v>54123.125</v>
      </c>
      <c r="T61" s="934">
        <v>54123.125</v>
      </c>
      <c r="U61" s="934">
        <v>54123.125</v>
      </c>
      <c r="V61" s="934">
        <v>54123.125</v>
      </c>
      <c r="W61" s="934">
        <v>54123.125</v>
      </c>
      <c r="X61" s="934">
        <v>54123.125</v>
      </c>
      <c r="Y61" s="934">
        <v>54123.124999999993</v>
      </c>
      <c r="Z61" s="934">
        <v>54123.124999999993</v>
      </c>
      <c r="AA61" s="934">
        <v>54123.125</v>
      </c>
      <c r="AB61" s="934">
        <v>54123.125</v>
      </c>
      <c r="AC61" s="934">
        <v>54123.125</v>
      </c>
      <c r="AD61" s="934">
        <v>54123.125</v>
      </c>
      <c r="AE61" s="934">
        <v>54123.125</v>
      </c>
      <c r="AF61" s="934">
        <v>25990.666666666664</v>
      </c>
      <c r="AG61" s="934">
        <v>24660.666666666664</v>
      </c>
      <c r="AH61" s="1151">
        <v>15133.571428571426</v>
      </c>
      <c r="AI61" s="931">
        <v>8866.6666666666661</v>
      </c>
      <c r="AJ61" s="931">
        <v>15341.000000000002</v>
      </c>
      <c r="AK61" s="990"/>
      <c r="AL61" s="990"/>
    </row>
    <row r="62" spans="2:38" s="955" customFormat="1" ht="12">
      <c r="B62" s="930" t="s">
        <v>360</v>
      </c>
      <c r="C62" s="930" t="s">
        <v>367</v>
      </c>
      <c r="D62" s="965">
        <v>1229556</v>
      </c>
      <c r="E62" s="965">
        <v>1152708.75</v>
      </c>
      <c r="F62" s="965">
        <v>1152708.75</v>
      </c>
      <c r="G62" s="965">
        <v>1152708.75</v>
      </c>
      <c r="H62" s="965">
        <v>1152708.75</v>
      </c>
      <c r="I62" s="965">
        <v>1152708.75</v>
      </c>
      <c r="J62" s="965">
        <v>1152708.75</v>
      </c>
      <c r="K62" s="965">
        <v>1152708.75</v>
      </c>
      <c r="L62" s="965">
        <v>1152708.75</v>
      </c>
      <c r="M62" s="965">
        <v>1152708.75</v>
      </c>
      <c r="N62" s="965">
        <v>1152708.75</v>
      </c>
      <c r="O62" s="965">
        <v>1152708.7500000002</v>
      </c>
      <c r="P62" s="965">
        <v>1152708.7500000002</v>
      </c>
      <c r="Q62" s="965">
        <v>1152708.75</v>
      </c>
      <c r="R62" s="965">
        <v>1152708.75</v>
      </c>
      <c r="S62" s="965">
        <v>1152708.75</v>
      </c>
      <c r="T62" s="965">
        <v>1152708.75</v>
      </c>
      <c r="U62" s="965">
        <v>1152708.75</v>
      </c>
      <c r="V62" s="965">
        <v>1152708.75</v>
      </c>
      <c r="W62" s="965">
        <v>1152708.75</v>
      </c>
      <c r="X62" s="965">
        <v>1152708.7499999998</v>
      </c>
      <c r="Y62" s="965">
        <v>1152708.7500000002</v>
      </c>
      <c r="Z62" s="965">
        <v>1152708.7500000002</v>
      </c>
      <c r="AA62" s="965">
        <v>1152708.7499999998</v>
      </c>
      <c r="AB62" s="965">
        <v>1152708.7499999998</v>
      </c>
      <c r="AC62" s="965">
        <v>1152708.7499999998</v>
      </c>
      <c r="AD62" s="965">
        <v>1152708.7499999998</v>
      </c>
      <c r="AE62" s="965">
        <v>1152708.7499999998</v>
      </c>
      <c r="AF62" s="965">
        <v>1227050.6666666667</v>
      </c>
      <c r="AG62" s="965">
        <v>47174.666666666672</v>
      </c>
      <c r="AH62" s="1151">
        <v>22435.714285714286</v>
      </c>
      <c r="AI62" s="931">
        <v>7.75</v>
      </c>
      <c r="AJ62" s="931">
        <v>9.5</v>
      </c>
      <c r="AK62" s="990"/>
      <c r="AL62" s="1222"/>
    </row>
    <row r="63" spans="2:38" s="955" customFormat="1" ht="12">
      <c r="B63" s="963"/>
      <c r="C63" s="953"/>
      <c r="D63" s="954"/>
      <c r="E63" s="954"/>
      <c r="F63" s="954"/>
      <c r="G63" s="954"/>
      <c r="H63" s="954"/>
      <c r="I63" s="954"/>
      <c r="J63" s="954"/>
      <c r="K63" s="954"/>
      <c r="L63" s="954"/>
      <c r="M63" s="954"/>
      <c r="N63" s="954"/>
      <c r="O63" s="954"/>
      <c r="P63" s="954"/>
      <c r="Q63" s="954"/>
      <c r="R63" s="954"/>
      <c r="S63" s="954"/>
      <c r="T63" s="954"/>
      <c r="U63" s="954"/>
      <c r="V63" s="954"/>
      <c r="W63" s="954"/>
      <c r="X63" s="954"/>
      <c r="Y63" s="954"/>
      <c r="Z63" s="954"/>
      <c r="AA63" s="954"/>
      <c r="AB63" s="954"/>
      <c r="AC63" s="954"/>
      <c r="AD63" s="954"/>
      <c r="AE63" s="954"/>
      <c r="AF63" s="954"/>
      <c r="AG63" s="954"/>
      <c r="AH63" s="954"/>
    </row>
    <row r="64" spans="2:38" s="955" customFormat="1" ht="12.5" thickBot="1">
      <c r="B64" s="956" t="s">
        <v>256</v>
      </c>
      <c r="C64" s="956" t="s">
        <v>290</v>
      </c>
      <c r="D64" s="957">
        <v>1990</v>
      </c>
      <c r="E64" s="957">
        <v>1991</v>
      </c>
      <c r="F64" s="957">
        <v>1992</v>
      </c>
      <c r="G64" s="957">
        <v>1993</v>
      </c>
      <c r="H64" s="957">
        <v>1994</v>
      </c>
      <c r="I64" s="957">
        <v>1995</v>
      </c>
      <c r="J64" s="957">
        <v>1996</v>
      </c>
      <c r="K64" s="957">
        <v>1997</v>
      </c>
      <c r="L64" s="957">
        <v>1998</v>
      </c>
      <c r="M64" s="957">
        <v>1999</v>
      </c>
      <c r="N64" s="957">
        <v>2000</v>
      </c>
      <c r="O64" s="957">
        <v>2001</v>
      </c>
      <c r="P64" s="957">
        <v>2002</v>
      </c>
      <c r="Q64" s="957">
        <v>2003</v>
      </c>
      <c r="R64" s="957">
        <v>2004</v>
      </c>
      <c r="S64" s="957">
        <v>2005</v>
      </c>
      <c r="T64" s="957">
        <v>2006</v>
      </c>
      <c r="U64" s="957">
        <v>2007</v>
      </c>
      <c r="V64" s="957">
        <v>2008</v>
      </c>
      <c r="W64" s="957">
        <v>2009</v>
      </c>
      <c r="X64" s="957">
        <v>2010</v>
      </c>
      <c r="Y64" s="957">
        <v>2011</v>
      </c>
      <c r="Z64" s="957">
        <v>2012</v>
      </c>
      <c r="AA64" s="957">
        <v>2013</v>
      </c>
      <c r="AB64" s="957">
        <v>2014</v>
      </c>
      <c r="AC64" s="957">
        <v>2015</v>
      </c>
      <c r="AD64" s="957">
        <v>2016</v>
      </c>
      <c r="AE64" s="957">
        <v>2017</v>
      </c>
      <c r="AF64" s="957">
        <v>2018</v>
      </c>
      <c r="AG64" s="957">
        <v>2019</v>
      </c>
      <c r="AH64" s="957">
        <v>2020</v>
      </c>
      <c r="AI64" s="957">
        <v>2021</v>
      </c>
      <c r="AJ64" s="957">
        <v>2022</v>
      </c>
      <c r="AK64" s="957">
        <v>2023</v>
      </c>
    </row>
    <row r="65" spans="2:38" s="955" customFormat="1" ht="16" customHeight="1" thickBot="1">
      <c r="B65" s="920" t="s">
        <v>362</v>
      </c>
      <c r="C65" s="999">
        <v>1E-3</v>
      </c>
      <c r="D65" s="1761" t="s">
        <v>291</v>
      </c>
      <c r="E65" s="1762"/>
      <c r="F65" s="1763"/>
      <c r="G65" s="922"/>
      <c r="H65" s="922"/>
      <c r="I65" s="922"/>
      <c r="J65" s="922"/>
      <c r="K65" s="922"/>
      <c r="L65" s="922"/>
      <c r="M65" s="922"/>
      <c r="N65" s="922"/>
      <c r="O65" s="922"/>
      <c r="P65" s="922"/>
      <c r="Q65" s="922"/>
      <c r="R65" s="922"/>
      <c r="S65" s="922"/>
      <c r="T65" s="922"/>
      <c r="U65" s="922"/>
      <c r="V65" s="922"/>
      <c r="W65" s="922"/>
      <c r="X65" s="922"/>
      <c r="Y65" s="922"/>
      <c r="Z65" s="922"/>
      <c r="AA65" s="922"/>
      <c r="AB65" s="922"/>
      <c r="AC65" s="922"/>
      <c r="AD65" s="922"/>
      <c r="AE65" s="922"/>
      <c r="AF65" s="922"/>
      <c r="AG65" s="922"/>
      <c r="AH65" s="922"/>
      <c r="AI65" s="922"/>
      <c r="AJ65" s="922"/>
      <c r="AK65" s="922"/>
    </row>
    <row r="66" spans="2:38" s="955" customFormat="1" ht="12">
      <c r="B66" s="930" t="s">
        <v>331</v>
      </c>
      <c r="C66" s="928" t="s">
        <v>292</v>
      </c>
      <c r="D66" s="1070">
        <f t="shared" ref="D66:AF66" si="1">D38*$C$65</f>
        <v>1.0924027882038665E-2</v>
      </c>
      <c r="E66" s="1070">
        <f t="shared" si="1"/>
        <v>1.0924027882038665E-2</v>
      </c>
      <c r="F66" s="1070">
        <f t="shared" si="1"/>
        <v>1.0924027882038665E-2</v>
      </c>
      <c r="G66" s="1067">
        <f t="shared" si="1"/>
        <v>1.0924027882038665E-2</v>
      </c>
      <c r="H66" s="1067">
        <f t="shared" si="1"/>
        <v>1.0924027882038665E-2</v>
      </c>
      <c r="I66" s="1067">
        <f t="shared" si="1"/>
        <v>1.0924027882038665E-2</v>
      </c>
      <c r="J66" s="1067">
        <f t="shared" si="1"/>
        <v>1.0924027882038665E-2</v>
      </c>
      <c r="K66" s="1067">
        <f t="shared" si="1"/>
        <v>1.0924027882038665E-2</v>
      </c>
      <c r="L66" s="1067">
        <f t="shared" si="1"/>
        <v>1.0924027882038665E-2</v>
      </c>
      <c r="M66" s="1067">
        <f t="shared" si="1"/>
        <v>1.0924027882038667E-2</v>
      </c>
      <c r="N66" s="1067">
        <f t="shared" si="1"/>
        <v>1.0924027882038665E-2</v>
      </c>
      <c r="O66" s="1067">
        <f t="shared" si="1"/>
        <v>1.0924027882038667E-2</v>
      </c>
      <c r="P66" s="1067">
        <f t="shared" si="1"/>
        <v>1.0924027882038665E-2</v>
      </c>
      <c r="Q66" s="1067">
        <f t="shared" si="1"/>
        <v>1.0924027882038665E-2</v>
      </c>
      <c r="R66" s="1067">
        <f t="shared" si="1"/>
        <v>1.0924027882038665E-2</v>
      </c>
      <c r="S66" s="1067">
        <f t="shared" si="1"/>
        <v>1.0924027882038664E-2</v>
      </c>
      <c r="T66" s="1067">
        <f t="shared" si="1"/>
        <v>1.0924027882038667E-2</v>
      </c>
      <c r="U66" s="1067">
        <f t="shared" si="1"/>
        <v>1.0924027882038667E-2</v>
      </c>
      <c r="V66" s="1067">
        <f t="shared" si="1"/>
        <v>1.0924027882038665E-2</v>
      </c>
      <c r="W66" s="1067">
        <f t="shared" si="1"/>
        <v>1.0924027882038667E-2</v>
      </c>
      <c r="X66" s="1067">
        <f t="shared" si="1"/>
        <v>1.0924027882038665E-2</v>
      </c>
      <c r="Y66" s="1067">
        <f t="shared" si="1"/>
        <v>1.0924027882038667E-2</v>
      </c>
      <c r="Z66" s="1067">
        <f t="shared" si="1"/>
        <v>1.0924027882038665E-2</v>
      </c>
      <c r="AA66" s="1067">
        <f t="shared" si="1"/>
        <v>1.0924027882038665E-2</v>
      </c>
      <c r="AB66" s="1067">
        <f t="shared" si="1"/>
        <v>1.0924027882038665E-2</v>
      </c>
      <c r="AC66" s="1067">
        <f t="shared" si="1"/>
        <v>1.0924027882038665E-2</v>
      </c>
      <c r="AD66" s="1067">
        <f t="shared" si="1"/>
        <v>1.0924027882038665E-2</v>
      </c>
      <c r="AE66" s="1067">
        <f t="shared" si="1"/>
        <v>1.0924027882038664E-2</v>
      </c>
      <c r="AF66" s="1067">
        <f t="shared" si="1"/>
        <v>1.0924027882038664E-2</v>
      </c>
      <c r="AG66" s="1067">
        <f t="shared" ref="AG66:AH66" si="2">AG38*$C$65</f>
        <v>1.0924027882038665E-2</v>
      </c>
      <c r="AH66" s="1067">
        <f t="shared" si="2"/>
        <v>1.0924027882038665E-2</v>
      </c>
      <c r="AI66" s="1067">
        <f t="shared" ref="AI66" si="3">AI38*$C$65</f>
        <v>1.0924027882038665E-2</v>
      </c>
      <c r="AJ66" s="1067">
        <f t="shared" ref="AJ66" si="4">AJ38*$C$65</f>
        <v>1.0924027882038665E-2</v>
      </c>
      <c r="AK66" s="1402">
        <f t="shared" ref="AK66" si="5">AK38*$C$65</f>
        <v>1.09240278820387E-2</v>
      </c>
      <c r="AL66" s="1070"/>
    </row>
    <row r="67" spans="2:38" s="955" customFormat="1" ht="12">
      <c r="B67" s="924" t="s">
        <v>333</v>
      </c>
      <c r="C67" s="925"/>
      <c r="D67" s="1067"/>
      <c r="E67" s="1067"/>
      <c r="F67" s="1067"/>
      <c r="G67" s="1067"/>
      <c r="H67" s="1067"/>
      <c r="I67" s="1067"/>
      <c r="J67" s="1067"/>
      <c r="K67" s="1067"/>
      <c r="L67" s="1067"/>
      <c r="M67" s="1067"/>
      <c r="N67" s="1067"/>
      <c r="O67" s="1067"/>
      <c r="P67" s="1067"/>
      <c r="Q67" s="1067"/>
      <c r="R67" s="1067"/>
      <c r="S67" s="1067"/>
      <c r="T67" s="1067"/>
      <c r="U67" s="1067"/>
      <c r="V67" s="1067"/>
      <c r="W67" s="1067"/>
      <c r="X67" s="1067"/>
      <c r="Y67" s="1067"/>
      <c r="Z67" s="1067"/>
      <c r="AA67" s="1067"/>
      <c r="AB67" s="1067"/>
      <c r="AC67" s="1067"/>
      <c r="AD67" s="1067"/>
      <c r="AE67" s="1067"/>
      <c r="AF67" s="1067"/>
      <c r="AG67" s="1067"/>
      <c r="AH67" s="1067"/>
      <c r="AI67" s="1067"/>
      <c r="AJ67" s="1067"/>
      <c r="AK67" s="1067"/>
      <c r="AL67" s="1070"/>
    </row>
    <row r="68" spans="2:38" s="955" customFormat="1" ht="12">
      <c r="B68" s="928" t="s">
        <v>334</v>
      </c>
      <c r="C68" s="928" t="s">
        <v>294</v>
      </c>
      <c r="D68" s="1067">
        <f t="shared" ref="D68:AF68" si="6">D40*$C$65</f>
        <v>633.83039474332656</v>
      </c>
      <c r="E68" s="1067">
        <f t="shared" si="6"/>
        <v>633.83039474332679</v>
      </c>
      <c r="F68" s="1067">
        <f t="shared" si="6"/>
        <v>633.83039474332679</v>
      </c>
      <c r="G68" s="1067">
        <f t="shared" si="6"/>
        <v>617.37691532074564</v>
      </c>
      <c r="H68" s="1067">
        <f t="shared" si="6"/>
        <v>600.92343589816471</v>
      </c>
      <c r="I68" s="1067">
        <f t="shared" si="6"/>
        <v>584.46995647558367</v>
      </c>
      <c r="J68" s="1067">
        <f t="shared" si="6"/>
        <v>568.01647705300263</v>
      </c>
      <c r="K68" s="1067">
        <f t="shared" si="6"/>
        <v>551.56299763042148</v>
      </c>
      <c r="L68" s="1067">
        <f t="shared" si="6"/>
        <v>535.10951820784044</v>
      </c>
      <c r="M68" s="1067">
        <f t="shared" si="6"/>
        <v>518.65603878525928</v>
      </c>
      <c r="N68" s="1067">
        <f t="shared" si="6"/>
        <v>502.20255936267824</v>
      </c>
      <c r="O68" s="1067">
        <f t="shared" si="6"/>
        <v>485.74907994009726</v>
      </c>
      <c r="P68" s="1067">
        <f t="shared" si="6"/>
        <v>469.29560051751616</v>
      </c>
      <c r="Q68" s="1067">
        <f t="shared" si="6"/>
        <v>452.84212109493501</v>
      </c>
      <c r="R68" s="1067">
        <f t="shared" si="6"/>
        <v>436.38864167235386</v>
      </c>
      <c r="S68" s="1067">
        <f t="shared" si="6"/>
        <v>419.93516224977282</v>
      </c>
      <c r="T68" s="1067">
        <f t="shared" si="6"/>
        <v>403.48168282719166</v>
      </c>
      <c r="U68" s="1067">
        <f t="shared" si="6"/>
        <v>387.02820340461051</v>
      </c>
      <c r="V68" s="1067">
        <f t="shared" si="6"/>
        <v>370.57472398202941</v>
      </c>
      <c r="W68" s="1067">
        <f t="shared" si="6"/>
        <v>354.1212445594482</v>
      </c>
      <c r="X68" s="1067">
        <f t="shared" si="6"/>
        <v>337.6677651368671</v>
      </c>
      <c r="Y68" s="1067">
        <f t="shared" si="6"/>
        <v>321.21428571428561</v>
      </c>
      <c r="Z68" s="1067">
        <f t="shared" si="6"/>
        <v>321.75374376039935</v>
      </c>
      <c r="AA68" s="1067">
        <f t="shared" si="6"/>
        <v>321.59093421779983</v>
      </c>
      <c r="AB68" s="1067">
        <f t="shared" si="6"/>
        <v>317.72681564245812</v>
      </c>
      <c r="AC68" s="1067">
        <f t="shared" si="6"/>
        <v>319.34909909909908</v>
      </c>
      <c r="AD68" s="1067">
        <f t="shared" si="6"/>
        <v>319.43884057971013</v>
      </c>
      <c r="AE68" s="1067">
        <f t="shared" si="6"/>
        <v>318.44081172491542</v>
      </c>
      <c r="AF68" s="1067">
        <f t="shared" si="6"/>
        <v>313.60874257960069</v>
      </c>
      <c r="AG68" s="1067">
        <f t="shared" ref="AG68:AH68" si="7">AG40*$C$65</f>
        <v>310.50742311770938</v>
      </c>
      <c r="AH68" s="1067">
        <f t="shared" si="7"/>
        <v>308.82011708355503</v>
      </c>
      <c r="AI68" s="1067">
        <f t="shared" ref="AI68:AJ68" si="8">AI40*$C$65</f>
        <v>298.80918367346942</v>
      </c>
      <c r="AJ68" s="1067">
        <f t="shared" si="8"/>
        <v>293.9545454545455</v>
      </c>
      <c r="AK68" s="1070"/>
      <c r="AL68" s="1070"/>
    </row>
    <row r="69" spans="2:38" s="955" customFormat="1" ht="12">
      <c r="B69" s="959" t="s">
        <v>336</v>
      </c>
      <c r="C69" s="930" t="s">
        <v>294</v>
      </c>
      <c r="D69" s="1067" t="e">
        <f t="shared" ref="D69:AF69" si="9">D41*$C$65</f>
        <v>#VALUE!</v>
      </c>
      <c r="E69" s="1067" t="e">
        <f t="shared" si="9"/>
        <v>#VALUE!</v>
      </c>
      <c r="F69" s="1067" t="e">
        <f t="shared" si="9"/>
        <v>#VALUE!</v>
      </c>
      <c r="G69" s="1067" t="e">
        <f t="shared" si="9"/>
        <v>#VALUE!</v>
      </c>
      <c r="H69" s="1067" t="e">
        <f t="shared" si="9"/>
        <v>#VALUE!</v>
      </c>
      <c r="I69" s="1067" t="e">
        <f t="shared" si="9"/>
        <v>#VALUE!</v>
      </c>
      <c r="J69" s="1067" t="e">
        <f t="shared" si="9"/>
        <v>#VALUE!</v>
      </c>
      <c r="K69" s="1067" t="e">
        <f t="shared" si="9"/>
        <v>#VALUE!</v>
      </c>
      <c r="L69" s="1067" t="e">
        <f t="shared" si="9"/>
        <v>#VALUE!</v>
      </c>
      <c r="M69" s="1067" t="e">
        <f t="shared" si="9"/>
        <v>#VALUE!</v>
      </c>
      <c r="N69" s="1067" t="e">
        <f t="shared" si="9"/>
        <v>#VALUE!</v>
      </c>
      <c r="O69" s="1067" t="e">
        <f t="shared" si="9"/>
        <v>#VALUE!</v>
      </c>
      <c r="P69" s="1067" t="e">
        <f t="shared" si="9"/>
        <v>#VALUE!</v>
      </c>
      <c r="Q69" s="1067" t="e">
        <f t="shared" si="9"/>
        <v>#VALUE!</v>
      </c>
      <c r="R69" s="1067" t="e">
        <f t="shared" si="9"/>
        <v>#VALUE!</v>
      </c>
      <c r="S69" s="1067" t="e">
        <f t="shared" si="9"/>
        <v>#VALUE!</v>
      </c>
      <c r="T69" s="1067" t="e">
        <f t="shared" si="9"/>
        <v>#VALUE!</v>
      </c>
      <c r="U69" s="1067" t="e">
        <f t="shared" si="9"/>
        <v>#VALUE!</v>
      </c>
      <c r="V69" s="1067" t="e">
        <f t="shared" si="9"/>
        <v>#VALUE!</v>
      </c>
      <c r="W69" s="1067" t="e">
        <f t="shared" si="9"/>
        <v>#VALUE!</v>
      </c>
      <c r="X69" s="1067" t="e">
        <f t="shared" si="9"/>
        <v>#VALUE!</v>
      </c>
      <c r="Y69" s="1067">
        <f t="shared" si="9"/>
        <v>64</v>
      </c>
      <c r="Z69" s="1067">
        <f t="shared" si="9"/>
        <v>64</v>
      </c>
      <c r="AA69" s="1067">
        <f t="shared" si="9"/>
        <v>63.999999999999993</v>
      </c>
      <c r="AB69" s="1067">
        <f t="shared" si="9"/>
        <v>63.999999999999993</v>
      </c>
      <c r="AC69" s="1067">
        <f t="shared" si="9"/>
        <v>63.999999999999993</v>
      </c>
      <c r="AD69" s="1067">
        <f t="shared" si="9"/>
        <v>63.999999999999993</v>
      </c>
      <c r="AE69" s="1067">
        <f t="shared" si="9"/>
        <v>63.999999999999993</v>
      </c>
      <c r="AF69" s="1067">
        <f t="shared" si="9"/>
        <v>63.999999999999993</v>
      </c>
      <c r="AG69" s="1067">
        <f t="shared" ref="AG69:AH69" si="10">AG41*$C$65</f>
        <v>63.999999999999993</v>
      </c>
      <c r="AH69" s="1067">
        <f t="shared" si="10"/>
        <v>63.999999999999993</v>
      </c>
      <c r="AI69" s="1067">
        <f t="shared" ref="AI69:AJ69" si="11">AI41*$C$65</f>
        <v>63.999999999999986</v>
      </c>
      <c r="AJ69" s="1067">
        <f t="shared" si="11"/>
        <v>63.999999999999993</v>
      </c>
      <c r="AK69" s="1070"/>
      <c r="AL69" s="1070"/>
    </row>
    <row r="70" spans="2:38" s="955" customFormat="1" ht="12">
      <c r="B70" s="959" t="s">
        <v>337</v>
      </c>
      <c r="C70" s="930" t="s">
        <v>368</v>
      </c>
      <c r="D70" s="1067" t="e">
        <f t="shared" ref="D70:AF70" si="12">D42*$C$65</f>
        <v>#VALUE!</v>
      </c>
      <c r="E70" s="1067" t="e">
        <f t="shared" si="12"/>
        <v>#VALUE!</v>
      </c>
      <c r="F70" s="1067" t="e">
        <f t="shared" si="12"/>
        <v>#VALUE!</v>
      </c>
      <c r="G70" s="1067" t="e">
        <f t="shared" si="12"/>
        <v>#VALUE!</v>
      </c>
      <c r="H70" s="1067" t="e">
        <f t="shared" si="12"/>
        <v>#VALUE!</v>
      </c>
      <c r="I70" s="1067" t="e">
        <f t="shared" si="12"/>
        <v>#VALUE!</v>
      </c>
      <c r="J70" s="1067" t="e">
        <f t="shared" si="12"/>
        <v>#VALUE!</v>
      </c>
      <c r="K70" s="1067" t="e">
        <f t="shared" si="12"/>
        <v>#VALUE!</v>
      </c>
      <c r="L70" s="1067" t="e">
        <f t="shared" si="12"/>
        <v>#VALUE!</v>
      </c>
      <c r="M70" s="1067" t="e">
        <f t="shared" si="12"/>
        <v>#VALUE!</v>
      </c>
      <c r="N70" s="1067" t="e">
        <f t="shared" si="12"/>
        <v>#VALUE!</v>
      </c>
      <c r="O70" s="1067" t="e">
        <f t="shared" si="12"/>
        <v>#VALUE!</v>
      </c>
      <c r="P70" s="1067" t="e">
        <f t="shared" si="12"/>
        <v>#VALUE!</v>
      </c>
      <c r="Q70" s="1067" t="e">
        <f t="shared" si="12"/>
        <v>#VALUE!</v>
      </c>
      <c r="R70" s="1067" t="e">
        <f t="shared" si="12"/>
        <v>#VALUE!</v>
      </c>
      <c r="S70" s="1067" t="e">
        <f t="shared" si="12"/>
        <v>#VALUE!</v>
      </c>
      <c r="T70" s="1067" t="e">
        <f t="shared" si="12"/>
        <v>#VALUE!</v>
      </c>
      <c r="U70" s="1067" t="e">
        <f t="shared" si="12"/>
        <v>#VALUE!</v>
      </c>
      <c r="V70" s="1067" t="e">
        <f t="shared" si="12"/>
        <v>#VALUE!</v>
      </c>
      <c r="W70" s="1067" t="e">
        <f t="shared" si="12"/>
        <v>#VALUE!</v>
      </c>
      <c r="X70" s="1067" t="e">
        <f t="shared" si="12"/>
        <v>#VALUE!</v>
      </c>
      <c r="Y70" s="1067">
        <f t="shared" si="12"/>
        <v>65</v>
      </c>
      <c r="Z70" s="1067">
        <f t="shared" si="12"/>
        <v>65</v>
      </c>
      <c r="AA70" s="1067">
        <f t="shared" si="12"/>
        <v>65</v>
      </c>
      <c r="AB70" s="1067">
        <f t="shared" si="12"/>
        <v>64.999999999999986</v>
      </c>
      <c r="AC70" s="1067">
        <f t="shared" si="12"/>
        <v>64.999999999999986</v>
      </c>
      <c r="AD70" s="1067">
        <f t="shared" si="12"/>
        <v>65</v>
      </c>
      <c r="AE70" s="1067">
        <f t="shared" si="12"/>
        <v>65</v>
      </c>
      <c r="AF70" s="1067">
        <f t="shared" si="12"/>
        <v>65</v>
      </c>
      <c r="AG70" s="1067">
        <f t="shared" ref="AG70:AH70" si="13">AG42*$C$65</f>
        <v>64.999999999999986</v>
      </c>
      <c r="AH70" s="1067">
        <f t="shared" si="13"/>
        <v>65</v>
      </c>
      <c r="AI70" s="1067">
        <f t="shared" ref="AI70:AJ70" si="14">AI42*$C$65</f>
        <v>64.999999999999986</v>
      </c>
      <c r="AJ70" s="1067">
        <f t="shared" si="14"/>
        <v>64.999999999999986</v>
      </c>
      <c r="AK70" s="1070"/>
      <c r="AL70" s="1070"/>
    </row>
    <row r="71" spans="2:38" s="955" customFormat="1" ht="12">
      <c r="B71" s="959" t="s">
        <v>339</v>
      </c>
      <c r="C71" s="930" t="s">
        <v>368</v>
      </c>
      <c r="D71" s="1067" t="e">
        <f t="shared" ref="D71:AF71" si="15">D43*$C$65</f>
        <v>#VALUE!</v>
      </c>
      <c r="E71" s="1067" t="e">
        <f t="shared" si="15"/>
        <v>#VALUE!</v>
      </c>
      <c r="F71" s="1067" t="e">
        <f t="shared" si="15"/>
        <v>#VALUE!</v>
      </c>
      <c r="G71" s="1067" t="e">
        <f t="shared" si="15"/>
        <v>#VALUE!</v>
      </c>
      <c r="H71" s="1067" t="e">
        <f t="shared" si="15"/>
        <v>#VALUE!</v>
      </c>
      <c r="I71" s="1067" t="e">
        <f t="shared" si="15"/>
        <v>#VALUE!</v>
      </c>
      <c r="J71" s="1067" t="e">
        <f t="shared" si="15"/>
        <v>#VALUE!</v>
      </c>
      <c r="K71" s="1067" t="e">
        <f t="shared" si="15"/>
        <v>#VALUE!</v>
      </c>
      <c r="L71" s="1067" t="e">
        <f t="shared" si="15"/>
        <v>#VALUE!</v>
      </c>
      <c r="M71" s="1067" t="e">
        <f t="shared" si="15"/>
        <v>#VALUE!</v>
      </c>
      <c r="N71" s="1067" t="e">
        <f t="shared" si="15"/>
        <v>#VALUE!</v>
      </c>
      <c r="O71" s="1067" t="e">
        <f t="shared" si="15"/>
        <v>#VALUE!</v>
      </c>
      <c r="P71" s="1067" t="e">
        <f t="shared" si="15"/>
        <v>#VALUE!</v>
      </c>
      <c r="Q71" s="1067" t="e">
        <f t="shared" si="15"/>
        <v>#VALUE!</v>
      </c>
      <c r="R71" s="1067" t="e">
        <f t="shared" si="15"/>
        <v>#VALUE!</v>
      </c>
      <c r="S71" s="1067" t="e">
        <f t="shared" si="15"/>
        <v>#VALUE!</v>
      </c>
      <c r="T71" s="1067" t="e">
        <f t="shared" si="15"/>
        <v>#VALUE!</v>
      </c>
      <c r="U71" s="1067" t="e">
        <f t="shared" si="15"/>
        <v>#VALUE!</v>
      </c>
      <c r="V71" s="1067" t="e">
        <f t="shared" si="15"/>
        <v>#VALUE!</v>
      </c>
      <c r="W71" s="1067" t="e">
        <f t="shared" si="15"/>
        <v>#VALUE!</v>
      </c>
      <c r="X71" s="1067" t="e">
        <f t="shared" si="15"/>
        <v>#VALUE!</v>
      </c>
      <c r="Y71" s="1067">
        <f t="shared" si="15"/>
        <v>68</v>
      </c>
      <c r="Z71" s="1067">
        <f t="shared" si="15"/>
        <v>68</v>
      </c>
      <c r="AA71" s="1067">
        <f t="shared" si="15"/>
        <v>68</v>
      </c>
      <c r="AB71" s="1067">
        <f t="shared" si="15"/>
        <v>67.999999999999986</v>
      </c>
      <c r="AC71" s="1067">
        <f t="shared" si="15"/>
        <v>68</v>
      </c>
      <c r="AD71" s="1067">
        <f t="shared" si="15"/>
        <v>68</v>
      </c>
      <c r="AE71" s="1067">
        <f t="shared" si="15"/>
        <v>68</v>
      </c>
      <c r="AF71" s="1067">
        <f t="shared" si="15"/>
        <v>68</v>
      </c>
      <c r="AG71" s="1067">
        <f t="shared" ref="AG71:AH71" si="16">AG43*$C$65</f>
        <v>68</v>
      </c>
      <c r="AH71" s="1067">
        <f t="shared" si="16"/>
        <v>67.999999999999986</v>
      </c>
      <c r="AI71" s="1067">
        <f t="shared" ref="AI71:AJ71" si="17">AI43*$C$65</f>
        <v>68</v>
      </c>
      <c r="AJ71" s="1067">
        <f t="shared" si="17"/>
        <v>67.999999999999986</v>
      </c>
      <c r="AK71" s="1070"/>
      <c r="AL71" s="1070"/>
    </row>
    <row r="72" spans="2:38" s="955" customFormat="1" ht="12">
      <c r="B72" s="960" t="s">
        <v>340</v>
      </c>
      <c r="C72" s="933" t="s">
        <v>368</v>
      </c>
      <c r="D72" s="1067" t="e">
        <f t="shared" ref="D72:AF72" si="18">D44*$C$65</f>
        <v>#VALUE!</v>
      </c>
      <c r="E72" s="1067" t="e">
        <f t="shared" si="18"/>
        <v>#VALUE!</v>
      </c>
      <c r="F72" s="1067" t="e">
        <f t="shared" si="18"/>
        <v>#VALUE!</v>
      </c>
      <c r="G72" s="1067" t="e">
        <f t="shared" si="18"/>
        <v>#VALUE!</v>
      </c>
      <c r="H72" s="1067" t="e">
        <f t="shared" si="18"/>
        <v>#VALUE!</v>
      </c>
      <c r="I72" s="1067" t="e">
        <f t="shared" si="18"/>
        <v>#VALUE!</v>
      </c>
      <c r="J72" s="1067" t="e">
        <f t="shared" si="18"/>
        <v>#VALUE!</v>
      </c>
      <c r="K72" s="1067" t="e">
        <f t="shared" si="18"/>
        <v>#VALUE!</v>
      </c>
      <c r="L72" s="1067" t="e">
        <f t="shared" si="18"/>
        <v>#VALUE!</v>
      </c>
      <c r="M72" s="1067" t="e">
        <f t="shared" si="18"/>
        <v>#VALUE!</v>
      </c>
      <c r="N72" s="1067" t="e">
        <f t="shared" si="18"/>
        <v>#VALUE!</v>
      </c>
      <c r="O72" s="1067" t="e">
        <f t="shared" si="18"/>
        <v>#VALUE!</v>
      </c>
      <c r="P72" s="1067" t="e">
        <f t="shared" si="18"/>
        <v>#VALUE!</v>
      </c>
      <c r="Q72" s="1067" t="e">
        <f t="shared" si="18"/>
        <v>#VALUE!</v>
      </c>
      <c r="R72" s="1067" t="e">
        <f t="shared" si="18"/>
        <v>#VALUE!</v>
      </c>
      <c r="S72" s="1067" t="e">
        <f t="shared" si="18"/>
        <v>#VALUE!</v>
      </c>
      <c r="T72" s="1067" t="e">
        <f t="shared" si="18"/>
        <v>#VALUE!</v>
      </c>
      <c r="U72" s="1067" t="e">
        <f t="shared" si="18"/>
        <v>#VALUE!</v>
      </c>
      <c r="V72" s="1067" t="e">
        <f t="shared" si="18"/>
        <v>#VALUE!</v>
      </c>
      <c r="W72" s="1067" t="e">
        <f t="shared" si="18"/>
        <v>#VALUE!</v>
      </c>
      <c r="X72" s="1067" t="e">
        <f t="shared" si="18"/>
        <v>#VALUE!</v>
      </c>
      <c r="Y72" s="1067">
        <f t="shared" si="18"/>
        <v>44</v>
      </c>
      <c r="Z72" s="1067">
        <f t="shared" si="18"/>
        <v>44</v>
      </c>
      <c r="AA72" s="1067">
        <f t="shared" si="18"/>
        <v>44</v>
      </c>
      <c r="AB72" s="1067">
        <f t="shared" si="18"/>
        <v>44</v>
      </c>
      <c r="AC72" s="1067">
        <f t="shared" si="18"/>
        <v>44</v>
      </c>
      <c r="AD72" s="1067">
        <f t="shared" si="18"/>
        <v>44</v>
      </c>
      <c r="AE72" s="1067">
        <f t="shared" si="18"/>
        <v>44</v>
      </c>
      <c r="AF72" s="1067">
        <f t="shared" si="18"/>
        <v>43.999999999999993</v>
      </c>
      <c r="AG72" s="1067">
        <f t="shared" ref="AG72:AH72" si="19">AG44*$C$65</f>
        <v>44</v>
      </c>
      <c r="AH72" s="1067">
        <f t="shared" si="19"/>
        <v>43.999999999999993</v>
      </c>
      <c r="AI72" s="1067">
        <f t="shared" ref="AI72:AJ72" si="20">AI44*$C$65</f>
        <v>44</v>
      </c>
      <c r="AJ72" s="1067">
        <f t="shared" si="20"/>
        <v>44</v>
      </c>
      <c r="AK72" s="1070"/>
      <c r="AL72" s="1070"/>
    </row>
    <row r="73" spans="2:38" s="955" customFormat="1" ht="12">
      <c r="B73" s="924" t="s">
        <v>341</v>
      </c>
      <c r="C73" s="925"/>
      <c r="D73" s="1067"/>
      <c r="E73" s="1067"/>
      <c r="F73" s="1067"/>
      <c r="G73" s="1067"/>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c r="AD73" s="1067"/>
      <c r="AE73" s="1067"/>
      <c r="AF73" s="1067"/>
      <c r="AG73" s="1067"/>
      <c r="AH73" s="1067"/>
      <c r="AI73" s="1067"/>
      <c r="AJ73" s="1067"/>
      <c r="AK73" s="1070"/>
      <c r="AL73" s="1070"/>
    </row>
    <row r="74" spans="2:38" s="955" customFormat="1" ht="12">
      <c r="B74" s="928" t="s">
        <v>342</v>
      </c>
      <c r="C74" s="930" t="s">
        <v>369</v>
      </c>
      <c r="D74" s="1067">
        <f t="shared" ref="D74:AF74" si="21">D46*$C$65</f>
        <v>1.8050472000000002E-3</v>
      </c>
      <c r="E74" s="1067">
        <f t="shared" si="21"/>
        <v>1.8050472000000002E-3</v>
      </c>
      <c r="F74" s="1067">
        <f t="shared" si="21"/>
        <v>1.8050472000000002E-3</v>
      </c>
      <c r="G74" s="1067">
        <f t="shared" si="21"/>
        <v>1.8050472E-3</v>
      </c>
      <c r="H74" s="1067">
        <f t="shared" si="21"/>
        <v>1.8050472000000002E-3</v>
      </c>
      <c r="I74" s="1067">
        <f t="shared" si="21"/>
        <v>1.8050472E-3</v>
      </c>
      <c r="J74" s="1067">
        <f t="shared" si="21"/>
        <v>1.8050472000000002E-3</v>
      </c>
      <c r="K74" s="1067">
        <f t="shared" si="21"/>
        <v>1.8050472000000002E-3</v>
      </c>
      <c r="L74" s="1067">
        <f t="shared" si="21"/>
        <v>1.8050472000000002E-3</v>
      </c>
      <c r="M74" s="1067">
        <f t="shared" si="21"/>
        <v>1.8050472000000002E-3</v>
      </c>
      <c r="N74" s="1067">
        <f t="shared" si="21"/>
        <v>1.8050472000000002E-3</v>
      </c>
      <c r="O74" s="1067">
        <f t="shared" si="21"/>
        <v>1.8050472000000002E-3</v>
      </c>
      <c r="P74" s="1067">
        <f t="shared" si="21"/>
        <v>1.8050472000000004E-3</v>
      </c>
      <c r="Q74" s="1067">
        <f t="shared" si="21"/>
        <v>1.8050472000000002E-3</v>
      </c>
      <c r="R74" s="1067">
        <f t="shared" si="21"/>
        <v>1.8050472E-3</v>
      </c>
      <c r="S74" s="1067">
        <f t="shared" si="21"/>
        <v>1.8050472000000002E-3</v>
      </c>
      <c r="T74" s="1067">
        <f t="shared" si="21"/>
        <v>1.8050472E-3</v>
      </c>
      <c r="U74" s="1067">
        <f t="shared" si="21"/>
        <v>1.8050472E-3</v>
      </c>
      <c r="V74" s="1067">
        <f t="shared" si="21"/>
        <v>1.8050472000000002E-3</v>
      </c>
      <c r="W74" s="1067">
        <f t="shared" si="21"/>
        <v>1.8050472000000004E-3</v>
      </c>
      <c r="X74" s="1067">
        <f t="shared" si="21"/>
        <v>1.8050472000000002E-3</v>
      </c>
      <c r="Y74" s="1067">
        <f t="shared" si="21"/>
        <v>1.8050472000000004E-3</v>
      </c>
      <c r="Z74" s="1067">
        <f t="shared" si="21"/>
        <v>1.8050472E-3</v>
      </c>
      <c r="AA74" s="1067">
        <f t="shared" si="21"/>
        <v>1.8050472000000004E-3</v>
      </c>
      <c r="AB74" s="1067">
        <f t="shared" si="21"/>
        <v>1.8050472000000002E-3</v>
      </c>
      <c r="AC74" s="1067">
        <f t="shared" si="21"/>
        <v>1.8050472000000002E-3</v>
      </c>
      <c r="AD74" s="1067">
        <f t="shared" si="21"/>
        <v>1.8050472000000002E-3</v>
      </c>
      <c r="AE74" s="1067">
        <f t="shared" si="21"/>
        <v>1.8050471999999998E-3</v>
      </c>
      <c r="AF74" s="1067">
        <f t="shared" si="21"/>
        <v>1.8050472E-3</v>
      </c>
      <c r="AG74" s="1067">
        <f t="shared" ref="AG74:AH74" si="22">AG46*$C$65</f>
        <v>1.8050472000000004E-3</v>
      </c>
      <c r="AH74" s="1067">
        <f t="shared" si="22"/>
        <v>1.8050472000000002E-3</v>
      </c>
      <c r="AI74" s="1067">
        <f t="shared" ref="AI74:AJ74" si="23">AI46*$C$65</f>
        <v>1.8050472000000002E-3</v>
      </c>
      <c r="AJ74" s="1067">
        <f t="shared" si="23"/>
        <v>1.8050472E-3</v>
      </c>
      <c r="AK74" s="1070"/>
      <c r="AL74" s="1070"/>
    </row>
    <row r="75" spans="2:38" s="955" customFormat="1" ht="12">
      <c r="B75" s="963" t="s">
        <v>344</v>
      </c>
      <c r="C75" s="930" t="s">
        <v>294</v>
      </c>
      <c r="D75" s="1067">
        <f t="shared" ref="D75:AF75" si="24">D47*$C$65</f>
        <v>0.1762167300380228</v>
      </c>
      <c r="E75" s="1067">
        <f t="shared" si="24"/>
        <v>0.1762167300380228</v>
      </c>
      <c r="F75" s="1067">
        <f t="shared" si="24"/>
        <v>0.1762167300380228</v>
      </c>
      <c r="G75" s="1067">
        <f t="shared" si="24"/>
        <v>0.17621673003802282</v>
      </c>
      <c r="H75" s="1067">
        <f t="shared" si="24"/>
        <v>0.1762167300380228</v>
      </c>
      <c r="I75" s="1067">
        <f t="shared" si="24"/>
        <v>0.1762167300380228</v>
      </c>
      <c r="J75" s="1067">
        <f t="shared" si="24"/>
        <v>0.17621673003802282</v>
      </c>
      <c r="K75" s="1067">
        <f t="shared" si="24"/>
        <v>0.17621673003802282</v>
      </c>
      <c r="L75" s="1067">
        <f t="shared" si="24"/>
        <v>0.1762167300380228</v>
      </c>
      <c r="M75" s="1067">
        <f t="shared" si="24"/>
        <v>0.17621673003802282</v>
      </c>
      <c r="N75" s="1067">
        <f t="shared" si="24"/>
        <v>0.17621673003802282</v>
      </c>
      <c r="O75" s="1067">
        <f t="shared" si="24"/>
        <v>0.17621673003802282</v>
      </c>
      <c r="P75" s="1067">
        <f t="shared" si="24"/>
        <v>0.17621673003802282</v>
      </c>
      <c r="Q75" s="1067">
        <f t="shared" si="24"/>
        <v>0.17621673003802282</v>
      </c>
      <c r="R75" s="1067">
        <f t="shared" si="24"/>
        <v>0.1762167300380228</v>
      </c>
      <c r="S75" s="1067">
        <f t="shared" si="24"/>
        <v>0.17621673003802282</v>
      </c>
      <c r="T75" s="1067">
        <f t="shared" si="24"/>
        <v>0.17621673003802282</v>
      </c>
      <c r="U75" s="1067">
        <f t="shared" si="24"/>
        <v>0.1762167300380228</v>
      </c>
      <c r="V75" s="1067">
        <f t="shared" si="24"/>
        <v>0.17621673003802282</v>
      </c>
      <c r="W75" s="1067">
        <f t="shared" si="24"/>
        <v>0.1762167300380228</v>
      </c>
      <c r="X75" s="1067">
        <f t="shared" si="24"/>
        <v>0.17621673003802282</v>
      </c>
      <c r="Y75" s="1067">
        <f t="shared" si="24"/>
        <v>0.17621673003802282</v>
      </c>
      <c r="Z75" s="1067">
        <f t="shared" si="24"/>
        <v>0.1762167300380228</v>
      </c>
      <c r="AA75" s="1067">
        <f t="shared" si="24"/>
        <v>0.17621673003802282</v>
      </c>
      <c r="AB75" s="1067">
        <f t="shared" si="24"/>
        <v>0.17621673003802282</v>
      </c>
      <c r="AC75" s="1067">
        <f t="shared" si="24"/>
        <v>0.17621673003802282</v>
      </c>
      <c r="AD75" s="1067">
        <f t="shared" si="24"/>
        <v>0.21311444652908065</v>
      </c>
      <c r="AE75" s="1067">
        <f t="shared" si="24"/>
        <v>0.24998137802607079</v>
      </c>
      <c r="AF75" s="1067">
        <f t="shared" si="24"/>
        <v>0.32720486111111108</v>
      </c>
      <c r="AG75" s="1067">
        <f t="shared" ref="AG75:AH75" si="25">AG47*$C$65</f>
        <v>0.22928457869634342</v>
      </c>
      <c r="AH75" s="1067">
        <f t="shared" si="25"/>
        <v>0.27799382716049381</v>
      </c>
      <c r="AI75" s="1067">
        <f t="shared" ref="AI75:AJ75" si="26">AI47*$C$65</f>
        <v>0.18550834597875571</v>
      </c>
      <c r="AJ75" s="1067">
        <f t="shared" si="26"/>
        <v>0.24593323216995439</v>
      </c>
      <c r="AK75" s="1070"/>
      <c r="AL75" s="1070"/>
    </row>
    <row r="76" spans="2:38" s="955" customFormat="1" ht="12">
      <c r="B76" s="924" t="s">
        <v>345</v>
      </c>
      <c r="C76" s="925"/>
      <c r="D76" s="1067"/>
      <c r="E76" s="1067"/>
      <c r="F76" s="1067"/>
      <c r="G76" s="1067"/>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70"/>
      <c r="AL76" s="1070"/>
    </row>
    <row r="77" spans="2:38" s="955" customFormat="1" ht="12">
      <c r="B77" s="928" t="s">
        <v>345</v>
      </c>
      <c r="C77" s="928" t="s">
        <v>370</v>
      </c>
      <c r="D77" s="1067">
        <f t="shared" ref="D77:AF77" si="27">D49*$C$65</f>
        <v>3.1239142200000001</v>
      </c>
      <c r="E77" s="1067">
        <f t="shared" si="27"/>
        <v>3.1239142200000001</v>
      </c>
      <c r="F77" s="1067">
        <f t="shared" si="27"/>
        <v>3.1239142200000005</v>
      </c>
      <c r="G77" s="1067">
        <f t="shared" si="27"/>
        <v>3.0071602097380183</v>
      </c>
      <c r="H77" s="1067">
        <f t="shared" si="27"/>
        <v>2.8904061994760362</v>
      </c>
      <c r="I77" s="1067">
        <f t="shared" si="27"/>
        <v>2.7736521892140535</v>
      </c>
      <c r="J77" s="1067">
        <f t="shared" si="27"/>
        <v>2.6568981789520723</v>
      </c>
      <c r="K77" s="1067">
        <f t="shared" si="27"/>
        <v>2.5401441686900905</v>
      </c>
      <c r="L77" s="1067">
        <f t="shared" si="27"/>
        <v>2.4233901584281079</v>
      </c>
      <c r="M77" s="1067">
        <f t="shared" si="27"/>
        <v>2.3066361481661262</v>
      </c>
      <c r="N77" s="1067">
        <f t="shared" si="27"/>
        <v>2.1898821379041444</v>
      </c>
      <c r="O77" s="1067">
        <f t="shared" si="27"/>
        <v>2.0731281276421618</v>
      </c>
      <c r="P77" s="1067">
        <f t="shared" si="27"/>
        <v>1.9563741173801801</v>
      </c>
      <c r="Q77" s="1067">
        <f t="shared" si="27"/>
        <v>1.8396201071181979</v>
      </c>
      <c r="R77" s="1067">
        <f t="shared" si="27"/>
        <v>1.7228660968562159</v>
      </c>
      <c r="S77" s="1067">
        <f t="shared" si="27"/>
        <v>1.606112086594234</v>
      </c>
      <c r="T77" s="1067">
        <f t="shared" si="27"/>
        <v>1.4893580763322518</v>
      </c>
      <c r="U77" s="1067">
        <f t="shared" si="27"/>
        <v>1.3726040660702696</v>
      </c>
      <c r="V77" s="1067">
        <f t="shared" si="27"/>
        <v>1.2558500558082877</v>
      </c>
      <c r="W77" s="1067">
        <f t="shared" si="27"/>
        <v>1.1390960455463055</v>
      </c>
      <c r="X77" s="1067">
        <f t="shared" si="27"/>
        <v>1.0223420352843235</v>
      </c>
      <c r="Y77" s="1067">
        <f t="shared" si="27"/>
        <v>0.90558802502234059</v>
      </c>
      <c r="Z77" s="1067">
        <f t="shared" si="27"/>
        <v>0.6655212459488653</v>
      </c>
      <c r="AA77" s="1067">
        <f t="shared" si="27"/>
        <v>0.63336465849974788</v>
      </c>
      <c r="AB77" s="1067">
        <f t="shared" si="27"/>
        <v>0.58875400790395915</v>
      </c>
      <c r="AC77" s="1067">
        <f t="shared" si="27"/>
        <v>0.6344278273809516</v>
      </c>
      <c r="AD77" s="1067">
        <f t="shared" si="27"/>
        <v>0.55215218712029079</v>
      </c>
      <c r="AE77" s="1067">
        <f t="shared" si="27"/>
        <v>0.52493016665542103</v>
      </c>
      <c r="AF77" s="1067">
        <f t="shared" si="27"/>
        <v>0.49688903433692377</v>
      </c>
      <c r="AG77" s="1067">
        <f t="shared" ref="AG77:AH77" si="28">AG49*$C$65</f>
        <v>0.50323095998855294</v>
      </c>
      <c r="AH77" s="1067">
        <f t="shared" si="28"/>
        <v>0.49569219756621341</v>
      </c>
      <c r="AI77" s="1067">
        <f t="shared" ref="AI77:AJ77" si="29">AI49*$C$65</f>
        <v>0.47562323666805362</v>
      </c>
      <c r="AJ77" s="1067">
        <f t="shared" si="29"/>
        <v>0.48007252479880203</v>
      </c>
      <c r="AK77" s="1070"/>
      <c r="AL77" s="1070"/>
    </row>
    <row r="78" spans="2:38" s="955" customFormat="1" ht="12">
      <c r="B78" s="959" t="s">
        <v>347</v>
      </c>
      <c r="C78" s="928" t="s">
        <v>370</v>
      </c>
      <c r="D78" s="1067" t="e">
        <f t="shared" ref="D78:AF78" si="30">D50*$C$65</f>
        <v>#VALUE!</v>
      </c>
      <c r="E78" s="1067" t="e">
        <f t="shared" si="30"/>
        <v>#VALUE!</v>
      </c>
      <c r="F78" s="1067" t="e">
        <f t="shared" si="30"/>
        <v>#VALUE!</v>
      </c>
      <c r="G78" s="1067" t="e">
        <f t="shared" si="30"/>
        <v>#VALUE!</v>
      </c>
      <c r="H78" s="1067" t="e">
        <f t="shared" si="30"/>
        <v>#VALUE!</v>
      </c>
      <c r="I78" s="1067" t="e">
        <f t="shared" si="30"/>
        <v>#VALUE!</v>
      </c>
      <c r="J78" s="1067" t="e">
        <f t="shared" si="30"/>
        <v>#VALUE!</v>
      </c>
      <c r="K78" s="1067" t="e">
        <f t="shared" si="30"/>
        <v>#VALUE!</v>
      </c>
      <c r="L78" s="1067" t="e">
        <f t="shared" si="30"/>
        <v>#VALUE!</v>
      </c>
      <c r="M78" s="1067" t="e">
        <f t="shared" si="30"/>
        <v>#VALUE!</v>
      </c>
      <c r="N78" s="1067" t="e">
        <f t="shared" si="30"/>
        <v>#VALUE!</v>
      </c>
      <c r="O78" s="1067" t="e">
        <f t="shared" si="30"/>
        <v>#VALUE!</v>
      </c>
      <c r="P78" s="1067" t="e">
        <f t="shared" si="30"/>
        <v>#VALUE!</v>
      </c>
      <c r="Q78" s="1067" t="e">
        <f t="shared" si="30"/>
        <v>#VALUE!</v>
      </c>
      <c r="R78" s="1067" t="e">
        <f t="shared" si="30"/>
        <v>#VALUE!</v>
      </c>
      <c r="S78" s="1067" t="e">
        <f t="shared" si="30"/>
        <v>#VALUE!</v>
      </c>
      <c r="T78" s="1067" t="e">
        <f t="shared" si="30"/>
        <v>#VALUE!</v>
      </c>
      <c r="U78" s="1067" t="e">
        <f t="shared" si="30"/>
        <v>#VALUE!</v>
      </c>
      <c r="V78" s="1067" t="e">
        <f t="shared" si="30"/>
        <v>#VALUE!</v>
      </c>
      <c r="W78" s="1067" t="e">
        <f t="shared" si="30"/>
        <v>#VALUE!</v>
      </c>
      <c r="X78" s="1067" t="e">
        <f t="shared" si="30"/>
        <v>#VALUE!</v>
      </c>
      <c r="Y78" s="1067">
        <f t="shared" si="30"/>
        <v>2.9960099863822061</v>
      </c>
      <c r="Z78" s="1067">
        <f t="shared" si="30"/>
        <v>3.0950718132854562</v>
      </c>
      <c r="AA78" s="1067">
        <f t="shared" si="30"/>
        <v>2.9272452504317785</v>
      </c>
      <c r="AB78" s="1067">
        <f t="shared" si="30"/>
        <v>2.9270332480818415</v>
      </c>
      <c r="AC78" s="1067">
        <f t="shared" si="30"/>
        <v>2.8028249336870035</v>
      </c>
      <c r="AD78" s="1067">
        <f t="shared" si="30"/>
        <v>2.7855400000000015</v>
      </c>
      <c r="AE78" s="1067">
        <f t="shared" si="30"/>
        <v>2.9088504577823011</v>
      </c>
      <c r="AF78" s="1067">
        <f t="shared" si="30"/>
        <v>2.8629849340866294</v>
      </c>
      <c r="AG78" s="1067">
        <f t="shared" ref="AG78:AH78" si="31">AG50*$C$65</f>
        <v>2.8687181738367005</v>
      </c>
      <c r="AH78" s="1067">
        <f t="shared" si="31"/>
        <v>2.8983041474654381</v>
      </c>
      <c r="AI78" s="1067">
        <f t="shared" ref="AI78:AJ78" si="32">AI50*$C$65</f>
        <v>2.8126074766355145</v>
      </c>
      <c r="AJ78" s="1067">
        <f t="shared" si="32"/>
        <v>2.8392768595041336</v>
      </c>
      <c r="AK78" s="1070"/>
      <c r="AL78" s="1070"/>
    </row>
    <row r="79" spans="2:38" s="955" customFormat="1" ht="12">
      <c r="B79" s="959" t="s">
        <v>348</v>
      </c>
      <c r="C79" s="928" t="s">
        <v>370</v>
      </c>
      <c r="D79" s="1067" t="e">
        <f t="shared" ref="D79:AF79" si="33">D51*$C$65</f>
        <v>#VALUE!</v>
      </c>
      <c r="E79" s="1067" t="e">
        <f t="shared" si="33"/>
        <v>#VALUE!</v>
      </c>
      <c r="F79" s="1067" t="e">
        <f t="shared" si="33"/>
        <v>#VALUE!</v>
      </c>
      <c r="G79" s="1067" t="e">
        <f t="shared" si="33"/>
        <v>#VALUE!</v>
      </c>
      <c r="H79" s="1067" t="e">
        <f t="shared" si="33"/>
        <v>#VALUE!</v>
      </c>
      <c r="I79" s="1067" t="e">
        <f t="shared" si="33"/>
        <v>#VALUE!</v>
      </c>
      <c r="J79" s="1067" t="e">
        <f t="shared" si="33"/>
        <v>#VALUE!</v>
      </c>
      <c r="K79" s="1067" t="e">
        <f t="shared" si="33"/>
        <v>#VALUE!</v>
      </c>
      <c r="L79" s="1067" t="e">
        <f t="shared" si="33"/>
        <v>#VALUE!</v>
      </c>
      <c r="M79" s="1067" t="e">
        <f t="shared" si="33"/>
        <v>#VALUE!</v>
      </c>
      <c r="N79" s="1067" t="e">
        <f t="shared" si="33"/>
        <v>#VALUE!</v>
      </c>
      <c r="O79" s="1067" t="e">
        <f t="shared" si="33"/>
        <v>#VALUE!</v>
      </c>
      <c r="P79" s="1067" t="e">
        <f t="shared" si="33"/>
        <v>#VALUE!</v>
      </c>
      <c r="Q79" s="1067" t="e">
        <f t="shared" si="33"/>
        <v>#VALUE!</v>
      </c>
      <c r="R79" s="1067" t="e">
        <f t="shared" si="33"/>
        <v>#VALUE!</v>
      </c>
      <c r="S79" s="1067" t="e">
        <f t="shared" si="33"/>
        <v>#VALUE!</v>
      </c>
      <c r="T79" s="1067" t="e">
        <f t="shared" si="33"/>
        <v>#VALUE!</v>
      </c>
      <c r="U79" s="1067" t="e">
        <f t="shared" si="33"/>
        <v>#VALUE!</v>
      </c>
      <c r="V79" s="1067" t="e">
        <f t="shared" si="33"/>
        <v>#VALUE!</v>
      </c>
      <c r="W79" s="1067" t="e">
        <f t="shared" si="33"/>
        <v>#VALUE!</v>
      </c>
      <c r="X79" s="1067" t="e">
        <f t="shared" si="33"/>
        <v>#VALUE!</v>
      </c>
      <c r="Y79" s="1067">
        <f t="shared" si="33"/>
        <v>0.40335970274481603</v>
      </c>
      <c r="Z79" s="1067">
        <f t="shared" si="33"/>
        <v>0.40895216150976493</v>
      </c>
      <c r="AA79" s="1067">
        <f t="shared" si="33"/>
        <v>0.39945673028375239</v>
      </c>
      <c r="AB79" s="1067">
        <f t="shared" si="33"/>
        <v>0.37903494623655964</v>
      </c>
      <c r="AC79" s="1067">
        <f t="shared" si="33"/>
        <v>0.37350949628406299</v>
      </c>
      <c r="AD79" s="1067">
        <f t="shared" si="33"/>
        <v>0.38048195991091349</v>
      </c>
      <c r="AE79" s="1067">
        <f t="shared" si="33"/>
        <v>0.36755382681125276</v>
      </c>
      <c r="AF79" s="1067">
        <f t="shared" si="33"/>
        <v>0.37310916732931959</v>
      </c>
      <c r="AG79" s="1067">
        <f t="shared" ref="AG79:AH79" si="34">AG51*$C$65</f>
        <v>0.37650774093319755</v>
      </c>
      <c r="AH79" s="1067">
        <f t="shared" si="34"/>
        <v>0.37338098297462263</v>
      </c>
      <c r="AI79" s="1067">
        <f t="shared" ref="AI79:AJ79" si="35">AI51*$C$65</f>
        <v>0.36177049518215143</v>
      </c>
      <c r="AJ79" s="1067">
        <f t="shared" si="35"/>
        <v>0.37557907204284519</v>
      </c>
      <c r="AK79" s="1070"/>
      <c r="AL79" s="1070"/>
    </row>
    <row r="80" spans="2:38" s="955" customFormat="1" ht="12">
      <c r="B80" s="959" t="s">
        <v>349</v>
      </c>
      <c r="C80" s="928" t="s">
        <v>370</v>
      </c>
      <c r="D80" s="1067" t="e">
        <f t="shared" ref="D80:AF80" si="36">D52*$C$65</f>
        <v>#VALUE!</v>
      </c>
      <c r="E80" s="1067" t="e">
        <f t="shared" si="36"/>
        <v>#VALUE!</v>
      </c>
      <c r="F80" s="1067" t="e">
        <f t="shared" si="36"/>
        <v>#VALUE!</v>
      </c>
      <c r="G80" s="1067" t="e">
        <f t="shared" si="36"/>
        <v>#VALUE!</v>
      </c>
      <c r="H80" s="1067" t="e">
        <f t="shared" si="36"/>
        <v>#VALUE!</v>
      </c>
      <c r="I80" s="1067" t="e">
        <f t="shared" si="36"/>
        <v>#VALUE!</v>
      </c>
      <c r="J80" s="1067" t="e">
        <f t="shared" si="36"/>
        <v>#VALUE!</v>
      </c>
      <c r="K80" s="1067" t="e">
        <f t="shared" si="36"/>
        <v>#VALUE!</v>
      </c>
      <c r="L80" s="1067" t="e">
        <f t="shared" si="36"/>
        <v>#VALUE!</v>
      </c>
      <c r="M80" s="1067" t="e">
        <f t="shared" si="36"/>
        <v>#VALUE!</v>
      </c>
      <c r="N80" s="1067" t="e">
        <f t="shared" si="36"/>
        <v>#VALUE!</v>
      </c>
      <c r="O80" s="1067" t="e">
        <f t="shared" si="36"/>
        <v>#VALUE!</v>
      </c>
      <c r="P80" s="1067" t="e">
        <f t="shared" si="36"/>
        <v>#VALUE!</v>
      </c>
      <c r="Q80" s="1067" t="e">
        <f t="shared" si="36"/>
        <v>#VALUE!</v>
      </c>
      <c r="R80" s="1067" t="e">
        <f t="shared" si="36"/>
        <v>#VALUE!</v>
      </c>
      <c r="S80" s="1067" t="e">
        <f t="shared" si="36"/>
        <v>#VALUE!</v>
      </c>
      <c r="T80" s="1067" t="e">
        <f t="shared" si="36"/>
        <v>#VALUE!</v>
      </c>
      <c r="U80" s="1067" t="e">
        <f t="shared" si="36"/>
        <v>#VALUE!</v>
      </c>
      <c r="V80" s="1067" t="e">
        <f t="shared" si="36"/>
        <v>#VALUE!</v>
      </c>
      <c r="W80" s="1067" t="e">
        <f t="shared" si="36"/>
        <v>#VALUE!</v>
      </c>
      <c r="X80" s="1067" t="e">
        <f t="shared" si="36"/>
        <v>#VALUE!</v>
      </c>
      <c r="Y80" s="1067">
        <f t="shared" si="36"/>
        <v>0.26100931677018635</v>
      </c>
      <c r="Z80" s="1067">
        <f t="shared" si="36"/>
        <v>0.24717045454545428</v>
      </c>
      <c r="AA80" s="1067">
        <f t="shared" si="36"/>
        <v>0.23672112018669772</v>
      </c>
      <c r="AB80" s="1067">
        <f t="shared" si="36"/>
        <v>0.21552875695732823</v>
      </c>
      <c r="AC80" s="1067">
        <f t="shared" si="36"/>
        <v>0.22184898354307842</v>
      </c>
      <c r="AD80" s="1067">
        <f t="shared" si="36"/>
        <v>0.22724284199363715</v>
      </c>
      <c r="AE80" s="1067">
        <f t="shared" si="36"/>
        <v>0.218615107913669</v>
      </c>
      <c r="AF80" s="1067">
        <f t="shared" si="36"/>
        <v>0.21755443886097134</v>
      </c>
      <c r="AG80" s="1067">
        <f t="shared" ref="AG80:AH80" si="37">AG52*$C$65</f>
        <v>0.22055889939810822</v>
      </c>
      <c r="AH80" s="1067">
        <f t="shared" si="37"/>
        <v>0.22530201342281866</v>
      </c>
      <c r="AI80" s="1067">
        <f t="shared" ref="AI80:AJ80" si="38">AI52*$C$65</f>
        <v>0.22122377622377615</v>
      </c>
      <c r="AJ80" s="1067">
        <f t="shared" si="38"/>
        <v>0.22164467005076127</v>
      </c>
      <c r="AK80" s="1070"/>
      <c r="AL80" s="1070"/>
    </row>
    <row r="81" spans="2:38" s="955" customFormat="1" ht="12">
      <c r="B81" s="924" t="s">
        <v>350</v>
      </c>
      <c r="C81" s="925"/>
      <c r="D81" s="1067"/>
      <c r="E81" s="1067"/>
      <c r="F81" s="1067"/>
      <c r="G81" s="1067"/>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70"/>
      <c r="AL81" s="1070"/>
    </row>
    <row r="82" spans="2:38" s="955" customFormat="1" ht="12">
      <c r="B82" s="961" t="s">
        <v>351</v>
      </c>
      <c r="C82" s="961" t="s">
        <v>292</v>
      </c>
      <c r="D82" s="1067">
        <f t="shared" ref="D82:AF82" si="39">D54*$C$65</f>
        <v>0.60957899999999998</v>
      </c>
      <c r="E82" s="1067">
        <f t="shared" si="39"/>
        <v>0.60957899999999998</v>
      </c>
      <c r="F82" s="1067">
        <f t="shared" si="39"/>
        <v>0.60957900000000009</v>
      </c>
      <c r="G82" s="1067">
        <f t="shared" si="39"/>
        <v>0.60957899999999998</v>
      </c>
      <c r="H82" s="1067">
        <f t="shared" si="39"/>
        <v>0.60957899999999998</v>
      </c>
      <c r="I82" s="1067">
        <f t="shared" si="39"/>
        <v>0.60957899999999987</v>
      </c>
      <c r="J82" s="1067">
        <f t="shared" si="39"/>
        <v>0.60957899999999987</v>
      </c>
      <c r="K82" s="1067">
        <f t="shared" si="39"/>
        <v>0.60957899999999998</v>
      </c>
      <c r="L82" s="1067">
        <f t="shared" si="39"/>
        <v>0.60957899999999998</v>
      </c>
      <c r="M82" s="1067">
        <f t="shared" si="39"/>
        <v>0.60957899999999998</v>
      </c>
      <c r="N82" s="1067">
        <f t="shared" si="39"/>
        <v>0.60957899999999998</v>
      </c>
      <c r="O82" s="1067">
        <f t="shared" si="39"/>
        <v>0.60957899999999998</v>
      </c>
      <c r="P82" s="1067">
        <f t="shared" si="39"/>
        <v>0.60957900000000009</v>
      </c>
      <c r="Q82" s="1067">
        <f t="shared" si="39"/>
        <v>0.60957899999999987</v>
      </c>
      <c r="R82" s="1067">
        <f t="shared" si="39"/>
        <v>0.60957899999999998</v>
      </c>
      <c r="S82" s="1067">
        <f t="shared" si="39"/>
        <v>0.60957899999999998</v>
      </c>
      <c r="T82" s="1067">
        <f t="shared" si="39"/>
        <v>0.60957899999999998</v>
      </c>
      <c r="U82" s="1067">
        <f t="shared" si="39"/>
        <v>0.60957899999999998</v>
      </c>
      <c r="V82" s="1067">
        <f t="shared" si="39"/>
        <v>0.60957899999999998</v>
      </c>
      <c r="W82" s="1067">
        <f t="shared" si="39"/>
        <v>0.60957899999999998</v>
      </c>
      <c r="X82" s="1067">
        <f t="shared" si="39"/>
        <v>0.60957899999999998</v>
      </c>
      <c r="Y82" s="1067">
        <f t="shared" si="39"/>
        <v>0.60957899999999998</v>
      </c>
      <c r="Z82" s="1067">
        <f t="shared" si="39"/>
        <v>0.60957899999999998</v>
      </c>
      <c r="AA82" s="1067">
        <f t="shared" si="39"/>
        <v>0.60957899999999998</v>
      </c>
      <c r="AB82" s="1067">
        <f t="shared" si="39"/>
        <v>0.60957899999999998</v>
      </c>
      <c r="AC82" s="1067">
        <f t="shared" si="39"/>
        <v>0.60957899999999998</v>
      </c>
      <c r="AD82" s="1067">
        <f t="shared" si="39"/>
        <v>0.8321326734153689</v>
      </c>
      <c r="AE82" s="1067">
        <f t="shared" si="39"/>
        <v>0.66684254526662645</v>
      </c>
      <c r="AF82" s="1067">
        <f t="shared" si="39"/>
        <v>0.69104939713609581</v>
      </c>
      <c r="AG82" s="1067">
        <f t="shared" ref="AG82:AH82" si="40">AG54*$C$65</f>
        <v>0.61939300762032246</v>
      </c>
      <c r="AH82" s="1067">
        <f t="shared" si="40"/>
        <v>0.7310750176480475</v>
      </c>
      <c r="AI82" s="1067">
        <f t="shared" ref="AI82:AJ82" si="41">AI54*$C$65</f>
        <v>0.5495473365151069</v>
      </c>
      <c r="AJ82" s="1067">
        <f t="shared" si="41"/>
        <v>0.44469160218107284</v>
      </c>
      <c r="AK82" s="1070"/>
      <c r="AL82" s="1070"/>
    </row>
    <row r="83" spans="2:38" s="955" customFormat="1" ht="12">
      <c r="B83" s="924" t="s">
        <v>352</v>
      </c>
      <c r="C83" s="925"/>
      <c r="D83" s="1067">
        <f t="shared" ref="D83:AF83" si="42">D55*$C$65</f>
        <v>0</v>
      </c>
      <c r="E83" s="1067">
        <f t="shared" si="42"/>
        <v>0</v>
      </c>
      <c r="F83" s="1067">
        <f t="shared" si="42"/>
        <v>0</v>
      </c>
      <c r="G83" s="1067">
        <f t="shared" si="42"/>
        <v>0</v>
      </c>
      <c r="H83" s="1067">
        <f t="shared" si="42"/>
        <v>0</v>
      </c>
      <c r="I83" s="1067">
        <f t="shared" si="42"/>
        <v>0</v>
      </c>
      <c r="J83" s="1067">
        <f t="shared" si="42"/>
        <v>0</v>
      </c>
      <c r="K83" s="1067">
        <f t="shared" si="42"/>
        <v>0</v>
      </c>
      <c r="L83" s="1067">
        <f t="shared" si="42"/>
        <v>0</v>
      </c>
      <c r="M83" s="1067">
        <f t="shared" si="42"/>
        <v>0</v>
      </c>
      <c r="N83" s="1067">
        <f t="shared" si="42"/>
        <v>0</v>
      </c>
      <c r="O83" s="1067">
        <f t="shared" si="42"/>
        <v>0</v>
      </c>
      <c r="P83" s="1067">
        <f t="shared" si="42"/>
        <v>0</v>
      </c>
      <c r="Q83" s="1067">
        <f t="shared" si="42"/>
        <v>0</v>
      </c>
      <c r="R83" s="1067">
        <f t="shared" si="42"/>
        <v>0</v>
      </c>
      <c r="S83" s="1067">
        <f t="shared" si="42"/>
        <v>0</v>
      </c>
      <c r="T83" s="1067">
        <f t="shared" si="42"/>
        <v>0</v>
      </c>
      <c r="U83" s="1067">
        <f t="shared" si="42"/>
        <v>0</v>
      </c>
      <c r="V83" s="1067">
        <f t="shared" si="42"/>
        <v>0</v>
      </c>
      <c r="W83" s="1067">
        <f t="shared" si="42"/>
        <v>0</v>
      </c>
      <c r="X83" s="1067">
        <f t="shared" si="42"/>
        <v>0</v>
      </c>
      <c r="Y83" s="1067">
        <f t="shared" si="42"/>
        <v>0</v>
      </c>
      <c r="Z83" s="1067">
        <f t="shared" si="42"/>
        <v>0</v>
      </c>
      <c r="AA83" s="1067">
        <f t="shared" si="42"/>
        <v>0</v>
      </c>
      <c r="AB83" s="1067">
        <f t="shared" si="42"/>
        <v>0</v>
      </c>
      <c r="AC83" s="1067">
        <f t="shared" si="42"/>
        <v>0</v>
      </c>
      <c r="AD83" s="1067">
        <f t="shared" si="42"/>
        <v>0</v>
      </c>
      <c r="AE83" s="1067">
        <f t="shared" si="42"/>
        <v>0</v>
      </c>
      <c r="AF83" s="1067">
        <f t="shared" si="42"/>
        <v>0</v>
      </c>
      <c r="AG83" s="1067">
        <f t="shared" ref="AG83:AH83" si="43">AG55*$C$65</f>
        <v>0</v>
      </c>
      <c r="AH83" s="1067">
        <f t="shared" si="43"/>
        <v>0</v>
      </c>
      <c r="AI83" s="1067">
        <f t="shared" ref="AI83:AJ83" si="44">AI55*$C$65</f>
        <v>0</v>
      </c>
      <c r="AJ83" s="1067">
        <f t="shared" si="44"/>
        <v>0</v>
      </c>
      <c r="AK83" s="1070"/>
      <c r="AL83" s="1070"/>
    </row>
    <row r="84" spans="2:38" s="955" customFormat="1" ht="12">
      <c r="B84" s="928" t="s">
        <v>352</v>
      </c>
      <c r="C84" s="928" t="s">
        <v>294</v>
      </c>
      <c r="D84" s="1067">
        <f t="shared" ref="D84:AF84" si="45">D56*$C$65</f>
        <v>83.954339999999988</v>
      </c>
      <c r="E84" s="1067">
        <f t="shared" si="45"/>
        <v>83.954340000000002</v>
      </c>
      <c r="F84" s="1067">
        <f t="shared" si="45"/>
        <v>83.954340000000002</v>
      </c>
      <c r="G84" s="1067">
        <f t="shared" si="45"/>
        <v>83.328669211208222</v>
      </c>
      <c r="H84" s="1067">
        <f t="shared" si="45"/>
        <v>83.701050061173646</v>
      </c>
      <c r="I84" s="1067">
        <f t="shared" si="45"/>
        <v>83.258603134065169</v>
      </c>
      <c r="J84" s="1067">
        <f t="shared" si="45"/>
        <v>82.956387429048746</v>
      </c>
      <c r="K84" s="1067">
        <f t="shared" si="45"/>
        <v>83.40867062664968</v>
      </c>
      <c r="L84" s="1067">
        <f t="shared" si="45"/>
        <v>83.236509669129404</v>
      </c>
      <c r="M84" s="1067">
        <f t="shared" si="45"/>
        <v>83.314055960552295</v>
      </c>
      <c r="N84" s="1067">
        <f t="shared" si="45"/>
        <v>82.66930088639954</v>
      </c>
      <c r="O84" s="1067">
        <f t="shared" si="45"/>
        <v>81.669084847966573</v>
      </c>
      <c r="P84" s="1067">
        <f t="shared" si="45"/>
        <v>82.45018060887196</v>
      </c>
      <c r="Q84" s="1067">
        <f t="shared" si="45"/>
        <v>80.068559622045669</v>
      </c>
      <c r="R84" s="1067">
        <f t="shared" si="45"/>
        <v>80.924290798418696</v>
      </c>
      <c r="S84" s="1067">
        <f t="shared" si="45"/>
        <v>82.74335441298058</v>
      </c>
      <c r="T84" s="1067">
        <f t="shared" si="45"/>
        <v>78.310833385871405</v>
      </c>
      <c r="U84" s="1067">
        <f t="shared" si="45"/>
        <v>82.959813370679953</v>
      </c>
      <c r="V84" s="1067">
        <f t="shared" si="45"/>
        <v>80.445959241387712</v>
      </c>
      <c r="W84" s="1067">
        <f t="shared" si="45"/>
        <v>82.093261895742344</v>
      </c>
      <c r="X84" s="1067">
        <f t="shared" si="45"/>
        <v>82.059579313904138</v>
      </c>
      <c r="Y84" s="1067">
        <f t="shared" si="45"/>
        <v>82.558378650873294</v>
      </c>
      <c r="Z84" s="1067">
        <f t="shared" si="45"/>
        <v>82.147560442958294</v>
      </c>
      <c r="AA84" s="1067">
        <f t="shared" si="45"/>
        <v>81.988584491679688</v>
      </c>
      <c r="AB84" s="1067">
        <f t="shared" si="45"/>
        <v>82.142556029278921</v>
      </c>
      <c r="AC84" s="1067">
        <f t="shared" si="45"/>
        <v>81.905166714962334</v>
      </c>
      <c r="AD84" s="1067">
        <f t="shared" si="45"/>
        <v>73.432203243699831</v>
      </c>
      <c r="AE84" s="1067">
        <f t="shared" si="45"/>
        <v>69.299182039781826</v>
      </c>
      <c r="AF84" s="1067">
        <f t="shared" si="45"/>
        <v>68.626712709405453</v>
      </c>
      <c r="AG84" s="1067">
        <f t="shared" ref="AG84:AH84" si="46">AG56*$C$65</f>
        <v>72.598023010916563</v>
      </c>
      <c r="AH84" s="1067">
        <f t="shared" si="46"/>
        <v>72.555716348370737</v>
      </c>
      <c r="AI84" s="1067">
        <f t="shared" ref="AI84:AJ84" si="47">AI56*$C$65</f>
        <v>73.026781917647256</v>
      </c>
      <c r="AJ84" s="1067">
        <f t="shared" si="47"/>
        <v>73.256031387906404</v>
      </c>
      <c r="AK84" s="1070"/>
      <c r="AL84" s="1070"/>
    </row>
    <row r="85" spans="2:38" s="955" customFormat="1" ht="12">
      <c r="B85" s="924" t="s">
        <v>353</v>
      </c>
      <c r="C85" s="925"/>
      <c r="D85" s="1067"/>
      <c r="E85" s="1067"/>
      <c r="F85" s="1067"/>
      <c r="G85" s="1067"/>
      <c r="H85" s="1067"/>
      <c r="I85" s="1067"/>
      <c r="J85" s="1067"/>
      <c r="K85" s="1067"/>
      <c r="L85" s="1067"/>
      <c r="M85" s="1067"/>
      <c r="N85" s="1067"/>
      <c r="O85" s="1067"/>
      <c r="P85" s="1067"/>
      <c r="Q85" s="1067"/>
      <c r="R85" s="1067"/>
      <c r="S85" s="1067"/>
      <c r="T85" s="1067"/>
      <c r="U85" s="1067"/>
      <c r="V85" s="1067"/>
      <c r="W85" s="1067"/>
      <c r="X85" s="1067"/>
      <c r="Y85" s="1067"/>
      <c r="Z85" s="1067"/>
      <c r="AA85" s="1067"/>
      <c r="AB85" s="1067"/>
      <c r="AC85" s="1067"/>
      <c r="AD85" s="1067"/>
      <c r="AE85" s="1067"/>
      <c r="AF85" s="1067"/>
      <c r="AG85" s="1067"/>
      <c r="AH85" s="1067"/>
      <c r="AI85" s="1067"/>
      <c r="AJ85" s="1067"/>
      <c r="AK85" s="1070"/>
      <c r="AL85" s="1070"/>
    </row>
    <row r="86" spans="2:38" s="955" customFormat="1" ht="12">
      <c r="B86" s="928" t="s">
        <v>354</v>
      </c>
      <c r="C86" s="928" t="s">
        <v>371</v>
      </c>
      <c r="D86" s="1067">
        <f t="shared" ref="D86:AF86" si="48">D58*$C$65</f>
        <v>6.0388235294117649</v>
      </c>
      <c r="E86" s="1067">
        <f t="shared" si="48"/>
        <v>6.0388235294117649</v>
      </c>
      <c r="F86" s="1067">
        <f t="shared" si="48"/>
        <v>6.038823529411764</v>
      </c>
      <c r="G86" s="1067">
        <f t="shared" si="48"/>
        <v>6.038823529411764</v>
      </c>
      <c r="H86" s="1067">
        <f t="shared" si="48"/>
        <v>6.038823529411764</v>
      </c>
      <c r="I86" s="1067">
        <f t="shared" si="48"/>
        <v>6.0388235294117631</v>
      </c>
      <c r="J86" s="1067">
        <f t="shared" si="48"/>
        <v>6.0388235294117649</v>
      </c>
      <c r="K86" s="1067">
        <f t="shared" si="48"/>
        <v>6.038823529411764</v>
      </c>
      <c r="L86" s="1067">
        <f t="shared" si="48"/>
        <v>6.038823529411764</v>
      </c>
      <c r="M86" s="1067">
        <f t="shared" si="48"/>
        <v>6.038823529411764</v>
      </c>
      <c r="N86" s="1067">
        <f t="shared" si="48"/>
        <v>6.0388235294117649</v>
      </c>
      <c r="O86" s="1067">
        <f t="shared" si="48"/>
        <v>6.038823529411764</v>
      </c>
      <c r="P86" s="1067">
        <f t="shared" si="48"/>
        <v>6.0388235294117631</v>
      </c>
      <c r="Q86" s="1067">
        <f t="shared" si="48"/>
        <v>6.0388235294117649</v>
      </c>
      <c r="R86" s="1067">
        <f t="shared" si="48"/>
        <v>6.0388235294117649</v>
      </c>
      <c r="S86" s="1067">
        <f t="shared" si="48"/>
        <v>6.0388235294117649</v>
      </c>
      <c r="T86" s="1067">
        <f t="shared" si="48"/>
        <v>6.0388235294117649</v>
      </c>
      <c r="U86" s="1067">
        <f t="shared" si="48"/>
        <v>6.0388235294117649</v>
      </c>
      <c r="V86" s="1067">
        <f t="shared" si="48"/>
        <v>6.0388235294117649</v>
      </c>
      <c r="W86" s="1067">
        <f t="shared" si="48"/>
        <v>6.0388235294117649</v>
      </c>
      <c r="X86" s="1067">
        <f t="shared" si="48"/>
        <v>6.038823529411764</v>
      </c>
      <c r="Y86" s="1067">
        <f t="shared" si="48"/>
        <v>6.038823529411764</v>
      </c>
      <c r="Z86" s="1067">
        <f t="shared" si="48"/>
        <v>6.038823529411764</v>
      </c>
      <c r="AA86" s="1067">
        <f t="shared" si="48"/>
        <v>6.038823529411764</v>
      </c>
      <c r="AB86" s="1067">
        <f t="shared" si="48"/>
        <v>6.038823529411764</v>
      </c>
      <c r="AC86" s="1067">
        <f t="shared" si="48"/>
        <v>6.038823529411764</v>
      </c>
      <c r="AD86" s="1067">
        <f t="shared" si="48"/>
        <v>6.0388235294117649</v>
      </c>
      <c r="AE86" s="1067">
        <f t="shared" si="48"/>
        <v>6.038823529411764</v>
      </c>
      <c r="AF86" s="1067">
        <f t="shared" si="48"/>
        <v>4.5773333333333328</v>
      </c>
      <c r="AG86" s="1067">
        <f t="shared" ref="AG86:AH86" si="49">AG58*$C$65</f>
        <v>6.4039999999999973</v>
      </c>
      <c r="AH86" s="1067">
        <f t="shared" si="49"/>
        <v>14.027333333333333</v>
      </c>
      <c r="AI86" s="1067">
        <f t="shared" ref="AI86:AJ86" si="50">AI58*$C$65</f>
        <v>25.748666666666669</v>
      </c>
      <c r="AJ86" s="1067">
        <f t="shared" si="50"/>
        <v>32.798000000000009</v>
      </c>
      <c r="AK86" s="1070"/>
      <c r="AL86" s="1070"/>
    </row>
    <row r="87" spans="2:38" s="955" customFormat="1" ht="12">
      <c r="B87" s="930" t="s">
        <v>356</v>
      </c>
      <c r="C87" s="928" t="s">
        <v>371</v>
      </c>
      <c r="D87" s="1067">
        <f t="shared" ref="D87:AF87" si="51">D59*$C$65</f>
        <v>83.954340000000016</v>
      </c>
      <c r="E87" s="1067">
        <f t="shared" si="51"/>
        <v>83.954340000000002</v>
      </c>
      <c r="F87" s="1067">
        <f t="shared" si="51"/>
        <v>83.954339999999988</v>
      </c>
      <c r="G87" s="1067">
        <f t="shared" si="51"/>
        <v>83.954340000000002</v>
      </c>
      <c r="H87" s="1067">
        <f t="shared" si="51"/>
        <v>83.954339999999988</v>
      </c>
      <c r="I87" s="1067">
        <f t="shared" si="51"/>
        <v>83.954340000000002</v>
      </c>
      <c r="J87" s="1067">
        <f t="shared" si="51"/>
        <v>83.954340000000002</v>
      </c>
      <c r="K87" s="1067">
        <f t="shared" si="51"/>
        <v>83.954340000000002</v>
      </c>
      <c r="L87" s="1067">
        <f t="shared" si="51"/>
        <v>83.954340000000002</v>
      </c>
      <c r="M87" s="1067">
        <f t="shared" si="51"/>
        <v>83.954340000000002</v>
      </c>
      <c r="N87" s="1067">
        <f t="shared" si="51"/>
        <v>83.954339999999988</v>
      </c>
      <c r="O87" s="1067">
        <f t="shared" si="51"/>
        <v>83.954340000000002</v>
      </c>
      <c r="P87" s="1067">
        <f t="shared" si="51"/>
        <v>83.954340000000002</v>
      </c>
      <c r="Q87" s="1067">
        <f t="shared" si="51"/>
        <v>83.954340000000002</v>
      </c>
      <c r="R87" s="1067">
        <f t="shared" si="51"/>
        <v>83.954340000000002</v>
      </c>
      <c r="S87" s="1067">
        <f t="shared" si="51"/>
        <v>83.954340000000002</v>
      </c>
      <c r="T87" s="1067">
        <f t="shared" si="51"/>
        <v>83.954340000000002</v>
      </c>
      <c r="U87" s="1067">
        <f t="shared" si="51"/>
        <v>83.954340000000002</v>
      </c>
      <c r="V87" s="1067">
        <f t="shared" si="51"/>
        <v>83.954340000000002</v>
      </c>
      <c r="W87" s="1067">
        <f t="shared" si="51"/>
        <v>83.954340000000002</v>
      </c>
      <c r="X87" s="1067">
        <f t="shared" si="51"/>
        <v>83.954340000000002</v>
      </c>
      <c r="Y87" s="1067">
        <f t="shared" si="51"/>
        <v>83.954340000000002</v>
      </c>
      <c r="Z87" s="1067">
        <f t="shared" si="51"/>
        <v>83.954339999999988</v>
      </c>
      <c r="AA87" s="1067">
        <f t="shared" si="51"/>
        <v>83.954339999999988</v>
      </c>
      <c r="AB87" s="1067">
        <f t="shared" si="51"/>
        <v>83.954339999999988</v>
      </c>
      <c r="AC87" s="1067">
        <f t="shared" si="51"/>
        <v>83.954339999999988</v>
      </c>
      <c r="AD87" s="1067">
        <f t="shared" si="51"/>
        <v>83.954340000000002</v>
      </c>
      <c r="AE87" s="1067">
        <f t="shared" si="51"/>
        <v>83.954340000000002</v>
      </c>
      <c r="AF87" s="1067">
        <f t="shared" si="51"/>
        <v>83.954340000000002</v>
      </c>
      <c r="AG87" s="1067">
        <f t="shared" ref="AG87:AH87" si="52">AG59*$C$65</f>
        <v>83.954339999999988</v>
      </c>
      <c r="AH87" s="1067">
        <f t="shared" si="52"/>
        <v>83.954340000000002</v>
      </c>
      <c r="AI87" s="1067">
        <f t="shared" ref="AI87:AJ87" si="53">AI59*$C$65</f>
        <v>83.954340000000002</v>
      </c>
      <c r="AJ87" s="1067">
        <f t="shared" si="53"/>
        <v>83.954340000000002</v>
      </c>
      <c r="AK87" s="1070"/>
      <c r="AL87" s="1070"/>
    </row>
    <row r="88" spans="2:38" s="955" customFormat="1" ht="12">
      <c r="B88" s="924" t="s">
        <v>357</v>
      </c>
      <c r="C88" s="925"/>
      <c r="D88" s="1067"/>
      <c r="E88" s="1067"/>
      <c r="F88" s="1067"/>
      <c r="G88" s="1067"/>
      <c r="H88" s="1067"/>
      <c r="I88" s="1067"/>
      <c r="J88" s="1067"/>
      <c r="K88" s="1067"/>
      <c r="L88" s="1067"/>
      <c r="M88" s="1067"/>
      <c r="N88" s="1067"/>
      <c r="O88" s="1067"/>
      <c r="P88" s="1067"/>
      <c r="Q88" s="1067"/>
      <c r="R88" s="1067"/>
      <c r="S88" s="1067"/>
      <c r="T88" s="1067"/>
      <c r="U88" s="1067"/>
      <c r="V88" s="1067"/>
      <c r="W88" s="1067"/>
      <c r="X88" s="1067"/>
      <c r="Y88" s="1067"/>
      <c r="Z88" s="1067"/>
      <c r="AA88" s="1067"/>
      <c r="AB88" s="1067"/>
      <c r="AC88" s="1067"/>
      <c r="AD88" s="1067"/>
      <c r="AE88" s="1067"/>
      <c r="AF88" s="1067"/>
      <c r="AG88" s="1067"/>
      <c r="AH88" s="1067"/>
      <c r="AI88" s="1067"/>
      <c r="AJ88" s="1067"/>
      <c r="AK88" s="1070"/>
      <c r="AL88" s="1070"/>
    </row>
    <row r="89" spans="2:38" s="955" customFormat="1" ht="12">
      <c r="B89" s="930" t="s">
        <v>358</v>
      </c>
      <c r="C89" s="930" t="s">
        <v>372</v>
      </c>
      <c r="D89" s="1067">
        <f t="shared" ref="D89:AF89" si="54">D61*$C$65</f>
        <v>57.731333333333332</v>
      </c>
      <c r="E89" s="1067">
        <f t="shared" si="54"/>
        <v>54.123125000000002</v>
      </c>
      <c r="F89" s="1067">
        <f t="shared" si="54"/>
        <v>54.123125000000002</v>
      </c>
      <c r="G89" s="1067">
        <f t="shared" si="54"/>
        <v>54.123125000000002</v>
      </c>
      <c r="H89" s="1067">
        <f t="shared" si="54"/>
        <v>54.123125000000002</v>
      </c>
      <c r="I89" s="1067">
        <f t="shared" si="54"/>
        <v>54.123125000000002</v>
      </c>
      <c r="J89" s="1067">
        <f t="shared" si="54"/>
        <v>54.123125000000002</v>
      </c>
      <c r="K89" s="1067">
        <f t="shared" si="54"/>
        <v>54.123125000000002</v>
      </c>
      <c r="L89" s="1067">
        <f t="shared" si="54"/>
        <v>54.123125000000002</v>
      </c>
      <c r="M89" s="1067">
        <f t="shared" si="54"/>
        <v>54.123125000000002</v>
      </c>
      <c r="N89" s="1067">
        <f t="shared" si="54"/>
        <v>54.123125000000002</v>
      </c>
      <c r="O89" s="1067">
        <f t="shared" si="54"/>
        <v>54.123124999999995</v>
      </c>
      <c r="P89" s="1067">
        <f t="shared" si="54"/>
        <v>54.123124999999995</v>
      </c>
      <c r="Q89" s="1067">
        <f t="shared" si="54"/>
        <v>54.123125000000002</v>
      </c>
      <c r="R89" s="1067">
        <f t="shared" si="54"/>
        <v>54.123125000000002</v>
      </c>
      <c r="S89" s="1067">
        <f t="shared" si="54"/>
        <v>54.123125000000002</v>
      </c>
      <c r="T89" s="1067">
        <f t="shared" si="54"/>
        <v>54.123125000000002</v>
      </c>
      <c r="U89" s="1067">
        <f t="shared" si="54"/>
        <v>54.123125000000002</v>
      </c>
      <c r="V89" s="1067">
        <f t="shared" si="54"/>
        <v>54.123125000000002</v>
      </c>
      <c r="W89" s="1067">
        <f t="shared" si="54"/>
        <v>54.123125000000002</v>
      </c>
      <c r="X89" s="1067">
        <f t="shared" si="54"/>
        <v>54.123125000000002</v>
      </c>
      <c r="Y89" s="1067">
        <f t="shared" si="54"/>
        <v>54.123124999999995</v>
      </c>
      <c r="Z89" s="1067">
        <f t="shared" si="54"/>
        <v>54.123124999999995</v>
      </c>
      <c r="AA89" s="1067">
        <f t="shared" si="54"/>
        <v>54.123125000000002</v>
      </c>
      <c r="AB89" s="1067">
        <f t="shared" si="54"/>
        <v>54.123125000000002</v>
      </c>
      <c r="AC89" s="1067">
        <f t="shared" si="54"/>
        <v>54.123125000000002</v>
      </c>
      <c r="AD89" s="1067">
        <f t="shared" si="54"/>
        <v>54.123125000000002</v>
      </c>
      <c r="AE89" s="1067">
        <f t="shared" si="54"/>
        <v>54.123125000000002</v>
      </c>
      <c r="AF89" s="1067">
        <f t="shared" si="54"/>
        <v>25.990666666666666</v>
      </c>
      <c r="AG89" s="1067">
        <f t="shared" ref="AG89:AH89" si="55">AG61*$C$65</f>
        <v>24.660666666666664</v>
      </c>
      <c r="AH89" s="1067">
        <f t="shared" si="55"/>
        <v>15.133571428571425</v>
      </c>
      <c r="AI89" s="1067">
        <f t="shared" ref="AI89:AJ89" si="56">AI61*$C$65</f>
        <v>8.8666666666666654</v>
      </c>
      <c r="AJ89" s="1067">
        <f t="shared" si="56"/>
        <v>15.341000000000003</v>
      </c>
      <c r="AK89" s="1070"/>
      <c r="AL89" s="1070"/>
    </row>
    <row r="90" spans="2:38" s="955" customFormat="1" ht="12">
      <c r="B90" s="930" t="s">
        <v>360</v>
      </c>
      <c r="C90" s="930" t="s">
        <v>372</v>
      </c>
      <c r="D90" s="1067">
        <f t="shared" ref="D90:AF90" si="57">D62*$C$65</f>
        <v>1229.556</v>
      </c>
      <c r="E90" s="1067">
        <f t="shared" si="57"/>
        <v>1152.70875</v>
      </c>
      <c r="F90" s="1067">
        <f t="shared" si="57"/>
        <v>1152.70875</v>
      </c>
      <c r="G90" s="1067">
        <f t="shared" si="57"/>
        <v>1152.70875</v>
      </c>
      <c r="H90" s="1067">
        <f t="shared" si="57"/>
        <v>1152.70875</v>
      </c>
      <c r="I90" s="1067">
        <f t="shared" si="57"/>
        <v>1152.70875</v>
      </c>
      <c r="J90" s="1067">
        <f t="shared" si="57"/>
        <v>1152.70875</v>
      </c>
      <c r="K90" s="1067">
        <f t="shared" si="57"/>
        <v>1152.70875</v>
      </c>
      <c r="L90" s="1067">
        <f t="shared" si="57"/>
        <v>1152.70875</v>
      </c>
      <c r="M90" s="1067">
        <f t="shared" si="57"/>
        <v>1152.70875</v>
      </c>
      <c r="N90" s="1067">
        <f t="shared" si="57"/>
        <v>1152.70875</v>
      </c>
      <c r="O90" s="1067">
        <f t="shared" si="57"/>
        <v>1152.7087500000002</v>
      </c>
      <c r="P90" s="1067">
        <f t="shared" si="57"/>
        <v>1152.7087500000002</v>
      </c>
      <c r="Q90" s="1067">
        <f t="shared" si="57"/>
        <v>1152.70875</v>
      </c>
      <c r="R90" s="1067">
        <f t="shared" si="57"/>
        <v>1152.70875</v>
      </c>
      <c r="S90" s="1067">
        <f t="shared" si="57"/>
        <v>1152.70875</v>
      </c>
      <c r="T90" s="1067">
        <f t="shared" si="57"/>
        <v>1152.70875</v>
      </c>
      <c r="U90" s="1067">
        <f t="shared" si="57"/>
        <v>1152.70875</v>
      </c>
      <c r="V90" s="1067">
        <f t="shared" si="57"/>
        <v>1152.70875</v>
      </c>
      <c r="W90" s="1067">
        <f t="shared" si="57"/>
        <v>1152.70875</v>
      </c>
      <c r="X90" s="1067">
        <f t="shared" si="57"/>
        <v>1152.7087499999998</v>
      </c>
      <c r="Y90" s="1067">
        <f t="shared" si="57"/>
        <v>1152.7087500000002</v>
      </c>
      <c r="Z90" s="1067">
        <f t="shared" si="57"/>
        <v>1152.7087500000002</v>
      </c>
      <c r="AA90" s="1067">
        <f t="shared" si="57"/>
        <v>1152.7087499999998</v>
      </c>
      <c r="AB90" s="1067">
        <f t="shared" si="57"/>
        <v>1152.7087499999998</v>
      </c>
      <c r="AC90" s="1067">
        <f t="shared" si="57"/>
        <v>1152.7087499999998</v>
      </c>
      <c r="AD90" s="1067">
        <f t="shared" si="57"/>
        <v>1152.7087499999998</v>
      </c>
      <c r="AE90" s="1067">
        <f t="shared" si="57"/>
        <v>1152.7087499999998</v>
      </c>
      <c r="AF90" s="1067">
        <f t="shared" si="57"/>
        <v>1227.0506666666668</v>
      </c>
      <c r="AG90" s="1067">
        <f t="shared" ref="AG90:AH90" si="58">AG62*$C$65</f>
        <v>47.174666666666674</v>
      </c>
      <c r="AH90" s="1067">
        <f t="shared" si="58"/>
        <v>22.435714285714287</v>
      </c>
      <c r="AI90" s="1067">
        <f t="shared" ref="AI90:AJ90" si="59">AI62*$C$65</f>
        <v>7.7499999999999999E-3</v>
      </c>
      <c r="AJ90" s="1067">
        <f t="shared" si="59"/>
        <v>9.4999999999999998E-3</v>
      </c>
      <c r="AK90" s="1070"/>
      <c r="AL90" s="1070"/>
    </row>
    <row r="91" spans="2:38" s="955" customFormat="1" ht="12">
      <c r="B91" s="963"/>
      <c r="C91" s="953"/>
      <c r="D91" s="954"/>
      <c r="E91" s="954"/>
      <c r="F91" s="954"/>
      <c r="G91" s="954"/>
      <c r="H91" s="954"/>
      <c r="I91" s="954"/>
      <c r="J91" s="954"/>
      <c r="K91" s="954"/>
      <c r="L91" s="954"/>
      <c r="M91" s="954"/>
      <c r="N91" s="954"/>
      <c r="O91" s="954"/>
      <c r="P91" s="954"/>
      <c r="Q91" s="954"/>
      <c r="R91" s="954"/>
      <c r="S91" s="954"/>
      <c r="T91" s="954"/>
      <c r="U91" s="954"/>
      <c r="V91" s="954"/>
      <c r="W91" s="954"/>
      <c r="X91" s="954"/>
      <c r="Y91" s="954"/>
      <c r="Z91" s="954"/>
      <c r="AA91" s="954"/>
      <c r="AB91" s="954"/>
      <c r="AC91" s="954"/>
      <c r="AD91" s="954"/>
      <c r="AE91" s="954"/>
      <c r="AF91" s="954"/>
      <c r="AG91" s="954"/>
      <c r="AH91" s="954"/>
      <c r="AI91" s="954"/>
      <c r="AJ91" s="990"/>
      <c r="AK91" s="990"/>
      <c r="AL91" s="990"/>
    </row>
    <row r="92" spans="2:38" s="955" customFormat="1" ht="12">
      <c r="B92" s="956" t="s">
        <v>297</v>
      </c>
      <c r="C92" s="956" t="s">
        <v>290</v>
      </c>
      <c r="D92" s="957">
        <v>1990</v>
      </c>
      <c r="E92" s="957">
        <v>1991</v>
      </c>
      <c r="F92" s="957">
        <v>1992</v>
      </c>
      <c r="G92" s="957">
        <v>1993</v>
      </c>
      <c r="H92" s="957">
        <v>1994</v>
      </c>
      <c r="I92" s="957">
        <v>1995</v>
      </c>
      <c r="J92" s="957">
        <v>1996</v>
      </c>
      <c r="K92" s="957">
        <v>1997</v>
      </c>
      <c r="L92" s="957">
        <v>1998</v>
      </c>
      <c r="M92" s="957">
        <v>1999</v>
      </c>
      <c r="N92" s="957">
        <v>2000</v>
      </c>
      <c r="O92" s="957">
        <v>2001</v>
      </c>
      <c r="P92" s="957">
        <v>2002</v>
      </c>
      <c r="Q92" s="957">
        <v>2003</v>
      </c>
      <c r="R92" s="957">
        <v>2004</v>
      </c>
      <c r="S92" s="957">
        <v>2005</v>
      </c>
      <c r="T92" s="957">
        <v>2006</v>
      </c>
      <c r="U92" s="957">
        <v>2007</v>
      </c>
      <c r="V92" s="957">
        <v>2008</v>
      </c>
      <c r="W92" s="957">
        <v>2009</v>
      </c>
      <c r="X92" s="957">
        <v>2010</v>
      </c>
      <c r="Y92" s="957">
        <v>2011</v>
      </c>
      <c r="Z92" s="957">
        <v>2012</v>
      </c>
      <c r="AA92" s="957">
        <v>2013</v>
      </c>
      <c r="AB92" s="957">
        <v>2014</v>
      </c>
      <c r="AC92" s="957">
        <v>2015</v>
      </c>
      <c r="AD92" s="957">
        <v>2016</v>
      </c>
      <c r="AE92" s="957">
        <v>2017</v>
      </c>
      <c r="AF92" s="957">
        <v>2018</v>
      </c>
      <c r="AG92" s="957">
        <v>2019</v>
      </c>
      <c r="AH92" s="1218">
        <v>2020</v>
      </c>
      <c r="AI92" s="1218">
        <v>2021</v>
      </c>
      <c r="AJ92" s="1218">
        <v>2022</v>
      </c>
      <c r="AK92" s="1218">
        <v>2023</v>
      </c>
      <c r="AL92" s="1209"/>
    </row>
    <row r="93" spans="2:38" s="955" customFormat="1" ht="13">
      <c r="B93" s="920" t="s">
        <v>362</v>
      </c>
      <c r="C93" s="922"/>
      <c r="D93" s="922"/>
      <c r="E93" s="922"/>
      <c r="F93" s="922"/>
      <c r="G93" s="922"/>
      <c r="H93" s="922"/>
      <c r="I93" s="922"/>
      <c r="J93" s="922"/>
      <c r="K93" s="922"/>
      <c r="L93" s="922"/>
      <c r="M93" s="922"/>
      <c r="N93" s="922"/>
      <c r="O93" s="922"/>
      <c r="P93" s="922"/>
      <c r="Q93" s="922"/>
      <c r="R93" s="922"/>
      <c r="S93" s="922"/>
      <c r="T93" s="922"/>
      <c r="U93" s="922"/>
      <c r="V93" s="922"/>
      <c r="W93" s="922"/>
      <c r="X93" s="922"/>
      <c r="Y93" s="922"/>
      <c r="Z93" s="922"/>
      <c r="AA93" s="922"/>
      <c r="AB93" s="922"/>
      <c r="AC93" s="922"/>
      <c r="AD93" s="922"/>
      <c r="AE93" s="922"/>
      <c r="AF93" s="922"/>
      <c r="AG93" s="922"/>
      <c r="AH93" s="922"/>
      <c r="AI93" s="922"/>
      <c r="AJ93" s="922"/>
      <c r="AK93" s="922"/>
      <c r="AL93" s="1227"/>
    </row>
    <row r="94" spans="2:38" s="955" customFormat="1" ht="12">
      <c r="B94" s="930" t="s">
        <v>331</v>
      </c>
      <c r="C94" s="930" t="s">
        <v>298</v>
      </c>
      <c r="D94" s="954">
        <f t="shared" ref="D94:AG94" si="60">D7*D66</f>
        <v>10.104725790885766</v>
      </c>
      <c r="E94" s="954">
        <f t="shared" si="60"/>
        <v>10.206319250188725</v>
      </c>
      <c r="F94" s="954">
        <f t="shared" si="60"/>
        <v>10.211781264129744</v>
      </c>
      <c r="G94" s="954">
        <f t="shared" si="60"/>
        <v>10.272955820269161</v>
      </c>
      <c r="H94" s="954">
        <f t="shared" si="60"/>
        <v>10.304635501127073</v>
      </c>
      <c r="I94" s="954">
        <f t="shared" si="60"/>
        <v>10.315559529009111</v>
      </c>
      <c r="J94" s="954">
        <f t="shared" si="60"/>
        <v>10.567904573084206</v>
      </c>
      <c r="K94" s="954">
        <f t="shared" si="60"/>
        <v>10.55807294799037</v>
      </c>
      <c r="L94" s="954">
        <f t="shared" si="60"/>
        <v>10.650927184987699</v>
      </c>
      <c r="M94" s="954">
        <f t="shared" si="60"/>
        <v>10.825046540443779</v>
      </c>
      <c r="N94" s="954">
        <f t="shared" si="60"/>
        <v>10.879666679853971</v>
      </c>
      <c r="O94" s="954">
        <f t="shared" si="60"/>
        <v>11.360988997320213</v>
      </c>
      <c r="P94" s="954">
        <f t="shared" si="60"/>
        <v>11.51534551129342</v>
      </c>
      <c r="Q94" s="954">
        <f t="shared" si="60"/>
        <v>11.484255727941138</v>
      </c>
      <c r="R94" s="954">
        <f t="shared" si="60"/>
        <v>11.972734558714377</v>
      </c>
      <c r="S94" s="954">
        <f t="shared" si="60"/>
        <v>12.019270917491861</v>
      </c>
      <c r="T94" s="954">
        <f t="shared" si="60"/>
        <v>11.948046255700969</v>
      </c>
      <c r="U94" s="954">
        <f t="shared" si="60"/>
        <v>12.130805242167476</v>
      </c>
      <c r="V94" s="954">
        <f t="shared" si="60"/>
        <v>12.122830701813585</v>
      </c>
      <c r="W94" s="954">
        <f t="shared" si="60"/>
        <v>12.161392520237186</v>
      </c>
      <c r="X94" s="954">
        <f t="shared" si="60"/>
        <v>12.284069353352479</v>
      </c>
      <c r="Y94" s="954">
        <f t="shared" si="60"/>
        <v>12.291279211754627</v>
      </c>
      <c r="Z94" s="954">
        <f t="shared" si="60"/>
        <v>12.291388452033443</v>
      </c>
      <c r="AA94" s="954">
        <f t="shared" si="60"/>
        <v>12.336723167743905</v>
      </c>
      <c r="AB94" s="954">
        <f t="shared" si="60"/>
        <v>12.337007192468839</v>
      </c>
      <c r="AC94" s="954">
        <f t="shared" si="60"/>
        <v>12.348411877577686</v>
      </c>
      <c r="AD94" s="954">
        <f t="shared" si="60"/>
        <v>12.399208607229165</v>
      </c>
      <c r="AE94" s="954">
        <f t="shared" si="60"/>
        <v>12.375601782976078</v>
      </c>
      <c r="AF94" s="954">
        <f t="shared" si="60"/>
        <v>12.383248602493506</v>
      </c>
      <c r="AG94" s="954">
        <f t="shared" si="60"/>
        <v>12.320326201892966</v>
      </c>
      <c r="AH94" s="954">
        <f>AH7*AH66</f>
        <v>12.347745511876882</v>
      </c>
      <c r="AI94" s="954">
        <f>AI7*AI66</f>
        <v>12.353426006375544</v>
      </c>
      <c r="AJ94" s="954">
        <f>AJ7*AJ66</f>
        <v>12.322303450939614</v>
      </c>
      <c r="AK94" s="1034">
        <f>AK7*AK66</f>
        <v>12.149878594849556</v>
      </c>
      <c r="AL94" s="990"/>
    </row>
    <row r="95" spans="2:38" s="955" customFormat="1" ht="12">
      <c r="B95" s="924" t="s">
        <v>333</v>
      </c>
      <c r="C95" s="925"/>
      <c r="D95" s="954"/>
      <c r="E95" s="954"/>
      <c r="F95" s="954"/>
      <c r="G95" s="954"/>
      <c r="H95" s="954"/>
      <c r="I95" s="954"/>
      <c r="J95" s="954"/>
      <c r="K95" s="954"/>
      <c r="L95" s="954"/>
      <c r="M95" s="954"/>
      <c r="N95" s="954"/>
      <c r="O95" s="954"/>
      <c r="P95" s="954"/>
      <c r="Q95" s="954"/>
      <c r="R95" s="954"/>
      <c r="S95" s="954"/>
      <c r="T95" s="954"/>
      <c r="U95" s="954"/>
      <c r="V95" s="954"/>
      <c r="W95" s="954"/>
      <c r="X95" s="954"/>
      <c r="Y95" s="954"/>
      <c r="Z95" s="954"/>
      <c r="AA95" s="954"/>
      <c r="AB95" s="954"/>
      <c r="AC95" s="954"/>
      <c r="AD95" s="954"/>
      <c r="AE95" s="954"/>
      <c r="AF95" s="954"/>
      <c r="AG95" s="1034"/>
      <c r="AH95" s="1034"/>
      <c r="AI95" s="1034"/>
      <c r="AJ95" s="1034"/>
      <c r="AK95" s="1034"/>
      <c r="AL95" s="1228"/>
    </row>
    <row r="96" spans="2:38" s="955" customFormat="1" ht="12">
      <c r="B96" s="928" t="s">
        <v>334</v>
      </c>
      <c r="C96" s="928" t="s">
        <v>298</v>
      </c>
      <c r="D96" s="954">
        <f t="shared" ref="D96:AB96" si="61">D9*D68</f>
        <v>2535.3215789733063</v>
      </c>
      <c r="E96" s="954">
        <f t="shared" si="61"/>
        <v>2535.3215789733072</v>
      </c>
      <c r="F96" s="954">
        <f t="shared" si="61"/>
        <v>2535.3215789733072</v>
      </c>
      <c r="G96" s="954">
        <f t="shared" si="61"/>
        <v>2469.5076612829826</v>
      </c>
      <c r="H96" s="954">
        <f t="shared" si="61"/>
        <v>2403.6937435926588</v>
      </c>
      <c r="I96" s="954">
        <f t="shared" si="61"/>
        <v>2337.8798259023347</v>
      </c>
      <c r="J96" s="954">
        <f t="shared" si="61"/>
        <v>2272.0659082120105</v>
      </c>
      <c r="K96" s="954">
        <f t="shared" si="61"/>
        <v>2206.2519905216859</v>
      </c>
      <c r="L96" s="954">
        <f t="shared" si="61"/>
        <v>2140.4380728313618</v>
      </c>
      <c r="M96" s="954">
        <f t="shared" si="61"/>
        <v>2074.6241551410371</v>
      </c>
      <c r="N96" s="954">
        <f t="shared" si="61"/>
        <v>2008.810237450713</v>
      </c>
      <c r="O96" s="954">
        <f t="shared" si="61"/>
        <v>1942.996319760389</v>
      </c>
      <c r="P96" s="954">
        <f t="shared" si="61"/>
        <v>1877.1824020700647</v>
      </c>
      <c r="Q96" s="954">
        <f t="shared" si="61"/>
        <v>1811.36848437974</v>
      </c>
      <c r="R96" s="954">
        <f t="shared" si="61"/>
        <v>1745.5545666894154</v>
      </c>
      <c r="S96" s="954">
        <f t="shared" si="61"/>
        <v>1679.7406489990913</v>
      </c>
      <c r="T96" s="954">
        <f t="shared" si="61"/>
        <v>1613.9267313087666</v>
      </c>
      <c r="U96" s="954">
        <f t="shared" si="61"/>
        <v>1548.112813618442</v>
      </c>
      <c r="V96" s="954">
        <f t="shared" si="61"/>
        <v>1482.2988959281176</v>
      </c>
      <c r="W96" s="954">
        <f t="shared" si="61"/>
        <v>1416.4849782377928</v>
      </c>
      <c r="X96" s="954">
        <f t="shared" si="61"/>
        <v>1350.6710605474684</v>
      </c>
      <c r="Y96" s="967">
        <f t="shared" si="61"/>
        <v>1284.8571428571424</v>
      </c>
      <c r="Z96" s="967">
        <f t="shared" si="61"/>
        <v>1608.7687188019968</v>
      </c>
      <c r="AA96" s="967">
        <f t="shared" si="61"/>
        <v>1607.954671088999</v>
      </c>
      <c r="AB96" s="967">
        <f t="shared" si="61"/>
        <v>1588.6340782122907</v>
      </c>
      <c r="AC96" s="967">
        <f t="shared" ref="AC96:AH96" si="62">(AC9-AC279)*AC68+(AC280+AC283+AC286+AC289)</f>
        <v>1064.1772972972972</v>
      </c>
      <c r="AD96" s="967">
        <f t="shared" si="62"/>
        <v>760.01788355942028</v>
      </c>
      <c r="AE96" s="967">
        <f t="shared" si="62"/>
        <v>685.38162344983084</v>
      </c>
      <c r="AF96" s="967">
        <f t="shared" si="62"/>
        <v>656.31843515920139</v>
      </c>
      <c r="AG96" s="967">
        <f t="shared" si="62"/>
        <v>738.3448462354188</v>
      </c>
      <c r="AH96" s="967">
        <f t="shared" si="62"/>
        <v>688.52023416711006</v>
      </c>
      <c r="AI96" s="967">
        <f t="shared" ref="AI96:AJ96" si="63">(AI9-AI279)*AI68+(AI280+AI283+AI286+AI289)</f>
        <v>1196.8525510204083</v>
      </c>
      <c r="AJ96" s="967">
        <f t="shared" si="63"/>
        <v>656.13909090909101</v>
      </c>
      <c r="AK96" s="990"/>
      <c r="AL96" s="990"/>
    </row>
    <row r="97" spans="2:38" s="955" customFormat="1" ht="12">
      <c r="B97" s="1022" t="s">
        <v>336</v>
      </c>
      <c r="C97" s="928" t="s">
        <v>298</v>
      </c>
      <c r="D97" s="967" t="e">
        <f t="shared" ref="D97:AB97" si="64">D10*D69</f>
        <v>#VALUE!</v>
      </c>
      <c r="E97" s="967" t="e">
        <f t="shared" si="64"/>
        <v>#VALUE!</v>
      </c>
      <c r="F97" s="967" t="e">
        <f t="shared" si="64"/>
        <v>#VALUE!</v>
      </c>
      <c r="G97" s="967" t="e">
        <f t="shared" si="64"/>
        <v>#VALUE!</v>
      </c>
      <c r="H97" s="967" t="e">
        <f t="shared" si="64"/>
        <v>#VALUE!</v>
      </c>
      <c r="I97" s="967" t="e">
        <f t="shared" si="64"/>
        <v>#VALUE!</v>
      </c>
      <c r="J97" s="967" t="e">
        <f t="shared" si="64"/>
        <v>#VALUE!</v>
      </c>
      <c r="K97" s="967" t="e">
        <f t="shared" si="64"/>
        <v>#VALUE!</v>
      </c>
      <c r="L97" s="967" t="e">
        <f t="shared" si="64"/>
        <v>#VALUE!</v>
      </c>
      <c r="M97" s="967" t="e">
        <f t="shared" si="64"/>
        <v>#VALUE!</v>
      </c>
      <c r="N97" s="967" t="e">
        <f t="shared" si="64"/>
        <v>#VALUE!</v>
      </c>
      <c r="O97" s="967" t="e">
        <f t="shared" si="64"/>
        <v>#VALUE!</v>
      </c>
      <c r="P97" s="967" t="e">
        <f t="shared" si="64"/>
        <v>#VALUE!</v>
      </c>
      <c r="Q97" s="967" t="e">
        <f t="shared" si="64"/>
        <v>#VALUE!</v>
      </c>
      <c r="R97" s="967" t="e">
        <f t="shared" si="64"/>
        <v>#VALUE!</v>
      </c>
      <c r="S97" s="967" t="e">
        <f t="shared" si="64"/>
        <v>#VALUE!</v>
      </c>
      <c r="T97" s="967" t="e">
        <f t="shared" si="64"/>
        <v>#VALUE!</v>
      </c>
      <c r="U97" s="967" t="e">
        <f t="shared" si="64"/>
        <v>#VALUE!</v>
      </c>
      <c r="V97" s="967" t="e">
        <f t="shared" si="64"/>
        <v>#VALUE!</v>
      </c>
      <c r="W97" s="967" t="e">
        <f t="shared" si="64"/>
        <v>#VALUE!</v>
      </c>
      <c r="X97" s="967" t="e">
        <f t="shared" si="64"/>
        <v>#VALUE!</v>
      </c>
      <c r="Y97" s="954">
        <f t="shared" si="64"/>
        <v>256</v>
      </c>
      <c r="Z97" s="954">
        <f t="shared" si="64"/>
        <v>320</v>
      </c>
      <c r="AA97" s="954">
        <f t="shared" si="64"/>
        <v>319.99999999999994</v>
      </c>
      <c r="AB97" s="954">
        <f t="shared" si="64"/>
        <v>319.99999999999994</v>
      </c>
      <c r="AC97" s="1005">
        <f>(AC10-AC279)*AC69+AC280</f>
        <v>195.80999999999997</v>
      </c>
      <c r="AD97" s="1005">
        <f t="shared" ref="AD97:AG97" si="65">(AD10-AD279)*AD69+AD280</f>
        <v>145.69999999999999</v>
      </c>
      <c r="AE97" s="1005">
        <f t="shared" si="65"/>
        <v>138.69999999999999</v>
      </c>
      <c r="AF97" s="1005">
        <f t="shared" si="65"/>
        <v>134.08999999999997</v>
      </c>
      <c r="AG97" s="1005">
        <f t="shared" si="65"/>
        <v>130.14999999999998</v>
      </c>
      <c r="AH97" s="1005">
        <f t="shared" ref="AH97:AI97" si="66">(AH10-AH279)*AH69+AH280</f>
        <v>131.72</v>
      </c>
      <c r="AI97" s="1005">
        <f t="shared" si="66"/>
        <v>211.59999999999994</v>
      </c>
      <c r="AJ97" s="1005">
        <f t="shared" ref="AJ97" si="67">(AJ10-AJ279)*AJ69+AJ280</f>
        <v>152.41999999999999</v>
      </c>
      <c r="AK97" s="990"/>
      <c r="AL97" s="990"/>
    </row>
    <row r="98" spans="2:38" s="955" customFormat="1" ht="12">
      <c r="B98" s="1022" t="s">
        <v>337</v>
      </c>
      <c r="C98" s="928" t="s">
        <v>298</v>
      </c>
      <c r="D98" s="967" t="e">
        <f t="shared" ref="D98:AB98" si="68">D11*D70</f>
        <v>#VALUE!</v>
      </c>
      <c r="E98" s="967" t="e">
        <f t="shared" si="68"/>
        <v>#VALUE!</v>
      </c>
      <c r="F98" s="967" t="e">
        <f t="shared" si="68"/>
        <v>#VALUE!</v>
      </c>
      <c r="G98" s="967" t="e">
        <f t="shared" si="68"/>
        <v>#VALUE!</v>
      </c>
      <c r="H98" s="967" t="e">
        <f t="shared" si="68"/>
        <v>#VALUE!</v>
      </c>
      <c r="I98" s="967" t="e">
        <f t="shared" si="68"/>
        <v>#VALUE!</v>
      </c>
      <c r="J98" s="967" t="e">
        <f t="shared" si="68"/>
        <v>#VALUE!</v>
      </c>
      <c r="K98" s="967" t="e">
        <f t="shared" si="68"/>
        <v>#VALUE!</v>
      </c>
      <c r="L98" s="967" t="e">
        <f t="shared" si="68"/>
        <v>#VALUE!</v>
      </c>
      <c r="M98" s="967" t="e">
        <f t="shared" si="68"/>
        <v>#VALUE!</v>
      </c>
      <c r="N98" s="967" t="e">
        <f t="shared" si="68"/>
        <v>#VALUE!</v>
      </c>
      <c r="O98" s="967" t="e">
        <f t="shared" si="68"/>
        <v>#VALUE!</v>
      </c>
      <c r="P98" s="967" t="e">
        <f t="shared" si="68"/>
        <v>#VALUE!</v>
      </c>
      <c r="Q98" s="967" t="e">
        <f t="shared" si="68"/>
        <v>#VALUE!</v>
      </c>
      <c r="R98" s="967" t="e">
        <f t="shared" si="68"/>
        <v>#VALUE!</v>
      </c>
      <c r="S98" s="967" t="e">
        <f t="shared" si="68"/>
        <v>#VALUE!</v>
      </c>
      <c r="T98" s="967" t="e">
        <f t="shared" si="68"/>
        <v>#VALUE!</v>
      </c>
      <c r="U98" s="967" t="e">
        <f t="shared" si="68"/>
        <v>#VALUE!</v>
      </c>
      <c r="V98" s="967" t="e">
        <f t="shared" si="68"/>
        <v>#VALUE!</v>
      </c>
      <c r="W98" s="967" t="e">
        <f t="shared" si="68"/>
        <v>#VALUE!</v>
      </c>
      <c r="X98" s="967" t="e">
        <f t="shared" si="68"/>
        <v>#VALUE!</v>
      </c>
      <c r="Y98" s="954">
        <f t="shared" si="68"/>
        <v>65</v>
      </c>
      <c r="Z98" s="954">
        <f t="shared" si="68"/>
        <v>65</v>
      </c>
      <c r="AA98" s="954">
        <f t="shared" si="68"/>
        <v>65</v>
      </c>
      <c r="AB98" s="954">
        <f t="shared" si="68"/>
        <v>64.999999999999986</v>
      </c>
      <c r="AC98" s="1005">
        <f>(AC11-AC282)*AC70+AC283</f>
        <v>15.39</v>
      </c>
      <c r="AD98" s="1005">
        <f t="shared" ref="AD98:AG98" si="69">(AD11-AD282)*AD70+AD283</f>
        <v>20.43</v>
      </c>
      <c r="AE98" s="1005">
        <f t="shared" si="69"/>
        <v>12.5</v>
      </c>
      <c r="AF98" s="1005">
        <f t="shared" si="69"/>
        <v>1.17</v>
      </c>
      <c r="AG98" s="1005">
        <f t="shared" si="69"/>
        <v>6.63</v>
      </c>
      <c r="AH98" s="1005">
        <f t="shared" ref="AH98:AI98" si="70">(AH11-AH282)*AH70+AH283</f>
        <v>8.85</v>
      </c>
      <c r="AI98" s="1005">
        <f t="shared" si="70"/>
        <v>0.37</v>
      </c>
      <c r="AJ98" s="1005">
        <f t="shared" ref="AJ98" si="71">(AJ11-AJ282)*AJ70+AJ283</f>
        <v>22.8</v>
      </c>
      <c r="AK98" s="990"/>
      <c r="AL98" s="990"/>
    </row>
    <row r="99" spans="2:38" s="955" customFormat="1" ht="12">
      <c r="B99" s="1022" t="s">
        <v>339</v>
      </c>
      <c r="C99" s="928" t="s">
        <v>298</v>
      </c>
      <c r="D99" s="967" t="e">
        <f t="shared" ref="D99:AB99" si="72">D12*D71</f>
        <v>#VALUE!</v>
      </c>
      <c r="E99" s="967" t="e">
        <f t="shared" si="72"/>
        <v>#VALUE!</v>
      </c>
      <c r="F99" s="967" t="e">
        <f t="shared" si="72"/>
        <v>#VALUE!</v>
      </c>
      <c r="G99" s="967" t="e">
        <f t="shared" si="72"/>
        <v>#VALUE!</v>
      </c>
      <c r="H99" s="967" t="e">
        <f t="shared" si="72"/>
        <v>#VALUE!</v>
      </c>
      <c r="I99" s="967" t="e">
        <f t="shared" si="72"/>
        <v>#VALUE!</v>
      </c>
      <c r="J99" s="967" t="e">
        <f t="shared" si="72"/>
        <v>#VALUE!</v>
      </c>
      <c r="K99" s="967" t="e">
        <f t="shared" si="72"/>
        <v>#VALUE!</v>
      </c>
      <c r="L99" s="967" t="e">
        <f t="shared" si="72"/>
        <v>#VALUE!</v>
      </c>
      <c r="M99" s="967" t="e">
        <f t="shared" si="72"/>
        <v>#VALUE!</v>
      </c>
      <c r="N99" s="967" t="e">
        <f t="shared" si="72"/>
        <v>#VALUE!</v>
      </c>
      <c r="O99" s="967" t="e">
        <f t="shared" si="72"/>
        <v>#VALUE!</v>
      </c>
      <c r="P99" s="967" t="e">
        <f t="shared" si="72"/>
        <v>#VALUE!</v>
      </c>
      <c r="Q99" s="967" t="e">
        <f t="shared" si="72"/>
        <v>#VALUE!</v>
      </c>
      <c r="R99" s="967" t="e">
        <f t="shared" si="72"/>
        <v>#VALUE!</v>
      </c>
      <c r="S99" s="967" t="e">
        <f t="shared" si="72"/>
        <v>#VALUE!</v>
      </c>
      <c r="T99" s="967" t="e">
        <f t="shared" si="72"/>
        <v>#VALUE!</v>
      </c>
      <c r="U99" s="967" t="e">
        <f t="shared" si="72"/>
        <v>#VALUE!</v>
      </c>
      <c r="V99" s="967" t="e">
        <f t="shared" si="72"/>
        <v>#VALUE!</v>
      </c>
      <c r="W99" s="967" t="e">
        <f t="shared" si="72"/>
        <v>#VALUE!</v>
      </c>
      <c r="X99" s="967" t="e">
        <f t="shared" si="72"/>
        <v>#VALUE!</v>
      </c>
      <c r="Y99" s="954">
        <f t="shared" si="72"/>
        <v>612</v>
      </c>
      <c r="Z99" s="954">
        <f t="shared" si="72"/>
        <v>612</v>
      </c>
      <c r="AA99" s="954">
        <f t="shared" si="72"/>
        <v>612</v>
      </c>
      <c r="AB99" s="954">
        <f t="shared" si="72"/>
        <v>611.99999999999989</v>
      </c>
      <c r="AC99" s="1005">
        <f>(AC12-AC285)*AC71+AC286</f>
        <v>534.6738537</v>
      </c>
      <c r="AD99" s="1005">
        <f t="shared" ref="AD99:AG99" si="73">(AD12-AD285)*AD71+AD286</f>
        <v>380.67500000000001</v>
      </c>
      <c r="AE99" s="1005">
        <f t="shared" si="73"/>
        <v>359.06734640000002</v>
      </c>
      <c r="AF99" s="1005">
        <f t="shared" si="73"/>
        <v>355.65800000000002</v>
      </c>
      <c r="AG99" s="1005">
        <f t="shared" si="73"/>
        <v>358.31</v>
      </c>
      <c r="AH99" s="1005">
        <f t="shared" ref="AH99:AI99" si="74">(AH12-AH285)*AH71+AH286</f>
        <v>374.55999999999995</v>
      </c>
      <c r="AI99" s="1005">
        <f t="shared" si="74"/>
        <v>543.45500000000004</v>
      </c>
      <c r="AJ99" s="1005">
        <f t="shared" ref="AJ99" si="75">(AJ12-AJ285)*AJ71+AJ286</f>
        <v>477.4799999999999</v>
      </c>
      <c r="AK99" s="990"/>
      <c r="AL99" s="990"/>
    </row>
    <row r="100" spans="2:38" s="955" customFormat="1" ht="12">
      <c r="B100" s="1055" t="s">
        <v>340</v>
      </c>
      <c r="C100" s="928" t="s">
        <v>298</v>
      </c>
      <c r="D100" s="967" t="e">
        <f>D13*D72</f>
        <v>#VALUE!</v>
      </c>
      <c r="E100" s="967" t="e">
        <f t="shared" ref="E100:AB100" si="76">E13*E72</f>
        <v>#VALUE!</v>
      </c>
      <c r="F100" s="967" t="e">
        <f t="shared" si="76"/>
        <v>#VALUE!</v>
      </c>
      <c r="G100" s="967" t="e">
        <f t="shared" si="76"/>
        <v>#VALUE!</v>
      </c>
      <c r="H100" s="967" t="e">
        <f t="shared" si="76"/>
        <v>#VALUE!</v>
      </c>
      <c r="I100" s="967" t="e">
        <f t="shared" si="76"/>
        <v>#VALUE!</v>
      </c>
      <c r="J100" s="967" t="e">
        <f t="shared" si="76"/>
        <v>#VALUE!</v>
      </c>
      <c r="K100" s="967" t="e">
        <f t="shared" si="76"/>
        <v>#VALUE!</v>
      </c>
      <c r="L100" s="967" t="e">
        <f t="shared" si="76"/>
        <v>#VALUE!</v>
      </c>
      <c r="M100" s="967" t="e">
        <f t="shared" si="76"/>
        <v>#VALUE!</v>
      </c>
      <c r="N100" s="967" t="e">
        <f t="shared" si="76"/>
        <v>#VALUE!</v>
      </c>
      <c r="O100" s="967" t="e">
        <f t="shared" si="76"/>
        <v>#VALUE!</v>
      </c>
      <c r="P100" s="967" t="e">
        <f t="shared" si="76"/>
        <v>#VALUE!</v>
      </c>
      <c r="Q100" s="967" t="e">
        <f t="shared" si="76"/>
        <v>#VALUE!</v>
      </c>
      <c r="R100" s="967" t="e">
        <f t="shared" si="76"/>
        <v>#VALUE!</v>
      </c>
      <c r="S100" s="967" t="e">
        <f t="shared" si="76"/>
        <v>#VALUE!</v>
      </c>
      <c r="T100" s="967" t="e">
        <f t="shared" si="76"/>
        <v>#VALUE!</v>
      </c>
      <c r="U100" s="967" t="e">
        <f t="shared" si="76"/>
        <v>#VALUE!</v>
      </c>
      <c r="V100" s="967" t="e">
        <f t="shared" si="76"/>
        <v>#VALUE!</v>
      </c>
      <c r="W100" s="967" t="e">
        <f t="shared" si="76"/>
        <v>#VALUE!</v>
      </c>
      <c r="X100" s="967" t="e">
        <f t="shared" si="76"/>
        <v>#VALUE!</v>
      </c>
      <c r="Y100" s="954">
        <f t="shared" si="76"/>
        <v>220</v>
      </c>
      <c r="Z100" s="954">
        <f t="shared" si="76"/>
        <v>264</v>
      </c>
      <c r="AA100" s="954">
        <f t="shared" si="76"/>
        <v>264</v>
      </c>
      <c r="AB100" s="954">
        <f t="shared" si="76"/>
        <v>264</v>
      </c>
      <c r="AC100" s="1005">
        <f>(AC13-AC288)*AC72+AC289</f>
        <v>116.2561463</v>
      </c>
      <c r="AD100" s="1005">
        <f t="shared" ref="AD100:AG100" si="77">(AD13-AD288)*AD72+AD289</f>
        <v>86.3352024</v>
      </c>
      <c r="AE100" s="1005">
        <f t="shared" si="77"/>
        <v>50.232653599999999</v>
      </c>
      <c r="AF100" s="1005">
        <f t="shared" si="77"/>
        <v>50.182949999999991</v>
      </c>
      <c r="AG100" s="1005">
        <f t="shared" si="77"/>
        <v>134.24</v>
      </c>
      <c r="AH100" s="1005">
        <f t="shared" ref="AH100:AI100" si="78">(AH13-AH288)*AH72+AH289</f>
        <v>67.75</v>
      </c>
      <c r="AI100" s="1005">
        <f t="shared" si="78"/>
        <v>209</v>
      </c>
      <c r="AJ100" s="1005">
        <f t="shared" ref="AJ100" si="79">(AJ13-AJ288)*AJ72+AJ289</f>
        <v>195.53</v>
      </c>
      <c r="AK100" s="990"/>
      <c r="AL100" s="990"/>
    </row>
    <row r="101" spans="2:38" s="955" customFormat="1" ht="12">
      <c r="B101" s="1579" t="s">
        <v>189</v>
      </c>
      <c r="C101" s="928" t="s">
        <v>298</v>
      </c>
      <c r="D101" s="954">
        <f>D96</f>
        <v>2535.3215789733063</v>
      </c>
      <c r="E101" s="954">
        <f t="shared" ref="E101:X101" si="80">E96</f>
        <v>2535.3215789733072</v>
      </c>
      <c r="F101" s="954">
        <f t="shared" si="80"/>
        <v>2535.3215789733072</v>
      </c>
      <c r="G101" s="954">
        <f t="shared" si="80"/>
        <v>2469.5076612829826</v>
      </c>
      <c r="H101" s="954">
        <f t="shared" si="80"/>
        <v>2403.6937435926588</v>
      </c>
      <c r="I101" s="954">
        <f t="shared" si="80"/>
        <v>2337.8798259023347</v>
      </c>
      <c r="J101" s="954">
        <f t="shared" si="80"/>
        <v>2272.0659082120105</v>
      </c>
      <c r="K101" s="954">
        <f t="shared" si="80"/>
        <v>2206.2519905216859</v>
      </c>
      <c r="L101" s="954">
        <f t="shared" si="80"/>
        <v>2140.4380728313618</v>
      </c>
      <c r="M101" s="954">
        <f t="shared" si="80"/>
        <v>2074.6241551410371</v>
      </c>
      <c r="N101" s="954">
        <f t="shared" si="80"/>
        <v>2008.810237450713</v>
      </c>
      <c r="O101" s="954">
        <f t="shared" si="80"/>
        <v>1942.996319760389</v>
      </c>
      <c r="P101" s="954">
        <f t="shared" si="80"/>
        <v>1877.1824020700647</v>
      </c>
      <c r="Q101" s="954">
        <f t="shared" si="80"/>
        <v>1811.36848437974</v>
      </c>
      <c r="R101" s="954">
        <f t="shared" si="80"/>
        <v>1745.5545666894154</v>
      </c>
      <c r="S101" s="954">
        <f t="shared" si="80"/>
        <v>1679.7406489990913</v>
      </c>
      <c r="T101" s="954">
        <f t="shared" si="80"/>
        <v>1613.9267313087666</v>
      </c>
      <c r="U101" s="954">
        <f t="shared" si="80"/>
        <v>1548.112813618442</v>
      </c>
      <c r="V101" s="954">
        <f t="shared" si="80"/>
        <v>1482.2988959281176</v>
      </c>
      <c r="W101" s="954">
        <f t="shared" si="80"/>
        <v>1416.4849782377928</v>
      </c>
      <c r="X101" s="954">
        <f t="shared" si="80"/>
        <v>1350.6710605474684</v>
      </c>
      <c r="Y101" s="954">
        <f>Y97+Y98+Y99+Y100</f>
        <v>1153</v>
      </c>
      <c r="Z101" s="954">
        <f t="shared" ref="Z101:AI101" si="81">Z97+Z98+Z99+Z100</f>
        <v>1261</v>
      </c>
      <c r="AA101" s="954">
        <f t="shared" si="81"/>
        <v>1261</v>
      </c>
      <c r="AB101" s="954">
        <f t="shared" si="81"/>
        <v>1260.9999999999998</v>
      </c>
      <c r="AC101" s="954">
        <f t="shared" si="81"/>
        <v>862.12999999999988</v>
      </c>
      <c r="AD101" s="954">
        <f t="shared" si="81"/>
        <v>633.14020240000002</v>
      </c>
      <c r="AE101" s="954">
        <f t="shared" si="81"/>
        <v>560.5</v>
      </c>
      <c r="AF101" s="954">
        <f t="shared" si="81"/>
        <v>541.10095000000001</v>
      </c>
      <c r="AG101" s="954">
        <f t="shared" si="81"/>
        <v>629.32999999999993</v>
      </c>
      <c r="AH101" s="954">
        <f t="shared" si="81"/>
        <v>582.87999999999988</v>
      </c>
      <c r="AI101" s="954">
        <f t="shared" si="81"/>
        <v>964.42499999999995</v>
      </c>
      <c r="AJ101" s="954">
        <f t="shared" ref="AJ101" si="82">AJ97+AJ98+AJ99+AJ100</f>
        <v>848.2299999999999</v>
      </c>
      <c r="AK101" s="990"/>
      <c r="AL101" s="990"/>
    </row>
    <row r="102" spans="2:38" s="955" customFormat="1" ht="12">
      <c r="B102" s="924" t="s">
        <v>341</v>
      </c>
      <c r="C102" s="925"/>
      <c r="D102" s="954"/>
      <c r="E102" s="954"/>
      <c r="F102" s="954"/>
      <c r="G102" s="954"/>
      <c r="H102" s="954"/>
      <c r="I102" s="954"/>
      <c r="J102" s="954"/>
      <c r="K102" s="954"/>
      <c r="L102" s="954"/>
      <c r="M102" s="954"/>
      <c r="N102" s="954"/>
      <c r="O102" s="954"/>
      <c r="P102" s="954"/>
      <c r="Q102" s="954"/>
      <c r="R102" s="954"/>
      <c r="S102" s="954"/>
      <c r="T102" s="954"/>
      <c r="U102" s="954"/>
      <c r="V102" s="954"/>
      <c r="W102" s="954"/>
      <c r="X102" s="954"/>
      <c r="Y102" s="954"/>
      <c r="Z102" s="954"/>
      <c r="AA102" s="954"/>
      <c r="AB102" s="954"/>
      <c r="AC102" s="954"/>
      <c r="AD102" s="954"/>
      <c r="AE102" s="954"/>
      <c r="AF102" s="954"/>
      <c r="AG102" s="954"/>
      <c r="AH102" s="954"/>
      <c r="AI102" s="954"/>
      <c r="AJ102" s="954"/>
      <c r="AK102" s="990"/>
      <c r="AL102" s="990"/>
    </row>
    <row r="103" spans="2:38" s="955" customFormat="1" ht="12">
      <c r="B103" s="928" t="s">
        <v>342</v>
      </c>
      <c r="C103" s="930" t="s">
        <v>298</v>
      </c>
      <c r="D103" s="954">
        <f t="shared" ref="D103:AG103" si="83">D15*D74</f>
        <v>0</v>
      </c>
      <c r="E103" s="954">
        <f t="shared" si="83"/>
        <v>0</v>
      </c>
      <c r="F103" s="954">
        <f t="shared" si="83"/>
        <v>0</v>
      </c>
      <c r="G103" s="954">
        <f t="shared" si="83"/>
        <v>0</v>
      </c>
      <c r="H103" s="954">
        <f t="shared" si="83"/>
        <v>0</v>
      </c>
      <c r="I103" s="954">
        <f t="shared" si="83"/>
        <v>0</v>
      </c>
      <c r="J103" s="954">
        <f t="shared" si="83"/>
        <v>0</v>
      </c>
      <c r="K103" s="954">
        <f t="shared" si="83"/>
        <v>0</v>
      </c>
      <c r="L103" s="954">
        <f t="shared" si="83"/>
        <v>0</v>
      </c>
      <c r="M103" s="954">
        <f t="shared" si="83"/>
        <v>0</v>
      </c>
      <c r="N103" s="954">
        <f t="shared" si="83"/>
        <v>0</v>
      </c>
      <c r="O103" s="954">
        <f t="shared" si="83"/>
        <v>0</v>
      </c>
      <c r="P103" s="954">
        <f t="shared" si="83"/>
        <v>0</v>
      </c>
      <c r="Q103" s="954">
        <f t="shared" si="83"/>
        <v>0</v>
      </c>
      <c r="R103" s="954">
        <f t="shared" si="83"/>
        <v>0</v>
      </c>
      <c r="S103" s="954">
        <f t="shared" si="83"/>
        <v>0</v>
      </c>
      <c r="T103" s="954">
        <f t="shared" si="83"/>
        <v>0</v>
      </c>
      <c r="U103" s="954">
        <f t="shared" si="83"/>
        <v>0</v>
      </c>
      <c r="V103" s="954">
        <f t="shared" si="83"/>
        <v>0</v>
      </c>
      <c r="W103" s="954">
        <f t="shared" si="83"/>
        <v>0</v>
      </c>
      <c r="X103" s="954">
        <f t="shared" si="83"/>
        <v>0</v>
      </c>
      <c r="Y103" s="954">
        <f t="shared" si="83"/>
        <v>0</v>
      </c>
      <c r="Z103" s="954">
        <f t="shared" si="83"/>
        <v>0</v>
      </c>
      <c r="AA103" s="954">
        <f t="shared" si="83"/>
        <v>0</v>
      </c>
      <c r="AB103" s="954">
        <f t="shared" si="83"/>
        <v>0</v>
      </c>
      <c r="AC103" s="954">
        <f t="shared" si="83"/>
        <v>0</v>
      </c>
      <c r="AD103" s="954">
        <f t="shared" si="83"/>
        <v>0</v>
      </c>
      <c r="AE103" s="954">
        <f t="shared" si="83"/>
        <v>0</v>
      </c>
      <c r="AF103" s="954">
        <f t="shared" si="83"/>
        <v>0</v>
      </c>
      <c r="AG103" s="954">
        <f t="shared" si="83"/>
        <v>0</v>
      </c>
      <c r="AH103" s="954">
        <f t="shared" ref="AH103:AI103" si="84">AH15*AH74</f>
        <v>0</v>
      </c>
      <c r="AI103" s="954">
        <f t="shared" si="84"/>
        <v>0</v>
      </c>
      <c r="AJ103" s="954">
        <f t="shared" ref="AJ103" si="85">AJ15*AJ74</f>
        <v>0</v>
      </c>
      <c r="AK103" s="990"/>
      <c r="AL103" s="990"/>
    </row>
    <row r="104" spans="2:38" s="955" customFormat="1" ht="12">
      <c r="B104" s="963" t="s">
        <v>344</v>
      </c>
      <c r="C104" s="930" t="s">
        <v>298</v>
      </c>
      <c r="D104" s="954">
        <f t="shared" ref="D104:AG104" si="86">D16*D75</f>
        <v>0</v>
      </c>
      <c r="E104" s="954">
        <f t="shared" si="86"/>
        <v>0</v>
      </c>
      <c r="F104" s="954">
        <f t="shared" si="86"/>
        <v>0</v>
      </c>
      <c r="G104" s="954">
        <f t="shared" si="86"/>
        <v>0</v>
      </c>
      <c r="H104" s="954">
        <f t="shared" si="86"/>
        <v>0</v>
      </c>
      <c r="I104" s="954">
        <f t="shared" si="86"/>
        <v>0</v>
      </c>
      <c r="J104" s="954">
        <f t="shared" si="86"/>
        <v>0</v>
      </c>
      <c r="K104" s="954">
        <f t="shared" si="86"/>
        <v>0</v>
      </c>
      <c r="L104" s="954">
        <f t="shared" si="86"/>
        <v>0</v>
      </c>
      <c r="M104" s="954">
        <f t="shared" si="86"/>
        <v>0</v>
      </c>
      <c r="N104" s="954">
        <f t="shared" si="86"/>
        <v>0</v>
      </c>
      <c r="O104" s="954">
        <f t="shared" si="86"/>
        <v>0</v>
      </c>
      <c r="P104" s="954">
        <f t="shared" si="86"/>
        <v>0</v>
      </c>
      <c r="Q104" s="954">
        <f t="shared" si="86"/>
        <v>0</v>
      </c>
      <c r="R104" s="954">
        <f t="shared" si="86"/>
        <v>0</v>
      </c>
      <c r="S104" s="954">
        <f t="shared" si="86"/>
        <v>0</v>
      </c>
      <c r="T104" s="954">
        <f t="shared" si="86"/>
        <v>0</v>
      </c>
      <c r="U104" s="954">
        <f t="shared" si="86"/>
        <v>0</v>
      </c>
      <c r="V104" s="954">
        <f t="shared" si="86"/>
        <v>0</v>
      </c>
      <c r="W104" s="954">
        <f t="shared" si="86"/>
        <v>0</v>
      </c>
      <c r="X104" s="954">
        <f t="shared" si="86"/>
        <v>0</v>
      </c>
      <c r="Y104" s="954">
        <f t="shared" si="86"/>
        <v>0</v>
      </c>
      <c r="Z104" s="954">
        <f t="shared" si="86"/>
        <v>0</v>
      </c>
      <c r="AA104" s="954">
        <f t="shared" si="86"/>
        <v>0</v>
      </c>
      <c r="AB104" s="954">
        <f t="shared" si="86"/>
        <v>0</v>
      </c>
      <c r="AC104" s="954">
        <f t="shared" si="86"/>
        <v>0</v>
      </c>
      <c r="AD104" s="954">
        <f t="shared" si="86"/>
        <v>0</v>
      </c>
      <c r="AE104" s="954">
        <f t="shared" si="86"/>
        <v>0</v>
      </c>
      <c r="AF104" s="954">
        <f t="shared" si="86"/>
        <v>0</v>
      </c>
      <c r="AG104" s="954">
        <f t="shared" si="86"/>
        <v>0</v>
      </c>
      <c r="AH104" s="954">
        <f t="shared" ref="AH104:AI104" si="87">AH16*AH75</f>
        <v>0</v>
      </c>
      <c r="AI104" s="954">
        <f t="shared" si="87"/>
        <v>0</v>
      </c>
      <c r="AJ104" s="954">
        <f t="shared" ref="AJ104" si="88">AJ16*AJ75</f>
        <v>0</v>
      </c>
      <c r="AK104" s="990"/>
      <c r="AL104" s="990"/>
    </row>
    <row r="105" spans="2:38" s="955" customFormat="1" ht="12">
      <c r="B105" s="924" t="s">
        <v>345</v>
      </c>
      <c r="C105" s="925"/>
      <c r="D105" s="954"/>
      <c r="E105" s="954"/>
      <c r="F105" s="954"/>
      <c r="G105" s="954"/>
      <c r="H105" s="954"/>
      <c r="I105" s="954"/>
      <c r="J105" s="954"/>
      <c r="K105" s="954"/>
      <c r="L105" s="954"/>
      <c r="M105" s="954"/>
      <c r="N105" s="954"/>
      <c r="O105" s="954"/>
      <c r="P105" s="954"/>
      <c r="Q105" s="954"/>
      <c r="R105" s="954"/>
      <c r="S105" s="954"/>
      <c r="T105" s="954"/>
      <c r="U105" s="954"/>
      <c r="V105" s="954"/>
      <c r="W105" s="954"/>
      <c r="X105" s="954"/>
      <c r="Y105" s="954"/>
      <c r="Z105" s="954"/>
      <c r="AA105" s="954"/>
      <c r="AB105" s="954"/>
      <c r="AC105" s="954"/>
      <c r="AD105" s="954"/>
      <c r="AE105" s="954"/>
      <c r="AF105" s="954"/>
      <c r="AG105" s="954"/>
      <c r="AH105" s="954"/>
      <c r="AI105" s="954"/>
      <c r="AJ105" s="954"/>
      <c r="AK105" s="990"/>
      <c r="AL105" s="990"/>
    </row>
    <row r="106" spans="2:38" s="955" customFormat="1" ht="12">
      <c r="B106" s="928" t="s">
        <v>345</v>
      </c>
      <c r="C106" s="928" t="s">
        <v>298</v>
      </c>
      <c r="D106" s="954">
        <f t="shared" ref="D106:AG106" si="89">D18*D77</f>
        <v>424.85233392000004</v>
      </c>
      <c r="E106" s="954">
        <f t="shared" si="89"/>
        <v>424.85233392000004</v>
      </c>
      <c r="F106" s="954">
        <f t="shared" si="89"/>
        <v>424.85233392000009</v>
      </c>
      <c r="G106" s="954">
        <f t="shared" si="89"/>
        <v>408.97378852437049</v>
      </c>
      <c r="H106" s="954">
        <f t="shared" si="89"/>
        <v>393.09524312874089</v>
      </c>
      <c r="I106" s="954">
        <f t="shared" si="89"/>
        <v>377.21669773311129</v>
      </c>
      <c r="J106" s="954">
        <f t="shared" si="89"/>
        <v>361.3381523374818</v>
      </c>
      <c r="K106" s="954">
        <f t="shared" si="89"/>
        <v>345.45960694185231</v>
      </c>
      <c r="L106" s="954">
        <f t="shared" si="89"/>
        <v>329.58106154622266</v>
      </c>
      <c r="M106" s="954">
        <f t="shared" si="89"/>
        <v>313.70251615059317</v>
      </c>
      <c r="N106" s="954">
        <f t="shared" si="89"/>
        <v>297.82397075496363</v>
      </c>
      <c r="O106" s="954">
        <f t="shared" si="89"/>
        <v>281.94542535933402</v>
      </c>
      <c r="P106" s="954">
        <f t="shared" si="89"/>
        <v>266.06687996370448</v>
      </c>
      <c r="Q106" s="954">
        <f t="shared" si="89"/>
        <v>250.18833456807491</v>
      </c>
      <c r="R106" s="954">
        <f t="shared" si="89"/>
        <v>234.30978917244536</v>
      </c>
      <c r="S106" s="954">
        <f t="shared" si="89"/>
        <v>218.43124377681582</v>
      </c>
      <c r="T106" s="954">
        <f t="shared" si="89"/>
        <v>202.55269838118625</v>
      </c>
      <c r="U106" s="954">
        <f t="shared" si="89"/>
        <v>186.67415298555667</v>
      </c>
      <c r="V106" s="954">
        <f t="shared" si="89"/>
        <v>170.79560758992713</v>
      </c>
      <c r="W106" s="954">
        <f t="shared" si="89"/>
        <v>154.91706219429756</v>
      </c>
      <c r="X106" s="954">
        <f t="shared" si="89"/>
        <v>139.03851679866801</v>
      </c>
      <c r="Y106" s="967">
        <f t="shared" si="89"/>
        <v>153.04437622877555</v>
      </c>
      <c r="Z106" s="967">
        <f t="shared" si="89"/>
        <v>112.47309056535823</v>
      </c>
      <c r="AA106" s="967">
        <f t="shared" si="89"/>
        <v>107.0386272864574</v>
      </c>
      <c r="AB106" s="967">
        <f t="shared" si="89"/>
        <v>99.499427335769099</v>
      </c>
      <c r="AC106" s="967">
        <f t="shared" si="89"/>
        <v>107.21830282738082</v>
      </c>
      <c r="AD106" s="967">
        <f t="shared" si="89"/>
        <v>93.313719623329149</v>
      </c>
      <c r="AE106" s="967">
        <f t="shared" si="89"/>
        <v>88.713198164766155</v>
      </c>
      <c r="AF106" s="967">
        <f t="shared" si="89"/>
        <v>83.974246802940115</v>
      </c>
      <c r="AG106" s="967">
        <f t="shared" si="89"/>
        <v>85.04603223806545</v>
      </c>
      <c r="AH106" s="967">
        <f t="shared" ref="AH106:AI106" si="90">AH18*AH77</f>
        <v>83.771981388690065</v>
      </c>
      <c r="AI106" s="967">
        <f t="shared" si="90"/>
        <v>83.234066416909386</v>
      </c>
      <c r="AJ106" s="967">
        <f t="shared" ref="AJ106" si="91">AJ18*AJ77</f>
        <v>84.012691839790349</v>
      </c>
      <c r="AK106" s="990"/>
      <c r="AL106" s="990"/>
    </row>
    <row r="107" spans="2:38" s="955" customFormat="1" ht="12">
      <c r="B107" s="959" t="s">
        <v>347</v>
      </c>
      <c r="C107" s="930" t="s">
        <v>298</v>
      </c>
      <c r="D107" s="967" t="e">
        <f t="shared" ref="D107:AG107" si="92">D19*D78</f>
        <v>#VALUE!</v>
      </c>
      <c r="E107" s="967" t="e">
        <f t="shared" si="92"/>
        <v>#VALUE!</v>
      </c>
      <c r="F107" s="967" t="e">
        <f t="shared" si="92"/>
        <v>#VALUE!</v>
      </c>
      <c r="G107" s="967" t="e">
        <f t="shared" si="92"/>
        <v>#VALUE!</v>
      </c>
      <c r="H107" s="967" t="e">
        <f t="shared" si="92"/>
        <v>#VALUE!</v>
      </c>
      <c r="I107" s="967" t="e">
        <f t="shared" si="92"/>
        <v>#VALUE!</v>
      </c>
      <c r="J107" s="967" t="e">
        <f t="shared" si="92"/>
        <v>#VALUE!</v>
      </c>
      <c r="K107" s="967" t="e">
        <f t="shared" si="92"/>
        <v>#VALUE!</v>
      </c>
      <c r="L107" s="967" t="e">
        <f t="shared" si="92"/>
        <v>#VALUE!</v>
      </c>
      <c r="M107" s="967" t="e">
        <f t="shared" si="92"/>
        <v>#VALUE!</v>
      </c>
      <c r="N107" s="967" t="e">
        <f t="shared" si="92"/>
        <v>#VALUE!</v>
      </c>
      <c r="O107" s="967" t="e">
        <f t="shared" si="92"/>
        <v>#VALUE!</v>
      </c>
      <c r="P107" s="967" t="e">
        <f t="shared" si="92"/>
        <v>#VALUE!</v>
      </c>
      <c r="Q107" s="967" t="e">
        <f t="shared" si="92"/>
        <v>#VALUE!</v>
      </c>
      <c r="R107" s="967" t="e">
        <f t="shared" si="92"/>
        <v>#VALUE!</v>
      </c>
      <c r="S107" s="967" t="e">
        <f t="shared" si="92"/>
        <v>#VALUE!</v>
      </c>
      <c r="T107" s="967" t="e">
        <f t="shared" si="92"/>
        <v>#VALUE!</v>
      </c>
      <c r="U107" s="967" t="e">
        <f t="shared" si="92"/>
        <v>#VALUE!</v>
      </c>
      <c r="V107" s="967" t="e">
        <f t="shared" si="92"/>
        <v>#VALUE!</v>
      </c>
      <c r="W107" s="967" t="e">
        <f t="shared" si="92"/>
        <v>#VALUE!</v>
      </c>
      <c r="X107" s="967" t="e">
        <f t="shared" si="92"/>
        <v>#VALUE!</v>
      </c>
      <c r="Y107" s="954">
        <f t="shared" si="92"/>
        <v>0</v>
      </c>
      <c r="Z107" s="954">
        <f t="shared" si="92"/>
        <v>0</v>
      </c>
      <c r="AA107" s="954">
        <f t="shared" si="92"/>
        <v>0</v>
      </c>
      <c r="AB107" s="954">
        <f t="shared" si="92"/>
        <v>0</v>
      </c>
      <c r="AC107" s="954">
        <f t="shared" si="92"/>
        <v>0</v>
      </c>
      <c r="AD107" s="954">
        <f t="shared" si="92"/>
        <v>0</v>
      </c>
      <c r="AE107" s="954">
        <f t="shared" si="92"/>
        <v>0</v>
      </c>
      <c r="AF107" s="954">
        <f t="shared" si="92"/>
        <v>0</v>
      </c>
      <c r="AG107" s="954">
        <f t="shared" si="92"/>
        <v>0</v>
      </c>
      <c r="AH107" s="954">
        <f t="shared" ref="AH107:AI107" si="93">AH19*AH78</f>
        <v>0</v>
      </c>
      <c r="AI107" s="954">
        <f t="shared" si="93"/>
        <v>0</v>
      </c>
      <c r="AJ107" s="954">
        <f t="shared" ref="AJ107" si="94">AJ19*AJ78</f>
        <v>0</v>
      </c>
      <c r="AK107" s="990"/>
      <c r="AL107" s="990"/>
    </row>
    <row r="108" spans="2:38" s="955" customFormat="1" ht="12">
      <c r="B108" s="959" t="s">
        <v>348</v>
      </c>
      <c r="C108" s="930" t="s">
        <v>298</v>
      </c>
      <c r="D108" s="967" t="e">
        <f t="shared" ref="D108:AG108" si="95">D20*D79</f>
        <v>#VALUE!</v>
      </c>
      <c r="E108" s="967" t="e">
        <f t="shared" si="95"/>
        <v>#VALUE!</v>
      </c>
      <c r="F108" s="967" t="e">
        <f t="shared" si="95"/>
        <v>#VALUE!</v>
      </c>
      <c r="G108" s="967" t="e">
        <f t="shared" si="95"/>
        <v>#VALUE!</v>
      </c>
      <c r="H108" s="967" t="e">
        <f t="shared" si="95"/>
        <v>#VALUE!</v>
      </c>
      <c r="I108" s="967" t="e">
        <f t="shared" si="95"/>
        <v>#VALUE!</v>
      </c>
      <c r="J108" s="967" t="e">
        <f t="shared" si="95"/>
        <v>#VALUE!</v>
      </c>
      <c r="K108" s="967" t="e">
        <f t="shared" si="95"/>
        <v>#VALUE!</v>
      </c>
      <c r="L108" s="967" t="e">
        <f t="shared" si="95"/>
        <v>#VALUE!</v>
      </c>
      <c r="M108" s="967" t="e">
        <f t="shared" si="95"/>
        <v>#VALUE!</v>
      </c>
      <c r="N108" s="967" t="e">
        <f t="shared" si="95"/>
        <v>#VALUE!</v>
      </c>
      <c r="O108" s="967" t="e">
        <f t="shared" si="95"/>
        <v>#VALUE!</v>
      </c>
      <c r="P108" s="967" t="e">
        <f t="shared" si="95"/>
        <v>#VALUE!</v>
      </c>
      <c r="Q108" s="967" t="e">
        <f t="shared" si="95"/>
        <v>#VALUE!</v>
      </c>
      <c r="R108" s="967" t="e">
        <f t="shared" si="95"/>
        <v>#VALUE!</v>
      </c>
      <c r="S108" s="967" t="e">
        <f t="shared" si="95"/>
        <v>#VALUE!</v>
      </c>
      <c r="T108" s="967" t="e">
        <f t="shared" si="95"/>
        <v>#VALUE!</v>
      </c>
      <c r="U108" s="967" t="e">
        <f t="shared" si="95"/>
        <v>#VALUE!</v>
      </c>
      <c r="V108" s="967" t="e">
        <f t="shared" si="95"/>
        <v>#VALUE!</v>
      </c>
      <c r="W108" s="967" t="e">
        <f t="shared" si="95"/>
        <v>#VALUE!</v>
      </c>
      <c r="X108" s="967" t="e">
        <f t="shared" si="95"/>
        <v>#VALUE!</v>
      </c>
      <c r="Y108" s="954">
        <f t="shared" si="95"/>
        <v>68.167789763873913</v>
      </c>
      <c r="Z108" s="954">
        <f t="shared" si="95"/>
        <v>69.112915295150273</v>
      </c>
      <c r="AA108" s="954">
        <f t="shared" si="95"/>
        <v>67.508187417954161</v>
      </c>
      <c r="AB108" s="954">
        <f t="shared" si="95"/>
        <v>64.056905913978582</v>
      </c>
      <c r="AC108" s="954">
        <f t="shared" si="95"/>
        <v>63.123104872006643</v>
      </c>
      <c r="AD108" s="954">
        <f t="shared" si="95"/>
        <v>64.301451224944387</v>
      </c>
      <c r="AE108" s="954">
        <f t="shared" si="95"/>
        <v>62.116596731101716</v>
      </c>
      <c r="AF108" s="954">
        <f t="shared" si="95"/>
        <v>63.055449278655011</v>
      </c>
      <c r="AG108" s="954">
        <f t="shared" si="95"/>
        <v>63.629808217710384</v>
      </c>
      <c r="AH108" s="954">
        <f t="shared" ref="AH108:AI108" si="96">AH20*AH79</f>
        <v>63.101386122711226</v>
      </c>
      <c r="AI108" s="954">
        <f t="shared" si="96"/>
        <v>63.309836656876499</v>
      </c>
      <c r="AJ108" s="954">
        <f t="shared" ref="AJ108" si="97">AJ20*AJ79</f>
        <v>65.726337607497911</v>
      </c>
      <c r="AK108" s="990"/>
      <c r="AL108" s="990"/>
    </row>
    <row r="109" spans="2:38" s="955" customFormat="1" ht="12">
      <c r="B109" s="959" t="s">
        <v>349</v>
      </c>
      <c r="C109" s="930" t="s">
        <v>298</v>
      </c>
      <c r="D109" s="967" t="e">
        <f t="shared" ref="D109:AG109" si="98">D21*D80</f>
        <v>#VALUE!</v>
      </c>
      <c r="E109" s="967" t="e">
        <f t="shared" si="98"/>
        <v>#VALUE!</v>
      </c>
      <c r="F109" s="967" t="e">
        <f t="shared" si="98"/>
        <v>#VALUE!</v>
      </c>
      <c r="G109" s="967" t="e">
        <f t="shared" si="98"/>
        <v>#VALUE!</v>
      </c>
      <c r="H109" s="967" t="e">
        <f t="shared" si="98"/>
        <v>#VALUE!</v>
      </c>
      <c r="I109" s="967" t="e">
        <f t="shared" si="98"/>
        <v>#VALUE!</v>
      </c>
      <c r="J109" s="967" t="e">
        <f t="shared" si="98"/>
        <v>#VALUE!</v>
      </c>
      <c r="K109" s="967" t="e">
        <f t="shared" si="98"/>
        <v>#VALUE!</v>
      </c>
      <c r="L109" s="967" t="e">
        <f t="shared" si="98"/>
        <v>#VALUE!</v>
      </c>
      <c r="M109" s="967" t="e">
        <f t="shared" si="98"/>
        <v>#VALUE!</v>
      </c>
      <c r="N109" s="967" t="e">
        <f t="shared" si="98"/>
        <v>#VALUE!</v>
      </c>
      <c r="O109" s="967" t="e">
        <f t="shared" si="98"/>
        <v>#VALUE!</v>
      </c>
      <c r="P109" s="967" t="e">
        <f t="shared" si="98"/>
        <v>#VALUE!</v>
      </c>
      <c r="Q109" s="967" t="e">
        <f t="shared" si="98"/>
        <v>#VALUE!</v>
      </c>
      <c r="R109" s="967" t="e">
        <f t="shared" si="98"/>
        <v>#VALUE!</v>
      </c>
      <c r="S109" s="967" t="e">
        <f t="shared" si="98"/>
        <v>#VALUE!</v>
      </c>
      <c r="T109" s="967" t="e">
        <f t="shared" si="98"/>
        <v>#VALUE!</v>
      </c>
      <c r="U109" s="967" t="e">
        <f t="shared" si="98"/>
        <v>#VALUE!</v>
      </c>
      <c r="V109" s="967" t="e">
        <f t="shared" si="98"/>
        <v>#VALUE!</v>
      </c>
      <c r="W109" s="967" t="e">
        <f t="shared" si="98"/>
        <v>#VALUE!</v>
      </c>
      <c r="X109" s="967" t="e">
        <f t="shared" si="98"/>
        <v>#VALUE!</v>
      </c>
      <c r="Y109" s="954">
        <f t="shared" si="98"/>
        <v>0</v>
      </c>
      <c r="Z109" s="954">
        <f t="shared" si="98"/>
        <v>0</v>
      </c>
      <c r="AA109" s="954">
        <f t="shared" si="98"/>
        <v>0</v>
      </c>
      <c r="AB109" s="954">
        <f t="shared" si="98"/>
        <v>0</v>
      </c>
      <c r="AC109" s="954">
        <f t="shared" si="98"/>
        <v>0</v>
      </c>
      <c r="AD109" s="954">
        <f t="shared" si="98"/>
        <v>0</v>
      </c>
      <c r="AE109" s="954">
        <f t="shared" si="98"/>
        <v>0</v>
      </c>
      <c r="AF109" s="954">
        <f t="shared" si="98"/>
        <v>0</v>
      </c>
      <c r="AG109" s="954">
        <f t="shared" si="98"/>
        <v>0</v>
      </c>
      <c r="AH109" s="954">
        <f t="shared" ref="AH109:AI109" si="99">AH21*AH80</f>
        <v>0</v>
      </c>
      <c r="AI109" s="954">
        <f t="shared" si="99"/>
        <v>0</v>
      </c>
      <c r="AJ109" s="954">
        <f t="shared" ref="AJ109" si="100">AJ21*AJ80</f>
        <v>0</v>
      </c>
      <c r="AK109" s="990"/>
      <c r="AL109" s="990"/>
    </row>
    <row r="110" spans="2:38" s="955" customFormat="1" ht="12">
      <c r="B110" s="1054" t="s">
        <v>189</v>
      </c>
      <c r="C110" s="1580" t="s">
        <v>298</v>
      </c>
      <c r="D110" s="954">
        <f>D106</f>
        <v>424.85233392000004</v>
      </c>
      <c r="E110" s="954">
        <f t="shared" ref="E110:X110" si="101">E106</f>
        <v>424.85233392000004</v>
      </c>
      <c r="F110" s="954">
        <f t="shared" si="101"/>
        <v>424.85233392000009</v>
      </c>
      <c r="G110" s="954">
        <f t="shared" si="101"/>
        <v>408.97378852437049</v>
      </c>
      <c r="H110" s="954">
        <f t="shared" si="101"/>
        <v>393.09524312874089</v>
      </c>
      <c r="I110" s="954">
        <f t="shared" si="101"/>
        <v>377.21669773311129</v>
      </c>
      <c r="J110" s="954">
        <f t="shared" si="101"/>
        <v>361.3381523374818</v>
      </c>
      <c r="K110" s="954">
        <f t="shared" si="101"/>
        <v>345.45960694185231</v>
      </c>
      <c r="L110" s="954">
        <f t="shared" si="101"/>
        <v>329.58106154622266</v>
      </c>
      <c r="M110" s="954">
        <f t="shared" si="101"/>
        <v>313.70251615059317</v>
      </c>
      <c r="N110" s="954">
        <f t="shared" si="101"/>
        <v>297.82397075496363</v>
      </c>
      <c r="O110" s="954">
        <f t="shared" si="101"/>
        <v>281.94542535933402</v>
      </c>
      <c r="P110" s="954">
        <f t="shared" si="101"/>
        <v>266.06687996370448</v>
      </c>
      <c r="Q110" s="954">
        <f t="shared" si="101"/>
        <v>250.18833456807491</v>
      </c>
      <c r="R110" s="954">
        <f t="shared" si="101"/>
        <v>234.30978917244536</v>
      </c>
      <c r="S110" s="954">
        <f t="shared" si="101"/>
        <v>218.43124377681582</v>
      </c>
      <c r="T110" s="954">
        <f t="shared" si="101"/>
        <v>202.55269838118625</v>
      </c>
      <c r="U110" s="954">
        <f t="shared" si="101"/>
        <v>186.67415298555667</v>
      </c>
      <c r="V110" s="954">
        <f t="shared" si="101"/>
        <v>170.79560758992713</v>
      </c>
      <c r="W110" s="954">
        <f t="shared" si="101"/>
        <v>154.91706219429756</v>
      </c>
      <c r="X110" s="954">
        <f t="shared" si="101"/>
        <v>139.03851679866801</v>
      </c>
      <c r="Y110" s="954">
        <f>Y107+Y108+Y109</f>
        <v>68.167789763873913</v>
      </c>
      <c r="Z110" s="954">
        <f t="shared" ref="Z110:AI110" si="102">Z107+Z108+Z109</f>
        <v>69.112915295150273</v>
      </c>
      <c r="AA110" s="954">
        <f t="shared" si="102"/>
        <v>67.508187417954161</v>
      </c>
      <c r="AB110" s="954">
        <f t="shared" si="102"/>
        <v>64.056905913978582</v>
      </c>
      <c r="AC110" s="954">
        <f t="shared" si="102"/>
        <v>63.123104872006643</v>
      </c>
      <c r="AD110" s="954">
        <f t="shared" si="102"/>
        <v>64.301451224944387</v>
      </c>
      <c r="AE110" s="954">
        <f t="shared" si="102"/>
        <v>62.116596731101716</v>
      </c>
      <c r="AF110" s="954">
        <f t="shared" si="102"/>
        <v>63.055449278655011</v>
      </c>
      <c r="AG110" s="954">
        <f t="shared" si="102"/>
        <v>63.629808217710384</v>
      </c>
      <c r="AH110" s="954">
        <f t="shared" si="102"/>
        <v>63.101386122711226</v>
      </c>
      <c r="AI110" s="954">
        <f t="shared" si="102"/>
        <v>63.309836656876499</v>
      </c>
      <c r="AJ110" s="954">
        <f t="shared" ref="AJ110" si="103">AJ107+AJ108+AJ109</f>
        <v>65.726337607497911</v>
      </c>
      <c r="AK110" s="990"/>
      <c r="AL110" s="990"/>
    </row>
    <row r="111" spans="2:38" s="955" customFormat="1" ht="12">
      <c r="B111" s="924" t="s">
        <v>350</v>
      </c>
      <c r="C111" s="925"/>
      <c r="D111" s="954"/>
      <c r="E111" s="954"/>
      <c r="F111" s="954"/>
      <c r="G111" s="954"/>
      <c r="H111" s="954"/>
      <c r="I111" s="954"/>
      <c r="J111" s="954"/>
      <c r="K111" s="954"/>
      <c r="L111" s="954"/>
      <c r="M111" s="954"/>
      <c r="N111" s="954"/>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90"/>
      <c r="AL111" s="990"/>
    </row>
    <row r="112" spans="2:38" s="955" customFormat="1" ht="12">
      <c r="B112" s="1006" t="s">
        <v>351</v>
      </c>
      <c r="C112" s="961" t="s">
        <v>298</v>
      </c>
      <c r="D112" s="954">
        <f t="shared" ref="D112:AC112" si="104">D23*D82</f>
        <v>563.86057500000004</v>
      </c>
      <c r="E112" s="954">
        <f t="shared" si="104"/>
        <v>569.52965969999991</v>
      </c>
      <c r="F112" s="954">
        <f t="shared" si="104"/>
        <v>569.83444920000011</v>
      </c>
      <c r="G112" s="954">
        <f t="shared" si="104"/>
        <v>573.24809159999995</v>
      </c>
      <c r="H112" s="954">
        <f t="shared" si="104"/>
        <v>575.01587069999994</v>
      </c>
      <c r="I112" s="954">
        <f t="shared" si="104"/>
        <v>575.62544969999988</v>
      </c>
      <c r="J112" s="954">
        <f t="shared" si="104"/>
        <v>589.70672459999992</v>
      </c>
      <c r="K112" s="954">
        <f t="shared" si="104"/>
        <v>589.15810350000004</v>
      </c>
      <c r="L112" s="954">
        <f t="shared" si="104"/>
        <v>594.33952499999998</v>
      </c>
      <c r="M112" s="954">
        <f t="shared" si="104"/>
        <v>604.0556758305994</v>
      </c>
      <c r="N112" s="954">
        <f t="shared" si="104"/>
        <v>607.10357083059944</v>
      </c>
      <c r="O112" s="954">
        <f t="shared" si="104"/>
        <v>633.96215999999993</v>
      </c>
      <c r="P112" s="954">
        <f t="shared" si="104"/>
        <v>642.57551127000022</v>
      </c>
      <c r="Q112" s="954">
        <f t="shared" si="104"/>
        <v>640.84064943599992</v>
      </c>
      <c r="R112" s="954">
        <f t="shared" si="104"/>
        <v>668.09858399999996</v>
      </c>
      <c r="S112" s="954">
        <f t="shared" si="104"/>
        <v>670.69539053999995</v>
      </c>
      <c r="T112" s="954">
        <f t="shared" si="104"/>
        <v>666.72093545999985</v>
      </c>
      <c r="U112" s="954">
        <f t="shared" si="104"/>
        <v>676.91919212999983</v>
      </c>
      <c r="V112" s="954">
        <f t="shared" si="104"/>
        <v>676.4741994599998</v>
      </c>
      <c r="W112" s="954">
        <f t="shared" si="104"/>
        <v>678.62601332999998</v>
      </c>
      <c r="X112" s="954">
        <f t="shared" si="104"/>
        <v>685.47158549999995</v>
      </c>
      <c r="Y112" s="954">
        <f t="shared" si="104"/>
        <v>685.87390764000008</v>
      </c>
      <c r="Z112" s="954">
        <f t="shared" si="104"/>
        <v>685.88000342999987</v>
      </c>
      <c r="AA112" s="954">
        <f t="shared" si="104"/>
        <v>688.4097562799999</v>
      </c>
      <c r="AB112" s="954">
        <f t="shared" si="104"/>
        <v>688.42560533400001</v>
      </c>
      <c r="AC112" s="954">
        <f t="shared" si="104"/>
        <v>689.06200580999985</v>
      </c>
      <c r="AD112" s="1005">
        <f t="shared" ref="AD112:AI112" si="105">(AD23-AD226)*AD82+AD228</f>
        <v>363.31148510022825</v>
      </c>
      <c r="AE112" s="1005">
        <f t="shared" si="105"/>
        <v>132.93572899440693</v>
      </c>
      <c r="AF112" s="1005">
        <f t="shared" si="105"/>
        <v>52.285010639728831</v>
      </c>
      <c r="AG112" s="1005">
        <f t="shared" si="105"/>
        <v>199.19844104359814</v>
      </c>
      <c r="AH112" s="1005">
        <f t="shared" si="105"/>
        <v>113.40716475742065</v>
      </c>
      <c r="AI112" s="1005">
        <f t="shared" si="105"/>
        <v>115.621451727954</v>
      </c>
      <c r="AJ112" s="1005">
        <f t="shared" ref="AJ112" si="106">(AJ23-AJ226)*AJ82+AJ228</f>
        <v>254.72981902789863</v>
      </c>
      <c r="AK112" s="990"/>
      <c r="AL112" s="990"/>
    </row>
    <row r="113" spans="2:38" s="955" customFormat="1" ht="12">
      <c r="B113" s="924" t="s">
        <v>352</v>
      </c>
      <c r="C113" s="925"/>
      <c r="D113" s="954"/>
      <c r="E113" s="954"/>
      <c r="F113" s="954"/>
      <c r="G113" s="954"/>
      <c r="H113" s="954"/>
      <c r="I113" s="954"/>
      <c r="J113" s="954"/>
      <c r="K113" s="954"/>
      <c r="L113" s="954"/>
      <c r="M113" s="954"/>
      <c r="N113" s="954"/>
      <c r="O113" s="954"/>
      <c r="P113" s="954"/>
      <c r="Q113" s="954"/>
      <c r="R113" s="954"/>
      <c r="S113" s="954"/>
      <c r="T113" s="954"/>
      <c r="U113" s="954"/>
      <c r="V113" s="954"/>
      <c r="W113" s="954"/>
      <c r="X113" s="954"/>
      <c r="Y113" s="954"/>
      <c r="Z113" s="954"/>
      <c r="AA113" s="954"/>
      <c r="AB113" s="954"/>
      <c r="AC113" s="954"/>
      <c r="AD113" s="954"/>
      <c r="AE113" s="954"/>
      <c r="AF113" s="954"/>
      <c r="AG113" s="954"/>
      <c r="AH113" s="954"/>
      <c r="AI113" s="954"/>
      <c r="AJ113" s="954"/>
      <c r="AK113" s="990"/>
      <c r="AL113" s="990"/>
    </row>
    <row r="114" spans="2:38" s="955" customFormat="1" ht="12">
      <c r="B114" s="1007" t="s">
        <v>352</v>
      </c>
      <c r="C114" s="928" t="s">
        <v>298</v>
      </c>
      <c r="D114" s="954">
        <f t="shared" ref="D114:AB114" si="107">D25*D84</f>
        <v>335.81735999999995</v>
      </c>
      <c r="E114" s="954">
        <f t="shared" si="107"/>
        <v>335.81736000000001</v>
      </c>
      <c r="F114" s="954">
        <f t="shared" si="107"/>
        <v>335.81736000000001</v>
      </c>
      <c r="G114" s="954">
        <f t="shared" si="107"/>
        <v>333.31467684483289</v>
      </c>
      <c r="H114" s="954">
        <f t="shared" si="107"/>
        <v>334.80420024469458</v>
      </c>
      <c r="I114" s="954">
        <f t="shared" si="107"/>
        <v>333.03441253626067</v>
      </c>
      <c r="J114" s="954">
        <f t="shared" si="107"/>
        <v>331.82554971619498</v>
      </c>
      <c r="K114" s="954">
        <f t="shared" si="107"/>
        <v>333.63468250659872</v>
      </c>
      <c r="L114" s="954">
        <f t="shared" si="107"/>
        <v>332.94603867651762</v>
      </c>
      <c r="M114" s="954">
        <f t="shared" si="107"/>
        <v>333.25622384220918</v>
      </c>
      <c r="N114" s="954">
        <f t="shared" si="107"/>
        <v>330.67720354559816</v>
      </c>
      <c r="O114" s="954">
        <f t="shared" si="107"/>
        <v>326.67633939186629</v>
      </c>
      <c r="P114" s="954">
        <f t="shared" si="107"/>
        <v>329.80072243548784</v>
      </c>
      <c r="Q114" s="954">
        <f t="shared" si="107"/>
        <v>320.27423848818268</v>
      </c>
      <c r="R114" s="954">
        <f t="shared" si="107"/>
        <v>323.69716319367478</v>
      </c>
      <c r="S114" s="954">
        <f t="shared" si="107"/>
        <v>330.97341765192232</v>
      </c>
      <c r="T114" s="954">
        <f t="shared" si="107"/>
        <v>313.24333354348562</v>
      </c>
      <c r="U114" s="954">
        <f t="shared" si="107"/>
        <v>331.83925348271981</v>
      </c>
      <c r="V114" s="954">
        <f t="shared" si="107"/>
        <v>321.78383696555085</v>
      </c>
      <c r="W114" s="954">
        <f t="shared" si="107"/>
        <v>328.37304758296938</v>
      </c>
      <c r="X114" s="954">
        <f t="shared" si="107"/>
        <v>328.23831725561655</v>
      </c>
      <c r="Y114" s="954">
        <f t="shared" si="107"/>
        <v>330.23351460349318</v>
      </c>
      <c r="Z114" s="954">
        <f t="shared" si="107"/>
        <v>410.73780221479149</v>
      </c>
      <c r="AA114" s="954">
        <f t="shared" si="107"/>
        <v>409.94292245839847</v>
      </c>
      <c r="AB114" s="954">
        <f t="shared" si="107"/>
        <v>410.71278014639461</v>
      </c>
      <c r="AC114" s="1005">
        <f>(AC25-AC279)*AC84+AC292</f>
        <v>375.50550014488704</v>
      </c>
      <c r="AD114" s="1005">
        <f t="shared" ref="AD114:AH114" si="108">(AD25-AD279)*AD84+AD292</f>
        <v>262.77440648739969</v>
      </c>
      <c r="AE114" s="1005">
        <f t="shared" si="108"/>
        <v>226.71836407956363</v>
      </c>
      <c r="AF114" s="1005">
        <f t="shared" si="108"/>
        <v>249.08342541881092</v>
      </c>
      <c r="AG114" s="1005">
        <f t="shared" si="108"/>
        <v>205.99604602183314</v>
      </c>
      <c r="AH114" s="1005">
        <f t="shared" si="108"/>
        <v>201.10143269674148</v>
      </c>
      <c r="AI114" s="1005">
        <f t="shared" ref="AI114:AJ114" si="109">(AI25-AI279)*AI84+AI292</f>
        <v>289.50034575294177</v>
      </c>
      <c r="AJ114" s="1005">
        <f t="shared" si="109"/>
        <v>202.60206277581281</v>
      </c>
      <c r="AK114" s="990"/>
      <c r="AL114" s="990"/>
    </row>
    <row r="115" spans="2:38" s="955" customFormat="1" ht="12">
      <c r="B115" s="924" t="s">
        <v>353</v>
      </c>
      <c r="C115" s="925"/>
      <c r="D115" s="954"/>
      <c r="E115" s="954"/>
      <c r="F115" s="954"/>
      <c r="G115" s="954"/>
      <c r="H115" s="954"/>
      <c r="I115" s="954"/>
      <c r="J115" s="954"/>
      <c r="K115" s="954"/>
      <c r="L115" s="954"/>
      <c r="M115" s="954"/>
      <c r="N115" s="954"/>
      <c r="O115" s="954"/>
      <c r="P115" s="954"/>
      <c r="Q115" s="954"/>
      <c r="R115" s="954"/>
      <c r="S115" s="954"/>
      <c r="T115" s="954"/>
      <c r="U115" s="954"/>
      <c r="V115" s="954"/>
      <c r="W115" s="954"/>
      <c r="X115" s="954"/>
      <c r="Y115" s="954"/>
      <c r="Z115" s="954"/>
      <c r="AA115" s="954"/>
      <c r="AB115" s="954"/>
      <c r="AC115" s="954"/>
      <c r="AD115" s="954"/>
      <c r="AE115" s="954"/>
      <c r="AF115" s="954"/>
      <c r="AG115" s="954"/>
      <c r="AH115" s="954"/>
      <c r="AI115" s="954"/>
      <c r="AJ115" s="954"/>
      <c r="AK115" s="990"/>
      <c r="AL115" s="990"/>
    </row>
    <row r="116" spans="2:38" s="955" customFormat="1" ht="12">
      <c r="B116" s="928" t="s">
        <v>354</v>
      </c>
      <c r="C116" s="928" t="s">
        <v>298</v>
      </c>
      <c r="D116" s="954">
        <f t="shared" ref="D116:AG116" si="110">D27*D86</f>
        <v>108.69882352941177</v>
      </c>
      <c r="E116" s="954">
        <f t="shared" si="110"/>
        <v>108.69882352941177</v>
      </c>
      <c r="F116" s="954">
        <f t="shared" si="110"/>
        <v>108.69882352941175</v>
      </c>
      <c r="G116" s="954">
        <f t="shared" si="110"/>
        <v>108.69882352941175</v>
      </c>
      <c r="H116" s="954">
        <f t="shared" si="110"/>
        <v>108.69882352941175</v>
      </c>
      <c r="I116" s="954">
        <f t="shared" si="110"/>
        <v>108.69882352941174</v>
      </c>
      <c r="J116" s="954">
        <f t="shared" si="110"/>
        <v>108.69882352941177</v>
      </c>
      <c r="K116" s="954">
        <f t="shared" si="110"/>
        <v>108.69882352941175</v>
      </c>
      <c r="L116" s="954">
        <f t="shared" si="110"/>
        <v>108.69882352941175</v>
      </c>
      <c r="M116" s="954">
        <f t="shared" si="110"/>
        <v>108.69882352941175</v>
      </c>
      <c r="N116" s="954">
        <f t="shared" si="110"/>
        <v>114.73764705882354</v>
      </c>
      <c r="O116" s="954">
        <f t="shared" si="110"/>
        <v>114.73764705882351</v>
      </c>
      <c r="P116" s="954">
        <f t="shared" si="110"/>
        <v>114.7376470588235</v>
      </c>
      <c r="Q116" s="954">
        <f t="shared" si="110"/>
        <v>114.73764705882354</v>
      </c>
      <c r="R116" s="954">
        <f t="shared" si="110"/>
        <v>114.73764705882354</v>
      </c>
      <c r="S116" s="954">
        <f t="shared" si="110"/>
        <v>114.73764705882354</v>
      </c>
      <c r="T116" s="954">
        <f t="shared" si="110"/>
        <v>114.73764705882354</v>
      </c>
      <c r="U116" s="954">
        <f t="shared" si="110"/>
        <v>114.73764705882354</v>
      </c>
      <c r="V116" s="954">
        <f t="shared" si="110"/>
        <v>114.73764705882354</v>
      </c>
      <c r="W116" s="954">
        <f t="shared" si="110"/>
        <v>114.73764705882354</v>
      </c>
      <c r="X116" s="954">
        <f t="shared" si="110"/>
        <v>114.73764705882351</v>
      </c>
      <c r="Y116" s="954">
        <f t="shared" si="110"/>
        <v>114.73764705882351</v>
      </c>
      <c r="Z116" s="954">
        <f t="shared" si="110"/>
        <v>114.73764705882351</v>
      </c>
      <c r="AA116" s="954">
        <f t="shared" si="110"/>
        <v>114.73764705882351</v>
      </c>
      <c r="AB116" s="954">
        <f t="shared" si="110"/>
        <v>114.73764705882351</v>
      </c>
      <c r="AC116" s="954">
        <f t="shared" si="110"/>
        <v>114.73764705882351</v>
      </c>
      <c r="AD116" s="954">
        <f t="shared" si="110"/>
        <v>114.73764705882354</v>
      </c>
      <c r="AE116" s="954">
        <f t="shared" si="110"/>
        <v>114.73764705882351</v>
      </c>
      <c r="AF116" s="954">
        <f t="shared" si="110"/>
        <v>86.969333333333324</v>
      </c>
      <c r="AG116" s="954">
        <f t="shared" si="110"/>
        <v>121.67599999999995</v>
      </c>
      <c r="AH116" s="954">
        <f t="shared" ref="AH116:AI116" si="111">AH27*AH86</f>
        <v>266.51933333333335</v>
      </c>
      <c r="AI116" s="954">
        <f t="shared" si="111"/>
        <v>489.22466666666668</v>
      </c>
      <c r="AJ116" s="954">
        <f t="shared" ref="AJ116" si="112">AJ27*AJ86</f>
        <v>623.16200000000015</v>
      </c>
      <c r="AK116" s="990"/>
      <c r="AL116" s="990"/>
    </row>
    <row r="117" spans="2:38" s="955" customFormat="1" ht="12">
      <c r="B117" s="930" t="s">
        <v>356</v>
      </c>
      <c r="C117" s="928" t="s">
        <v>298</v>
      </c>
      <c r="D117" s="954">
        <f t="shared" ref="D117:AG117" si="113">D28*D87</f>
        <v>1511.1781200000003</v>
      </c>
      <c r="E117" s="954">
        <f t="shared" si="113"/>
        <v>1511.17812</v>
      </c>
      <c r="F117" s="954">
        <f t="shared" si="113"/>
        <v>1511.1781199999998</v>
      </c>
      <c r="G117" s="954">
        <f t="shared" si="113"/>
        <v>1511.17812</v>
      </c>
      <c r="H117" s="954">
        <f t="shared" si="113"/>
        <v>1511.1781199999998</v>
      </c>
      <c r="I117" s="954">
        <f t="shared" si="113"/>
        <v>1511.17812</v>
      </c>
      <c r="J117" s="954">
        <f t="shared" si="113"/>
        <v>1511.17812</v>
      </c>
      <c r="K117" s="954">
        <f t="shared" si="113"/>
        <v>1511.17812</v>
      </c>
      <c r="L117" s="954">
        <f t="shared" si="113"/>
        <v>1511.17812</v>
      </c>
      <c r="M117" s="954">
        <f t="shared" si="113"/>
        <v>1511.17812</v>
      </c>
      <c r="N117" s="954">
        <f t="shared" si="113"/>
        <v>1595.1324599999998</v>
      </c>
      <c r="O117" s="954">
        <f t="shared" si="113"/>
        <v>1595.13246</v>
      </c>
      <c r="P117" s="954">
        <f t="shared" si="113"/>
        <v>1595.13246</v>
      </c>
      <c r="Q117" s="954">
        <f t="shared" si="113"/>
        <v>1595.13246</v>
      </c>
      <c r="R117" s="954">
        <f t="shared" si="113"/>
        <v>1595.13246</v>
      </c>
      <c r="S117" s="954">
        <f t="shared" si="113"/>
        <v>1595.13246</v>
      </c>
      <c r="T117" s="954">
        <f t="shared" si="113"/>
        <v>1595.13246</v>
      </c>
      <c r="U117" s="954">
        <f t="shared" si="113"/>
        <v>1595.13246</v>
      </c>
      <c r="V117" s="954">
        <f t="shared" si="113"/>
        <v>1595.13246</v>
      </c>
      <c r="W117" s="954">
        <f t="shared" si="113"/>
        <v>1595.13246</v>
      </c>
      <c r="X117" s="954">
        <f t="shared" si="113"/>
        <v>1595.13246</v>
      </c>
      <c r="Y117" s="954">
        <f t="shared" si="113"/>
        <v>1595.13246</v>
      </c>
      <c r="Z117" s="954">
        <f t="shared" si="113"/>
        <v>1595.1324599999998</v>
      </c>
      <c r="AA117" s="954">
        <f t="shared" si="113"/>
        <v>1595.1324599999998</v>
      </c>
      <c r="AB117" s="954">
        <f t="shared" si="113"/>
        <v>1595.1324599999998</v>
      </c>
      <c r="AC117" s="954">
        <f t="shared" si="113"/>
        <v>1595.1324599999998</v>
      </c>
      <c r="AD117" s="954">
        <f t="shared" si="113"/>
        <v>1595.13246</v>
      </c>
      <c r="AE117" s="954">
        <f t="shared" si="113"/>
        <v>1595.13246</v>
      </c>
      <c r="AF117" s="954">
        <f t="shared" si="113"/>
        <v>1595.13246</v>
      </c>
      <c r="AG117" s="954">
        <f t="shared" si="113"/>
        <v>1595.1324599999998</v>
      </c>
      <c r="AH117" s="954">
        <f t="shared" ref="AH117:AI117" si="114">AH28*AH87</f>
        <v>1595.13246</v>
      </c>
      <c r="AI117" s="954">
        <f t="shared" si="114"/>
        <v>1595.13246</v>
      </c>
      <c r="AJ117" s="954">
        <f t="shared" ref="AJ117" si="115">AJ28*AJ87</f>
        <v>1595.13246</v>
      </c>
      <c r="AK117" s="990"/>
      <c r="AL117" s="990"/>
    </row>
    <row r="118" spans="2:38" s="955" customFormat="1" ht="12">
      <c r="B118" s="924" t="s">
        <v>357</v>
      </c>
      <c r="C118" s="925"/>
      <c r="D118" s="954"/>
      <c r="E118" s="954"/>
      <c r="F118" s="954"/>
      <c r="G118" s="954"/>
      <c r="H118" s="954"/>
      <c r="I118" s="954"/>
      <c r="J118" s="954"/>
      <c r="K118" s="954"/>
      <c r="L118" s="954"/>
      <c r="M118" s="954"/>
      <c r="N118" s="954"/>
      <c r="O118" s="954"/>
      <c r="P118" s="954"/>
      <c r="Q118" s="954"/>
      <c r="R118" s="954"/>
      <c r="S118" s="954"/>
      <c r="T118" s="954"/>
      <c r="U118" s="954"/>
      <c r="V118" s="954"/>
      <c r="W118" s="954"/>
      <c r="X118" s="954"/>
      <c r="Y118" s="954"/>
      <c r="Z118" s="954"/>
      <c r="AA118" s="954"/>
      <c r="AB118" s="954"/>
      <c r="AC118" s="954"/>
      <c r="AD118" s="954"/>
      <c r="AE118" s="954"/>
      <c r="AF118" s="954"/>
      <c r="AG118" s="954"/>
      <c r="AH118" s="954"/>
      <c r="AI118" s="954"/>
      <c r="AJ118" s="954"/>
      <c r="AK118" s="990"/>
      <c r="AL118" s="990"/>
    </row>
    <row r="119" spans="2:38" s="955" customFormat="1" ht="12">
      <c r="B119" s="1017" t="s">
        <v>358</v>
      </c>
      <c r="C119" s="930" t="s">
        <v>298</v>
      </c>
      <c r="D119" s="954">
        <f t="shared" ref="D119:AA119" si="116">D30*D89</f>
        <v>57.731333333333332</v>
      </c>
      <c r="E119" s="954">
        <f t="shared" si="116"/>
        <v>54.123125000000002</v>
      </c>
      <c r="F119" s="954">
        <f t="shared" si="116"/>
        <v>54.123125000000002</v>
      </c>
      <c r="G119" s="954">
        <f t="shared" si="116"/>
        <v>54.123125000000002</v>
      </c>
      <c r="H119" s="954">
        <f t="shared" si="116"/>
        <v>54.123125000000002</v>
      </c>
      <c r="I119" s="954">
        <f t="shared" si="116"/>
        <v>54.123125000000002</v>
      </c>
      <c r="J119" s="954">
        <f t="shared" si="116"/>
        <v>54.123125000000002</v>
      </c>
      <c r="K119" s="954">
        <f t="shared" si="116"/>
        <v>54.123125000000002</v>
      </c>
      <c r="L119" s="954">
        <f t="shared" si="116"/>
        <v>54.123125000000002</v>
      </c>
      <c r="M119" s="954">
        <f t="shared" si="116"/>
        <v>54.123125000000002</v>
      </c>
      <c r="N119" s="954">
        <f t="shared" si="116"/>
        <v>54.123125000000002</v>
      </c>
      <c r="O119" s="954">
        <f t="shared" si="116"/>
        <v>54.123124999999995</v>
      </c>
      <c r="P119" s="954">
        <f t="shared" si="116"/>
        <v>54.123124999999995</v>
      </c>
      <c r="Q119" s="954">
        <f t="shared" si="116"/>
        <v>54.123125000000002</v>
      </c>
      <c r="R119" s="954">
        <f t="shared" si="116"/>
        <v>54.123125000000002</v>
      </c>
      <c r="S119" s="954">
        <f t="shared" si="116"/>
        <v>54.123125000000002</v>
      </c>
      <c r="T119" s="954">
        <f t="shared" si="116"/>
        <v>54.123125000000002</v>
      </c>
      <c r="U119" s="954">
        <f t="shared" si="116"/>
        <v>54.123125000000002</v>
      </c>
      <c r="V119" s="954">
        <f t="shared" si="116"/>
        <v>108.24625</v>
      </c>
      <c r="W119" s="954">
        <f t="shared" si="116"/>
        <v>108.24625</v>
      </c>
      <c r="X119" s="954">
        <f t="shared" si="116"/>
        <v>162.36937499999999</v>
      </c>
      <c r="Y119" s="954">
        <f t="shared" si="116"/>
        <v>54.123124999999995</v>
      </c>
      <c r="Z119" s="954">
        <f t="shared" si="116"/>
        <v>54.123124999999995</v>
      </c>
      <c r="AA119" s="954">
        <f t="shared" si="116"/>
        <v>54.123125000000002</v>
      </c>
      <c r="AB119" s="1005">
        <f t="shared" ref="AB119:AG119" si="117">(AB30-AB303)*AB89+(AB301+AB304)</f>
        <v>4.16</v>
      </c>
      <c r="AC119" s="1005">
        <f t="shared" si="117"/>
        <v>57.534725000000002</v>
      </c>
      <c r="AD119" s="1005">
        <f t="shared" si="117"/>
        <v>69.683125000000004</v>
      </c>
      <c r="AE119" s="1005">
        <f t="shared" si="117"/>
        <v>8.36</v>
      </c>
      <c r="AF119" s="1005">
        <f t="shared" si="117"/>
        <v>10.58</v>
      </c>
      <c r="AG119" s="1005">
        <f t="shared" si="117"/>
        <v>33.440666666666665</v>
      </c>
      <c r="AH119" s="1005">
        <f t="shared" ref="AH119:AI119" si="118">(AH30-AH303)*AH89+(AH301+AH304)</f>
        <v>8.8199999999999985</v>
      </c>
      <c r="AI119" s="1005">
        <f t="shared" si="118"/>
        <v>7.34</v>
      </c>
      <c r="AJ119" s="1005">
        <f t="shared" ref="AJ119" si="119">(AJ30-AJ303)*AJ89+(AJ301+AJ304)</f>
        <v>20.072000000000003</v>
      </c>
      <c r="AK119" s="990"/>
      <c r="AL119" s="990"/>
    </row>
    <row r="120" spans="2:38" s="955" customFormat="1" ht="12">
      <c r="B120" s="1017" t="s">
        <v>360</v>
      </c>
      <c r="C120" s="930" t="s">
        <v>298</v>
      </c>
      <c r="D120" s="954">
        <f t="shared" ref="D120:X120" si="120">D31*D90</f>
        <v>1229.556</v>
      </c>
      <c r="E120" s="954">
        <f t="shared" si="120"/>
        <v>1152.70875</v>
      </c>
      <c r="F120" s="954">
        <f t="shared" si="120"/>
        <v>1152.70875</v>
      </c>
      <c r="G120" s="954">
        <f t="shared" si="120"/>
        <v>1152.70875</v>
      </c>
      <c r="H120" s="954">
        <f t="shared" si="120"/>
        <v>1152.70875</v>
      </c>
      <c r="I120" s="954">
        <f t="shared" si="120"/>
        <v>1152.70875</v>
      </c>
      <c r="J120" s="954">
        <f t="shared" si="120"/>
        <v>1152.70875</v>
      </c>
      <c r="K120" s="954">
        <f t="shared" si="120"/>
        <v>1152.70875</v>
      </c>
      <c r="L120" s="954">
        <f t="shared" si="120"/>
        <v>1152.70875</v>
      </c>
      <c r="M120" s="954">
        <f t="shared" si="120"/>
        <v>1152.70875</v>
      </c>
      <c r="N120" s="954">
        <f t="shared" si="120"/>
        <v>1152.70875</v>
      </c>
      <c r="O120" s="954">
        <f t="shared" si="120"/>
        <v>1152.7087500000002</v>
      </c>
      <c r="P120" s="954">
        <f t="shared" si="120"/>
        <v>1152.7087500000002</v>
      </c>
      <c r="Q120" s="954">
        <f t="shared" si="120"/>
        <v>1152.70875</v>
      </c>
      <c r="R120" s="954">
        <f t="shared" si="120"/>
        <v>1152.70875</v>
      </c>
      <c r="S120" s="954">
        <f t="shared" si="120"/>
        <v>1152.70875</v>
      </c>
      <c r="T120" s="954">
        <f t="shared" si="120"/>
        <v>1152.70875</v>
      </c>
      <c r="U120" s="954">
        <f t="shared" si="120"/>
        <v>1152.70875</v>
      </c>
      <c r="V120" s="954">
        <f t="shared" si="120"/>
        <v>2305.4175</v>
      </c>
      <c r="W120" s="954">
        <f t="shared" si="120"/>
        <v>2305.4175</v>
      </c>
      <c r="X120" s="954">
        <f t="shared" si="120"/>
        <v>3458.1262499999993</v>
      </c>
      <c r="Y120" s="1005">
        <f t="shared" ref="Y120:AG120" si="121">(Y31-Y303)*Y90+Y298</f>
        <v>11.152000000000001</v>
      </c>
      <c r="Z120" s="1005">
        <f t="shared" si="121"/>
        <v>7.3244000000000007</v>
      </c>
      <c r="AA120" s="1005">
        <f t="shared" si="121"/>
        <v>10.0596</v>
      </c>
      <c r="AB120" s="1005">
        <f t="shared" si="121"/>
        <v>9.2959999999999994</v>
      </c>
      <c r="AC120" s="1005">
        <f t="shared" si="121"/>
        <v>1161.9887499999998</v>
      </c>
      <c r="AD120" s="1005">
        <f t="shared" si="121"/>
        <v>1160.1787499999998</v>
      </c>
      <c r="AE120" s="1005">
        <f t="shared" si="121"/>
        <v>6.51</v>
      </c>
      <c r="AF120" s="1005">
        <f t="shared" si="121"/>
        <v>7.67</v>
      </c>
      <c r="AG120" s="1005">
        <f t="shared" si="121"/>
        <v>52.994666666666674</v>
      </c>
      <c r="AH120" s="1005">
        <f t="shared" ref="AH120:AI120" si="122">(AH31-AH303)*AH90+AH298</f>
        <v>3.71</v>
      </c>
      <c r="AI120" s="1005">
        <f t="shared" si="122"/>
        <v>8.11</v>
      </c>
      <c r="AJ120" s="1005">
        <f t="shared" ref="AJ120" si="123">(AJ31-AJ303)*AJ90+AJ298</f>
        <v>2.6595</v>
      </c>
      <c r="AK120" s="990"/>
      <c r="AL120" s="990"/>
    </row>
    <row r="121" spans="2:38" s="918" customFormat="1" ht="12">
      <c r="B121" s="985" t="s">
        <v>25</v>
      </c>
      <c r="C121" s="986" t="s">
        <v>298</v>
      </c>
      <c r="D121" s="987">
        <f t="shared" ref="D121:X121" si="124">D94+D96+D103+D104+D106+D112+D114+D116+D117+D119+D120</f>
        <v>6777.1208505469367</v>
      </c>
      <c r="E121" s="987">
        <f t="shared" si="124"/>
        <v>6702.4360703729071</v>
      </c>
      <c r="F121" s="987">
        <f t="shared" si="124"/>
        <v>6702.7463218868488</v>
      </c>
      <c r="G121" s="987">
        <f t="shared" si="124"/>
        <v>6622.0259926018662</v>
      </c>
      <c r="H121" s="987">
        <f t="shared" si="124"/>
        <v>6543.6225116966325</v>
      </c>
      <c r="I121" s="987">
        <f t="shared" si="124"/>
        <v>6460.7807639301273</v>
      </c>
      <c r="J121" s="987">
        <f t="shared" si="124"/>
        <v>6392.2130579681834</v>
      </c>
      <c r="K121" s="987">
        <f t="shared" si="124"/>
        <v>6311.7712749475386</v>
      </c>
      <c r="L121" s="987">
        <f t="shared" si="124"/>
        <v>6234.6644437685009</v>
      </c>
      <c r="M121" s="987">
        <f t="shared" si="124"/>
        <v>6163.1724360342942</v>
      </c>
      <c r="N121" s="987">
        <f t="shared" si="124"/>
        <v>6171.9966313205514</v>
      </c>
      <c r="O121" s="987">
        <f t="shared" si="124"/>
        <v>6113.6432155677339</v>
      </c>
      <c r="P121" s="987">
        <f t="shared" si="124"/>
        <v>6043.8428433093741</v>
      </c>
      <c r="Q121" s="987">
        <f t="shared" si="124"/>
        <v>5950.8579446587619</v>
      </c>
      <c r="R121" s="987">
        <f t="shared" si="124"/>
        <v>5900.3348196730731</v>
      </c>
      <c r="S121" s="987">
        <f t="shared" si="124"/>
        <v>5828.5619539441441</v>
      </c>
      <c r="T121" s="987">
        <f t="shared" si="124"/>
        <v>5725.093727007963</v>
      </c>
      <c r="U121" s="987">
        <f t="shared" si="124"/>
        <v>5672.3781995177087</v>
      </c>
      <c r="V121" s="987">
        <f t="shared" si="124"/>
        <v>6787.0092277042331</v>
      </c>
      <c r="W121" s="987">
        <f t="shared" si="124"/>
        <v>6714.096350924121</v>
      </c>
      <c r="X121" s="987">
        <f t="shared" si="124"/>
        <v>7846.0692815139282</v>
      </c>
      <c r="Y121" s="987">
        <f t="shared" ref="Y121:AG121" si="125">Y94+Y97+Y98+Y99+Y100+Y104+Y108+Y112+Y114+Y116+Y117+Y119+Y120</f>
        <v>4024.7117232779447</v>
      </c>
      <c r="Z121" s="987">
        <f t="shared" si="125"/>
        <v>4210.339741450799</v>
      </c>
      <c r="AA121" s="987">
        <f t="shared" si="125"/>
        <v>4213.2504213829188</v>
      </c>
      <c r="AB121" s="987">
        <f t="shared" si="125"/>
        <v>4159.8584056456657</v>
      </c>
      <c r="AC121" s="987">
        <f t="shared" si="125"/>
        <v>4931.5626047632941</v>
      </c>
      <c r="AD121" s="987">
        <f t="shared" si="125"/>
        <v>4275.6587358786246</v>
      </c>
      <c r="AE121" s="987">
        <f t="shared" si="125"/>
        <v>2719.3863986468723</v>
      </c>
      <c r="AF121" s="987">
        <f t="shared" si="125"/>
        <v>2618.2598772730216</v>
      </c>
      <c r="AG121" s="987">
        <f t="shared" si="125"/>
        <v>2913.7184148183678</v>
      </c>
      <c r="AH121" s="987">
        <f t="shared" ref="AH121:AI121" si="126">AH94+AH97+AH98+AH99+AH100+AH104+AH108+AH112+AH114+AH116+AH117+AH119+AH120</f>
        <v>2847.0195224220838</v>
      </c>
      <c r="AI121" s="987">
        <f t="shared" si="126"/>
        <v>3545.017186810815</v>
      </c>
      <c r="AJ121" s="987">
        <f t="shared" ref="AJ121:AK121" si="127">AJ94+AJ97+AJ98+AJ99+AJ100+AJ104+AJ108+AJ112+AJ114+AJ116+AJ117+AJ119+AJ120</f>
        <v>3624.6364828621495</v>
      </c>
      <c r="AK121" s="1400">
        <f t="shared" si="127"/>
        <v>12.149878594849556</v>
      </c>
      <c r="AL121" s="1229"/>
    </row>
    <row r="122" spans="2:38" s="918" customFormat="1" ht="12">
      <c r="B122" s="985" t="s">
        <v>25</v>
      </c>
      <c r="C122" s="986" t="s">
        <v>317</v>
      </c>
      <c r="D122" s="988">
        <f t="shared" ref="D122:Y122" si="128">D121*25/1000000</f>
        <v>0.1694280212636734</v>
      </c>
      <c r="E122" s="988">
        <f t="shared" si="128"/>
        <v>0.16756090175932267</v>
      </c>
      <c r="F122" s="988">
        <f t="shared" si="128"/>
        <v>0.16756865804717122</v>
      </c>
      <c r="G122" s="988">
        <f t="shared" si="128"/>
        <v>0.16555064981504666</v>
      </c>
      <c r="H122" s="988">
        <f t="shared" si="128"/>
        <v>0.16359056279241582</v>
      </c>
      <c r="I122" s="988">
        <f t="shared" si="128"/>
        <v>0.16151951909825318</v>
      </c>
      <c r="J122" s="988">
        <f t="shared" si="128"/>
        <v>0.15980532644920459</v>
      </c>
      <c r="K122" s="988">
        <f t="shared" si="128"/>
        <v>0.15779428187368846</v>
      </c>
      <c r="L122" s="988">
        <f t="shared" si="128"/>
        <v>0.15586661109421251</v>
      </c>
      <c r="M122" s="988">
        <f t="shared" si="128"/>
        <v>0.15407931090085736</v>
      </c>
      <c r="N122" s="988">
        <f t="shared" si="128"/>
        <v>0.1542999157830138</v>
      </c>
      <c r="O122" s="988">
        <f t="shared" si="128"/>
        <v>0.15284108038919333</v>
      </c>
      <c r="P122" s="988">
        <f t="shared" si="128"/>
        <v>0.15109607108273435</v>
      </c>
      <c r="Q122" s="988">
        <f t="shared" si="128"/>
        <v>0.14877144861646904</v>
      </c>
      <c r="R122" s="988">
        <f t="shared" si="128"/>
        <v>0.14750837049182683</v>
      </c>
      <c r="S122" s="988">
        <f t="shared" si="128"/>
        <v>0.14571404884860359</v>
      </c>
      <c r="T122" s="988">
        <f t="shared" si="128"/>
        <v>0.1431273431751991</v>
      </c>
      <c r="U122" s="988">
        <f t="shared" si="128"/>
        <v>0.1418094549879427</v>
      </c>
      <c r="V122" s="988">
        <f t="shared" si="128"/>
        <v>0.16967523069260584</v>
      </c>
      <c r="W122" s="988">
        <f t="shared" si="128"/>
        <v>0.16785240877310303</v>
      </c>
      <c r="X122" s="988">
        <f t="shared" si="128"/>
        <v>0.19615173203784822</v>
      </c>
      <c r="Y122" s="988">
        <f t="shared" si="128"/>
        <v>0.10061779308194863</v>
      </c>
      <c r="Z122" s="988">
        <f t="shared" ref="Z122:AG122" si="129">Z121*25/1000000</f>
        <v>0.10525849353626998</v>
      </c>
      <c r="AA122" s="988">
        <f t="shared" si="129"/>
        <v>0.10533126053457297</v>
      </c>
      <c r="AB122" s="988">
        <f t="shared" si="129"/>
        <v>0.10399646014114164</v>
      </c>
      <c r="AC122" s="988">
        <f t="shared" si="129"/>
        <v>0.12328906511908236</v>
      </c>
      <c r="AD122" s="988">
        <f t="shared" si="129"/>
        <v>0.10689146839696562</v>
      </c>
      <c r="AE122" s="988">
        <f t="shared" si="129"/>
        <v>6.7984659966171812E-2</v>
      </c>
      <c r="AF122" s="988">
        <f t="shared" si="129"/>
        <v>6.5456496931825536E-2</v>
      </c>
      <c r="AG122" s="1156">
        <f t="shared" si="129"/>
        <v>7.2842960370459203E-2</v>
      </c>
      <c r="AH122" s="1156">
        <f t="shared" ref="AH122:AI122" si="130">AH121*25/1000000</f>
        <v>7.1175488060552086E-2</v>
      </c>
      <c r="AI122" s="1156">
        <f t="shared" si="130"/>
        <v>8.8625429670270373E-2</v>
      </c>
      <c r="AJ122" s="1156">
        <f t="shared" ref="AJ122:AK122" si="131">AJ121*25/1000000</f>
        <v>9.0615912071553742E-2</v>
      </c>
      <c r="AK122" s="1401">
        <f t="shared" si="131"/>
        <v>3.0374696487123893E-4</v>
      </c>
      <c r="AL122" s="1230"/>
    </row>
    <row r="123" spans="2:38" s="955" customFormat="1" ht="12">
      <c r="B123" s="963"/>
      <c r="C123" s="953"/>
      <c r="D123" s="954"/>
      <c r="E123" s="954"/>
      <c r="F123" s="954"/>
      <c r="G123" s="954"/>
      <c r="H123" s="954"/>
      <c r="I123" s="954"/>
      <c r="J123" s="954"/>
      <c r="K123" s="954"/>
      <c r="L123" s="954"/>
      <c r="M123" s="954"/>
      <c r="N123" s="954"/>
      <c r="O123" s="954"/>
      <c r="P123" s="954"/>
      <c r="Q123" s="954"/>
      <c r="R123" s="954"/>
      <c r="S123" s="954"/>
      <c r="T123" s="954"/>
      <c r="U123" s="954"/>
      <c r="V123" s="954"/>
      <c r="W123" s="954"/>
      <c r="X123" s="954"/>
      <c r="Y123" s="954"/>
      <c r="Z123" s="954"/>
      <c r="AA123" s="954"/>
      <c r="AB123" s="954"/>
      <c r="AC123" s="954"/>
      <c r="AD123" s="954"/>
      <c r="AE123" s="954"/>
      <c r="AF123" s="954"/>
      <c r="AG123" s="954"/>
      <c r="AH123" s="954"/>
      <c r="AI123" s="1231"/>
      <c r="AJ123" s="1209"/>
      <c r="AK123" s="1209"/>
      <c r="AL123" s="1209"/>
    </row>
    <row r="124" spans="2:38" s="955" customFormat="1" ht="21.5">
      <c r="B124" s="89" t="s">
        <v>373</v>
      </c>
      <c r="C124" s="989"/>
      <c r="D124" s="990"/>
      <c r="E124" s="990"/>
      <c r="F124" s="990"/>
      <c r="G124" s="990"/>
      <c r="H124" s="990"/>
      <c r="I124" s="990"/>
      <c r="J124" s="990"/>
      <c r="K124" s="990"/>
      <c r="L124" s="990"/>
      <c r="M124" s="990"/>
      <c r="N124" s="990"/>
      <c r="O124" s="990"/>
      <c r="P124" s="990"/>
      <c r="Q124" s="990"/>
      <c r="R124" s="990"/>
      <c r="S124" s="990"/>
      <c r="T124" s="990"/>
      <c r="U124" s="990"/>
      <c r="V124" s="990"/>
      <c r="W124" s="990"/>
      <c r="X124" s="990"/>
      <c r="Y124" s="990"/>
      <c r="Z124" s="990"/>
      <c r="AA124" s="990"/>
      <c r="AB124" s="990"/>
      <c r="AC124" s="990"/>
      <c r="AD124" s="990"/>
      <c r="AE124" s="990"/>
      <c r="AF124" s="990"/>
      <c r="AG124" s="990"/>
      <c r="AH124" s="990"/>
      <c r="AI124" s="990"/>
    </row>
    <row r="125" spans="2:38" ht="15.5">
      <c r="B125" s="1035" t="s">
        <v>254</v>
      </c>
      <c r="D125" s="234"/>
    </row>
    <row r="126" spans="2:38" s="1036" customFormat="1" ht="15.5">
      <c r="B126" s="1035" t="s">
        <v>319</v>
      </c>
      <c r="C126" s="1037"/>
      <c r="D126" s="1037"/>
      <c r="E126" s="1037"/>
      <c r="F126" s="1037"/>
      <c r="G126" s="1037"/>
      <c r="H126" s="1037"/>
      <c r="I126" s="1037"/>
      <c r="J126" s="1037"/>
      <c r="K126" s="1037"/>
      <c r="L126" s="1037"/>
      <c r="M126" s="1037"/>
      <c r="N126" s="1037"/>
      <c r="O126" s="1037"/>
      <c r="P126" s="1037"/>
      <c r="Q126" s="1037"/>
      <c r="R126" s="1037"/>
      <c r="S126" s="1037"/>
      <c r="T126" s="1037"/>
      <c r="U126" s="1037"/>
      <c r="V126" s="1037"/>
      <c r="W126" s="1037"/>
      <c r="X126" s="1037"/>
      <c r="Y126" s="1037"/>
      <c r="Z126" s="1037"/>
      <c r="AA126" s="1037"/>
      <c r="AB126" s="1037"/>
      <c r="AC126" s="1035"/>
      <c r="AD126" s="1035"/>
      <c r="AE126" s="1035"/>
      <c r="AF126" s="1035"/>
      <c r="AG126" s="1035"/>
      <c r="AH126" s="1035"/>
      <c r="AI126" s="1035"/>
      <c r="AJ126" s="1035"/>
      <c r="AK126" s="1035"/>
      <c r="AL126" s="995"/>
    </row>
    <row r="127" spans="2:38" s="919" customFormat="1" ht="15.5">
      <c r="B127" s="1038" t="s">
        <v>256</v>
      </c>
      <c r="C127" s="1038" t="s">
        <v>257</v>
      </c>
      <c r="D127" s="1039">
        <v>1990</v>
      </c>
      <c r="E127" s="1039">
        <v>1991</v>
      </c>
      <c r="F127" s="1039">
        <v>1992</v>
      </c>
      <c r="G127" s="1039">
        <v>1993</v>
      </c>
      <c r="H127" s="1039">
        <v>1994</v>
      </c>
      <c r="I127" s="1039">
        <v>1995</v>
      </c>
      <c r="J127" s="1039">
        <v>1996</v>
      </c>
      <c r="K127" s="1039">
        <v>1997</v>
      </c>
      <c r="L127" s="1039">
        <v>1998</v>
      </c>
      <c r="M127" s="1039">
        <v>1999</v>
      </c>
      <c r="N127" s="1039">
        <v>2000</v>
      </c>
      <c r="O127" s="1039">
        <v>2001</v>
      </c>
      <c r="P127" s="1039">
        <v>2002</v>
      </c>
      <c r="Q127" s="1039">
        <v>2003</v>
      </c>
      <c r="R127" s="1039">
        <v>2004</v>
      </c>
      <c r="S127" s="1039">
        <v>2005</v>
      </c>
      <c r="T127" s="1039">
        <v>2006</v>
      </c>
      <c r="U127" s="1039">
        <v>2007</v>
      </c>
      <c r="V127" s="1039">
        <v>2008</v>
      </c>
      <c r="W127" s="1039">
        <v>2009</v>
      </c>
      <c r="X127" s="1039">
        <v>2010</v>
      </c>
      <c r="Y127" s="1039">
        <v>2011</v>
      </c>
      <c r="Z127" s="1039">
        <v>2012</v>
      </c>
      <c r="AA127" s="1039">
        <v>2013</v>
      </c>
      <c r="AB127" s="1039">
        <v>2014</v>
      </c>
      <c r="AC127" s="1039">
        <v>2015</v>
      </c>
      <c r="AD127" s="1039">
        <v>2016</v>
      </c>
      <c r="AE127" s="1039">
        <v>2017</v>
      </c>
      <c r="AF127" s="1039">
        <v>2018</v>
      </c>
      <c r="AG127" s="1039">
        <v>2019</v>
      </c>
      <c r="AH127" s="1211">
        <v>2020</v>
      </c>
      <c r="AI127" s="1211">
        <v>2021</v>
      </c>
      <c r="AJ127" s="1211">
        <v>2022</v>
      </c>
      <c r="AK127" s="1211">
        <v>2023</v>
      </c>
      <c r="AL127" s="1056"/>
    </row>
    <row r="128" spans="2:38" s="919" customFormat="1" ht="13">
      <c r="B128" s="920" t="s">
        <v>362</v>
      </c>
      <c r="C128" s="921"/>
      <c r="D128" s="922"/>
      <c r="E128" s="922"/>
      <c r="F128" s="922"/>
      <c r="G128" s="922"/>
      <c r="H128" s="922"/>
      <c r="I128" s="922"/>
      <c r="J128" s="922"/>
      <c r="K128" s="922"/>
      <c r="L128" s="922"/>
      <c r="M128" s="922"/>
      <c r="N128" s="922"/>
      <c r="O128" s="922"/>
      <c r="P128" s="922"/>
      <c r="Q128" s="922"/>
      <c r="R128" s="922"/>
      <c r="S128" s="922"/>
      <c r="T128" s="922"/>
      <c r="U128" s="922"/>
      <c r="V128" s="922"/>
      <c r="W128" s="922"/>
      <c r="X128" s="922"/>
      <c r="Y128" s="922"/>
      <c r="Z128" s="922"/>
      <c r="AA128" s="922"/>
      <c r="AB128" s="922"/>
      <c r="AC128" s="922"/>
      <c r="AD128" s="922"/>
      <c r="AE128" s="922"/>
      <c r="AF128" s="923"/>
      <c r="AG128" s="922"/>
      <c r="AH128" s="922"/>
      <c r="AI128" s="922"/>
      <c r="AJ128" s="922"/>
      <c r="AK128" s="922"/>
    </row>
    <row r="129" spans="2:38" s="919" customFormat="1" ht="12">
      <c r="B129" s="930" t="s">
        <v>331</v>
      </c>
      <c r="C129" s="930" t="s">
        <v>261</v>
      </c>
      <c r="D129" s="931">
        <v>0.32163893656966086</v>
      </c>
      <c r="E129" s="931" t="s">
        <v>324</v>
      </c>
      <c r="F129" s="931" t="s">
        <v>324</v>
      </c>
      <c r="G129" s="931" t="s">
        <v>324</v>
      </c>
      <c r="H129" s="931" t="s">
        <v>324</v>
      </c>
      <c r="I129" s="931" t="s">
        <v>324</v>
      </c>
      <c r="J129" s="931" t="s">
        <v>324</v>
      </c>
      <c r="K129" s="931" t="s">
        <v>324</v>
      </c>
      <c r="L129" s="931" t="s">
        <v>324</v>
      </c>
      <c r="M129" s="931" t="s">
        <v>324</v>
      </c>
      <c r="N129" s="931" t="s">
        <v>324</v>
      </c>
      <c r="O129" s="931" t="s">
        <v>324</v>
      </c>
      <c r="P129" s="931" t="s">
        <v>324</v>
      </c>
      <c r="Q129" s="931" t="s">
        <v>324</v>
      </c>
      <c r="R129" s="931" t="s">
        <v>324</v>
      </c>
      <c r="S129" s="931" t="s">
        <v>324</v>
      </c>
      <c r="T129" s="931" t="s">
        <v>324</v>
      </c>
      <c r="U129" s="931" t="s">
        <v>324</v>
      </c>
      <c r="V129" s="931" t="s">
        <v>324</v>
      </c>
      <c r="W129" s="931" t="s">
        <v>324</v>
      </c>
      <c r="X129" s="931" t="s">
        <v>324</v>
      </c>
      <c r="Y129" s="931" t="s">
        <v>324</v>
      </c>
      <c r="Z129" s="931" t="s">
        <v>324</v>
      </c>
      <c r="AA129" s="931" t="s">
        <v>324</v>
      </c>
      <c r="AB129" s="931" t="s">
        <v>324</v>
      </c>
      <c r="AC129" s="931" t="s">
        <v>324</v>
      </c>
      <c r="AD129" s="931" t="s">
        <v>324</v>
      </c>
      <c r="AE129" s="931" t="s">
        <v>324</v>
      </c>
      <c r="AF129" s="931" t="s">
        <v>324</v>
      </c>
      <c r="AG129" s="931" t="s">
        <v>324</v>
      </c>
      <c r="AH129" s="1150" t="s">
        <v>324</v>
      </c>
      <c r="AI129" s="1150" t="s">
        <v>324</v>
      </c>
      <c r="AJ129" s="1150" t="s">
        <v>324</v>
      </c>
      <c r="AK129" s="1150" t="s">
        <v>324</v>
      </c>
    </row>
    <row r="130" spans="2:38" s="919" customFormat="1" ht="12">
      <c r="B130" s="924" t="s">
        <v>333</v>
      </c>
      <c r="C130" s="925"/>
      <c r="D130" s="926"/>
      <c r="E130" s="926"/>
      <c r="F130" s="926"/>
      <c r="G130" s="926"/>
      <c r="H130" s="926"/>
      <c r="I130" s="926"/>
      <c r="J130" s="926"/>
      <c r="K130" s="926"/>
      <c r="L130" s="926"/>
      <c r="M130" s="926"/>
      <c r="N130" s="926"/>
      <c r="O130" s="926"/>
      <c r="P130" s="926"/>
      <c r="Q130" s="926"/>
      <c r="R130" s="926"/>
      <c r="S130" s="926"/>
      <c r="T130" s="926"/>
      <c r="U130" s="926"/>
      <c r="V130" s="926"/>
      <c r="W130" s="926"/>
      <c r="X130" s="926"/>
      <c r="Y130" s="926"/>
      <c r="Z130" s="926"/>
      <c r="AA130" s="926"/>
      <c r="AB130" s="926"/>
      <c r="AC130" s="926"/>
      <c r="AD130" s="926"/>
      <c r="AE130" s="926"/>
      <c r="AF130" s="927"/>
      <c r="AG130" s="1154"/>
      <c r="AH130" s="1220"/>
      <c r="AI130" s="1220"/>
      <c r="AJ130" s="1220"/>
      <c r="AK130" s="1220"/>
    </row>
    <row r="131" spans="2:38" s="919" customFormat="1" ht="12">
      <c r="B131" s="928" t="s">
        <v>334</v>
      </c>
      <c r="C131" s="928" t="s">
        <v>272</v>
      </c>
      <c r="D131" s="929">
        <v>18662.029823813158</v>
      </c>
      <c r="E131" s="929">
        <v>18662.029823813158</v>
      </c>
      <c r="F131" s="929">
        <v>18662.029823813158</v>
      </c>
      <c r="G131" s="929">
        <v>18177.585836531594</v>
      </c>
      <c r="H131" s="929">
        <v>17693.141849250027</v>
      </c>
      <c r="I131" s="929">
        <v>17208.697861968467</v>
      </c>
      <c r="J131" s="929">
        <v>16724.253874686903</v>
      </c>
      <c r="K131" s="929">
        <v>16239.809887405341</v>
      </c>
      <c r="L131" s="929">
        <v>15755.365900123777</v>
      </c>
      <c r="M131" s="929">
        <v>15270.921912842217</v>
      </c>
      <c r="N131" s="929">
        <v>14786.477925560655</v>
      </c>
      <c r="O131" s="929">
        <v>14302.03393827909</v>
      </c>
      <c r="P131" s="929">
        <v>13817.589950997532</v>
      </c>
      <c r="Q131" s="929">
        <v>13333.145963715964</v>
      </c>
      <c r="R131" s="929">
        <v>12848.7019764344</v>
      </c>
      <c r="S131" s="929">
        <v>12364.257989152837</v>
      </c>
      <c r="T131" s="929">
        <v>11879.814001871273</v>
      </c>
      <c r="U131" s="929">
        <v>11395.370014589709</v>
      </c>
      <c r="V131" s="929">
        <v>10910.926027308147</v>
      </c>
      <c r="W131" s="929">
        <v>10426.482040026582</v>
      </c>
      <c r="X131" s="929">
        <v>9942.0380527450197</v>
      </c>
      <c r="Y131" s="929">
        <v>9457.5940654634433</v>
      </c>
      <c r="Z131" s="929">
        <v>9473.4774661787815</v>
      </c>
      <c r="AA131" s="929">
        <v>9468.6838233292256</v>
      </c>
      <c r="AB131" s="929">
        <v>9354.9115954685203</v>
      </c>
      <c r="AC131" s="929">
        <v>9402.6769006694049</v>
      </c>
      <c r="AD131" s="929">
        <v>9405.3191819507792</v>
      </c>
      <c r="AE131" s="929">
        <v>9375.9339640633534</v>
      </c>
      <c r="AF131" s="929">
        <v>9233.6621209197183</v>
      </c>
      <c r="AG131" s="929">
        <v>9142.3491817312715</v>
      </c>
      <c r="AH131" s="1152">
        <v>9092.6694002117365</v>
      </c>
      <c r="AI131" s="1152">
        <v>8797.9149368526832</v>
      </c>
      <c r="AJ131" s="1152">
        <v>8654.9785867237697</v>
      </c>
      <c r="AK131" s="1152"/>
      <c r="AL131" s="990"/>
    </row>
    <row r="132" spans="2:38" s="919" customFormat="1" ht="12">
      <c r="B132" s="959" t="s">
        <v>336</v>
      </c>
      <c r="C132" s="930" t="s">
        <v>272</v>
      </c>
      <c r="D132" s="931" t="s">
        <v>324</v>
      </c>
      <c r="E132" s="931" t="s">
        <v>324</v>
      </c>
      <c r="F132" s="931" t="s">
        <v>324</v>
      </c>
      <c r="G132" s="931" t="s">
        <v>324</v>
      </c>
      <c r="H132" s="931" t="s">
        <v>324</v>
      </c>
      <c r="I132" s="931" t="s">
        <v>324</v>
      </c>
      <c r="J132" s="931" t="s">
        <v>324</v>
      </c>
      <c r="K132" s="931" t="s">
        <v>324</v>
      </c>
      <c r="L132" s="931" t="s">
        <v>324</v>
      </c>
      <c r="M132" s="931" t="s">
        <v>324</v>
      </c>
      <c r="N132" s="931" t="s">
        <v>324</v>
      </c>
      <c r="O132" s="931" t="s">
        <v>324</v>
      </c>
      <c r="P132" s="931" t="s">
        <v>324</v>
      </c>
      <c r="Q132" s="931" t="s">
        <v>324</v>
      </c>
      <c r="R132" s="931" t="s">
        <v>324</v>
      </c>
      <c r="S132" s="931" t="s">
        <v>324</v>
      </c>
      <c r="T132" s="931" t="s">
        <v>324</v>
      </c>
      <c r="U132" s="931" t="s">
        <v>324</v>
      </c>
      <c r="V132" s="931" t="s">
        <v>324</v>
      </c>
      <c r="W132" s="931" t="s">
        <v>324</v>
      </c>
      <c r="X132" s="931" t="s">
        <v>324</v>
      </c>
      <c r="Y132" s="931">
        <v>1884.3683083511776</v>
      </c>
      <c r="Z132" s="931">
        <v>1884.3683083511773</v>
      </c>
      <c r="AA132" s="931">
        <v>1884.3683083511776</v>
      </c>
      <c r="AB132" s="931">
        <v>1884.3683083511773</v>
      </c>
      <c r="AC132" s="931">
        <v>1884.3683083511771</v>
      </c>
      <c r="AD132" s="931">
        <v>1884.3683083511776</v>
      </c>
      <c r="AE132" s="931">
        <v>1884.3683083511773</v>
      </c>
      <c r="AF132" s="931">
        <v>1884.3683083511773</v>
      </c>
      <c r="AG132" s="931">
        <v>1884.3683083511776</v>
      </c>
      <c r="AH132" s="1150">
        <v>1884.3683083511776</v>
      </c>
      <c r="AI132" s="1150">
        <v>1884.3683083511776</v>
      </c>
      <c r="AJ132" s="1150">
        <v>1884.3683083511773</v>
      </c>
      <c r="AK132" s="1150"/>
      <c r="AL132" s="990"/>
    </row>
    <row r="133" spans="2:38" s="919" customFormat="1" ht="12">
      <c r="B133" s="959" t="s">
        <v>337</v>
      </c>
      <c r="C133" s="930" t="s">
        <v>363</v>
      </c>
      <c r="D133" s="931" t="s">
        <v>324</v>
      </c>
      <c r="E133" s="931" t="s">
        <v>324</v>
      </c>
      <c r="F133" s="931" t="s">
        <v>324</v>
      </c>
      <c r="G133" s="931" t="s">
        <v>324</v>
      </c>
      <c r="H133" s="931" t="s">
        <v>324</v>
      </c>
      <c r="I133" s="931" t="s">
        <v>324</v>
      </c>
      <c r="J133" s="931" t="s">
        <v>324</v>
      </c>
      <c r="K133" s="931" t="s">
        <v>324</v>
      </c>
      <c r="L133" s="931" t="s">
        <v>324</v>
      </c>
      <c r="M133" s="931" t="s">
        <v>324</v>
      </c>
      <c r="N133" s="931" t="s">
        <v>324</v>
      </c>
      <c r="O133" s="931" t="s">
        <v>324</v>
      </c>
      <c r="P133" s="931" t="s">
        <v>324</v>
      </c>
      <c r="Q133" s="931" t="s">
        <v>324</v>
      </c>
      <c r="R133" s="931" t="s">
        <v>324</v>
      </c>
      <c r="S133" s="931" t="s">
        <v>324</v>
      </c>
      <c r="T133" s="931" t="s">
        <v>324</v>
      </c>
      <c r="U133" s="931" t="s">
        <v>324</v>
      </c>
      <c r="V133" s="931" t="s">
        <v>324</v>
      </c>
      <c r="W133" s="931" t="s">
        <v>324</v>
      </c>
      <c r="X133" s="931" t="s">
        <v>324</v>
      </c>
      <c r="Y133" s="931">
        <v>1913.8115631691644</v>
      </c>
      <c r="Z133" s="931">
        <v>1913.8115631691651</v>
      </c>
      <c r="AA133" s="931">
        <v>1913.8115631691649</v>
      </c>
      <c r="AB133" s="931">
        <v>1913.8115631691644</v>
      </c>
      <c r="AC133" s="931">
        <v>1913.8115631691649</v>
      </c>
      <c r="AD133" s="931">
        <v>1913.8115631691649</v>
      </c>
      <c r="AE133" s="931">
        <v>1913.8115631691649</v>
      </c>
      <c r="AF133" s="931">
        <v>1913.8115631691649</v>
      </c>
      <c r="AG133" s="931">
        <v>1913.8115631691651</v>
      </c>
      <c r="AH133" s="1150">
        <v>1913.8115631691646</v>
      </c>
      <c r="AI133" s="1150">
        <v>1913.8115631691649</v>
      </c>
      <c r="AJ133" s="1150">
        <v>1913.8115631691646</v>
      </c>
      <c r="AK133" s="1150"/>
      <c r="AL133" s="990"/>
    </row>
    <row r="134" spans="2:38" s="919" customFormat="1" ht="12">
      <c r="B134" s="959" t="s">
        <v>339</v>
      </c>
      <c r="C134" s="930" t="s">
        <v>363</v>
      </c>
      <c r="D134" s="931" t="s">
        <v>324</v>
      </c>
      <c r="E134" s="931" t="s">
        <v>324</v>
      </c>
      <c r="F134" s="931" t="s">
        <v>324</v>
      </c>
      <c r="G134" s="931" t="s">
        <v>324</v>
      </c>
      <c r="H134" s="931" t="s">
        <v>324</v>
      </c>
      <c r="I134" s="931" t="s">
        <v>324</v>
      </c>
      <c r="J134" s="931" t="s">
        <v>324</v>
      </c>
      <c r="K134" s="931" t="s">
        <v>324</v>
      </c>
      <c r="L134" s="931" t="s">
        <v>324</v>
      </c>
      <c r="M134" s="931" t="s">
        <v>324</v>
      </c>
      <c r="N134" s="931" t="s">
        <v>324</v>
      </c>
      <c r="O134" s="931" t="s">
        <v>324</v>
      </c>
      <c r="P134" s="931" t="s">
        <v>324</v>
      </c>
      <c r="Q134" s="931" t="s">
        <v>324</v>
      </c>
      <c r="R134" s="931" t="s">
        <v>324</v>
      </c>
      <c r="S134" s="931" t="s">
        <v>324</v>
      </c>
      <c r="T134" s="931" t="s">
        <v>324</v>
      </c>
      <c r="U134" s="931" t="s">
        <v>324</v>
      </c>
      <c r="V134" s="931" t="s">
        <v>324</v>
      </c>
      <c r="W134" s="931" t="s">
        <v>324</v>
      </c>
      <c r="X134" s="931" t="s">
        <v>324</v>
      </c>
      <c r="Y134" s="931">
        <v>2002.1413276231265</v>
      </c>
      <c r="Z134" s="931">
        <v>2002.1413276231262</v>
      </c>
      <c r="AA134" s="931">
        <v>2002.1413276231262</v>
      </c>
      <c r="AB134" s="931">
        <v>2002.1413276231262</v>
      </c>
      <c r="AC134" s="931">
        <v>2002.1413276231262</v>
      </c>
      <c r="AD134" s="931">
        <v>2002.141327623126</v>
      </c>
      <c r="AE134" s="931">
        <v>2002.141327623126</v>
      </c>
      <c r="AF134" s="931">
        <v>2002.141327623126</v>
      </c>
      <c r="AG134" s="931">
        <v>2002.1413276231262</v>
      </c>
      <c r="AH134" s="1150">
        <v>2002.1413276231267</v>
      </c>
      <c r="AI134" s="1150">
        <v>2002.141327623126</v>
      </c>
      <c r="AJ134" s="1150">
        <v>2002.141327623126</v>
      </c>
      <c r="AK134" s="1150"/>
      <c r="AL134" s="990"/>
    </row>
    <row r="135" spans="2:38" s="919" customFormat="1" ht="12">
      <c r="B135" s="960" t="s">
        <v>340</v>
      </c>
      <c r="C135" s="933" t="s">
        <v>363</v>
      </c>
      <c r="D135" s="934" t="s">
        <v>324</v>
      </c>
      <c r="E135" s="934" t="s">
        <v>324</v>
      </c>
      <c r="F135" s="934" t="s">
        <v>324</v>
      </c>
      <c r="G135" s="934" t="s">
        <v>324</v>
      </c>
      <c r="H135" s="934" t="s">
        <v>324</v>
      </c>
      <c r="I135" s="934" t="s">
        <v>324</v>
      </c>
      <c r="J135" s="934" t="s">
        <v>324</v>
      </c>
      <c r="K135" s="934" t="s">
        <v>324</v>
      </c>
      <c r="L135" s="934" t="s">
        <v>324</v>
      </c>
      <c r="M135" s="934" t="s">
        <v>324</v>
      </c>
      <c r="N135" s="934" t="s">
        <v>324</v>
      </c>
      <c r="O135" s="934" t="s">
        <v>324</v>
      </c>
      <c r="P135" s="934" t="s">
        <v>324</v>
      </c>
      <c r="Q135" s="934" t="s">
        <v>324</v>
      </c>
      <c r="R135" s="934" t="s">
        <v>324</v>
      </c>
      <c r="S135" s="934" t="s">
        <v>324</v>
      </c>
      <c r="T135" s="934" t="s">
        <v>324</v>
      </c>
      <c r="U135" s="934" t="s">
        <v>324</v>
      </c>
      <c r="V135" s="934" t="s">
        <v>324</v>
      </c>
      <c r="W135" s="934" t="s">
        <v>324</v>
      </c>
      <c r="X135" s="934" t="s">
        <v>324</v>
      </c>
      <c r="Y135" s="934">
        <v>1295.5032119914347</v>
      </c>
      <c r="Z135" s="934">
        <v>1295.5032119914347</v>
      </c>
      <c r="AA135" s="934">
        <v>1295.5032119914349</v>
      </c>
      <c r="AB135" s="934">
        <v>1295.5032119914347</v>
      </c>
      <c r="AC135" s="934">
        <v>1295.5032119914347</v>
      </c>
      <c r="AD135" s="934">
        <v>1295.5032119914342</v>
      </c>
      <c r="AE135" s="934">
        <v>1295.5032119914347</v>
      </c>
      <c r="AF135" s="934">
        <v>1295.5032119914347</v>
      </c>
      <c r="AG135" s="934">
        <v>1295.5032119914347</v>
      </c>
      <c r="AH135" s="1151">
        <v>1295.5032119914347</v>
      </c>
      <c r="AI135" s="1151">
        <v>1295.5032119914347</v>
      </c>
      <c r="AJ135" s="1151">
        <v>1295.5032119914347</v>
      </c>
      <c r="AK135" s="1151"/>
      <c r="AL135" s="990"/>
    </row>
    <row r="136" spans="2:38" s="919" customFormat="1" ht="12">
      <c r="B136" s="924" t="s">
        <v>341</v>
      </c>
      <c r="C136" s="925"/>
      <c r="D136" s="926"/>
      <c r="E136" s="926"/>
      <c r="F136" s="926"/>
      <c r="G136" s="926"/>
      <c r="H136" s="926"/>
      <c r="I136" s="926"/>
      <c r="J136" s="926"/>
      <c r="K136" s="926"/>
      <c r="L136" s="926"/>
      <c r="M136" s="926"/>
      <c r="N136" s="926"/>
      <c r="O136" s="926"/>
      <c r="P136" s="926"/>
      <c r="Q136" s="926"/>
      <c r="R136" s="926"/>
      <c r="S136" s="926"/>
      <c r="T136" s="926"/>
      <c r="U136" s="926"/>
      <c r="V136" s="926"/>
      <c r="W136" s="926"/>
      <c r="X136" s="926"/>
      <c r="Y136" s="926"/>
      <c r="Z136" s="926"/>
      <c r="AA136" s="926"/>
      <c r="AB136" s="926"/>
      <c r="AC136" s="926"/>
      <c r="AD136" s="926"/>
      <c r="AE136" s="926"/>
      <c r="AF136" s="927"/>
      <c r="AG136" s="1157"/>
      <c r="AH136" s="1255"/>
      <c r="AI136" s="1255"/>
      <c r="AJ136" s="1255"/>
      <c r="AK136" s="1255"/>
      <c r="AL136" s="990"/>
    </row>
    <row r="137" spans="2:38" s="919" customFormat="1" ht="12">
      <c r="B137" s="928" t="s">
        <v>342</v>
      </c>
      <c r="C137" s="930" t="s">
        <v>364</v>
      </c>
      <c r="D137" s="931">
        <v>5.3146464668094216E-2</v>
      </c>
      <c r="E137" s="931">
        <v>5.3146464668094209E-2</v>
      </c>
      <c r="F137" s="931">
        <v>5.3146464668094209E-2</v>
      </c>
      <c r="G137" s="931">
        <v>5.3146464668094209E-2</v>
      </c>
      <c r="H137" s="931">
        <v>5.3146464668094223E-2</v>
      </c>
      <c r="I137" s="931">
        <v>5.3146464668094216E-2</v>
      </c>
      <c r="J137" s="931">
        <v>5.3146464668094216E-2</v>
      </c>
      <c r="K137" s="931">
        <v>5.3146464668094209E-2</v>
      </c>
      <c r="L137" s="931">
        <v>5.3146464668094209E-2</v>
      </c>
      <c r="M137" s="931">
        <v>5.3146464668094216E-2</v>
      </c>
      <c r="N137" s="931">
        <v>5.3146464668094209E-2</v>
      </c>
      <c r="O137" s="931">
        <v>5.3146464668094223E-2</v>
      </c>
      <c r="P137" s="931">
        <v>5.3146464668094209E-2</v>
      </c>
      <c r="Q137" s="931">
        <v>5.3146464668094209E-2</v>
      </c>
      <c r="R137" s="931">
        <v>5.3146464668094216E-2</v>
      </c>
      <c r="S137" s="931">
        <v>5.3146464668094209E-2</v>
      </c>
      <c r="T137" s="931">
        <v>5.3146464668094223E-2</v>
      </c>
      <c r="U137" s="931">
        <v>5.3146464668094216E-2</v>
      </c>
      <c r="V137" s="931">
        <v>5.3146464668094209E-2</v>
      </c>
      <c r="W137" s="931">
        <v>5.3146464668094216E-2</v>
      </c>
      <c r="X137" s="931">
        <v>5.3146464668094216E-2</v>
      </c>
      <c r="Y137" s="931">
        <v>5.3146464668094216E-2</v>
      </c>
      <c r="Z137" s="931">
        <v>5.3146464668094209E-2</v>
      </c>
      <c r="AA137" s="931">
        <v>5.3146464668094216E-2</v>
      </c>
      <c r="AB137" s="931">
        <v>5.3146464668094216E-2</v>
      </c>
      <c r="AC137" s="931">
        <v>5.3146464668094216E-2</v>
      </c>
      <c r="AD137" s="931">
        <v>5.3146464668094223E-2</v>
      </c>
      <c r="AE137" s="931">
        <v>5.3146464668094216E-2</v>
      </c>
      <c r="AF137" s="931">
        <v>5.3146464668094216E-2</v>
      </c>
      <c r="AG137" s="1158">
        <v>5.3146464668094216E-2</v>
      </c>
      <c r="AH137" s="1255">
        <v>5.3146464668094223E-2</v>
      </c>
      <c r="AI137" s="1255">
        <v>5.3146464668094209E-2</v>
      </c>
      <c r="AJ137" s="1255">
        <v>5.3146464668094216E-2</v>
      </c>
      <c r="AK137" s="1255"/>
      <c r="AL137" s="1232"/>
    </row>
    <row r="138" spans="2:38" s="919" customFormat="1" ht="12">
      <c r="B138" s="963" t="s">
        <v>344</v>
      </c>
      <c r="C138" s="930" t="s">
        <v>272</v>
      </c>
      <c r="D138" s="931">
        <v>45310.076045627378</v>
      </c>
      <c r="E138" s="931">
        <v>45310.076045627386</v>
      </c>
      <c r="F138" s="931">
        <v>45310.076045627386</v>
      </c>
      <c r="G138" s="931">
        <v>45310.076045627371</v>
      </c>
      <c r="H138" s="931">
        <v>45310.076045627371</v>
      </c>
      <c r="I138" s="931">
        <v>45310.076045627364</v>
      </c>
      <c r="J138" s="931">
        <v>45310.076045627378</v>
      </c>
      <c r="K138" s="931">
        <v>45310.076045627371</v>
      </c>
      <c r="L138" s="931">
        <v>45310.076045627371</v>
      </c>
      <c r="M138" s="931">
        <v>45310.076045627378</v>
      </c>
      <c r="N138" s="931">
        <v>45310.076045627378</v>
      </c>
      <c r="O138" s="931">
        <v>45310.076045627371</v>
      </c>
      <c r="P138" s="931">
        <v>45310.076045627378</v>
      </c>
      <c r="Q138" s="931">
        <v>45310.076045627378</v>
      </c>
      <c r="R138" s="931">
        <v>45310.076045627364</v>
      </c>
      <c r="S138" s="931">
        <v>45310.076045627371</v>
      </c>
      <c r="T138" s="931">
        <v>45310.076045627371</v>
      </c>
      <c r="U138" s="931">
        <v>45310.076045627364</v>
      </c>
      <c r="V138" s="931">
        <v>45310.076045627371</v>
      </c>
      <c r="W138" s="931">
        <v>45310.076045627378</v>
      </c>
      <c r="X138" s="931">
        <v>45310.076045627371</v>
      </c>
      <c r="Y138" s="931">
        <v>45310.076045627378</v>
      </c>
      <c r="Z138" s="931">
        <v>45310.076045627378</v>
      </c>
      <c r="AA138" s="931">
        <v>45310.076045627371</v>
      </c>
      <c r="AB138" s="931">
        <v>45310.076045627378</v>
      </c>
      <c r="AC138" s="931">
        <v>45310.076045627378</v>
      </c>
      <c r="AD138" s="931">
        <v>47477.48592870545</v>
      </c>
      <c r="AE138" s="931">
        <v>40694.785847299812</v>
      </c>
      <c r="AF138" s="931">
        <v>37974.305555555555</v>
      </c>
      <c r="AG138" s="1158">
        <v>41582.352941176476</v>
      </c>
      <c r="AH138" s="1255">
        <v>49765.586419753075</v>
      </c>
      <c r="AI138" s="1255">
        <v>32129.742033383915</v>
      </c>
      <c r="AJ138" s="1255">
        <v>40960.849772382411</v>
      </c>
      <c r="AK138" s="1255"/>
      <c r="AL138" s="1232"/>
    </row>
    <row r="139" spans="2:38" s="919" customFormat="1" ht="12">
      <c r="B139" s="924" t="s">
        <v>345</v>
      </c>
      <c r="C139" s="925"/>
      <c r="D139" s="926"/>
      <c r="E139" s="926"/>
      <c r="F139" s="926"/>
      <c r="G139" s="926"/>
      <c r="H139" s="926"/>
      <c r="I139" s="926"/>
      <c r="J139" s="926"/>
      <c r="K139" s="926"/>
      <c r="L139" s="926"/>
      <c r="M139" s="926"/>
      <c r="N139" s="926"/>
      <c r="O139" s="926"/>
      <c r="P139" s="926"/>
      <c r="Q139" s="926"/>
      <c r="R139" s="926"/>
      <c r="S139" s="926"/>
      <c r="T139" s="926"/>
      <c r="U139" s="926"/>
      <c r="V139" s="926"/>
      <c r="W139" s="926"/>
      <c r="X139" s="926"/>
      <c r="Y139" s="926"/>
      <c r="Z139" s="926"/>
      <c r="AA139" s="926"/>
      <c r="AB139" s="926"/>
      <c r="AC139" s="926"/>
      <c r="AD139" s="926"/>
      <c r="AE139" s="926"/>
      <c r="AF139" s="927"/>
      <c r="AG139" s="1157"/>
      <c r="AH139" s="1255"/>
      <c r="AI139" s="1255"/>
      <c r="AJ139" s="1255"/>
      <c r="AK139" s="1255"/>
      <c r="AL139" s="990"/>
    </row>
    <row r="140" spans="2:38" s="919" customFormat="1" ht="12">
      <c r="B140" s="928" t="s">
        <v>345</v>
      </c>
      <c r="C140" s="928" t="s">
        <v>365</v>
      </c>
      <c r="D140" s="929">
        <v>91.978202408993596</v>
      </c>
      <c r="E140" s="929">
        <v>91.978202408993567</v>
      </c>
      <c r="F140" s="929">
        <v>91.978202408993567</v>
      </c>
      <c r="G140" s="929">
        <v>91.279053305674651</v>
      </c>
      <c r="H140" s="929">
        <v>90.579904202355706</v>
      </c>
      <c r="I140" s="929">
        <v>89.88075509903679</v>
      </c>
      <c r="J140" s="929">
        <v>89.18160599571786</v>
      </c>
      <c r="K140" s="929">
        <v>88.482456892398915</v>
      </c>
      <c r="L140" s="929">
        <v>87.78330778907997</v>
      </c>
      <c r="M140" s="929">
        <v>87.084158685761068</v>
      </c>
      <c r="N140" s="929">
        <v>86.385009582442109</v>
      </c>
      <c r="O140" s="929">
        <v>85.685860479123193</v>
      </c>
      <c r="P140" s="929">
        <v>84.986711375804234</v>
      </c>
      <c r="Q140" s="929">
        <v>84.287562272485303</v>
      </c>
      <c r="R140" s="929">
        <v>83.588413169166358</v>
      </c>
      <c r="S140" s="929">
        <v>82.889264065847442</v>
      </c>
      <c r="T140" s="929">
        <v>82.190114962528511</v>
      </c>
      <c r="U140" s="929">
        <v>81.490965859209567</v>
      </c>
      <c r="V140" s="929">
        <v>80.791816755890665</v>
      </c>
      <c r="W140" s="929">
        <v>80.092667652571734</v>
      </c>
      <c r="X140" s="929">
        <v>79.393518549252775</v>
      </c>
      <c r="Y140" s="929">
        <v>78.694369445933845</v>
      </c>
      <c r="Z140" s="929">
        <v>76.370245948865659</v>
      </c>
      <c r="AA140" s="929">
        <v>72.058981892935009</v>
      </c>
      <c r="AB140" s="929">
        <v>18.476348385653544</v>
      </c>
      <c r="AC140" s="929">
        <v>17.127976190476154</v>
      </c>
      <c r="AD140" s="929">
        <v>15.985722964763047</v>
      </c>
      <c r="AE140" s="929">
        <v>21.624721678699146</v>
      </c>
      <c r="AF140" s="929">
        <v>14.792065250226537</v>
      </c>
      <c r="AG140" s="929">
        <v>14.55005007391865</v>
      </c>
      <c r="AH140" s="1152">
        <v>14.197089000238593</v>
      </c>
      <c r="AI140" s="1152">
        <v>13.07525091346375</v>
      </c>
      <c r="AJ140" s="1152">
        <v>13.494291596481368</v>
      </c>
      <c r="AK140" s="1152"/>
      <c r="AL140" s="990"/>
    </row>
    <row r="141" spans="2:38" s="919" customFormat="1" ht="12">
      <c r="B141" s="959" t="s">
        <v>347</v>
      </c>
      <c r="C141" s="930" t="s">
        <v>365</v>
      </c>
      <c r="D141" s="931" t="s">
        <v>324</v>
      </c>
      <c r="E141" s="931" t="s">
        <v>324</v>
      </c>
      <c r="F141" s="931" t="s">
        <v>324</v>
      </c>
      <c r="G141" s="931" t="s">
        <v>324</v>
      </c>
      <c r="H141" s="931" t="s">
        <v>324</v>
      </c>
      <c r="I141" s="931" t="s">
        <v>324</v>
      </c>
      <c r="J141" s="931" t="s">
        <v>324</v>
      </c>
      <c r="K141" s="931" t="s">
        <v>324</v>
      </c>
      <c r="L141" s="931" t="s">
        <v>324</v>
      </c>
      <c r="M141" s="931" t="s">
        <v>324</v>
      </c>
      <c r="N141" s="931" t="s">
        <v>324</v>
      </c>
      <c r="O141" s="931" t="s">
        <v>324</v>
      </c>
      <c r="P141" s="931" t="s">
        <v>324</v>
      </c>
      <c r="Q141" s="931" t="s">
        <v>324</v>
      </c>
      <c r="R141" s="931" t="s">
        <v>324</v>
      </c>
      <c r="S141" s="931" t="s">
        <v>324</v>
      </c>
      <c r="T141" s="931" t="s">
        <v>324</v>
      </c>
      <c r="U141" s="931" t="s">
        <v>324</v>
      </c>
      <c r="V141" s="931" t="s">
        <v>324</v>
      </c>
      <c r="W141" s="931" t="s">
        <v>324</v>
      </c>
      <c r="X141" s="931" t="s">
        <v>324</v>
      </c>
      <c r="Y141" s="931">
        <v>92.295538039037709</v>
      </c>
      <c r="Z141" s="931">
        <v>95.097988509874369</v>
      </c>
      <c r="AA141" s="931">
        <v>91.492153626943121</v>
      </c>
      <c r="AB141" s="931">
        <v>90.905412787723833</v>
      </c>
      <c r="AC141" s="931">
        <v>80.305039787798378</v>
      </c>
      <c r="AD141" s="931">
        <v>85.1</v>
      </c>
      <c r="AE141" s="931">
        <v>89.62360122075286</v>
      </c>
      <c r="AF141" s="931">
        <v>85.028248587570673</v>
      </c>
      <c r="AG141" s="931">
        <v>81.913959613696179</v>
      </c>
      <c r="AH141" s="1150">
        <v>81.290322580645153</v>
      </c>
      <c r="AI141" s="1150">
        <v>70.934579439252374</v>
      </c>
      <c r="AJ141" s="1150">
        <v>75.206611570247929</v>
      </c>
      <c r="AK141" s="1150"/>
      <c r="AL141" s="990"/>
    </row>
    <row r="142" spans="2:38" s="919" customFormat="1" ht="12">
      <c r="B142" s="959" t="s">
        <v>348</v>
      </c>
      <c r="C142" s="930" t="s">
        <v>365</v>
      </c>
      <c r="D142" s="931" t="s">
        <v>324</v>
      </c>
      <c r="E142" s="931" t="s">
        <v>324</v>
      </c>
      <c r="F142" s="931" t="s">
        <v>324</v>
      </c>
      <c r="G142" s="931" t="s">
        <v>324</v>
      </c>
      <c r="H142" s="931" t="s">
        <v>324</v>
      </c>
      <c r="I142" s="931" t="s">
        <v>324</v>
      </c>
      <c r="J142" s="931" t="s">
        <v>324</v>
      </c>
      <c r="K142" s="931" t="s">
        <v>324</v>
      </c>
      <c r="L142" s="931" t="s">
        <v>324</v>
      </c>
      <c r="M142" s="931" t="s">
        <v>324</v>
      </c>
      <c r="N142" s="931" t="s">
        <v>324</v>
      </c>
      <c r="O142" s="931" t="s">
        <v>324</v>
      </c>
      <c r="P142" s="931" t="s">
        <v>324</v>
      </c>
      <c r="Q142" s="931" t="s">
        <v>324</v>
      </c>
      <c r="R142" s="931" t="s">
        <v>324</v>
      </c>
      <c r="S142" s="931" t="s">
        <v>324</v>
      </c>
      <c r="T142" s="931" t="s">
        <v>324</v>
      </c>
      <c r="U142" s="931" t="s">
        <v>324</v>
      </c>
      <c r="V142" s="931" t="s">
        <v>324</v>
      </c>
      <c r="W142" s="931" t="s">
        <v>324</v>
      </c>
      <c r="X142" s="931" t="s">
        <v>324</v>
      </c>
      <c r="Y142" s="931">
        <v>80.626120640057536</v>
      </c>
      <c r="Z142" s="931">
        <v>80.777700559578662</v>
      </c>
      <c r="AA142" s="931">
        <v>75.393287428052105</v>
      </c>
      <c r="AB142" s="931">
        <v>12.048322992831539</v>
      </c>
      <c r="AC142" s="931">
        <v>9.6155610606477619</v>
      </c>
      <c r="AD142" s="931">
        <v>10.770601336302891</v>
      </c>
      <c r="AE142" s="931">
        <v>17.774634606317779</v>
      </c>
      <c r="AF142" s="931">
        <v>11.143928206293308</v>
      </c>
      <c r="AG142" s="931">
        <v>10.97658970375528</v>
      </c>
      <c r="AH142" s="1150">
        <v>10.836277974087146</v>
      </c>
      <c r="AI142" s="1150">
        <v>10.362240428711285</v>
      </c>
      <c r="AJ142" s="1150">
        <v>10.834749472166424</v>
      </c>
      <c r="AK142" s="1150"/>
      <c r="AL142" s="990"/>
    </row>
    <row r="143" spans="2:38" s="919" customFormat="1" ht="12">
      <c r="B143" s="959" t="s">
        <v>349</v>
      </c>
      <c r="C143" s="930" t="s">
        <v>365</v>
      </c>
      <c r="D143" s="931" t="s">
        <v>324</v>
      </c>
      <c r="E143" s="931" t="s">
        <v>324</v>
      </c>
      <c r="F143" s="931" t="s">
        <v>324</v>
      </c>
      <c r="G143" s="931" t="s">
        <v>324</v>
      </c>
      <c r="H143" s="931" t="s">
        <v>324</v>
      </c>
      <c r="I143" s="931" t="s">
        <v>324</v>
      </c>
      <c r="J143" s="931" t="s">
        <v>324</v>
      </c>
      <c r="K143" s="931" t="s">
        <v>324</v>
      </c>
      <c r="L143" s="931" t="s">
        <v>324</v>
      </c>
      <c r="M143" s="931" t="s">
        <v>324</v>
      </c>
      <c r="N143" s="931" t="s">
        <v>324</v>
      </c>
      <c r="O143" s="931" t="s">
        <v>324</v>
      </c>
      <c r="P143" s="931" t="s">
        <v>324</v>
      </c>
      <c r="Q143" s="931" t="s">
        <v>324</v>
      </c>
      <c r="R143" s="931" t="s">
        <v>324</v>
      </c>
      <c r="S143" s="931" t="s">
        <v>324</v>
      </c>
      <c r="T143" s="931" t="s">
        <v>324</v>
      </c>
      <c r="U143" s="931" t="s">
        <v>324</v>
      </c>
      <c r="V143" s="931" t="s">
        <v>324</v>
      </c>
      <c r="W143" s="931" t="s">
        <v>324</v>
      </c>
      <c r="X143" s="931" t="s">
        <v>324</v>
      </c>
      <c r="Y143" s="931">
        <v>7.1416138198757793</v>
      </c>
      <c r="Z143" s="931">
        <v>7.0154203409090847</v>
      </c>
      <c r="AA143" s="931">
        <v>7.2710698949824897</v>
      </c>
      <c r="AB143" s="931">
        <v>6.2105513914656703</v>
      </c>
      <c r="AC143" s="931">
        <v>4.1626331074540195</v>
      </c>
      <c r="AD143" s="931">
        <v>4.7720042417815485</v>
      </c>
      <c r="AE143" s="931">
        <v>5.5755395683453193</v>
      </c>
      <c r="AF143" s="931">
        <v>6.1139028475711843</v>
      </c>
      <c r="AG143" s="931">
        <v>5.9329320722269943</v>
      </c>
      <c r="AH143" s="1150">
        <v>5.7885906040268438</v>
      </c>
      <c r="AI143" s="1150">
        <v>4.9825174825174798</v>
      </c>
      <c r="AJ143" s="1150">
        <v>5.279187817258884</v>
      </c>
      <c r="AK143" s="1150"/>
      <c r="AL143" s="990"/>
    </row>
    <row r="144" spans="2:38" s="919" customFormat="1" ht="12">
      <c r="B144" s="924" t="s">
        <v>350</v>
      </c>
      <c r="C144" s="925"/>
      <c r="D144" s="926"/>
      <c r="E144" s="926"/>
      <c r="F144" s="926"/>
      <c r="G144" s="926"/>
      <c r="H144" s="926"/>
      <c r="I144" s="926"/>
      <c r="J144" s="926"/>
      <c r="K144" s="926"/>
      <c r="L144" s="926"/>
      <c r="M144" s="926"/>
      <c r="N144" s="926"/>
      <c r="O144" s="926"/>
      <c r="P144" s="926"/>
      <c r="Q144" s="926"/>
      <c r="R144" s="926"/>
      <c r="S144" s="926"/>
      <c r="T144" s="926"/>
      <c r="U144" s="926"/>
      <c r="V144" s="926"/>
      <c r="W144" s="926"/>
      <c r="X144" s="926"/>
      <c r="Y144" s="926"/>
      <c r="Z144" s="926"/>
      <c r="AA144" s="926"/>
      <c r="AB144" s="926"/>
      <c r="AC144" s="926"/>
      <c r="AD144" s="926"/>
      <c r="AE144" s="926"/>
      <c r="AF144" s="927"/>
      <c r="AG144" s="1157"/>
      <c r="AH144" s="1255"/>
      <c r="AI144" s="1255"/>
      <c r="AJ144" s="1255"/>
      <c r="AK144" s="1255"/>
      <c r="AL144" s="990"/>
    </row>
    <row r="145" spans="2:38" s="919" customFormat="1" ht="12">
      <c r="B145" s="961" t="s">
        <v>351</v>
      </c>
      <c r="C145" s="961" t="s">
        <v>261</v>
      </c>
      <c r="D145" s="964">
        <v>17.947989828693789</v>
      </c>
      <c r="E145" s="964">
        <v>17.947989828693789</v>
      </c>
      <c r="F145" s="964">
        <v>17.947989828693789</v>
      </c>
      <c r="G145" s="964">
        <v>17.947989828693792</v>
      </c>
      <c r="H145" s="964">
        <v>17.947989828693792</v>
      </c>
      <c r="I145" s="964">
        <v>17.947989828693789</v>
      </c>
      <c r="J145" s="964">
        <v>17.947989828693789</v>
      </c>
      <c r="K145" s="964">
        <v>17.947989828693792</v>
      </c>
      <c r="L145" s="964">
        <v>17.947989828693789</v>
      </c>
      <c r="M145" s="964">
        <v>17.947989828693789</v>
      </c>
      <c r="N145" s="964">
        <v>17.947989828693789</v>
      </c>
      <c r="O145" s="964">
        <v>17.947989828693792</v>
      </c>
      <c r="P145" s="964">
        <v>17.947989828693789</v>
      </c>
      <c r="Q145" s="964">
        <v>17.947989828693789</v>
      </c>
      <c r="R145" s="964">
        <v>17.947989828693789</v>
      </c>
      <c r="S145" s="964">
        <v>17.947989828693789</v>
      </c>
      <c r="T145" s="964">
        <v>17.947989828693789</v>
      </c>
      <c r="U145" s="964">
        <v>17.947989828693792</v>
      </c>
      <c r="V145" s="964">
        <v>17.947989828693789</v>
      </c>
      <c r="W145" s="964">
        <v>17.947989828693789</v>
      </c>
      <c r="X145" s="964">
        <v>17.947989828693789</v>
      </c>
      <c r="Y145" s="964">
        <v>17.947989828693789</v>
      </c>
      <c r="Z145" s="964">
        <v>17.947989828693789</v>
      </c>
      <c r="AA145" s="964">
        <v>17.947989828693789</v>
      </c>
      <c r="AB145" s="964">
        <v>17.947989828693789</v>
      </c>
      <c r="AC145" s="964">
        <v>17.947989828693789</v>
      </c>
      <c r="AD145" s="964">
        <v>24.886027141180254</v>
      </c>
      <c r="AE145" s="964">
        <v>19.944433585587394</v>
      </c>
      <c r="AF145" s="964">
        <v>21.333668900535663</v>
      </c>
      <c r="AG145" s="1158">
        <v>18.311595404519995</v>
      </c>
      <c r="AH145" s="1255">
        <v>21.217575869374667</v>
      </c>
      <c r="AI145" s="1255">
        <v>14.603696632848123</v>
      </c>
      <c r="AJ145" s="1255">
        <v>10.337836489429186</v>
      </c>
      <c r="AK145" s="1255"/>
      <c r="AL145" s="1232"/>
    </row>
    <row r="146" spans="2:38" s="919" customFormat="1" ht="12">
      <c r="B146" s="924" t="s">
        <v>352</v>
      </c>
      <c r="C146" s="925"/>
      <c r="D146" s="926"/>
      <c r="E146" s="926"/>
      <c r="F146" s="926"/>
      <c r="G146" s="926"/>
      <c r="H146" s="926"/>
      <c r="I146" s="926"/>
      <c r="J146" s="926"/>
      <c r="K146" s="926"/>
      <c r="L146" s="926"/>
      <c r="M146" s="926"/>
      <c r="N146" s="926"/>
      <c r="O146" s="926"/>
      <c r="P146" s="926"/>
      <c r="Q146" s="926"/>
      <c r="R146" s="926"/>
      <c r="S146" s="926"/>
      <c r="T146" s="926"/>
      <c r="U146" s="926"/>
      <c r="V146" s="926"/>
      <c r="W146" s="926"/>
      <c r="X146" s="926"/>
      <c r="Y146" s="926"/>
      <c r="Z146" s="926"/>
      <c r="AA146" s="926"/>
      <c r="AB146" s="926"/>
      <c r="AC146" s="926"/>
      <c r="AD146" s="926"/>
      <c r="AE146" s="926"/>
      <c r="AF146" s="927"/>
      <c r="AG146" s="1157"/>
      <c r="AH146" s="1255"/>
      <c r="AI146" s="1255"/>
      <c r="AJ146" s="1255"/>
      <c r="AK146" s="1255"/>
      <c r="AL146" s="990"/>
    </row>
    <row r="147" spans="2:38" s="919" customFormat="1" ht="12">
      <c r="B147" s="928" t="s">
        <v>352</v>
      </c>
      <c r="C147" s="928" t="s">
        <v>272</v>
      </c>
      <c r="D147" s="929">
        <v>2471.8890256959312</v>
      </c>
      <c r="E147" s="929">
        <v>2471.8890256959321</v>
      </c>
      <c r="F147" s="929">
        <v>2471.8890256959321</v>
      </c>
      <c r="G147" s="929">
        <v>2471.8890256959317</v>
      </c>
      <c r="H147" s="929">
        <v>2471.8890256959317</v>
      </c>
      <c r="I147" s="929">
        <v>2471.8890256959321</v>
      </c>
      <c r="J147" s="929">
        <v>2471.8890256959317</v>
      </c>
      <c r="K147" s="929">
        <v>2471.8890256959317</v>
      </c>
      <c r="L147" s="929">
        <v>2471.8890256959317</v>
      </c>
      <c r="M147" s="929">
        <v>2471.8890256959321</v>
      </c>
      <c r="N147" s="929">
        <v>2471.8890256959312</v>
      </c>
      <c r="O147" s="929">
        <v>2471.8890256959321</v>
      </c>
      <c r="P147" s="929">
        <v>2471.8890256959317</v>
      </c>
      <c r="Q147" s="929">
        <v>2471.8890256959317</v>
      </c>
      <c r="R147" s="929">
        <v>2471.8890256959321</v>
      </c>
      <c r="S147" s="929">
        <v>2471.8890256959317</v>
      </c>
      <c r="T147" s="929">
        <v>2471.8890256959317</v>
      </c>
      <c r="U147" s="929">
        <v>2471.8890256959321</v>
      </c>
      <c r="V147" s="929">
        <v>2471.8890256959317</v>
      </c>
      <c r="W147" s="929">
        <v>2471.8890256959312</v>
      </c>
      <c r="X147" s="929">
        <v>2471.8890256959317</v>
      </c>
      <c r="Y147" s="929">
        <v>2471.8890256959317</v>
      </c>
      <c r="Z147" s="929">
        <v>2471.8890256959312</v>
      </c>
      <c r="AA147" s="929">
        <v>2471.8890256959312</v>
      </c>
      <c r="AB147" s="929">
        <v>2471.8890256959312</v>
      </c>
      <c r="AC147" s="929">
        <v>2471.8890256959312</v>
      </c>
      <c r="AD147" s="929">
        <v>2471.8890256959317</v>
      </c>
      <c r="AE147" s="929">
        <v>2471.8890256959317</v>
      </c>
      <c r="AF147" s="929">
        <v>2471.8890256959317</v>
      </c>
      <c r="AG147" s="1158">
        <v>2471.8890256959312</v>
      </c>
      <c r="AH147" s="1255">
        <v>2471.8890256959321</v>
      </c>
      <c r="AI147" s="1255">
        <v>2471.8890256959317</v>
      </c>
      <c r="AJ147" s="1255">
        <v>2471.8890256959317</v>
      </c>
      <c r="AK147" s="1255"/>
      <c r="AL147" s="1232"/>
    </row>
    <row r="148" spans="2:38" s="919" customFormat="1" ht="12">
      <c r="B148" s="924" t="s">
        <v>353</v>
      </c>
      <c r="C148" s="925"/>
      <c r="D148" s="926"/>
      <c r="E148" s="926"/>
      <c r="F148" s="926"/>
      <c r="G148" s="926"/>
      <c r="H148" s="926"/>
      <c r="I148" s="926"/>
      <c r="J148" s="926"/>
      <c r="K148" s="926"/>
      <c r="L148" s="926"/>
      <c r="M148" s="926"/>
      <c r="N148" s="926"/>
      <c r="O148" s="926"/>
      <c r="P148" s="926"/>
      <c r="Q148" s="926"/>
      <c r="R148" s="926"/>
      <c r="S148" s="926"/>
      <c r="T148" s="926"/>
      <c r="U148" s="926"/>
      <c r="V148" s="926"/>
      <c r="W148" s="926"/>
      <c r="X148" s="926"/>
      <c r="Y148" s="926"/>
      <c r="Z148" s="926"/>
      <c r="AA148" s="926"/>
      <c r="AB148" s="926"/>
      <c r="AC148" s="926"/>
      <c r="AD148" s="926"/>
      <c r="AE148" s="926"/>
      <c r="AF148" s="927"/>
      <c r="AG148" s="1157"/>
      <c r="AH148" s="1255"/>
      <c r="AI148" s="1255"/>
      <c r="AJ148" s="1255"/>
      <c r="AK148" s="1255"/>
      <c r="AL148" s="990"/>
    </row>
    <row r="149" spans="2:38" s="919" customFormat="1" ht="12">
      <c r="B149" s="928" t="s">
        <v>354</v>
      </c>
      <c r="C149" s="928" t="s">
        <v>366</v>
      </c>
      <c r="D149" s="929">
        <v>15352.941176470591</v>
      </c>
      <c r="E149" s="929">
        <v>15352.941176470591</v>
      </c>
      <c r="F149" s="929">
        <v>15352.941176470591</v>
      </c>
      <c r="G149" s="929">
        <v>15352.941176470589</v>
      </c>
      <c r="H149" s="929">
        <v>15352.941176470593</v>
      </c>
      <c r="I149" s="929">
        <v>15352.941176470589</v>
      </c>
      <c r="J149" s="929">
        <v>15352.941176470589</v>
      </c>
      <c r="K149" s="929">
        <v>15352.941176470589</v>
      </c>
      <c r="L149" s="929">
        <v>15352.941176470589</v>
      </c>
      <c r="M149" s="929">
        <v>15352.941176470591</v>
      </c>
      <c r="N149" s="929">
        <v>15352.941176470587</v>
      </c>
      <c r="O149" s="929">
        <v>15352.941176470591</v>
      </c>
      <c r="P149" s="929">
        <v>15352.941176470589</v>
      </c>
      <c r="Q149" s="929">
        <v>15352.941176470589</v>
      </c>
      <c r="R149" s="929">
        <v>15352.941176470589</v>
      </c>
      <c r="S149" s="929">
        <v>15352.941176470589</v>
      </c>
      <c r="T149" s="929">
        <v>15352.941176470589</v>
      </c>
      <c r="U149" s="929">
        <v>15352.941176470589</v>
      </c>
      <c r="V149" s="929">
        <v>15352.941176470589</v>
      </c>
      <c r="W149" s="929">
        <v>15352.941176470589</v>
      </c>
      <c r="X149" s="929">
        <v>15352.941176470587</v>
      </c>
      <c r="Y149" s="929">
        <v>15352.941176470587</v>
      </c>
      <c r="Z149" s="929">
        <v>15352.941176470589</v>
      </c>
      <c r="AA149" s="929">
        <v>15352.941176470589</v>
      </c>
      <c r="AB149" s="929">
        <v>15352.941176470589</v>
      </c>
      <c r="AC149" s="929">
        <v>15352.941176470589</v>
      </c>
      <c r="AD149" s="929">
        <v>15352.941176470587</v>
      </c>
      <c r="AE149" s="929">
        <v>15352.941176470587</v>
      </c>
      <c r="AF149" s="929">
        <v>59.999999999999979</v>
      </c>
      <c r="AG149" s="1158">
        <v>33.333333333333329</v>
      </c>
      <c r="AH149" s="1255">
        <v>43333.333333333343</v>
      </c>
      <c r="AI149" s="1255">
        <v>72539.999999999985</v>
      </c>
      <c r="AJ149" s="1255">
        <v>101800</v>
      </c>
      <c r="AK149" s="1255"/>
      <c r="AL149" s="990"/>
    </row>
    <row r="150" spans="2:38" s="919" customFormat="1" ht="12">
      <c r="B150" s="930" t="s">
        <v>356</v>
      </c>
      <c r="C150" s="928" t="s">
        <v>366</v>
      </c>
      <c r="D150" s="929">
        <v>2870.8805236510161</v>
      </c>
      <c r="E150" s="929">
        <v>2870.8805236510161</v>
      </c>
      <c r="F150" s="929">
        <v>2870.8805236510166</v>
      </c>
      <c r="G150" s="929">
        <v>2870.8805236510166</v>
      </c>
      <c r="H150" s="929">
        <v>2870.8805236510166</v>
      </c>
      <c r="I150" s="929">
        <v>2870.8805236510166</v>
      </c>
      <c r="J150" s="929">
        <v>2870.8805236510166</v>
      </c>
      <c r="K150" s="929">
        <v>2870.880523651017</v>
      </c>
      <c r="L150" s="929">
        <v>2870.8805236510166</v>
      </c>
      <c r="M150" s="929">
        <v>2870.8805236510166</v>
      </c>
      <c r="N150" s="929">
        <v>2870.8805236510161</v>
      </c>
      <c r="O150" s="929">
        <v>2870.880523651017</v>
      </c>
      <c r="P150" s="929">
        <v>2870.8805236510157</v>
      </c>
      <c r="Q150" s="929">
        <v>2870.8805236510166</v>
      </c>
      <c r="R150" s="929">
        <v>2870.8805236510166</v>
      </c>
      <c r="S150" s="929">
        <v>2870.8805236510166</v>
      </c>
      <c r="T150" s="929">
        <v>2870.8805236510166</v>
      </c>
      <c r="U150" s="929">
        <v>2870.8805236510166</v>
      </c>
      <c r="V150" s="929">
        <v>2870.8805236510166</v>
      </c>
      <c r="W150" s="929">
        <v>2870.8805236510166</v>
      </c>
      <c r="X150" s="929">
        <v>2870.8805236510166</v>
      </c>
      <c r="Y150" s="929">
        <v>2870.8805236510166</v>
      </c>
      <c r="Z150" s="929">
        <v>2870.880523651017</v>
      </c>
      <c r="AA150" s="929">
        <v>2870.880523651017</v>
      </c>
      <c r="AB150" s="929">
        <v>2870.880523651017</v>
      </c>
      <c r="AC150" s="929">
        <v>2870.880523651017</v>
      </c>
      <c r="AD150" s="929">
        <v>2870.8805236510166</v>
      </c>
      <c r="AE150" s="929">
        <v>2870.8805236510161</v>
      </c>
      <c r="AF150" s="929">
        <v>2870.8805236510166</v>
      </c>
      <c r="AG150" s="1158">
        <v>2870.880523651017</v>
      </c>
      <c r="AH150" s="1255">
        <v>2870.880523651017</v>
      </c>
      <c r="AI150" s="1255">
        <v>2870.8805236510166</v>
      </c>
      <c r="AJ150" s="1255">
        <v>2870.880523651017</v>
      </c>
      <c r="AK150" s="1255"/>
      <c r="AL150" s="990"/>
    </row>
    <row r="151" spans="2:38" s="919" customFormat="1" ht="12">
      <c r="B151" s="924" t="s">
        <v>357</v>
      </c>
      <c r="C151" s="925"/>
      <c r="D151" s="926"/>
      <c r="E151" s="926"/>
      <c r="F151" s="926"/>
      <c r="G151" s="926"/>
      <c r="H151" s="926"/>
      <c r="I151" s="926"/>
      <c r="J151" s="926"/>
      <c r="K151" s="926"/>
      <c r="L151" s="926"/>
      <c r="M151" s="926"/>
      <c r="N151" s="926"/>
      <c r="O151" s="926"/>
      <c r="P151" s="926"/>
      <c r="Q151" s="926"/>
      <c r="R151" s="926"/>
      <c r="S151" s="926"/>
      <c r="T151" s="926"/>
      <c r="U151" s="926"/>
      <c r="V151" s="926"/>
      <c r="W151" s="926"/>
      <c r="X151" s="926"/>
      <c r="Y151" s="926"/>
      <c r="Z151" s="926"/>
      <c r="AA151" s="926"/>
      <c r="AB151" s="926"/>
      <c r="AC151" s="926"/>
      <c r="AD151" s="926"/>
      <c r="AE151" s="926"/>
      <c r="AF151" s="927"/>
      <c r="AG151" s="1157"/>
      <c r="AH151" s="1255"/>
      <c r="AI151" s="1255"/>
      <c r="AJ151" s="1255"/>
      <c r="AK151" s="1255"/>
      <c r="AL151" s="990"/>
    </row>
    <row r="152" spans="2:38" s="919" customFormat="1" ht="12">
      <c r="B152" s="930" t="s">
        <v>358</v>
      </c>
      <c r="C152" s="930" t="s">
        <v>367</v>
      </c>
      <c r="D152" s="984">
        <v>7391013.333333333</v>
      </c>
      <c r="E152" s="984">
        <v>6929075</v>
      </c>
      <c r="F152" s="984">
        <v>6929075</v>
      </c>
      <c r="G152" s="984">
        <v>6929075</v>
      </c>
      <c r="H152" s="984">
        <v>6929075</v>
      </c>
      <c r="I152" s="984">
        <v>6929075</v>
      </c>
      <c r="J152" s="984">
        <v>6929075</v>
      </c>
      <c r="K152" s="984">
        <v>6929075</v>
      </c>
      <c r="L152" s="984">
        <v>6929075</v>
      </c>
      <c r="M152" s="984">
        <v>6929075</v>
      </c>
      <c r="N152" s="984">
        <v>6929075</v>
      </c>
      <c r="O152" s="984">
        <v>6929075</v>
      </c>
      <c r="P152" s="984">
        <v>6929075</v>
      </c>
      <c r="Q152" s="984">
        <v>6929075</v>
      </c>
      <c r="R152" s="984">
        <v>6929075</v>
      </c>
      <c r="S152" s="984">
        <v>6929075</v>
      </c>
      <c r="T152" s="984">
        <v>6929075</v>
      </c>
      <c r="U152" s="984">
        <v>6929075</v>
      </c>
      <c r="V152" s="984">
        <v>6929075</v>
      </c>
      <c r="W152" s="984">
        <v>6929075</v>
      </c>
      <c r="X152" s="984">
        <v>6929075</v>
      </c>
      <c r="Y152" s="984">
        <v>6929075</v>
      </c>
      <c r="Z152" s="984">
        <v>6929075</v>
      </c>
      <c r="AA152" s="984">
        <v>6929075</v>
      </c>
      <c r="AB152" s="984">
        <v>6929075</v>
      </c>
      <c r="AC152" s="984">
        <v>6929075</v>
      </c>
      <c r="AD152" s="984">
        <v>6929075</v>
      </c>
      <c r="AE152" s="984">
        <v>6929075</v>
      </c>
      <c r="AF152" s="984">
        <v>2236413.333333333</v>
      </c>
      <c r="AG152" s="984">
        <v>2486586.666666667</v>
      </c>
      <c r="AH152" s="1256">
        <v>464907.14285714284</v>
      </c>
      <c r="AI152" s="1256">
        <v>590425</v>
      </c>
      <c r="AJ152" s="1256">
        <v>678990</v>
      </c>
      <c r="AK152" s="1256"/>
      <c r="AL152" s="1222"/>
    </row>
    <row r="153" spans="2:38" s="919" customFormat="1" ht="12">
      <c r="B153" s="930" t="s">
        <v>360</v>
      </c>
      <c r="C153" s="930" t="s">
        <v>367</v>
      </c>
      <c r="D153" s="984">
        <v>54340.000000000007</v>
      </c>
      <c r="E153" s="984">
        <v>50943.75</v>
      </c>
      <c r="F153" s="984">
        <v>50943.75</v>
      </c>
      <c r="G153" s="984">
        <v>50943.75</v>
      </c>
      <c r="H153" s="984">
        <v>50943.75</v>
      </c>
      <c r="I153" s="984">
        <v>50943.75</v>
      </c>
      <c r="J153" s="984">
        <v>50943.75</v>
      </c>
      <c r="K153" s="984">
        <v>50943.75</v>
      </c>
      <c r="L153" s="984">
        <v>50943.75</v>
      </c>
      <c r="M153" s="984">
        <v>50943.75</v>
      </c>
      <c r="N153" s="984">
        <v>50943.75</v>
      </c>
      <c r="O153" s="984">
        <v>50943.75</v>
      </c>
      <c r="P153" s="984">
        <v>50943.75</v>
      </c>
      <c r="Q153" s="984">
        <v>50943.75</v>
      </c>
      <c r="R153" s="984">
        <v>50943.75</v>
      </c>
      <c r="S153" s="984">
        <v>50943.75</v>
      </c>
      <c r="T153" s="984">
        <v>50943.75</v>
      </c>
      <c r="U153" s="984">
        <v>50943.75</v>
      </c>
      <c r="V153" s="984">
        <v>50943.75</v>
      </c>
      <c r="W153" s="984">
        <v>50943.750000000007</v>
      </c>
      <c r="X153" s="984">
        <v>50943.75</v>
      </c>
      <c r="Y153" s="984">
        <v>50943.75</v>
      </c>
      <c r="Z153" s="984">
        <v>50943.75</v>
      </c>
      <c r="AA153" s="984">
        <v>50943.75</v>
      </c>
      <c r="AB153" s="984">
        <v>50943.75</v>
      </c>
      <c r="AC153" s="984">
        <v>50943.75</v>
      </c>
      <c r="AD153" s="984">
        <v>50943.75</v>
      </c>
      <c r="AE153" s="984">
        <v>50943.75</v>
      </c>
      <c r="AF153" s="984">
        <v>54286.666666666664</v>
      </c>
      <c r="AG153" s="984">
        <v>886.66666666666674</v>
      </c>
      <c r="AH153" s="1256">
        <v>621.42857142857156</v>
      </c>
      <c r="AI153" s="1256">
        <v>8866.6666666666661</v>
      </c>
      <c r="AJ153" s="1256">
        <v>15341.000000000002</v>
      </c>
      <c r="AK153" s="1256"/>
      <c r="AL153" s="1222"/>
    </row>
    <row r="154" spans="2:38">
      <c r="AG154" s="1004"/>
      <c r="AH154" s="1004"/>
      <c r="AI154" s="1004"/>
    </row>
    <row r="155" spans="2:38" s="955" customFormat="1" ht="12.5" thickBot="1">
      <c r="B155" s="1040" t="s">
        <v>256</v>
      </c>
      <c r="C155" s="1040" t="s">
        <v>374</v>
      </c>
      <c r="D155" s="1041">
        <v>1990</v>
      </c>
      <c r="E155" s="1041">
        <v>1991</v>
      </c>
      <c r="F155" s="1041">
        <v>1992</v>
      </c>
      <c r="G155" s="1041">
        <v>1993</v>
      </c>
      <c r="H155" s="1041">
        <v>1994</v>
      </c>
      <c r="I155" s="1041">
        <v>1995</v>
      </c>
      <c r="J155" s="1041">
        <v>1996</v>
      </c>
      <c r="K155" s="1041">
        <v>1997</v>
      </c>
      <c r="L155" s="1041">
        <v>1998</v>
      </c>
      <c r="M155" s="1041">
        <v>1999</v>
      </c>
      <c r="N155" s="1041">
        <v>2000</v>
      </c>
      <c r="O155" s="1041">
        <v>2001</v>
      </c>
      <c r="P155" s="1041">
        <v>2002</v>
      </c>
      <c r="Q155" s="1041">
        <v>2003</v>
      </c>
      <c r="R155" s="1041">
        <v>2004</v>
      </c>
      <c r="S155" s="1041">
        <v>2005</v>
      </c>
      <c r="T155" s="1041">
        <v>2006</v>
      </c>
      <c r="U155" s="1041">
        <v>2007</v>
      </c>
      <c r="V155" s="1041">
        <v>2008</v>
      </c>
      <c r="W155" s="1041">
        <v>2009</v>
      </c>
      <c r="X155" s="1041">
        <v>2010</v>
      </c>
      <c r="Y155" s="1041">
        <v>2011</v>
      </c>
      <c r="Z155" s="1041">
        <v>2012</v>
      </c>
      <c r="AA155" s="1041">
        <v>2013</v>
      </c>
      <c r="AB155" s="1041">
        <v>2014</v>
      </c>
      <c r="AC155" s="1041">
        <v>2015</v>
      </c>
      <c r="AD155" s="1041">
        <v>2016</v>
      </c>
      <c r="AE155" s="1041">
        <v>2017</v>
      </c>
      <c r="AF155" s="1041">
        <v>2018</v>
      </c>
      <c r="AG155" s="1041">
        <v>2019</v>
      </c>
      <c r="AH155" s="1221">
        <v>2020</v>
      </c>
      <c r="AI155" s="1221">
        <v>2021</v>
      </c>
      <c r="AJ155" s="1221">
        <v>2022</v>
      </c>
      <c r="AK155" s="1221">
        <v>2023</v>
      </c>
    </row>
    <row r="156" spans="2:38" s="955" customFormat="1" ht="13.5" thickBot="1">
      <c r="B156" s="920" t="s">
        <v>362</v>
      </c>
      <c r="C156" s="1042">
        <v>1E-3</v>
      </c>
      <c r="D156" s="1764" t="s">
        <v>291</v>
      </c>
      <c r="E156" s="1765"/>
      <c r="F156" s="1766"/>
      <c r="G156" s="922"/>
      <c r="H156" s="922"/>
      <c r="I156" s="922"/>
      <c r="J156" s="922"/>
      <c r="K156" s="922"/>
      <c r="L156" s="922"/>
      <c r="M156" s="922"/>
      <c r="N156" s="922"/>
      <c r="O156" s="922"/>
      <c r="P156" s="922"/>
      <c r="Q156" s="922"/>
      <c r="R156" s="922"/>
      <c r="S156" s="922"/>
      <c r="T156" s="922"/>
      <c r="U156" s="922"/>
      <c r="V156" s="922"/>
      <c r="W156" s="922"/>
      <c r="X156" s="922"/>
      <c r="Y156" s="922"/>
      <c r="Z156" s="922"/>
      <c r="AA156" s="922"/>
      <c r="AB156" s="922"/>
      <c r="AC156" s="922"/>
      <c r="AD156" s="922"/>
      <c r="AE156" s="922"/>
      <c r="AF156" s="922"/>
      <c r="AG156" s="922"/>
      <c r="AH156" s="922"/>
      <c r="AI156" s="922"/>
      <c r="AJ156" s="922"/>
      <c r="AK156" s="922"/>
    </row>
    <row r="157" spans="2:38" s="955" customFormat="1" ht="12">
      <c r="B157" s="930" t="s">
        <v>331</v>
      </c>
      <c r="C157" s="928" t="s">
        <v>292</v>
      </c>
      <c r="D157" s="966">
        <f>D129*$C$156</f>
        <v>3.2163893656966087E-4</v>
      </c>
      <c r="E157" s="1032" t="e">
        <f t="shared" ref="E157:AG157" si="132">E129*$C$156</f>
        <v>#VALUE!</v>
      </c>
      <c r="F157" s="1032" t="e">
        <f t="shared" si="132"/>
        <v>#VALUE!</v>
      </c>
      <c r="G157" s="1032" t="e">
        <f t="shared" si="132"/>
        <v>#VALUE!</v>
      </c>
      <c r="H157" s="1032" t="e">
        <f t="shared" si="132"/>
        <v>#VALUE!</v>
      </c>
      <c r="I157" s="1032" t="e">
        <f t="shared" si="132"/>
        <v>#VALUE!</v>
      </c>
      <c r="J157" s="1032" t="e">
        <f t="shared" si="132"/>
        <v>#VALUE!</v>
      </c>
      <c r="K157" s="1032" t="e">
        <f t="shared" si="132"/>
        <v>#VALUE!</v>
      </c>
      <c r="L157" s="1032" t="e">
        <f t="shared" si="132"/>
        <v>#VALUE!</v>
      </c>
      <c r="M157" s="1032" t="e">
        <f t="shared" si="132"/>
        <v>#VALUE!</v>
      </c>
      <c r="N157" s="1032" t="e">
        <f t="shared" si="132"/>
        <v>#VALUE!</v>
      </c>
      <c r="O157" s="1032" t="e">
        <f t="shared" si="132"/>
        <v>#VALUE!</v>
      </c>
      <c r="P157" s="1032" t="e">
        <f t="shared" si="132"/>
        <v>#VALUE!</v>
      </c>
      <c r="Q157" s="1032" t="e">
        <f t="shared" si="132"/>
        <v>#VALUE!</v>
      </c>
      <c r="R157" s="1032" t="e">
        <f t="shared" si="132"/>
        <v>#VALUE!</v>
      </c>
      <c r="S157" s="1032" t="e">
        <f t="shared" si="132"/>
        <v>#VALUE!</v>
      </c>
      <c r="T157" s="1032" t="e">
        <f t="shared" si="132"/>
        <v>#VALUE!</v>
      </c>
      <c r="U157" s="1032" t="e">
        <f t="shared" si="132"/>
        <v>#VALUE!</v>
      </c>
      <c r="V157" s="1032" t="e">
        <f t="shared" si="132"/>
        <v>#VALUE!</v>
      </c>
      <c r="W157" s="1032" t="e">
        <f t="shared" si="132"/>
        <v>#VALUE!</v>
      </c>
      <c r="X157" s="1032" t="e">
        <f t="shared" si="132"/>
        <v>#VALUE!</v>
      </c>
      <c r="Y157" s="1032" t="e">
        <f t="shared" si="132"/>
        <v>#VALUE!</v>
      </c>
      <c r="Z157" s="1032" t="e">
        <f t="shared" si="132"/>
        <v>#VALUE!</v>
      </c>
      <c r="AA157" s="1032" t="e">
        <f t="shared" si="132"/>
        <v>#VALUE!</v>
      </c>
      <c r="AB157" s="1032" t="e">
        <f t="shared" si="132"/>
        <v>#VALUE!</v>
      </c>
      <c r="AC157" s="1032" t="e">
        <f t="shared" si="132"/>
        <v>#VALUE!</v>
      </c>
      <c r="AD157" s="1032" t="e">
        <f t="shared" si="132"/>
        <v>#VALUE!</v>
      </c>
      <c r="AE157" s="1032" t="e">
        <f t="shared" si="132"/>
        <v>#VALUE!</v>
      </c>
      <c r="AF157" s="1032" t="e">
        <f t="shared" si="132"/>
        <v>#VALUE!</v>
      </c>
      <c r="AG157" s="1032" t="e">
        <f t="shared" si="132"/>
        <v>#VALUE!</v>
      </c>
      <c r="AH157" s="1032" t="e">
        <f t="shared" ref="AH157:AI157" si="133">AH129*$C$156</f>
        <v>#VALUE!</v>
      </c>
      <c r="AI157" s="1032" t="e">
        <f t="shared" si="133"/>
        <v>#VALUE!</v>
      </c>
      <c r="AJ157" s="1032" t="e">
        <f t="shared" ref="AJ157:AK157" si="134">AJ129*$C$156</f>
        <v>#VALUE!</v>
      </c>
      <c r="AK157" s="1032" t="e">
        <f t="shared" si="134"/>
        <v>#VALUE!</v>
      </c>
    </row>
    <row r="158" spans="2:38" s="955" customFormat="1" ht="12">
      <c r="B158" s="924" t="s">
        <v>333</v>
      </c>
      <c r="C158" s="925"/>
      <c r="D158" s="925"/>
      <c r="E158" s="925"/>
      <c r="F158" s="925"/>
      <c r="G158" s="925"/>
      <c r="H158" s="925"/>
      <c r="I158" s="925"/>
      <c r="J158" s="925"/>
      <c r="K158" s="925"/>
      <c r="L158" s="925"/>
      <c r="M158" s="925"/>
      <c r="N158" s="925"/>
      <c r="O158" s="925"/>
      <c r="P158" s="925"/>
      <c r="Q158" s="925"/>
      <c r="R158" s="925"/>
      <c r="S158" s="925"/>
      <c r="T158" s="925"/>
      <c r="U158" s="925"/>
      <c r="V158" s="925"/>
      <c r="W158" s="925"/>
      <c r="X158" s="925"/>
      <c r="Y158" s="925"/>
      <c r="Z158" s="925"/>
      <c r="AA158" s="925"/>
      <c r="AB158" s="925"/>
      <c r="AC158" s="925"/>
      <c r="AD158" s="925"/>
      <c r="AE158" s="925"/>
      <c r="AF158" s="925"/>
      <c r="AG158" s="925"/>
      <c r="AH158" s="925"/>
      <c r="AI158" s="925"/>
    </row>
    <row r="159" spans="2:38" s="955" customFormat="1" ht="12">
      <c r="B159" s="928" t="s">
        <v>334</v>
      </c>
      <c r="C159" s="928" t="s">
        <v>294</v>
      </c>
      <c r="D159" s="954">
        <f t="shared" ref="D159:S159" si="135">D131*$C$156</f>
        <v>18.662029823813157</v>
      </c>
      <c r="E159" s="954">
        <f t="shared" si="135"/>
        <v>18.662029823813157</v>
      </c>
      <c r="F159" s="954">
        <f t="shared" si="135"/>
        <v>18.662029823813157</v>
      </c>
      <c r="G159" s="954">
        <f t="shared" si="135"/>
        <v>18.177585836531595</v>
      </c>
      <c r="H159" s="954">
        <f t="shared" si="135"/>
        <v>17.693141849250026</v>
      </c>
      <c r="I159" s="954">
        <f t="shared" si="135"/>
        <v>17.208697861968467</v>
      </c>
      <c r="J159" s="954">
        <f t="shared" si="135"/>
        <v>16.724253874686905</v>
      </c>
      <c r="K159" s="954">
        <f t="shared" si="135"/>
        <v>16.239809887405343</v>
      </c>
      <c r="L159" s="954">
        <f t="shared" si="135"/>
        <v>15.755365900123778</v>
      </c>
      <c r="M159" s="954">
        <f t="shared" si="135"/>
        <v>15.270921912842217</v>
      </c>
      <c r="N159" s="954">
        <f t="shared" si="135"/>
        <v>14.786477925560655</v>
      </c>
      <c r="O159" s="954">
        <f t="shared" si="135"/>
        <v>14.30203393827909</v>
      </c>
      <c r="P159" s="954">
        <f t="shared" si="135"/>
        <v>13.817589950997531</v>
      </c>
      <c r="Q159" s="954">
        <f t="shared" si="135"/>
        <v>13.333145963715964</v>
      </c>
      <c r="R159" s="954">
        <f t="shared" si="135"/>
        <v>12.8487019764344</v>
      </c>
      <c r="S159" s="954">
        <f t="shared" si="135"/>
        <v>12.364257989152836</v>
      </c>
      <c r="T159" s="954">
        <f t="shared" ref="E159:AF170" si="136">T131*$C$156</f>
        <v>11.879814001871273</v>
      </c>
      <c r="U159" s="954">
        <f t="shared" si="136"/>
        <v>11.395370014589709</v>
      </c>
      <c r="V159" s="954">
        <f t="shared" si="136"/>
        <v>10.910926027308147</v>
      </c>
      <c r="W159" s="954">
        <f t="shared" si="136"/>
        <v>10.426482040026581</v>
      </c>
      <c r="X159" s="954">
        <f t="shared" si="136"/>
        <v>9.9420380527450192</v>
      </c>
      <c r="Y159" s="954">
        <f t="shared" si="136"/>
        <v>9.4575940654634429</v>
      </c>
      <c r="Z159" s="954">
        <f t="shared" si="136"/>
        <v>9.4734774661787817</v>
      </c>
      <c r="AA159" s="954">
        <f t="shared" si="136"/>
        <v>9.4686838233292256</v>
      </c>
      <c r="AB159" s="954">
        <f t="shared" si="136"/>
        <v>9.3549115954685202</v>
      </c>
      <c r="AC159" s="954">
        <f t="shared" si="136"/>
        <v>9.4026769006694053</v>
      </c>
      <c r="AD159" s="954">
        <f t="shared" si="136"/>
        <v>9.4053191819507802</v>
      </c>
      <c r="AE159" s="954">
        <f t="shared" si="136"/>
        <v>9.3759339640633534</v>
      </c>
      <c r="AF159" s="954">
        <f t="shared" si="136"/>
        <v>9.2336621209197176</v>
      </c>
      <c r="AG159" s="954">
        <f t="shared" ref="AG159:AH159" si="137">AG131*$C$156</f>
        <v>9.1423491817312712</v>
      </c>
      <c r="AH159" s="954">
        <f t="shared" si="137"/>
        <v>9.0926694002117365</v>
      </c>
      <c r="AI159" s="954">
        <f t="shared" ref="AI159:AJ159" si="138">AI131*$C$156</f>
        <v>8.797914936852683</v>
      </c>
      <c r="AJ159" s="954">
        <f t="shared" si="138"/>
        <v>8.6549785867237699</v>
      </c>
      <c r="AK159" s="954">
        <f t="shared" ref="AK159" si="139">AK131*$C$156</f>
        <v>0</v>
      </c>
      <c r="AL159" s="990"/>
    </row>
    <row r="160" spans="2:38" s="955" customFormat="1" ht="12">
      <c r="B160" s="959" t="s">
        <v>336</v>
      </c>
      <c r="C160" s="930" t="s">
        <v>294</v>
      </c>
      <c r="D160" s="954" t="e">
        <f>D132*$C$156</f>
        <v>#VALUE!</v>
      </c>
      <c r="E160" s="954" t="e">
        <f t="shared" si="136"/>
        <v>#VALUE!</v>
      </c>
      <c r="F160" s="954" t="e">
        <f t="shared" si="136"/>
        <v>#VALUE!</v>
      </c>
      <c r="G160" s="954" t="e">
        <f t="shared" si="136"/>
        <v>#VALUE!</v>
      </c>
      <c r="H160" s="954" t="e">
        <f t="shared" si="136"/>
        <v>#VALUE!</v>
      </c>
      <c r="I160" s="954" t="e">
        <f t="shared" si="136"/>
        <v>#VALUE!</v>
      </c>
      <c r="J160" s="954" t="e">
        <f t="shared" si="136"/>
        <v>#VALUE!</v>
      </c>
      <c r="K160" s="954" t="e">
        <f t="shared" si="136"/>
        <v>#VALUE!</v>
      </c>
      <c r="L160" s="954" t="e">
        <f t="shared" si="136"/>
        <v>#VALUE!</v>
      </c>
      <c r="M160" s="954" t="e">
        <f t="shared" si="136"/>
        <v>#VALUE!</v>
      </c>
      <c r="N160" s="954" t="e">
        <f t="shared" si="136"/>
        <v>#VALUE!</v>
      </c>
      <c r="O160" s="954" t="e">
        <f t="shared" si="136"/>
        <v>#VALUE!</v>
      </c>
      <c r="P160" s="954" t="e">
        <f t="shared" si="136"/>
        <v>#VALUE!</v>
      </c>
      <c r="Q160" s="954" t="e">
        <f t="shared" si="136"/>
        <v>#VALUE!</v>
      </c>
      <c r="R160" s="954" t="e">
        <f t="shared" si="136"/>
        <v>#VALUE!</v>
      </c>
      <c r="S160" s="954" t="e">
        <f t="shared" si="136"/>
        <v>#VALUE!</v>
      </c>
      <c r="T160" s="954" t="e">
        <f t="shared" si="136"/>
        <v>#VALUE!</v>
      </c>
      <c r="U160" s="954" t="e">
        <f t="shared" si="136"/>
        <v>#VALUE!</v>
      </c>
      <c r="V160" s="954" t="e">
        <f t="shared" si="136"/>
        <v>#VALUE!</v>
      </c>
      <c r="W160" s="954" t="e">
        <f t="shared" si="136"/>
        <v>#VALUE!</v>
      </c>
      <c r="X160" s="954" t="e">
        <f t="shared" si="136"/>
        <v>#VALUE!</v>
      </c>
      <c r="Y160" s="954">
        <f t="shared" si="136"/>
        <v>1.8843683083511775</v>
      </c>
      <c r="Z160" s="954">
        <f t="shared" si="136"/>
        <v>1.8843683083511773</v>
      </c>
      <c r="AA160" s="954">
        <f t="shared" si="136"/>
        <v>1.8843683083511775</v>
      </c>
      <c r="AB160" s="954">
        <f t="shared" si="136"/>
        <v>1.8843683083511773</v>
      </c>
      <c r="AC160" s="954">
        <f t="shared" si="136"/>
        <v>1.8843683083511771</v>
      </c>
      <c r="AD160" s="954">
        <f t="shared" si="136"/>
        <v>1.8843683083511775</v>
      </c>
      <c r="AE160" s="954">
        <f t="shared" si="136"/>
        <v>1.8843683083511773</v>
      </c>
      <c r="AF160" s="954">
        <f t="shared" si="136"/>
        <v>1.8843683083511773</v>
      </c>
      <c r="AG160" s="954">
        <f t="shared" ref="AG160:AH160" si="140">AG132*$C$156</f>
        <v>1.8843683083511775</v>
      </c>
      <c r="AH160" s="954">
        <f t="shared" si="140"/>
        <v>1.8843683083511775</v>
      </c>
      <c r="AI160" s="954">
        <f t="shared" ref="AI160:AJ160" si="141">AI132*$C$156</f>
        <v>1.8843683083511775</v>
      </c>
      <c r="AJ160" s="954">
        <f t="shared" si="141"/>
        <v>1.8843683083511773</v>
      </c>
      <c r="AK160" s="954">
        <f t="shared" ref="AK160" si="142">AK132*$C$156</f>
        <v>0</v>
      </c>
      <c r="AL160" s="990"/>
    </row>
    <row r="161" spans="2:38" s="955" customFormat="1" ht="12">
      <c r="B161" s="959" t="s">
        <v>337</v>
      </c>
      <c r="C161" s="930" t="s">
        <v>368</v>
      </c>
      <c r="D161" s="954" t="e">
        <f>D133*$C$156</f>
        <v>#VALUE!</v>
      </c>
      <c r="E161" s="954" t="e">
        <f t="shared" si="136"/>
        <v>#VALUE!</v>
      </c>
      <c r="F161" s="954" t="e">
        <f t="shared" si="136"/>
        <v>#VALUE!</v>
      </c>
      <c r="G161" s="954" t="e">
        <f t="shared" si="136"/>
        <v>#VALUE!</v>
      </c>
      <c r="H161" s="954" t="e">
        <f t="shared" si="136"/>
        <v>#VALUE!</v>
      </c>
      <c r="I161" s="954" t="e">
        <f t="shared" si="136"/>
        <v>#VALUE!</v>
      </c>
      <c r="J161" s="954" t="e">
        <f t="shared" si="136"/>
        <v>#VALUE!</v>
      </c>
      <c r="K161" s="954" t="e">
        <f t="shared" si="136"/>
        <v>#VALUE!</v>
      </c>
      <c r="L161" s="954" t="e">
        <f t="shared" si="136"/>
        <v>#VALUE!</v>
      </c>
      <c r="M161" s="954" t="e">
        <f t="shared" si="136"/>
        <v>#VALUE!</v>
      </c>
      <c r="N161" s="954" t="e">
        <f t="shared" si="136"/>
        <v>#VALUE!</v>
      </c>
      <c r="O161" s="954" t="e">
        <f t="shared" si="136"/>
        <v>#VALUE!</v>
      </c>
      <c r="P161" s="954" t="e">
        <f t="shared" si="136"/>
        <v>#VALUE!</v>
      </c>
      <c r="Q161" s="954" t="e">
        <f t="shared" si="136"/>
        <v>#VALUE!</v>
      </c>
      <c r="R161" s="954" t="e">
        <f t="shared" si="136"/>
        <v>#VALUE!</v>
      </c>
      <c r="S161" s="954" t="e">
        <f t="shared" si="136"/>
        <v>#VALUE!</v>
      </c>
      <c r="T161" s="954" t="e">
        <f t="shared" si="136"/>
        <v>#VALUE!</v>
      </c>
      <c r="U161" s="954" t="e">
        <f t="shared" si="136"/>
        <v>#VALUE!</v>
      </c>
      <c r="V161" s="954" t="e">
        <f t="shared" si="136"/>
        <v>#VALUE!</v>
      </c>
      <c r="W161" s="954" t="e">
        <f t="shared" si="136"/>
        <v>#VALUE!</v>
      </c>
      <c r="X161" s="954" t="e">
        <f t="shared" si="136"/>
        <v>#VALUE!</v>
      </c>
      <c r="Y161" s="954">
        <f t="shared" si="136"/>
        <v>1.9138115631691643</v>
      </c>
      <c r="Z161" s="954">
        <f t="shared" si="136"/>
        <v>1.9138115631691652</v>
      </c>
      <c r="AA161" s="954">
        <f t="shared" si="136"/>
        <v>1.9138115631691648</v>
      </c>
      <c r="AB161" s="954">
        <f t="shared" si="136"/>
        <v>1.9138115631691643</v>
      </c>
      <c r="AC161" s="954">
        <f t="shared" si="136"/>
        <v>1.9138115631691648</v>
      </c>
      <c r="AD161" s="954">
        <f t="shared" si="136"/>
        <v>1.9138115631691648</v>
      </c>
      <c r="AE161" s="954">
        <f t="shared" si="136"/>
        <v>1.9138115631691648</v>
      </c>
      <c r="AF161" s="954">
        <f t="shared" si="136"/>
        <v>1.9138115631691648</v>
      </c>
      <c r="AG161" s="954">
        <f t="shared" ref="AG161:AH161" si="143">AG133*$C$156</f>
        <v>1.9138115631691652</v>
      </c>
      <c r="AH161" s="954">
        <f t="shared" si="143"/>
        <v>1.9138115631691646</v>
      </c>
      <c r="AI161" s="954">
        <f t="shared" ref="AI161:AJ161" si="144">AI133*$C$156</f>
        <v>1.9138115631691648</v>
      </c>
      <c r="AJ161" s="954">
        <f t="shared" si="144"/>
        <v>1.9138115631691646</v>
      </c>
      <c r="AK161" s="954">
        <f t="shared" ref="AK161" si="145">AK133*$C$156</f>
        <v>0</v>
      </c>
      <c r="AL161" s="990"/>
    </row>
    <row r="162" spans="2:38" s="955" customFormat="1" ht="12">
      <c r="B162" s="959" t="s">
        <v>339</v>
      </c>
      <c r="C162" s="930" t="s">
        <v>368</v>
      </c>
      <c r="D162" s="954" t="e">
        <f>D134*$C$156</f>
        <v>#VALUE!</v>
      </c>
      <c r="E162" s="954" t="e">
        <f t="shared" si="136"/>
        <v>#VALUE!</v>
      </c>
      <c r="F162" s="954" t="e">
        <f t="shared" si="136"/>
        <v>#VALUE!</v>
      </c>
      <c r="G162" s="954" t="e">
        <f t="shared" si="136"/>
        <v>#VALUE!</v>
      </c>
      <c r="H162" s="954" t="e">
        <f t="shared" si="136"/>
        <v>#VALUE!</v>
      </c>
      <c r="I162" s="954" t="e">
        <f t="shared" si="136"/>
        <v>#VALUE!</v>
      </c>
      <c r="J162" s="954" t="e">
        <f t="shared" si="136"/>
        <v>#VALUE!</v>
      </c>
      <c r="K162" s="954" t="e">
        <f t="shared" si="136"/>
        <v>#VALUE!</v>
      </c>
      <c r="L162" s="954" t="e">
        <f t="shared" si="136"/>
        <v>#VALUE!</v>
      </c>
      <c r="M162" s="954" t="e">
        <f t="shared" si="136"/>
        <v>#VALUE!</v>
      </c>
      <c r="N162" s="954" t="e">
        <f t="shared" si="136"/>
        <v>#VALUE!</v>
      </c>
      <c r="O162" s="954" t="e">
        <f t="shared" si="136"/>
        <v>#VALUE!</v>
      </c>
      <c r="P162" s="954" t="e">
        <f t="shared" si="136"/>
        <v>#VALUE!</v>
      </c>
      <c r="Q162" s="954" t="e">
        <f t="shared" si="136"/>
        <v>#VALUE!</v>
      </c>
      <c r="R162" s="954" t="e">
        <f t="shared" si="136"/>
        <v>#VALUE!</v>
      </c>
      <c r="S162" s="954" t="e">
        <f t="shared" si="136"/>
        <v>#VALUE!</v>
      </c>
      <c r="T162" s="954" t="e">
        <f t="shared" si="136"/>
        <v>#VALUE!</v>
      </c>
      <c r="U162" s="954" t="e">
        <f t="shared" si="136"/>
        <v>#VALUE!</v>
      </c>
      <c r="V162" s="954" t="e">
        <f t="shared" si="136"/>
        <v>#VALUE!</v>
      </c>
      <c r="W162" s="954" t="e">
        <f t="shared" si="136"/>
        <v>#VALUE!</v>
      </c>
      <c r="X162" s="954" t="e">
        <f t="shared" si="136"/>
        <v>#VALUE!</v>
      </c>
      <c r="Y162" s="954">
        <f t="shared" si="136"/>
        <v>2.0021413276231264</v>
      </c>
      <c r="Z162" s="954">
        <f t="shared" si="136"/>
        <v>2.0021413276231264</v>
      </c>
      <c r="AA162" s="954">
        <f t="shared" si="136"/>
        <v>2.0021413276231264</v>
      </c>
      <c r="AB162" s="954">
        <f t="shared" si="136"/>
        <v>2.0021413276231264</v>
      </c>
      <c r="AC162" s="954">
        <f t="shared" si="136"/>
        <v>2.0021413276231264</v>
      </c>
      <c r="AD162" s="954">
        <f t="shared" si="136"/>
        <v>2.0021413276231259</v>
      </c>
      <c r="AE162" s="954">
        <f t="shared" si="136"/>
        <v>2.0021413276231259</v>
      </c>
      <c r="AF162" s="954">
        <f t="shared" si="136"/>
        <v>2.0021413276231259</v>
      </c>
      <c r="AG162" s="954">
        <f t="shared" ref="AG162:AH162" si="146">AG134*$C$156</f>
        <v>2.0021413276231264</v>
      </c>
      <c r="AH162" s="954">
        <f t="shared" si="146"/>
        <v>2.0021413276231268</v>
      </c>
      <c r="AI162" s="954">
        <f t="shared" ref="AI162:AJ162" si="147">AI134*$C$156</f>
        <v>2.0021413276231259</v>
      </c>
      <c r="AJ162" s="954">
        <f t="shared" si="147"/>
        <v>2.0021413276231259</v>
      </c>
      <c r="AK162" s="954">
        <f t="shared" ref="AK162" si="148">AK134*$C$156</f>
        <v>0</v>
      </c>
      <c r="AL162" s="990"/>
    </row>
    <row r="163" spans="2:38" s="955" customFormat="1" ht="12">
      <c r="B163" s="960" t="s">
        <v>340</v>
      </c>
      <c r="C163" s="933" t="s">
        <v>368</v>
      </c>
      <c r="D163" s="954" t="e">
        <f>D135*$C$156</f>
        <v>#VALUE!</v>
      </c>
      <c r="E163" s="954" t="e">
        <f t="shared" si="136"/>
        <v>#VALUE!</v>
      </c>
      <c r="F163" s="954" t="e">
        <f t="shared" si="136"/>
        <v>#VALUE!</v>
      </c>
      <c r="G163" s="954" t="e">
        <f t="shared" si="136"/>
        <v>#VALUE!</v>
      </c>
      <c r="H163" s="954" t="e">
        <f t="shared" si="136"/>
        <v>#VALUE!</v>
      </c>
      <c r="I163" s="954" t="e">
        <f t="shared" si="136"/>
        <v>#VALUE!</v>
      </c>
      <c r="J163" s="954" t="e">
        <f t="shared" si="136"/>
        <v>#VALUE!</v>
      </c>
      <c r="K163" s="954" t="e">
        <f t="shared" si="136"/>
        <v>#VALUE!</v>
      </c>
      <c r="L163" s="954" t="e">
        <f t="shared" si="136"/>
        <v>#VALUE!</v>
      </c>
      <c r="M163" s="954" t="e">
        <f t="shared" si="136"/>
        <v>#VALUE!</v>
      </c>
      <c r="N163" s="954" t="e">
        <f t="shared" si="136"/>
        <v>#VALUE!</v>
      </c>
      <c r="O163" s="954" t="e">
        <f t="shared" si="136"/>
        <v>#VALUE!</v>
      </c>
      <c r="P163" s="954" t="e">
        <f t="shared" si="136"/>
        <v>#VALUE!</v>
      </c>
      <c r="Q163" s="954" t="e">
        <f t="shared" si="136"/>
        <v>#VALUE!</v>
      </c>
      <c r="R163" s="954" t="e">
        <f t="shared" si="136"/>
        <v>#VALUE!</v>
      </c>
      <c r="S163" s="954" t="e">
        <f t="shared" si="136"/>
        <v>#VALUE!</v>
      </c>
      <c r="T163" s="954" t="e">
        <f t="shared" si="136"/>
        <v>#VALUE!</v>
      </c>
      <c r="U163" s="954" t="e">
        <f t="shared" si="136"/>
        <v>#VALUE!</v>
      </c>
      <c r="V163" s="954" t="e">
        <f t="shared" si="136"/>
        <v>#VALUE!</v>
      </c>
      <c r="W163" s="954" t="e">
        <f t="shared" si="136"/>
        <v>#VALUE!</v>
      </c>
      <c r="X163" s="954" t="e">
        <f t="shared" si="136"/>
        <v>#VALUE!</v>
      </c>
      <c r="Y163" s="954">
        <f t="shared" si="136"/>
        <v>1.2955032119914347</v>
      </c>
      <c r="Z163" s="954">
        <f t="shared" si="136"/>
        <v>1.2955032119914347</v>
      </c>
      <c r="AA163" s="954">
        <f t="shared" si="136"/>
        <v>1.2955032119914349</v>
      </c>
      <c r="AB163" s="954">
        <f t="shared" si="136"/>
        <v>1.2955032119914347</v>
      </c>
      <c r="AC163" s="954">
        <f t="shared" si="136"/>
        <v>1.2955032119914347</v>
      </c>
      <c r="AD163" s="954">
        <f t="shared" si="136"/>
        <v>1.2955032119914343</v>
      </c>
      <c r="AE163" s="954">
        <f t="shared" si="136"/>
        <v>1.2955032119914347</v>
      </c>
      <c r="AF163" s="954">
        <f t="shared" si="136"/>
        <v>1.2955032119914347</v>
      </c>
      <c r="AG163" s="954">
        <f t="shared" ref="AG163:AH163" si="149">AG135*$C$156</f>
        <v>1.2955032119914347</v>
      </c>
      <c r="AH163" s="954">
        <f t="shared" si="149"/>
        <v>1.2955032119914347</v>
      </c>
      <c r="AI163" s="954">
        <f t="shared" ref="AI163:AJ163" si="150">AI135*$C$156</f>
        <v>1.2955032119914347</v>
      </c>
      <c r="AJ163" s="954">
        <f t="shared" si="150"/>
        <v>1.2955032119914347</v>
      </c>
      <c r="AK163" s="954">
        <f t="shared" ref="AK163" si="151">AK135*$C$156</f>
        <v>0</v>
      </c>
      <c r="AL163" s="990"/>
    </row>
    <row r="164" spans="2:38" s="955" customFormat="1" ht="12">
      <c r="B164" s="924" t="s">
        <v>341</v>
      </c>
      <c r="C164" s="925"/>
      <c r="D164" s="925"/>
      <c r="E164" s="925"/>
      <c r="F164" s="925"/>
      <c r="G164" s="925"/>
      <c r="H164" s="925"/>
      <c r="I164" s="925"/>
      <c r="J164" s="925"/>
      <c r="K164" s="925"/>
      <c r="L164" s="925"/>
      <c r="M164" s="925"/>
      <c r="N164" s="925"/>
      <c r="O164" s="925"/>
      <c r="P164" s="925"/>
      <c r="Q164" s="925"/>
      <c r="R164" s="925"/>
      <c r="S164" s="925"/>
      <c r="T164" s="925"/>
      <c r="U164" s="925"/>
      <c r="V164" s="925"/>
      <c r="W164" s="925"/>
      <c r="X164" s="925"/>
      <c r="Y164" s="925"/>
      <c r="Z164" s="925"/>
      <c r="AA164" s="925"/>
      <c r="AB164" s="925"/>
      <c r="AC164" s="925"/>
      <c r="AD164" s="925"/>
      <c r="AE164" s="925"/>
      <c r="AF164" s="925"/>
      <c r="AG164" s="925"/>
      <c r="AH164" s="925"/>
      <c r="AI164" s="925"/>
      <c r="AJ164" s="925"/>
      <c r="AK164" s="925"/>
      <c r="AL164" s="989"/>
    </row>
    <row r="165" spans="2:38" s="955" customFormat="1" ht="12">
      <c r="B165" s="928" t="s">
        <v>342</v>
      </c>
      <c r="C165" s="930" t="s">
        <v>369</v>
      </c>
      <c r="D165" s="1069">
        <f>D137*$C$156</f>
        <v>5.314646466809422E-5</v>
      </c>
      <c r="E165" s="1069">
        <f t="shared" si="136"/>
        <v>5.3146464668094213E-5</v>
      </c>
      <c r="F165" s="1069">
        <f t="shared" si="136"/>
        <v>5.3146464668094213E-5</v>
      </c>
      <c r="G165" s="1069">
        <f t="shared" si="136"/>
        <v>5.3146464668094213E-5</v>
      </c>
      <c r="H165" s="1069">
        <f t="shared" si="136"/>
        <v>5.3146464668094227E-5</v>
      </c>
      <c r="I165" s="1069">
        <f t="shared" si="136"/>
        <v>5.314646466809422E-5</v>
      </c>
      <c r="J165" s="1069">
        <f t="shared" si="136"/>
        <v>5.314646466809422E-5</v>
      </c>
      <c r="K165" s="1069">
        <f t="shared" si="136"/>
        <v>5.3146464668094213E-5</v>
      </c>
      <c r="L165" s="1069">
        <f t="shared" si="136"/>
        <v>5.3146464668094213E-5</v>
      </c>
      <c r="M165" s="1069">
        <f t="shared" si="136"/>
        <v>5.314646466809422E-5</v>
      </c>
      <c r="N165" s="1069">
        <f t="shared" si="136"/>
        <v>5.3146464668094213E-5</v>
      </c>
      <c r="O165" s="1069">
        <f t="shared" si="136"/>
        <v>5.3146464668094227E-5</v>
      </c>
      <c r="P165" s="1069">
        <f t="shared" si="136"/>
        <v>5.3146464668094213E-5</v>
      </c>
      <c r="Q165" s="1069">
        <f t="shared" si="136"/>
        <v>5.3146464668094213E-5</v>
      </c>
      <c r="R165" s="1069">
        <f t="shared" si="136"/>
        <v>5.314646466809422E-5</v>
      </c>
      <c r="S165" s="1069">
        <f t="shared" si="136"/>
        <v>5.3146464668094213E-5</v>
      </c>
      <c r="T165" s="1069">
        <f t="shared" si="136"/>
        <v>5.3146464668094227E-5</v>
      </c>
      <c r="U165" s="1069">
        <f t="shared" si="136"/>
        <v>5.314646466809422E-5</v>
      </c>
      <c r="V165" s="1069">
        <f t="shared" si="136"/>
        <v>5.3146464668094213E-5</v>
      </c>
      <c r="W165" s="1069">
        <f t="shared" si="136"/>
        <v>5.314646466809422E-5</v>
      </c>
      <c r="X165" s="1069">
        <f t="shared" si="136"/>
        <v>5.314646466809422E-5</v>
      </c>
      <c r="Y165" s="1069">
        <f t="shared" si="136"/>
        <v>5.314646466809422E-5</v>
      </c>
      <c r="Z165" s="1069">
        <f t="shared" si="136"/>
        <v>5.3146464668094213E-5</v>
      </c>
      <c r="AA165" s="1069">
        <f t="shared" si="136"/>
        <v>5.314646466809422E-5</v>
      </c>
      <c r="AB165" s="1069">
        <f t="shared" si="136"/>
        <v>5.314646466809422E-5</v>
      </c>
      <c r="AC165" s="1069">
        <f t="shared" si="136"/>
        <v>5.314646466809422E-5</v>
      </c>
      <c r="AD165" s="1069">
        <f t="shared" si="136"/>
        <v>5.3146464668094227E-5</v>
      </c>
      <c r="AE165" s="1069">
        <f t="shared" si="136"/>
        <v>5.314646466809422E-5</v>
      </c>
      <c r="AF165" s="1069">
        <f t="shared" si="136"/>
        <v>5.314646466809422E-5</v>
      </c>
      <c r="AG165" s="1069">
        <f t="shared" ref="AG165:AH165" si="152">AG137*$C$156</f>
        <v>5.314646466809422E-5</v>
      </c>
      <c r="AH165" s="1069">
        <f t="shared" si="152"/>
        <v>5.3146464668094227E-5</v>
      </c>
      <c r="AI165" s="1069">
        <f t="shared" ref="AI165:AJ165" si="153">AI137*$C$156</f>
        <v>5.3146464668094213E-5</v>
      </c>
      <c r="AJ165" s="1069">
        <f t="shared" si="153"/>
        <v>5.314646466809422E-5</v>
      </c>
      <c r="AK165" s="1069">
        <f t="shared" ref="AK165" si="154">AK137*$C$156</f>
        <v>0</v>
      </c>
      <c r="AL165" s="1224"/>
    </row>
    <row r="166" spans="2:38" s="955" customFormat="1" ht="12">
      <c r="B166" s="963" t="s">
        <v>344</v>
      </c>
      <c r="C166" s="930" t="s">
        <v>294</v>
      </c>
      <c r="D166" s="954">
        <f>D138*$C$156</f>
        <v>45.310076045627376</v>
      </c>
      <c r="E166" s="954">
        <f t="shared" si="136"/>
        <v>45.310076045627383</v>
      </c>
      <c r="F166" s="954">
        <f t="shared" si="136"/>
        <v>45.310076045627383</v>
      </c>
      <c r="G166" s="954">
        <f t="shared" si="136"/>
        <v>45.310076045627369</v>
      </c>
      <c r="H166" s="954">
        <f t="shared" si="136"/>
        <v>45.310076045627369</v>
      </c>
      <c r="I166" s="954">
        <f t="shared" si="136"/>
        <v>45.310076045627362</v>
      </c>
      <c r="J166" s="954">
        <f t="shared" si="136"/>
        <v>45.310076045627376</v>
      </c>
      <c r="K166" s="954">
        <f t="shared" si="136"/>
        <v>45.310076045627369</v>
      </c>
      <c r="L166" s="954">
        <f t="shared" si="136"/>
        <v>45.310076045627369</v>
      </c>
      <c r="M166" s="954">
        <f t="shared" si="136"/>
        <v>45.310076045627376</v>
      </c>
      <c r="N166" s="954">
        <f t="shared" si="136"/>
        <v>45.310076045627376</v>
      </c>
      <c r="O166" s="954">
        <f t="shared" si="136"/>
        <v>45.310076045627369</v>
      </c>
      <c r="P166" s="954">
        <f t="shared" si="136"/>
        <v>45.310076045627376</v>
      </c>
      <c r="Q166" s="954">
        <f t="shared" si="136"/>
        <v>45.310076045627376</v>
      </c>
      <c r="R166" s="954">
        <f t="shared" si="136"/>
        <v>45.310076045627362</v>
      </c>
      <c r="S166" s="954">
        <f t="shared" si="136"/>
        <v>45.310076045627369</v>
      </c>
      <c r="T166" s="954">
        <f t="shared" si="136"/>
        <v>45.310076045627369</v>
      </c>
      <c r="U166" s="954">
        <f t="shared" si="136"/>
        <v>45.310076045627362</v>
      </c>
      <c r="V166" s="954">
        <f t="shared" si="136"/>
        <v>45.310076045627369</v>
      </c>
      <c r="W166" s="954">
        <f t="shared" si="136"/>
        <v>45.310076045627376</v>
      </c>
      <c r="X166" s="954">
        <f t="shared" si="136"/>
        <v>45.310076045627369</v>
      </c>
      <c r="Y166" s="954">
        <f t="shared" si="136"/>
        <v>45.310076045627376</v>
      </c>
      <c r="Z166" s="954">
        <f t="shared" si="136"/>
        <v>45.310076045627376</v>
      </c>
      <c r="AA166" s="954">
        <f t="shared" si="136"/>
        <v>45.310076045627369</v>
      </c>
      <c r="AB166" s="954">
        <f t="shared" si="136"/>
        <v>45.310076045627376</v>
      </c>
      <c r="AC166" s="954">
        <f t="shared" si="136"/>
        <v>45.310076045627376</v>
      </c>
      <c r="AD166" s="954">
        <f t="shared" si="136"/>
        <v>47.477485928705448</v>
      </c>
      <c r="AE166" s="954">
        <f t="shared" si="136"/>
        <v>40.694785847299812</v>
      </c>
      <c r="AF166" s="954">
        <f t="shared" si="136"/>
        <v>37.974305555555553</v>
      </c>
      <c r="AG166" s="954">
        <f t="shared" ref="AG166:AH166" si="155">AG138*$C$156</f>
        <v>41.582352941176474</v>
      </c>
      <c r="AH166" s="954">
        <f t="shared" si="155"/>
        <v>49.765586419753078</v>
      </c>
      <c r="AI166" s="954">
        <f t="shared" ref="AI166:AJ166" si="156">AI138*$C$156</f>
        <v>32.129742033383913</v>
      </c>
      <c r="AJ166" s="954">
        <f t="shared" si="156"/>
        <v>40.96084977238241</v>
      </c>
      <c r="AK166" s="954">
        <f t="shared" ref="AK166" si="157">AK138*$C$156</f>
        <v>0</v>
      </c>
      <c r="AL166" s="990"/>
    </row>
    <row r="167" spans="2:38" s="955" customFormat="1" ht="12">
      <c r="B167" s="924" t="s">
        <v>345</v>
      </c>
      <c r="C167" s="925"/>
      <c r="D167" s="1068"/>
      <c r="E167" s="1068"/>
      <c r="F167" s="1068"/>
      <c r="G167" s="1068"/>
      <c r="H167" s="1068"/>
      <c r="I167" s="1068"/>
      <c r="J167" s="1068"/>
      <c r="K167" s="1068"/>
      <c r="L167" s="1068"/>
      <c r="M167" s="1068"/>
      <c r="N167" s="1068"/>
      <c r="O167" s="1068"/>
      <c r="P167" s="1068"/>
      <c r="Q167" s="1068"/>
      <c r="R167" s="1068"/>
      <c r="S167" s="1068"/>
      <c r="T167" s="1068"/>
      <c r="U167" s="1068"/>
      <c r="V167" s="1068"/>
      <c r="W167" s="1068"/>
      <c r="X167" s="1068"/>
      <c r="Y167" s="1068"/>
      <c r="Z167" s="1068"/>
      <c r="AA167" s="1068"/>
      <c r="AB167" s="1068"/>
      <c r="AC167" s="1068"/>
      <c r="AD167" s="1068"/>
      <c r="AE167" s="1068"/>
      <c r="AF167" s="1068"/>
      <c r="AG167" s="1068"/>
      <c r="AH167" s="1068"/>
      <c r="AI167" s="1068"/>
      <c r="AJ167" s="1068"/>
      <c r="AK167" s="1068"/>
      <c r="AL167" s="1233"/>
    </row>
    <row r="168" spans="2:38" s="955" customFormat="1" ht="12">
      <c r="B168" s="928" t="s">
        <v>345</v>
      </c>
      <c r="C168" s="928" t="s">
        <v>370</v>
      </c>
      <c r="D168" s="1065">
        <f>D140*$C$156</f>
        <v>9.1978202408993598E-2</v>
      </c>
      <c r="E168" s="1065">
        <f t="shared" si="136"/>
        <v>9.197820240899357E-2</v>
      </c>
      <c r="F168" s="1065">
        <f t="shared" si="136"/>
        <v>9.197820240899357E-2</v>
      </c>
      <c r="G168" s="1065">
        <f t="shared" si="136"/>
        <v>9.1279053305674651E-2</v>
      </c>
      <c r="H168" s="1065">
        <f t="shared" si="136"/>
        <v>9.0579904202355704E-2</v>
      </c>
      <c r="I168" s="1065">
        <f t="shared" si="136"/>
        <v>8.9880755099036785E-2</v>
      </c>
      <c r="J168" s="1065">
        <f t="shared" si="136"/>
        <v>8.9181605995717866E-2</v>
      </c>
      <c r="K168" s="1065">
        <f t="shared" si="136"/>
        <v>8.848245689239892E-2</v>
      </c>
      <c r="L168" s="1065">
        <f t="shared" si="136"/>
        <v>8.7783307789079973E-2</v>
      </c>
      <c r="M168" s="1065">
        <f t="shared" si="136"/>
        <v>8.7084158685761068E-2</v>
      </c>
      <c r="N168" s="1065">
        <f t="shared" si="136"/>
        <v>8.6385009582442107E-2</v>
      </c>
      <c r="O168" s="1065">
        <f t="shared" si="136"/>
        <v>8.5685860479123188E-2</v>
      </c>
      <c r="P168" s="1065">
        <f t="shared" si="136"/>
        <v>8.4986711375804241E-2</v>
      </c>
      <c r="Q168" s="1065">
        <f t="shared" si="136"/>
        <v>8.4287562272485309E-2</v>
      </c>
      <c r="R168" s="1065">
        <f t="shared" si="136"/>
        <v>8.3588413169166362E-2</v>
      </c>
      <c r="S168" s="1065">
        <f t="shared" si="136"/>
        <v>8.2889264065847443E-2</v>
      </c>
      <c r="T168" s="1065">
        <f t="shared" si="136"/>
        <v>8.219011496252851E-2</v>
      </c>
      <c r="U168" s="1065">
        <f t="shared" si="136"/>
        <v>8.1490965859209563E-2</v>
      </c>
      <c r="V168" s="1065">
        <f t="shared" si="136"/>
        <v>8.0791816755890672E-2</v>
      </c>
      <c r="W168" s="1065">
        <f t="shared" si="136"/>
        <v>8.0092667652571739E-2</v>
      </c>
      <c r="X168" s="1065">
        <f t="shared" si="136"/>
        <v>7.9393518549252778E-2</v>
      </c>
      <c r="Y168" s="1065">
        <f t="shared" si="136"/>
        <v>7.8694369445933846E-2</v>
      </c>
      <c r="Z168" s="1065">
        <f t="shared" si="136"/>
        <v>7.6370245948865656E-2</v>
      </c>
      <c r="AA168" s="1065">
        <f t="shared" si="136"/>
        <v>7.2058981892935012E-2</v>
      </c>
      <c r="AB168" s="1065">
        <f t="shared" si="136"/>
        <v>1.8476348385653544E-2</v>
      </c>
      <c r="AC168" s="1065">
        <f t="shared" si="136"/>
        <v>1.7127976190476155E-2</v>
      </c>
      <c r="AD168" s="1065">
        <f t="shared" si="136"/>
        <v>1.5985722964763048E-2</v>
      </c>
      <c r="AE168" s="1065">
        <f t="shared" si="136"/>
        <v>2.1624721678699145E-2</v>
      </c>
      <c r="AF168" s="1065">
        <f t="shared" si="136"/>
        <v>1.4792065250226537E-2</v>
      </c>
      <c r="AG168" s="1065">
        <f t="shared" ref="AG168:AH168" si="158">AG140*$C$156</f>
        <v>1.4550050073918649E-2</v>
      </c>
      <c r="AH168" s="1065">
        <f t="shared" si="158"/>
        <v>1.4197089000238593E-2</v>
      </c>
      <c r="AI168" s="1065">
        <f t="shared" ref="AI168:AJ168" si="159">AI140*$C$156</f>
        <v>1.3075250913463749E-2</v>
      </c>
      <c r="AJ168" s="1065">
        <f t="shared" si="159"/>
        <v>1.3494291596481368E-2</v>
      </c>
      <c r="AK168" s="1065">
        <f t="shared" ref="AK168" si="160">AK140*$C$156</f>
        <v>0</v>
      </c>
      <c r="AL168" s="1234"/>
    </row>
    <row r="169" spans="2:38" s="955" customFormat="1" ht="12">
      <c r="B169" s="959" t="s">
        <v>347</v>
      </c>
      <c r="C169" s="928" t="s">
        <v>370</v>
      </c>
      <c r="D169" s="1065" t="e">
        <f>D141*$C$156</f>
        <v>#VALUE!</v>
      </c>
      <c r="E169" s="1065" t="e">
        <f t="shared" si="136"/>
        <v>#VALUE!</v>
      </c>
      <c r="F169" s="1065" t="e">
        <f t="shared" si="136"/>
        <v>#VALUE!</v>
      </c>
      <c r="G169" s="1065" t="e">
        <f t="shared" si="136"/>
        <v>#VALUE!</v>
      </c>
      <c r="H169" s="1065" t="e">
        <f t="shared" si="136"/>
        <v>#VALUE!</v>
      </c>
      <c r="I169" s="1065" t="e">
        <f t="shared" si="136"/>
        <v>#VALUE!</v>
      </c>
      <c r="J169" s="1065" t="e">
        <f t="shared" si="136"/>
        <v>#VALUE!</v>
      </c>
      <c r="K169" s="1065" t="e">
        <f t="shared" si="136"/>
        <v>#VALUE!</v>
      </c>
      <c r="L169" s="1065" t="e">
        <f t="shared" si="136"/>
        <v>#VALUE!</v>
      </c>
      <c r="M169" s="1065" t="e">
        <f t="shared" si="136"/>
        <v>#VALUE!</v>
      </c>
      <c r="N169" s="1065" t="e">
        <f t="shared" si="136"/>
        <v>#VALUE!</v>
      </c>
      <c r="O169" s="1065" t="e">
        <f t="shared" si="136"/>
        <v>#VALUE!</v>
      </c>
      <c r="P169" s="1065" t="e">
        <f t="shared" si="136"/>
        <v>#VALUE!</v>
      </c>
      <c r="Q169" s="1065" t="e">
        <f t="shared" si="136"/>
        <v>#VALUE!</v>
      </c>
      <c r="R169" s="1065" t="e">
        <f t="shared" si="136"/>
        <v>#VALUE!</v>
      </c>
      <c r="S169" s="1065" t="e">
        <f t="shared" si="136"/>
        <v>#VALUE!</v>
      </c>
      <c r="T169" s="1065" t="e">
        <f t="shared" si="136"/>
        <v>#VALUE!</v>
      </c>
      <c r="U169" s="1065" t="e">
        <f t="shared" si="136"/>
        <v>#VALUE!</v>
      </c>
      <c r="V169" s="1065" t="e">
        <f t="shared" si="136"/>
        <v>#VALUE!</v>
      </c>
      <c r="W169" s="1065" t="e">
        <f t="shared" si="136"/>
        <v>#VALUE!</v>
      </c>
      <c r="X169" s="1065" t="e">
        <f t="shared" si="136"/>
        <v>#VALUE!</v>
      </c>
      <c r="Y169" s="1065">
        <f t="shared" si="136"/>
        <v>9.2295538039037714E-2</v>
      </c>
      <c r="Z169" s="1065">
        <f t="shared" si="136"/>
        <v>9.5097988509874373E-2</v>
      </c>
      <c r="AA169" s="1065">
        <f t="shared" si="136"/>
        <v>9.1492153626943129E-2</v>
      </c>
      <c r="AB169" s="1065">
        <f t="shared" si="136"/>
        <v>9.0905412787723835E-2</v>
      </c>
      <c r="AC169" s="1065">
        <f t="shared" si="136"/>
        <v>8.0305039787798377E-2</v>
      </c>
      <c r="AD169" s="1065">
        <f t="shared" si="136"/>
        <v>8.5099999999999995E-2</v>
      </c>
      <c r="AE169" s="1065">
        <f t="shared" si="136"/>
        <v>8.9623601220752858E-2</v>
      </c>
      <c r="AF169" s="1065">
        <f t="shared" si="136"/>
        <v>8.5028248587570673E-2</v>
      </c>
      <c r="AG169" s="1065">
        <f t="shared" ref="AG169:AH169" si="161">AG141*$C$156</f>
        <v>8.1913959613696186E-2</v>
      </c>
      <c r="AH169" s="1065">
        <f t="shared" si="161"/>
        <v>8.1290322580645155E-2</v>
      </c>
      <c r="AI169" s="1065">
        <f t="shared" ref="AI169:AJ169" si="162">AI141*$C$156</f>
        <v>7.0934579439252382E-2</v>
      </c>
      <c r="AJ169" s="1065">
        <f t="shared" si="162"/>
        <v>7.5206611570247925E-2</v>
      </c>
      <c r="AK169" s="1065">
        <f t="shared" ref="AK169" si="163">AK141*$C$156</f>
        <v>0</v>
      </c>
      <c r="AL169" s="1234"/>
    </row>
    <row r="170" spans="2:38" s="955" customFormat="1" ht="12">
      <c r="B170" s="959" t="s">
        <v>348</v>
      </c>
      <c r="C170" s="928" t="s">
        <v>370</v>
      </c>
      <c r="D170" s="1065" t="e">
        <f>D142*$C$156</f>
        <v>#VALUE!</v>
      </c>
      <c r="E170" s="1065" t="e">
        <f t="shared" si="136"/>
        <v>#VALUE!</v>
      </c>
      <c r="F170" s="1065" t="e">
        <f t="shared" si="136"/>
        <v>#VALUE!</v>
      </c>
      <c r="G170" s="1065" t="e">
        <f t="shared" si="136"/>
        <v>#VALUE!</v>
      </c>
      <c r="H170" s="1065" t="e">
        <f t="shared" si="136"/>
        <v>#VALUE!</v>
      </c>
      <c r="I170" s="1065" t="e">
        <f t="shared" si="136"/>
        <v>#VALUE!</v>
      </c>
      <c r="J170" s="1065" t="e">
        <f t="shared" si="136"/>
        <v>#VALUE!</v>
      </c>
      <c r="K170" s="1065" t="e">
        <f t="shared" si="136"/>
        <v>#VALUE!</v>
      </c>
      <c r="L170" s="1065" t="e">
        <f t="shared" si="136"/>
        <v>#VALUE!</v>
      </c>
      <c r="M170" s="1065" t="e">
        <f t="shared" si="136"/>
        <v>#VALUE!</v>
      </c>
      <c r="N170" s="1065" t="e">
        <f t="shared" ref="E170:AF181" si="164">N142*$C$156</f>
        <v>#VALUE!</v>
      </c>
      <c r="O170" s="1065" t="e">
        <f t="shared" si="164"/>
        <v>#VALUE!</v>
      </c>
      <c r="P170" s="1065" t="e">
        <f t="shared" si="164"/>
        <v>#VALUE!</v>
      </c>
      <c r="Q170" s="1065" t="e">
        <f t="shared" si="164"/>
        <v>#VALUE!</v>
      </c>
      <c r="R170" s="1065" t="e">
        <f t="shared" si="164"/>
        <v>#VALUE!</v>
      </c>
      <c r="S170" s="1065" t="e">
        <f t="shared" si="164"/>
        <v>#VALUE!</v>
      </c>
      <c r="T170" s="1065" t="e">
        <f t="shared" si="164"/>
        <v>#VALUE!</v>
      </c>
      <c r="U170" s="1065" t="e">
        <f t="shared" si="164"/>
        <v>#VALUE!</v>
      </c>
      <c r="V170" s="1065" t="e">
        <f t="shared" si="164"/>
        <v>#VALUE!</v>
      </c>
      <c r="W170" s="1065" t="e">
        <f t="shared" si="164"/>
        <v>#VALUE!</v>
      </c>
      <c r="X170" s="1065" t="e">
        <f t="shared" si="164"/>
        <v>#VALUE!</v>
      </c>
      <c r="Y170" s="1065">
        <f t="shared" si="164"/>
        <v>8.0626120640057544E-2</v>
      </c>
      <c r="Z170" s="1065">
        <f t="shared" si="164"/>
        <v>8.0777700559578669E-2</v>
      </c>
      <c r="AA170" s="1065">
        <f t="shared" si="164"/>
        <v>7.5393287428052111E-2</v>
      </c>
      <c r="AB170" s="1065">
        <f t="shared" si="164"/>
        <v>1.2048322992831539E-2</v>
      </c>
      <c r="AC170" s="1065">
        <f t="shared" si="164"/>
        <v>9.6155610606477628E-3</v>
      </c>
      <c r="AD170" s="1065">
        <f t="shared" si="164"/>
        <v>1.0770601336302891E-2</v>
      </c>
      <c r="AE170" s="1065">
        <f t="shared" si="164"/>
        <v>1.7774634606317778E-2</v>
      </c>
      <c r="AF170" s="1065">
        <f t="shared" si="164"/>
        <v>1.1143928206293308E-2</v>
      </c>
      <c r="AG170" s="1065">
        <f t="shared" ref="AG170:AH170" si="165">AG142*$C$156</f>
        <v>1.097658970375528E-2</v>
      </c>
      <c r="AH170" s="1065">
        <f t="shared" si="165"/>
        <v>1.0836277974087146E-2</v>
      </c>
      <c r="AI170" s="1065">
        <f t="shared" ref="AI170:AJ170" si="166">AI142*$C$156</f>
        <v>1.0362240428711285E-2</v>
      </c>
      <c r="AJ170" s="1065">
        <f t="shared" si="166"/>
        <v>1.0834749472166423E-2</v>
      </c>
      <c r="AK170" s="1065">
        <f t="shared" ref="AK170" si="167">AK142*$C$156</f>
        <v>0</v>
      </c>
      <c r="AL170" s="1234"/>
    </row>
    <row r="171" spans="2:38" s="955" customFormat="1" ht="12">
      <c r="B171" s="959" t="s">
        <v>349</v>
      </c>
      <c r="C171" s="928" t="s">
        <v>370</v>
      </c>
      <c r="D171" s="1065" t="e">
        <f>D143*$C$156</f>
        <v>#VALUE!</v>
      </c>
      <c r="E171" s="1065" t="e">
        <f t="shared" si="164"/>
        <v>#VALUE!</v>
      </c>
      <c r="F171" s="1065" t="e">
        <f t="shared" si="164"/>
        <v>#VALUE!</v>
      </c>
      <c r="G171" s="1065" t="e">
        <f t="shared" si="164"/>
        <v>#VALUE!</v>
      </c>
      <c r="H171" s="1065" t="e">
        <f t="shared" si="164"/>
        <v>#VALUE!</v>
      </c>
      <c r="I171" s="1065" t="e">
        <f t="shared" si="164"/>
        <v>#VALUE!</v>
      </c>
      <c r="J171" s="1065" t="e">
        <f t="shared" si="164"/>
        <v>#VALUE!</v>
      </c>
      <c r="K171" s="1065" t="e">
        <f t="shared" si="164"/>
        <v>#VALUE!</v>
      </c>
      <c r="L171" s="1065" t="e">
        <f t="shared" si="164"/>
        <v>#VALUE!</v>
      </c>
      <c r="M171" s="1065" t="e">
        <f t="shared" si="164"/>
        <v>#VALUE!</v>
      </c>
      <c r="N171" s="1065" t="e">
        <f t="shared" si="164"/>
        <v>#VALUE!</v>
      </c>
      <c r="O171" s="1065" t="e">
        <f t="shared" si="164"/>
        <v>#VALUE!</v>
      </c>
      <c r="P171" s="1065" t="e">
        <f t="shared" si="164"/>
        <v>#VALUE!</v>
      </c>
      <c r="Q171" s="1065" t="e">
        <f t="shared" si="164"/>
        <v>#VALUE!</v>
      </c>
      <c r="R171" s="1065" t="e">
        <f t="shared" si="164"/>
        <v>#VALUE!</v>
      </c>
      <c r="S171" s="1065" t="e">
        <f t="shared" si="164"/>
        <v>#VALUE!</v>
      </c>
      <c r="T171" s="1065" t="e">
        <f t="shared" si="164"/>
        <v>#VALUE!</v>
      </c>
      <c r="U171" s="1065" t="e">
        <f t="shared" si="164"/>
        <v>#VALUE!</v>
      </c>
      <c r="V171" s="1065" t="e">
        <f t="shared" si="164"/>
        <v>#VALUE!</v>
      </c>
      <c r="W171" s="1065" t="e">
        <f t="shared" si="164"/>
        <v>#VALUE!</v>
      </c>
      <c r="X171" s="1065" t="e">
        <f t="shared" si="164"/>
        <v>#VALUE!</v>
      </c>
      <c r="Y171" s="1065">
        <f t="shared" si="164"/>
        <v>7.141613819875779E-3</v>
      </c>
      <c r="Z171" s="1065">
        <f t="shared" si="164"/>
        <v>7.0154203409090845E-3</v>
      </c>
      <c r="AA171" s="1065">
        <f t="shared" si="164"/>
        <v>7.2710698949824898E-3</v>
      </c>
      <c r="AB171" s="1065">
        <f t="shared" si="164"/>
        <v>6.2105513914656706E-3</v>
      </c>
      <c r="AC171" s="1065">
        <f t="shared" si="164"/>
        <v>4.1626331074540194E-3</v>
      </c>
      <c r="AD171" s="1065">
        <f t="shared" si="164"/>
        <v>4.7720042417815486E-3</v>
      </c>
      <c r="AE171" s="1065">
        <f t="shared" si="164"/>
        <v>5.5755395683453196E-3</v>
      </c>
      <c r="AF171" s="1065">
        <f t="shared" si="164"/>
        <v>6.1139028475711843E-3</v>
      </c>
      <c r="AG171" s="1065">
        <f t="shared" ref="AG171:AH171" si="168">AG143*$C$156</f>
        <v>5.9329320722269945E-3</v>
      </c>
      <c r="AH171" s="1065">
        <f t="shared" si="168"/>
        <v>5.7885906040268439E-3</v>
      </c>
      <c r="AI171" s="1065">
        <f t="shared" ref="AI171:AJ171" si="169">AI143*$C$156</f>
        <v>4.9825174825174796E-3</v>
      </c>
      <c r="AJ171" s="1065">
        <f t="shared" si="169"/>
        <v>5.2791878172588841E-3</v>
      </c>
      <c r="AK171" s="1065">
        <f t="shared" ref="AK171" si="170">AK143*$C$156</f>
        <v>0</v>
      </c>
      <c r="AL171" s="1234"/>
    </row>
    <row r="172" spans="2:38" s="955" customFormat="1" ht="12">
      <c r="B172" s="924" t="s">
        <v>350</v>
      </c>
      <c r="C172" s="925"/>
      <c r="D172" s="1066"/>
      <c r="E172" s="1066"/>
      <c r="F172" s="1066"/>
      <c r="G172" s="1066"/>
      <c r="H172" s="1066"/>
      <c r="I172" s="1066"/>
      <c r="J172" s="1066"/>
      <c r="K172" s="1066"/>
      <c r="L172" s="1066"/>
      <c r="M172" s="1066"/>
      <c r="N172" s="1066"/>
      <c r="O172" s="1066"/>
      <c r="P172" s="1066"/>
      <c r="Q172" s="1066"/>
      <c r="R172" s="1066"/>
      <c r="S172" s="1066"/>
      <c r="T172" s="1066"/>
      <c r="U172" s="1066"/>
      <c r="V172" s="1066"/>
      <c r="W172" s="1066"/>
      <c r="X172" s="1066"/>
      <c r="Y172" s="1066"/>
      <c r="Z172" s="1066"/>
      <c r="AA172" s="1066"/>
      <c r="AB172" s="1066"/>
      <c r="AC172" s="1066"/>
      <c r="AD172" s="1066"/>
      <c r="AE172" s="1066"/>
      <c r="AF172" s="1066"/>
      <c r="AG172" s="1066"/>
      <c r="AH172" s="1066"/>
      <c r="AI172" s="1066"/>
      <c r="AJ172" s="1066"/>
      <c r="AK172" s="1066"/>
      <c r="AL172" s="1235"/>
    </row>
    <row r="173" spans="2:38" s="955" customFormat="1" ht="12">
      <c r="B173" s="961" t="s">
        <v>351</v>
      </c>
      <c r="C173" s="961" t="s">
        <v>292</v>
      </c>
      <c r="D173" s="1065">
        <f>D145*$C$156</f>
        <v>1.7947989828693788E-2</v>
      </c>
      <c r="E173" s="1065">
        <f t="shared" si="164"/>
        <v>1.7947989828693788E-2</v>
      </c>
      <c r="F173" s="1065">
        <f t="shared" si="164"/>
        <v>1.7947989828693788E-2</v>
      </c>
      <c r="G173" s="1065">
        <f t="shared" si="164"/>
        <v>1.7947989828693792E-2</v>
      </c>
      <c r="H173" s="1065">
        <f t="shared" si="164"/>
        <v>1.7947989828693792E-2</v>
      </c>
      <c r="I173" s="1065">
        <f t="shared" si="164"/>
        <v>1.7947989828693788E-2</v>
      </c>
      <c r="J173" s="1065">
        <f t="shared" si="164"/>
        <v>1.7947989828693788E-2</v>
      </c>
      <c r="K173" s="1065">
        <f t="shared" si="164"/>
        <v>1.7947989828693792E-2</v>
      </c>
      <c r="L173" s="1065">
        <f t="shared" si="164"/>
        <v>1.7947989828693788E-2</v>
      </c>
      <c r="M173" s="1065">
        <f t="shared" si="164"/>
        <v>1.7947989828693788E-2</v>
      </c>
      <c r="N173" s="1065">
        <f t="shared" si="164"/>
        <v>1.7947989828693788E-2</v>
      </c>
      <c r="O173" s="1065">
        <f t="shared" si="164"/>
        <v>1.7947989828693792E-2</v>
      </c>
      <c r="P173" s="1065">
        <f t="shared" si="164"/>
        <v>1.7947989828693788E-2</v>
      </c>
      <c r="Q173" s="1065">
        <f t="shared" si="164"/>
        <v>1.7947989828693788E-2</v>
      </c>
      <c r="R173" s="1065">
        <f t="shared" si="164"/>
        <v>1.7947989828693788E-2</v>
      </c>
      <c r="S173" s="1065">
        <f t="shared" si="164"/>
        <v>1.7947989828693788E-2</v>
      </c>
      <c r="T173" s="1065">
        <f t="shared" si="164"/>
        <v>1.7947989828693788E-2</v>
      </c>
      <c r="U173" s="1065">
        <f t="shared" si="164"/>
        <v>1.7947989828693792E-2</v>
      </c>
      <c r="V173" s="1065">
        <f t="shared" si="164"/>
        <v>1.7947989828693788E-2</v>
      </c>
      <c r="W173" s="1065">
        <f t="shared" si="164"/>
        <v>1.7947989828693788E-2</v>
      </c>
      <c r="X173" s="1065">
        <f t="shared" si="164"/>
        <v>1.7947989828693788E-2</v>
      </c>
      <c r="Y173" s="1065">
        <f t="shared" si="164"/>
        <v>1.7947989828693788E-2</v>
      </c>
      <c r="Z173" s="1065">
        <f t="shared" si="164"/>
        <v>1.7947989828693788E-2</v>
      </c>
      <c r="AA173" s="1065">
        <f t="shared" si="164"/>
        <v>1.7947989828693788E-2</v>
      </c>
      <c r="AB173" s="1065">
        <f t="shared" si="164"/>
        <v>1.7947989828693788E-2</v>
      </c>
      <c r="AC173" s="1065">
        <f t="shared" si="164"/>
        <v>1.7947989828693788E-2</v>
      </c>
      <c r="AD173" s="1065">
        <f t="shared" si="164"/>
        <v>2.4886027141180253E-2</v>
      </c>
      <c r="AE173" s="1065">
        <f t="shared" si="164"/>
        <v>1.9944433585587396E-2</v>
      </c>
      <c r="AF173" s="1065">
        <f t="shared" si="164"/>
        <v>2.1333668900535663E-2</v>
      </c>
      <c r="AG173" s="1065">
        <f t="shared" ref="AG173:AH173" si="171">AG145*$C$156</f>
        <v>1.8311595404519994E-2</v>
      </c>
      <c r="AH173" s="1065">
        <f t="shared" si="171"/>
        <v>2.1217575869374668E-2</v>
      </c>
      <c r="AI173" s="1065">
        <f t="shared" ref="AI173:AJ173" si="172">AI145*$C$156</f>
        <v>1.4603696632848124E-2</v>
      </c>
      <c r="AJ173" s="1065">
        <f t="shared" si="172"/>
        <v>1.0337836489429186E-2</v>
      </c>
      <c r="AK173" s="1065">
        <f t="shared" ref="AK173" si="173">AK145*$C$156</f>
        <v>0</v>
      </c>
      <c r="AL173" s="1234"/>
    </row>
    <row r="174" spans="2:38" s="955" customFormat="1" ht="12">
      <c r="B174" s="924" t="s">
        <v>352</v>
      </c>
      <c r="C174" s="925"/>
      <c r="D174" s="925"/>
      <c r="E174" s="925"/>
      <c r="F174" s="925"/>
      <c r="G174" s="925"/>
      <c r="H174" s="925"/>
      <c r="I174" s="925"/>
      <c r="J174" s="925"/>
      <c r="K174" s="925"/>
      <c r="L174" s="925"/>
      <c r="M174" s="925"/>
      <c r="N174" s="925"/>
      <c r="O174" s="925"/>
      <c r="P174" s="925"/>
      <c r="Q174" s="925"/>
      <c r="R174" s="925"/>
      <c r="S174" s="925"/>
      <c r="T174" s="925"/>
      <c r="U174" s="925"/>
      <c r="V174" s="925"/>
      <c r="W174" s="925"/>
      <c r="X174" s="925"/>
      <c r="Y174" s="925"/>
      <c r="Z174" s="925"/>
      <c r="AA174" s="925"/>
      <c r="AB174" s="925"/>
      <c r="AC174" s="925"/>
      <c r="AD174" s="925"/>
      <c r="AE174" s="925"/>
      <c r="AF174" s="925"/>
      <c r="AG174" s="925"/>
      <c r="AH174" s="925"/>
      <c r="AI174" s="925"/>
      <c r="AJ174" s="925"/>
      <c r="AK174" s="925"/>
      <c r="AL174" s="989"/>
    </row>
    <row r="175" spans="2:38" s="955" customFormat="1" ht="12">
      <c r="B175" s="928" t="s">
        <v>352</v>
      </c>
      <c r="C175" s="928" t="s">
        <v>294</v>
      </c>
      <c r="D175" s="954">
        <f>D147*$C$156</f>
        <v>2.4718890256959312</v>
      </c>
      <c r="E175" s="954">
        <f t="shared" si="164"/>
        <v>2.4718890256959321</v>
      </c>
      <c r="F175" s="954">
        <f t="shared" si="164"/>
        <v>2.4718890256959321</v>
      </c>
      <c r="G175" s="954">
        <f t="shared" si="164"/>
        <v>2.4718890256959316</v>
      </c>
      <c r="H175" s="954">
        <f t="shared" si="164"/>
        <v>2.4718890256959316</v>
      </c>
      <c r="I175" s="954">
        <f t="shared" si="164"/>
        <v>2.4718890256959321</v>
      </c>
      <c r="J175" s="954">
        <f t="shared" si="164"/>
        <v>2.4718890256959316</v>
      </c>
      <c r="K175" s="954">
        <f t="shared" si="164"/>
        <v>2.4718890256959316</v>
      </c>
      <c r="L175" s="954">
        <f t="shared" si="164"/>
        <v>2.4718890256959316</v>
      </c>
      <c r="M175" s="954">
        <f t="shared" si="164"/>
        <v>2.4718890256959321</v>
      </c>
      <c r="N175" s="954">
        <f t="shared" si="164"/>
        <v>2.4718890256959312</v>
      </c>
      <c r="O175" s="954">
        <f t="shared" si="164"/>
        <v>2.4718890256959321</v>
      </c>
      <c r="P175" s="954">
        <f t="shared" si="164"/>
        <v>2.4718890256959316</v>
      </c>
      <c r="Q175" s="954">
        <f t="shared" si="164"/>
        <v>2.4718890256959316</v>
      </c>
      <c r="R175" s="954">
        <f t="shared" si="164"/>
        <v>2.4718890256959321</v>
      </c>
      <c r="S175" s="954">
        <f t="shared" si="164"/>
        <v>2.4718890256959316</v>
      </c>
      <c r="T175" s="954">
        <f t="shared" si="164"/>
        <v>2.4718890256959316</v>
      </c>
      <c r="U175" s="954">
        <f t="shared" si="164"/>
        <v>2.4718890256959321</v>
      </c>
      <c r="V175" s="954">
        <f t="shared" si="164"/>
        <v>2.4718890256959316</v>
      </c>
      <c r="W175" s="954">
        <f t="shared" si="164"/>
        <v>2.4718890256959312</v>
      </c>
      <c r="X175" s="954">
        <f t="shared" si="164"/>
        <v>2.4718890256959316</v>
      </c>
      <c r="Y175" s="954">
        <f t="shared" si="164"/>
        <v>2.4718890256959316</v>
      </c>
      <c r="Z175" s="954">
        <f t="shared" si="164"/>
        <v>2.4718890256959312</v>
      </c>
      <c r="AA175" s="954">
        <f t="shared" si="164"/>
        <v>2.4718890256959312</v>
      </c>
      <c r="AB175" s="954">
        <f t="shared" si="164"/>
        <v>2.4718890256959312</v>
      </c>
      <c r="AC175" s="954">
        <f t="shared" si="164"/>
        <v>2.4718890256959312</v>
      </c>
      <c r="AD175" s="954">
        <f t="shared" si="164"/>
        <v>2.4718890256959316</v>
      </c>
      <c r="AE175" s="954">
        <f t="shared" si="164"/>
        <v>2.4718890256959316</v>
      </c>
      <c r="AF175" s="954">
        <f t="shared" si="164"/>
        <v>2.4718890256959316</v>
      </c>
      <c r="AG175" s="954">
        <f t="shared" ref="AG175:AH175" si="174">AG147*$C$156</f>
        <v>2.4718890256959312</v>
      </c>
      <c r="AH175" s="954">
        <f t="shared" si="174"/>
        <v>2.4718890256959321</v>
      </c>
      <c r="AI175" s="954">
        <f t="shared" ref="AI175:AJ175" si="175">AI147*$C$156</f>
        <v>2.4718890256959316</v>
      </c>
      <c r="AJ175" s="954">
        <f t="shared" si="175"/>
        <v>2.4718890256959316</v>
      </c>
      <c r="AK175" s="954">
        <f t="shared" ref="AK175" si="176">AK147*$C$156</f>
        <v>0</v>
      </c>
      <c r="AL175" s="990"/>
    </row>
    <row r="176" spans="2:38" s="955" customFormat="1" ht="12">
      <c r="B176" s="924" t="s">
        <v>353</v>
      </c>
      <c r="C176" s="925"/>
      <c r="D176" s="1068"/>
      <c r="E176" s="1068"/>
      <c r="F176" s="1068"/>
      <c r="G176" s="1068"/>
      <c r="H176" s="1068"/>
      <c r="I176" s="1068"/>
      <c r="J176" s="1068"/>
      <c r="K176" s="1068"/>
      <c r="L176" s="1068"/>
      <c r="M176" s="1068"/>
      <c r="N176" s="1068"/>
      <c r="O176" s="1068"/>
      <c r="P176" s="1068"/>
      <c r="Q176" s="1068"/>
      <c r="R176" s="1068"/>
      <c r="S176" s="1068"/>
      <c r="T176" s="1068"/>
      <c r="U176" s="1068"/>
      <c r="V176" s="1068"/>
      <c r="W176" s="1068"/>
      <c r="X176" s="1068"/>
      <c r="Y176" s="1068"/>
      <c r="Z176" s="1068"/>
      <c r="AA176" s="1068"/>
      <c r="AB176" s="1068"/>
      <c r="AC176" s="1068"/>
      <c r="AD176" s="1068"/>
      <c r="AE176" s="1068"/>
      <c r="AF176" s="1068"/>
      <c r="AG176" s="1068"/>
      <c r="AH176" s="1068"/>
      <c r="AI176" s="1068"/>
      <c r="AJ176" s="1068"/>
      <c r="AK176" s="1068"/>
      <c r="AL176" s="1233"/>
    </row>
    <row r="177" spans="2:38" s="955" customFormat="1" ht="12">
      <c r="B177" s="928" t="s">
        <v>354</v>
      </c>
      <c r="C177" s="928" t="s">
        <v>371</v>
      </c>
      <c r="D177" s="954">
        <f>D149*$C$156</f>
        <v>15.352941176470591</v>
      </c>
      <c r="E177" s="954">
        <f t="shared" si="164"/>
        <v>15.352941176470591</v>
      </c>
      <c r="F177" s="954">
        <f t="shared" si="164"/>
        <v>15.352941176470591</v>
      </c>
      <c r="G177" s="954">
        <f t="shared" si="164"/>
        <v>15.352941176470589</v>
      </c>
      <c r="H177" s="954">
        <f t="shared" si="164"/>
        <v>15.352941176470592</v>
      </c>
      <c r="I177" s="954">
        <f t="shared" si="164"/>
        <v>15.352941176470589</v>
      </c>
      <c r="J177" s="954">
        <f t="shared" si="164"/>
        <v>15.352941176470589</v>
      </c>
      <c r="K177" s="954">
        <f t="shared" si="164"/>
        <v>15.352941176470589</v>
      </c>
      <c r="L177" s="954">
        <f t="shared" si="164"/>
        <v>15.352941176470589</v>
      </c>
      <c r="M177" s="954">
        <f t="shared" si="164"/>
        <v>15.352941176470591</v>
      </c>
      <c r="N177" s="954">
        <f t="shared" si="164"/>
        <v>15.352941176470587</v>
      </c>
      <c r="O177" s="954">
        <f t="shared" si="164"/>
        <v>15.352941176470591</v>
      </c>
      <c r="P177" s="954">
        <f t="shared" si="164"/>
        <v>15.352941176470589</v>
      </c>
      <c r="Q177" s="954">
        <f t="shared" si="164"/>
        <v>15.352941176470589</v>
      </c>
      <c r="R177" s="954">
        <f t="shared" si="164"/>
        <v>15.352941176470589</v>
      </c>
      <c r="S177" s="954">
        <f t="shared" si="164"/>
        <v>15.352941176470589</v>
      </c>
      <c r="T177" s="954">
        <f t="shared" si="164"/>
        <v>15.352941176470589</v>
      </c>
      <c r="U177" s="954">
        <f t="shared" si="164"/>
        <v>15.352941176470589</v>
      </c>
      <c r="V177" s="954">
        <f t="shared" si="164"/>
        <v>15.352941176470589</v>
      </c>
      <c r="W177" s="954">
        <f t="shared" si="164"/>
        <v>15.352941176470589</v>
      </c>
      <c r="X177" s="954">
        <f t="shared" si="164"/>
        <v>15.352941176470587</v>
      </c>
      <c r="Y177" s="954">
        <f t="shared" si="164"/>
        <v>15.352941176470587</v>
      </c>
      <c r="Z177" s="954">
        <f t="shared" si="164"/>
        <v>15.352941176470589</v>
      </c>
      <c r="AA177" s="954">
        <f t="shared" si="164"/>
        <v>15.352941176470589</v>
      </c>
      <c r="AB177" s="954">
        <f t="shared" si="164"/>
        <v>15.352941176470589</v>
      </c>
      <c r="AC177" s="954">
        <f t="shared" si="164"/>
        <v>15.352941176470589</v>
      </c>
      <c r="AD177" s="954">
        <f t="shared" si="164"/>
        <v>15.352941176470587</v>
      </c>
      <c r="AE177" s="954">
        <f t="shared" si="164"/>
        <v>15.352941176470587</v>
      </c>
      <c r="AF177" s="954">
        <f t="shared" si="164"/>
        <v>5.9999999999999977E-2</v>
      </c>
      <c r="AG177" s="954">
        <f t="shared" ref="AG177:AH177" si="177">AG149*$C$156</f>
        <v>3.3333333333333326E-2</v>
      </c>
      <c r="AH177" s="954">
        <f t="shared" si="177"/>
        <v>43.333333333333343</v>
      </c>
      <c r="AI177" s="954">
        <f t="shared" ref="AI177:AJ177" si="178">AI149*$C$156</f>
        <v>72.539999999999992</v>
      </c>
      <c r="AJ177" s="954">
        <f t="shared" si="178"/>
        <v>101.8</v>
      </c>
      <c r="AK177" s="954">
        <f t="shared" ref="AK177" si="179">AK149*$C$156</f>
        <v>0</v>
      </c>
      <c r="AL177" s="990"/>
    </row>
    <row r="178" spans="2:38" s="955" customFormat="1" ht="12">
      <c r="B178" s="930" t="s">
        <v>356</v>
      </c>
      <c r="C178" s="928" t="s">
        <v>371</v>
      </c>
      <c r="D178" s="954">
        <f>D150*$C$156</f>
        <v>2.870880523651016</v>
      </c>
      <c r="E178" s="954">
        <f t="shared" si="164"/>
        <v>2.870880523651016</v>
      </c>
      <c r="F178" s="954">
        <f t="shared" si="164"/>
        <v>2.8708805236510164</v>
      </c>
      <c r="G178" s="954">
        <f t="shared" si="164"/>
        <v>2.8708805236510164</v>
      </c>
      <c r="H178" s="954">
        <f t="shared" si="164"/>
        <v>2.8708805236510164</v>
      </c>
      <c r="I178" s="954">
        <f t="shared" si="164"/>
        <v>2.8708805236510164</v>
      </c>
      <c r="J178" s="954">
        <f t="shared" si="164"/>
        <v>2.8708805236510164</v>
      </c>
      <c r="K178" s="954">
        <f t="shared" si="164"/>
        <v>2.8708805236510169</v>
      </c>
      <c r="L178" s="954">
        <f t="shared" si="164"/>
        <v>2.8708805236510164</v>
      </c>
      <c r="M178" s="954">
        <f t="shared" si="164"/>
        <v>2.8708805236510164</v>
      </c>
      <c r="N178" s="954">
        <f t="shared" si="164"/>
        <v>2.870880523651016</v>
      </c>
      <c r="O178" s="954">
        <f t="shared" si="164"/>
        <v>2.8708805236510169</v>
      </c>
      <c r="P178" s="954">
        <f t="shared" si="164"/>
        <v>2.8708805236510155</v>
      </c>
      <c r="Q178" s="954">
        <f t="shared" si="164"/>
        <v>2.8708805236510164</v>
      </c>
      <c r="R178" s="954">
        <f t="shared" si="164"/>
        <v>2.8708805236510164</v>
      </c>
      <c r="S178" s="954">
        <f t="shared" si="164"/>
        <v>2.8708805236510164</v>
      </c>
      <c r="T178" s="954">
        <f t="shared" si="164"/>
        <v>2.8708805236510164</v>
      </c>
      <c r="U178" s="954">
        <f t="shared" si="164"/>
        <v>2.8708805236510164</v>
      </c>
      <c r="V178" s="954">
        <f t="shared" si="164"/>
        <v>2.8708805236510164</v>
      </c>
      <c r="W178" s="954">
        <f t="shared" si="164"/>
        <v>2.8708805236510164</v>
      </c>
      <c r="X178" s="954">
        <f t="shared" si="164"/>
        <v>2.8708805236510164</v>
      </c>
      <c r="Y178" s="954">
        <f t="shared" si="164"/>
        <v>2.8708805236510164</v>
      </c>
      <c r="Z178" s="954">
        <f t="shared" si="164"/>
        <v>2.8708805236510169</v>
      </c>
      <c r="AA178" s="954">
        <f t="shared" si="164"/>
        <v>2.8708805236510169</v>
      </c>
      <c r="AB178" s="954">
        <f t="shared" si="164"/>
        <v>2.8708805236510169</v>
      </c>
      <c r="AC178" s="954">
        <f t="shared" si="164"/>
        <v>2.8708805236510169</v>
      </c>
      <c r="AD178" s="954">
        <f t="shared" si="164"/>
        <v>2.8708805236510164</v>
      </c>
      <c r="AE178" s="954">
        <f t="shared" si="164"/>
        <v>2.870880523651016</v>
      </c>
      <c r="AF178" s="954">
        <f t="shared" si="164"/>
        <v>2.8708805236510164</v>
      </c>
      <c r="AG178" s="954">
        <f t="shared" ref="AG178:AH178" si="180">AG150*$C$156</f>
        <v>2.8708805236510169</v>
      </c>
      <c r="AH178" s="954">
        <f t="shared" si="180"/>
        <v>2.8708805236510169</v>
      </c>
      <c r="AI178" s="954">
        <f t="shared" ref="AI178:AJ178" si="181">AI150*$C$156</f>
        <v>2.8708805236510164</v>
      </c>
      <c r="AJ178" s="954">
        <f t="shared" si="181"/>
        <v>2.8708805236510169</v>
      </c>
      <c r="AK178" s="954">
        <f t="shared" ref="AK178" si="182">AK150*$C$156</f>
        <v>0</v>
      </c>
      <c r="AL178" s="990"/>
    </row>
    <row r="179" spans="2:38" s="955" customFormat="1" ht="12">
      <c r="B179" s="924" t="s">
        <v>357</v>
      </c>
      <c r="C179" s="925"/>
      <c r="D179" s="1068"/>
      <c r="E179" s="1068"/>
      <c r="F179" s="1068"/>
      <c r="G179" s="1068"/>
      <c r="H179" s="1068"/>
      <c r="I179" s="1068"/>
      <c r="J179" s="1068"/>
      <c r="K179" s="1068"/>
      <c r="L179" s="1068"/>
      <c r="M179" s="1068"/>
      <c r="N179" s="1068"/>
      <c r="O179" s="1068"/>
      <c r="P179" s="1068"/>
      <c r="Q179" s="1068"/>
      <c r="R179" s="1068"/>
      <c r="S179" s="1068"/>
      <c r="T179" s="1068"/>
      <c r="U179" s="1068"/>
      <c r="V179" s="1068"/>
      <c r="W179" s="1068"/>
      <c r="X179" s="1068"/>
      <c r="Y179" s="1068"/>
      <c r="Z179" s="1068"/>
      <c r="AA179" s="1068"/>
      <c r="AB179" s="1068"/>
      <c r="AC179" s="1068"/>
      <c r="AD179" s="1068"/>
      <c r="AE179" s="1068"/>
      <c r="AF179" s="1068"/>
      <c r="AG179" s="1068"/>
      <c r="AH179" s="1068"/>
      <c r="AI179" s="1068"/>
      <c r="AJ179" s="1068"/>
      <c r="AK179" s="1068"/>
      <c r="AL179" s="1233"/>
    </row>
    <row r="180" spans="2:38" s="955" customFormat="1" ht="12">
      <c r="B180" s="930" t="s">
        <v>358</v>
      </c>
      <c r="C180" s="930" t="s">
        <v>372</v>
      </c>
      <c r="D180" s="954">
        <f>D152*$C$156</f>
        <v>7391.0133333333333</v>
      </c>
      <c r="E180" s="954">
        <f t="shared" si="164"/>
        <v>6929.0749999999998</v>
      </c>
      <c r="F180" s="954">
        <f t="shared" si="164"/>
        <v>6929.0749999999998</v>
      </c>
      <c r="G180" s="954">
        <f t="shared" si="164"/>
        <v>6929.0749999999998</v>
      </c>
      <c r="H180" s="954">
        <f t="shared" si="164"/>
        <v>6929.0749999999998</v>
      </c>
      <c r="I180" s="954">
        <f t="shared" si="164"/>
        <v>6929.0749999999998</v>
      </c>
      <c r="J180" s="954">
        <f t="shared" si="164"/>
        <v>6929.0749999999998</v>
      </c>
      <c r="K180" s="954">
        <f t="shared" si="164"/>
        <v>6929.0749999999998</v>
      </c>
      <c r="L180" s="954">
        <f t="shared" si="164"/>
        <v>6929.0749999999998</v>
      </c>
      <c r="M180" s="954">
        <f t="shared" si="164"/>
        <v>6929.0749999999998</v>
      </c>
      <c r="N180" s="954">
        <f t="shared" si="164"/>
        <v>6929.0749999999998</v>
      </c>
      <c r="O180" s="954">
        <f t="shared" si="164"/>
        <v>6929.0749999999998</v>
      </c>
      <c r="P180" s="954">
        <f t="shared" si="164"/>
        <v>6929.0749999999998</v>
      </c>
      <c r="Q180" s="954">
        <f t="shared" si="164"/>
        <v>6929.0749999999998</v>
      </c>
      <c r="R180" s="954">
        <f t="shared" si="164"/>
        <v>6929.0749999999998</v>
      </c>
      <c r="S180" s="954">
        <f t="shared" si="164"/>
        <v>6929.0749999999998</v>
      </c>
      <c r="T180" s="954">
        <f t="shared" si="164"/>
        <v>6929.0749999999998</v>
      </c>
      <c r="U180" s="954">
        <f t="shared" si="164"/>
        <v>6929.0749999999998</v>
      </c>
      <c r="V180" s="954">
        <f t="shared" si="164"/>
        <v>6929.0749999999998</v>
      </c>
      <c r="W180" s="954">
        <f t="shared" si="164"/>
        <v>6929.0749999999998</v>
      </c>
      <c r="X180" s="954">
        <f t="shared" si="164"/>
        <v>6929.0749999999998</v>
      </c>
      <c r="Y180" s="954">
        <f t="shared" si="164"/>
        <v>6929.0749999999998</v>
      </c>
      <c r="Z180" s="954">
        <f t="shared" si="164"/>
        <v>6929.0749999999998</v>
      </c>
      <c r="AA180" s="954">
        <f t="shared" si="164"/>
        <v>6929.0749999999998</v>
      </c>
      <c r="AB180" s="954">
        <f t="shared" si="164"/>
        <v>6929.0749999999998</v>
      </c>
      <c r="AC180" s="954">
        <f t="shared" si="164"/>
        <v>6929.0749999999998</v>
      </c>
      <c r="AD180" s="954">
        <f t="shared" si="164"/>
        <v>6929.0749999999998</v>
      </c>
      <c r="AE180" s="954">
        <f t="shared" si="164"/>
        <v>6929.0749999999998</v>
      </c>
      <c r="AF180" s="954">
        <f t="shared" si="164"/>
        <v>2236.413333333333</v>
      </c>
      <c r="AG180" s="954">
        <f t="shared" ref="AG180:AH180" si="183">AG152*$C$156</f>
        <v>2486.586666666667</v>
      </c>
      <c r="AH180" s="954">
        <f t="shared" si="183"/>
        <v>464.90714285714284</v>
      </c>
      <c r="AI180" s="954">
        <f t="shared" ref="AI180:AJ180" si="184">AI152*$C$156</f>
        <v>590.42500000000007</v>
      </c>
      <c r="AJ180" s="954">
        <f t="shared" si="184"/>
        <v>678.99</v>
      </c>
      <c r="AK180" s="954">
        <f t="shared" ref="AK180" si="185">AK152*$C$156</f>
        <v>0</v>
      </c>
      <c r="AL180" s="990"/>
    </row>
    <row r="181" spans="2:38" s="955" customFormat="1" ht="12">
      <c r="B181" s="930" t="s">
        <v>360</v>
      </c>
      <c r="C181" s="930" t="s">
        <v>372</v>
      </c>
      <c r="D181" s="954">
        <f>D153*$C$156</f>
        <v>54.340000000000011</v>
      </c>
      <c r="E181" s="954">
        <f t="shared" si="164"/>
        <v>50.943750000000001</v>
      </c>
      <c r="F181" s="954">
        <f t="shared" si="164"/>
        <v>50.943750000000001</v>
      </c>
      <c r="G181" s="954">
        <f t="shared" si="164"/>
        <v>50.943750000000001</v>
      </c>
      <c r="H181" s="954">
        <f t="shared" si="164"/>
        <v>50.943750000000001</v>
      </c>
      <c r="I181" s="954">
        <f t="shared" si="164"/>
        <v>50.943750000000001</v>
      </c>
      <c r="J181" s="954">
        <f t="shared" si="164"/>
        <v>50.943750000000001</v>
      </c>
      <c r="K181" s="954">
        <f t="shared" si="164"/>
        <v>50.943750000000001</v>
      </c>
      <c r="L181" s="954">
        <f t="shared" si="164"/>
        <v>50.943750000000001</v>
      </c>
      <c r="M181" s="954">
        <f t="shared" si="164"/>
        <v>50.943750000000001</v>
      </c>
      <c r="N181" s="954">
        <f t="shared" si="164"/>
        <v>50.943750000000001</v>
      </c>
      <c r="O181" s="954">
        <f t="shared" si="164"/>
        <v>50.943750000000001</v>
      </c>
      <c r="P181" s="954">
        <f t="shared" si="164"/>
        <v>50.943750000000001</v>
      </c>
      <c r="Q181" s="954">
        <f t="shared" si="164"/>
        <v>50.943750000000001</v>
      </c>
      <c r="R181" s="954">
        <f t="shared" si="164"/>
        <v>50.943750000000001</v>
      </c>
      <c r="S181" s="954">
        <f t="shared" si="164"/>
        <v>50.943750000000001</v>
      </c>
      <c r="T181" s="954">
        <f t="shared" si="164"/>
        <v>50.943750000000001</v>
      </c>
      <c r="U181" s="954">
        <f t="shared" si="164"/>
        <v>50.943750000000001</v>
      </c>
      <c r="V181" s="954">
        <f t="shared" si="164"/>
        <v>50.943750000000001</v>
      </c>
      <c r="W181" s="954">
        <f t="shared" si="164"/>
        <v>50.943750000000009</v>
      </c>
      <c r="X181" s="954">
        <f t="shared" si="164"/>
        <v>50.943750000000001</v>
      </c>
      <c r="Y181" s="954">
        <f t="shared" si="164"/>
        <v>50.943750000000001</v>
      </c>
      <c r="Z181" s="954">
        <f t="shared" si="164"/>
        <v>50.943750000000001</v>
      </c>
      <c r="AA181" s="954">
        <f t="shared" si="164"/>
        <v>50.943750000000001</v>
      </c>
      <c r="AB181" s="954">
        <f t="shared" si="164"/>
        <v>50.943750000000001</v>
      </c>
      <c r="AC181" s="954">
        <f t="shared" si="164"/>
        <v>50.943750000000001</v>
      </c>
      <c r="AD181" s="954">
        <f t="shared" si="164"/>
        <v>50.943750000000001</v>
      </c>
      <c r="AE181" s="954">
        <f t="shared" si="164"/>
        <v>50.943750000000001</v>
      </c>
      <c r="AF181" s="954">
        <f t="shared" si="164"/>
        <v>54.286666666666669</v>
      </c>
      <c r="AG181" s="954">
        <f t="shared" ref="AG181:AH181" si="186">AG153*$C$156</f>
        <v>0.88666666666666671</v>
      </c>
      <c r="AH181" s="954">
        <f t="shared" si="186"/>
        <v>0.62142857142857155</v>
      </c>
      <c r="AI181" s="954">
        <f t="shared" ref="AI181:AJ181" si="187">AI153*$C$156</f>
        <v>8.8666666666666654</v>
      </c>
      <c r="AJ181" s="954">
        <f t="shared" si="187"/>
        <v>15.341000000000003</v>
      </c>
      <c r="AK181" s="954">
        <f t="shared" ref="AK181" si="188">AK153*$C$156</f>
        <v>0</v>
      </c>
      <c r="AL181" s="990"/>
    </row>
    <row r="182" spans="2:38" s="955" customFormat="1" ht="12">
      <c r="B182" s="963"/>
      <c r="C182" s="953"/>
      <c r="D182" s="954"/>
      <c r="E182" s="954"/>
      <c r="F182" s="954"/>
      <c r="G182" s="954"/>
      <c r="H182" s="954"/>
      <c r="I182" s="954"/>
      <c r="J182" s="954"/>
      <c r="K182" s="954"/>
      <c r="L182" s="954"/>
      <c r="M182" s="954"/>
      <c r="N182" s="954"/>
      <c r="O182" s="954"/>
      <c r="P182" s="954"/>
      <c r="Q182" s="954"/>
      <c r="R182" s="954"/>
      <c r="S182" s="954"/>
      <c r="T182" s="954"/>
      <c r="U182" s="954"/>
      <c r="V182" s="954"/>
      <c r="W182" s="954"/>
      <c r="X182" s="954"/>
      <c r="Y182" s="954"/>
      <c r="Z182" s="954"/>
      <c r="AA182" s="954"/>
      <c r="AB182" s="954"/>
      <c r="AC182" s="954"/>
      <c r="AD182" s="954"/>
      <c r="AE182" s="954"/>
      <c r="AF182" s="954"/>
      <c r="AG182" s="954"/>
      <c r="AH182" s="954"/>
      <c r="AI182" s="954"/>
      <c r="AJ182" s="990"/>
      <c r="AK182" s="990"/>
      <c r="AL182" s="990"/>
    </row>
    <row r="183" spans="2:38" s="955" customFormat="1" ht="12">
      <c r="B183" s="1040" t="s">
        <v>297</v>
      </c>
      <c r="C183" s="1040" t="s">
        <v>374</v>
      </c>
      <c r="D183" s="1041">
        <v>1990</v>
      </c>
      <c r="E183" s="1041">
        <v>1991</v>
      </c>
      <c r="F183" s="1041">
        <v>1992</v>
      </c>
      <c r="G183" s="1041">
        <v>1993</v>
      </c>
      <c r="H183" s="1041">
        <v>1994</v>
      </c>
      <c r="I183" s="1041">
        <v>1995</v>
      </c>
      <c r="J183" s="1041">
        <v>1996</v>
      </c>
      <c r="K183" s="1041">
        <v>1997</v>
      </c>
      <c r="L183" s="1041">
        <v>1998</v>
      </c>
      <c r="M183" s="1041">
        <v>1999</v>
      </c>
      <c r="N183" s="1041">
        <v>2000</v>
      </c>
      <c r="O183" s="1041">
        <v>2001</v>
      </c>
      <c r="P183" s="1041">
        <v>2002</v>
      </c>
      <c r="Q183" s="1041">
        <v>2003</v>
      </c>
      <c r="R183" s="1041">
        <v>2004</v>
      </c>
      <c r="S183" s="1041">
        <v>2005</v>
      </c>
      <c r="T183" s="1041">
        <v>2006</v>
      </c>
      <c r="U183" s="1041">
        <v>2007</v>
      </c>
      <c r="V183" s="1041">
        <v>2008</v>
      </c>
      <c r="W183" s="1041">
        <v>2009</v>
      </c>
      <c r="X183" s="1041">
        <v>2010</v>
      </c>
      <c r="Y183" s="1041">
        <v>2011</v>
      </c>
      <c r="Z183" s="1041">
        <v>2012</v>
      </c>
      <c r="AA183" s="1041">
        <v>2013</v>
      </c>
      <c r="AB183" s="1041">
        <v>2014</v>
      </c>
      <c r="AC183" s="1041">
        <v>2015</v>
      </c>
      <c r="AD183" s="1041">
        <v>2016</v>
      </c>
      <c r="AE183" s="1041">
        <v>2017</v>
      </c>
      <c r="AF183" s="1041">
        <v>2018</v>
      </c>
      <c r="AG183" s="1041">
        <v>2019</v>
      </c>
      <c r="AH183" s="1221">
        <v>2020</v>
      </c>
      <c r="AI183" s="1221">
        <v>2021</v>
      </c>
      <c r="AJ183" s="1221">
        <v>2022</v>
      </c>
      <c r="AK183" s="1221">
        <v>2023</v>
      </c>
      <c r="AL183" s="1209"/>
    </row>
    <row r="184" spans="2:38" s="955" customFormat="1" ht="13">
      <c r="B184" s="920" t="s">
        <v>362</v>
      </c>
      <c r="C184" s="922"/>
      <c r="D184" s="922"/>
      <c r="E184" s="922"/>
      <c r="F184" s="922"/>
      <c r="G184" s="922"/>
      <c r="H184" s="922"/>
      <c r="I184" s="922"/>
      <c r="J184" s="922"/>
      <c r="K184" s="922"/>
      <c r="L184" s="922"/>
      <c r="M184" s="922"/>
      <c r="N184" s="922"/>
      <c r="O184" s="922"/>
      <c r="P184" s="922"/>
      <c r="Q184" s="922"/>
      <c r="R184" s="922"/>
      <c r="S184" s="922"/>
      <c r="T184" s="922"/>
      <c r="U184" s="922"/>
      <c r="V184" s="922"/>
      <c r="W184" s="922"/>
      <c r="X184" s="922"/>
      <c r="Y184" s="922"/>
      <c r="Z184" s="922"/>
      <c r="AA184" s="922"/>
      <c r="AB184" s="922"/>
      <c r="AC184" s="922"/>
      <c r="AD184" s="922"/>
      <c r="AE184" s="922"/>
      <c r="AF184" s="922"/>
      <c r="AG184" s="922"/>
      <c r="AH184" s="922"/>
      <c r="AI184" s="922"/>
      <c r="AJ184" s="922"/>
      <c r="AK184" s="922"/>
      <c r="AL184" s="1227"/>
    </row>
    <row r="185" spans="2:38" s="955" customFormat="1" ht="12">
      <c r="B185" s="930" t="s">
        <v>331</v>
      </c>
      <c r="C185" s="930" t="s">
        <v>321</v>
      </c>
      <c r="D185" s="954">
        <f>D7*D157</f>
        <v>0.29751601632693631</v>
      </c>
      <c r="E185" s="967" t="e">
        <f t="shared" ref="E185:AG185" si="189">E157*E7</f>
        <v>#VALUE!</v>
      </c>
      <c r="F185" s="967" t="e">
        <f t="shared" si="189"/>
        <v>#VALUE!</v>
      </c>
      <c r="G185" s="967" t="e">
        <f t="shared" si="189"/>
        <v>#VALUE!</v>
      </c>
      <c r="H185" s="967" t="e">
        <f t="shared" si="189"/>
        <v>#VALUE!</v>
      </c>
      <c r="I185" s="967" t="e">
        <f t="shared" si="189"/>
        <v>#VALUE!</v>
      </c>
      <c r="J185" s="967" t="e">
        <f t="shared" si="189"/>
        <v>#VALUE!</v>
      </c>
      <c r="K185" s="967" t="e">
        <f t="shared" si="189"/>
        <v>#VALUE!</v>
      </c>
      <c r="L185" s="967" t="e">
        <f t="shared" si="189"/>
        <v>#VALUE!</v>
      </c>
      <c r="M185" s="967" t="e">
        <f t="shared" si="189"/>
        <v>#VALUE!</v>
      </c>
      <c r="N185" s="967" t="e">
        <f t="shared" si="189"/>
        <v>#VALUE!</v>
      </c>
      <c r="O185" s="967" t="e">
        <f t="shared" si="189"/>
        <v>#VALUE!</v>
      </c>
      <c r="P185" s="967" t="e">
        <f t="shared" si="189"/>
        <v>#VALUE!</v>
      </c>
      <c r="Q185" s="967" t="e">
        <f t="shared" si="189"/>
        <v>#VALUE!</v>
      </c>
      <c r="R185" s="967" t="e">
        <f t="shared" si="189"/>
        <v>#VALUE!</v>
      </c>
      <c r="S185" s="967" t="e">
        <f t="shared" si="189"/>
        <v>#VALUE!</v>
      </c>
      <c r="T185" s="967" t="e">
        <f t="shared" si="189"/>
        <v>#VALUE!</v>
      </c>
      <c r="U185" s="967" t="e">
        <f t="shared" si="189"/>
        <v>#VALUE!</v>
      </c>
      <c r="V185" s="967" t="e">
        <f t="shared" si="189"/>
        <v>#VALUE!</v>
      </c>
      <c r="W185" s="967" t="e">
        <f t="shared" si="189"/>
        <v>#VALUE!</v>
      </c>
      <c r="X185" s="967" t="e">
        <f t="shared" si="189"/>
        <v>#VALUE!</v>
      </c>
      <c r="Y185" s="967" t="e">
        <f t="shared" si="189"/>
        <v>#VALUE!</v>
      </c>
      <c r="Z185" s="967" t="e">
        <f t="shared" si="189"/>
        <v>#VALUE!</v>
      </c>
      <c r="AA185" s="967" t="e">
        <f t="shared" si="189"/>
        <v>#VALUE!</v>
      </c>
      <c r="AB185" s="967" t="e">
        <f t="shared" si="189"/>
        <v>#VALUE!</v>
      </c>
      <c r="AC185" s="967" t="e">
        <f t="shared" si="189"/>
        <v>#VALUE!</v>
      </c>
      <c r="AD185" s="967" t="e">
        <f t="shared" si="189"/>
        <v>#VALUE!</v>
      </c>
      <c r="AE185" s="967" t="e">
        <f t="shared" si="189"/>
        <v>#VALUE!</v>
      </c>
      <c r="AF185" s="967" t="e">
        <f t="shared" si="189"/>
        <v>#VALUE!</v>
      </c>
      <c r="AG185" s="967" t="e">
        <f t="shared" si="189"/>
        <v>#VALUE!</v>
      </c>
      <c r="AH185" s="967" t="e">
        <f t="shared" ref="AH185:AI185" si="190">AH157*AH7</f>
        <v>#VALUE!</v>
      </c>
      <c r="AI185" s="967" t="e">
        <f t="shared" si="190"/>
        <v>#VALUE!</v>
      </c>
      <c r="AJ185" s="967" t="e">
        <f t="shared" ref="AJ185:AK185" si="191">AJ157*AJ7</f>
        <v>#VALUE!</v>
      </c>
      <c r="AK185" s="967" t="e">
        <f t="shared" si="191"/>
        <v>#VALUE!</v>
      </c>
      <c r="AL185" s="990"/>
    </row>
    <row r="186" spans="2:38" s="955" customFormat="1" ht="12">
      <c r="B186" s="924" t="s">
        <v>333</v>
      </c>
      <c r="C186" s="925"/>
      <c r="D186" s="925"/>
      <c r="E186" s="925"/>
      <c r="F186" s="925"/>
      <c r="G186" s="925"/>
      <c r="H186" s="925"/>
      <c r="I186" s="925"/>
      <c r="J186" s="925"/>
      <c r="K186" s="925"/>
      <c r="L186" s="925"/>
      <c r="M186" s="925"/>
      <c r="N186" s="925"/>
      <c r="O186" s="925"/>
      <c r="P186" s="925"/>
      <c r="Q186" s="925"/>
      <c r="R186" s="925"/>
      <c r="S186" s="925"/>
      <c r="T186" s="925"/>
      <c r="U186" s="925"/>
      <c r="V186" s="925"/>
      <c r="W186" s="925"/>
      <c r="X186" s="925"/>
      <c r="Y186" s="954"/>
      <c r="Z186" s="954"/>
      <c r="AA186" s="954"/>
      <c r="AB186" s="954"/>
      <c r="AC186" s="954"/>
      <c r="AD186" s="954"/>
      <c r="AE186" s="954"/>
      <c r="AF186" s="954"/>
      <c r="AG186" s="954"/>
      <c r="AH186" s="954"/>
      <c r="AI186" s="954"/>
      <c r="AJ186" s="954"/>
      <c r="AK186" s="954"/>
      <c r="AL186" s="990"/>
    </row>
    <row r="187" spans="2:38" s="955" customFormat="1" ht="12">
      <c r="B187" s="928" t="s">
        <v>334</v>
      </c>
      <c r="C187" s="930" t="s">
        <v>321</v>
      </c>
      <c r="D187" s="954">
        <f>D9*D159</f>
        <v>74.648119295252627</v>
      </c>
      <c r="E187" s="954">
        <f t="shared" ref="E187:AG187" si="192">E9*E159</f>
        <v>74.648119295252627</v>
      </c>
      <c r="F187" s="954">
        <f t="shared" si="192"/>
        <v>74.648119295252627</v>
      </c>
      <c r="G187" s="954">
        <f t="shared" si="192"/>
        <v>72.710343346126379</v>
      </c>
      <c r="H187" s="954">
        <f t="shared" si="192"/>
        <v>70.772567397000103</v>
      </c>
      <c r="I187" s="954">
        <f t="shared" si="192"/>
        <v>68.834791447873869</v>
      </c>
      <c r="J187" s="954">
        <f t="shared" si="192"/>
        <v>66.897015498747621</v>
      </c>
      <c r="K187" s="954">
        <f t="shared" si="192"/>
        <v>64.959239549621373</v>
      </c>
      <c r="L187" s="954">
        <f t="shared" si="192"/>
        <v>63.02146360049511</v>
      </c>
      <c r="M187" s="954">
        <f t="shared" si="192"/>
        <v>61.083687651368869</v>
      </c>
      <c r="N187" s="954">
        <f t="shared" si="192"/>
        <v>59.145911702242621</v>
      </c>
      <c r="O187" s="954">
        <f t="shared" si="192"/>
        <v>57.208135753116359</v>
      </c>
      <c r="P187" s="954">
        <f t="shared" si="192"/>
        <v>55.270359803990125</v>
      </c>
      <c r="Q187" s="954">
        <f t="shared" si="192"/>
        <v>53.332583854863856</v>
      </c>
      <c r="R187" s="954">
        <f t="shared" si="192"/>
        <v>51.394807905737601</v>
      </c>
      <c r="S187" s="954">
        <f t="shared" si="192"/>
        <v>49.457031956611345</v>
      </c>
      <c r="T187" s="954">
        <f t="shared" si="192"/>
        <v>47.51925600748509</v>
      </c>
      <c r="U187" s="954">
        <f t="shared" si="192"/>
        <v>45.581480058358835</v>
      </c>
      <c r="V187" s="954">
        <f t="shared" si="192"/>
        <v>43.643704109232587</v>
      </c>
      <c r="W187" s="954">
        <f t="shared" si="192"/>
        <v>41.705928160106325</v>
      </c>
      <c r="X187" s="954">
        <f t="shared" si="192"/>
        <v>39.768152210980077</v>
      </c>
      <c r="Y187" s="967">
        <f t="shared" si="192"/>
        <v>37.830376261853772</v>
      </c>
      <c r="Z187" s="967">
        <f t="shared" si="192"/>
        <v>47.367387330893905</v>
      </c>
      <c r="AA187" s="967">
        <f t="shared" si="192"/>
        <v>47.343419116646132</v>
      </c>
      <c r="AB187" s="967">
        <f t="shared" si="192"/>
        <v>46.774557977342603</v>
      </c>
      <c r="AC187" s="967">
        <f t="shared" si="192"/>
        <v>47.013384503347027</v>
      </c>
      <c r="AD187" s="967">
        <f t="shared" si="192"/>
        <v>47.026595909753901</v>
      </c>
      <c r="AE187" s="967">
        <f t="shared" si="192"/>
        <v>46.879669820316764</v>
      </c>
      <c r="AF187" s="967">
        <f t="shared" si="192"/>
        <v>46.168310604598588</v>
      </c>
      <c r="AG187" s="967">
        <f t="shared" si="192"/>
        <v>45.711745908656354</v>
      </c>
      <c r="AH187" s="967">
        <f t="shared" ref="AH187:AI187" si="193">AH9*AH159</f>
        <v>45.463347001058679</v>
      </c>
      <c r="AI187" s="967">
        <f t="shared" si="193"/>
        <v>52.787489621116094</v>
      </c>
      <c r="AJ187" s="967">
        <f t="shared" ref="AJ187:AK187" si="194">AJ9*AJ159</f>
        <v>51.929871520342616</v>
      </c>
      <c r="AK187" s="967">
        <f t="shared" si="194"/>
        <v>0</v>
      </c>
      <c r="AL187" s="990"/>
    </row>
    <row r="188" spans="2:38" s="955" customFormat="1" ht="12">
      <c r="B188" s="1022" t="s">
        <v>336</v>
      </c>
      <c r="C188" s="930" t="s">
        <v>321</v>
      </c>
      <c r="D188" s="967" t="e">
        <f>D10*D160</f>
        <v>#VALUE!</v>
      </c>
      <c r="E188" s="967" t="e">
        <f t="shared" ref="E188:Y188" si="195">E10*E160</f>
        <v>#VALUE!</v>
      </c>
      <c r="F188" s="967" t="e">
        <f t="shared" si="195"/>
        <v>#VALUE!</v>
      </c>
      <c r="G188" s="967" t="e">
        <f t="shared" si="195"/>
        <v>#VALUE!</v>
      </c>
      <c r="H188" s="967" t="e">
        <f t="shared" si="195"/>
        <v>#VALUE!</v>
      </c>
      <c r="I188" s="967" t="e">
        <f t="shared" si="195"/>
        <v>#VALUE!</v>
      </c>
      <c r="J188" s="967" t="e">
        <f t="shared" si="195"/>
        <v>#VALUE!</v>
      </c>
      <c r="K188" s="967" t="e">
        <f t="shared" si="195"/>
        <v>#VALUE!</v>
      </c>
      <c r="L188" s="967" t="e">
        <f t="shared" si="195"/>
        <v>#VALUE!</v>
      </c>
      <c r="M188" s="967" t="e">
        <f t="shared" si="195"/>
        <v>#VALUE!</v>
      </c>
      <c r="N188" s="967" t="e">
        <f t="shared" si="195"/>
        <v>#VALUE!</v>
      </c>
      <c r="O188" s="967" t="e">
        <f t="shared" si="195"/>
        <v>#VALUE!</v>
      </c>
      <c r="P188" s="967" t="e">
        <f t="shared" si="195"/>
        <v>#VALUE!</v>
      </c>
      <c r="Q188" s="967" t="e">
        <f t="shared" si="195"/>
        <v>#VALUE!</v>
      </c>
      <c r="R188" s="967" t="e">
        <f t="shared" si="195"/>
        <v>#VALUE!</v>
      </c>
      <c r="S188" s="967" t="e">
        <f t="shared" si="195"/>
        <v>#VALUE!</v>
      </c>
      <c r="T188" s="967" t="e">
        <f t="shared" si="195"/>
        <v>#VALUE!</v>
      </c>
      <c r="U188" s="967" t="e">
        <f t="shared" si="195"/>
        <v>#VALUE!</v>
      </c>
      <c r="V188" s="967" t="e">
        <f t="shared" si="195"/>
        <v>#VALUE!</v>
      </c>
      <c r="W188" s="967" t="e">
        <f t="shared" si="195"/>
        <v>#VALUE!</v>
      </c>
      <c r="X188" s="967" t="e">
        <f t="shared" si="195"/>
        <v>#VALUE!</v>
      </c>
      <c r="Y188" s="954">
        <f t="shared" si="195"/>
        <v>7.5374732334047101</v>
      </c>
      <c r="Z188" s="954">
        <f t="shared" ref="Z188:AB188" si="196">Z10*Z160</f>
        <v>9.421841541755887</v>
      </c>
      <c r="AA188" s="954">
        <f t="shared" si="196"/>
        <v>9.421841541755887</v>
      </c>
      <c r="AB188" s="954">
        <f t="shared" si="196"/>
        <v>9.421841541755887</v>
      </c>
      <c r="AC188" s="1005">
        <f>(AC10-AC279)*AC160+AC281</f>
        <v>5.7531049250535311</v>
      </c>
      <c r="AD188" s="1005">
        <f t="shared" ref="AD188:AG188" si="197">(AD10-AD279)*AD160+AD281</f>
        <v>4.3687366167023551</v>
      </c>
      <c r="AE188" s="1005">
        <f t="shared" si="197"/>
        <v>4.0687366167023544</v>
      </c>
      <c r="AF188" s="1005">
        <f t="shared" si="197"/>
        <v>4.0687366167023544</v>
      </c>
      <c r="AG188" s="1005">
        <f t="shared" si="197"/>
        <v>3.768736616702355</v>
      </c>
      <c r="AH188" s="1005">
        <f t="shared" ref="AH188:AI188" si="198">(AH10-AH279)*AH160+AH281</f>
        <v>3.8687366167023551</v>
      </c>
      <c r="AI188" s="1005">
        <f t="shared" si="198"/>
        <v>6.253104925053532</v>
      </c>
      <c r="AJ188" s="1005">
        <f t="shared" ref="AJ188:AK188" si="199">(AJ10-AJ279)*AJ160+AJ281</f>
        <v>4.5687366167023544</v>
      </c>
      <c r="AK188" s="1005">
        <f t="shared" si="199"/>
        <v>0</v>
      </c>
      <c r="AL188" s="990"/>
    </row>
    <row r="189" spans="2:38" s="955" customFormat="1" ht="12">
      <c r="B189" s="1022" t="s">
        <v>337</v>
      </c>
      <c r="C189" s="930" t="s">
        <v>321</v>
      </c>
      <c r="D189" s="967" t="e">
        <f>D11*D161</f>
        <v>#VALUE!</v>
      </c>
      <c r="E189" s="967" t="e">
        <f t="shared" ref="E189:Y189" si="200">E11*E161</f>
        <v>#VALUE!</v>
      </c>
      <c r="F189" s="967" t="e">
        <f t="shared" si="200"/>
        <v>#VALUE!</v>
      </c>
      <c r="G189" s="967" t="e">
        <f t="shared" si="200"/>
        <v>#VALUE!</v>
      </c>
      <c r="H189" s="967" t="e">
        <f t="shared" si="200"/>
        <v>#VALUE!</v>
      </c>
      <c r="I189" s="967" t="e">
        <f t="shared" si="200"/>
        <v>#VALUE!</v>
      </c>
      <c r="J189" s="967" t="e">
        <f t="shared" si="200"/>
        <v>#VALUE!</v>
      </c>
      <c r="K189" s="967" t="e">
        <f t="shared" si="200"/>
        <v>#VALUE!</v>
      </c>
      <c r="L189" s="967" t="e">
        <f t="shared" si="200"/>
        <v>#VALUE!</v>
      </c>
      <c r="M189" s="967" t="e">
        <f t="shared" si="200"/>
        <v>#VALUE!</v>
      </c>
      <c r="N189" s="967" t="e">
        <f t="shared" si="200"/>
        <v>#VALUE!</v>
      </c>
      <c r="O189" s="967" t="e">
        <f t="shared" si="200"/>
        <v>#VALUE!</v>
      </c>
      <c r="P189" s="967" t="e">
        <f t="shared" si="200"/>
        <v>#VALUE!</v>
      </c>
      <c r="Q189" s="967" t="e">
        <f t="shared" si="200"/>
        <v>#VALUE!</v>
      </c>
      <c r="R189" s="967" t="e">
        <f t="shared" si="200"/>
        <v>#VALUE!</v>
      </c>
      <c r="S189" s="967" t="e">
        <f t="shared" si="200"/>
        <v>#VALUE!</v>
      </c>
      <c r="T189" s="967" t="e">
        <f t="shared" si="200"/>
        <v>#VALUE!</v>
      </c>
      <c r="U189" s="967" t="e">
        <f t="shared" si="200"/>
        <v>#VALUE!</v>
      </c>
      <c r="V189" s="967" t="e">
        <f t="shared" si="200"/>
        <v>#VALUE!</v>
      </c>
      <c r="W189" s="967" t="e">
        <f t="shared" si="200"/>
        <v>#VALUE!</v>
      </c>
      <c r="X189" s="967" t="e">
        <f t="shared" si="200"/>
        <v>#VALUE!</v>
      </c>
      <c r="Y189" s="954">
        <f t="shared" si="200"/>
        <v>1.9138115631691643</v>
      </c>
      <c r="Z189" s="954">
        <f t="shared" ref="Z189:AB189" si="201">Z11*Z161</f>
        <v>1.9138115631691652</v>
      </c>
      <c r="AA189" s="954">
        <f t="shared" si="201"/>
        <v>1.9138115631691648</v>
      </c>
      <c r="AB189" s="954">
        <f t="shared" si="201"/>
        <v>1.9138115631691643</v>
      </c>
      <c r="AC189" s="1005">
        <f>(AC11-AC282)*AC161+AC284</f>
        <v>0.4</v>
      </c>
      <c r="AD189" s="1005">
        <f t="shared" ref="AD189:AG189" si="202">(AD11-AD282)*AD161+AD284</f>
        <v>0.6</v>
      </c>
      <c r="AE189" s="1005">
        <f t="shared" si="202"/>
        <v>0.35599999999999998</v>
      </c>
      <c r="AF189" s="1005">
        <f t="shared" si="202"/>
        <v>0</v>
      </c>
      <c r="AG189" s="1005">
        <f t="shared" si="202"/>
        <v>0.2</v>
      </c>
      <c r="AH189" s="1005">
        <f t="shared" ref="AH189:AI189" si="203">(AH11-AH282)*AH161+AH284</f>
        <v>0.3</v>
      </c>
      <c r="AI189" s="1005">
        <f t="shared" si="203"/>
        <v>0</v>
      </c>
      <c r="AJ189" s="1005">
        <f t="shared" ref="AJ189:AK189" si="204">(AJ11-AJ282)*AJ161+AJ284</f>
        <v>0.7</v>
      </c>
      <c r="AK189" s="1005">
        <f t="shared" si="204"/>
        <v>0</v>
      </c>
      <c r="AL189" s="990"/>
    </row>
    <row r="190" spans="2:38" s="955" customFormat="1" ht="12">
      <c r="B190" s="1022" t="s">
        <v>339</v>
      </c>
      <c r="C190" s="930" t="s">
        <v>321</v>
      </c>
      <c r="D190" s="967" t="e">
        <f>D12*D162</f>
        <v>#VALUE!</v>
      </c>
      <c r="E190" s="967" t="e">
        <f t="shared" ref="E190:Y190" si="205">E12*E162</f>
        <v>#VALUE!</v>
      </c>
      <c r="F190" s="967" t="e">
        <f t="shared" si="205"/>
        <v>#VALUE!</v>
      </c>
      <c r="G190" s="967" t="e">
        <f t="shared" si="205"/>
        <v>#VALUE!</v>
      </c>
      <c r="H190" s="967" t="e">
        <f t="shared" si="205"/>
        <v>#VALUE!</v>
      </c>
      <c r="I190" s="967" t="e">
        <f t="shared" si="205"/>
        <v>#VALUE!</v>
      </c>
      <c r="J190" s="967" t="e">
        <f t="shared" si="205"/>
        <v>#VALUE!</v>
      </c>
      <c r="K190" s="967" t="e">
        <f t="shared" si="205"/>
        <v>#VALUE!</v>
      </c>
      <c r="L190" s="967" t="e">
        <f t="shared" si="205"/>
        <v>#VALUE!</v>
      </c>
      <c r="M190" s="967" t="e">
        <f t="shared" si="205"/>
        <v>#VALUE!</v>
      </c>
      <c r="N190" s="967" t="e">
        <f t="shared" si="205"/>
        <v>#VALUE!</v>
      </c>
      <c r="O190" s="967" t="e">
        <f t="shared" si="205"/>
        <v>#VALUE!</v>
      </c>
      <c r="P190" s="967" t="e">
        <f t="shared" si="205"/>
        <v>#VALUE!</v>
      </c>
      <c r="Q190" s="967" t="e">
        <f t="shared" si="205"/>
        <v>#VALUE!</v>
      </c>
      <c r="R190" s="967" t="e">
        <f t="shared" si="205"/>
        <v>#VALUE!</v>
      </c>
      <c r="S190" s="967" t="e">
        <f t="shared" si="205"/>
        <v>#VALUE!</v>
      </c>
      <c r="T190" s="967" t="e">
        <f t="shared" si="205"/>
        <v>#VALUE!</v>
      </c>
      <c r="U190" s="967" t="e">
        <f t="shared" si="205"/>
        <v>#VALUE!</v>
      </c>
      <c r="V190" s="967" t="e">
        <f t="shared" si="205"/>
        <v>#VALUE!</v>
      </c>
      <c r="W190" s="967" t="e">
        <f t="shared" si="205"/>
        <v>#VALUE!</v>
      </c>
      <c r="X190" s="967" t="e">
        <f t="shared" si="205"/>
        <v>#VALUE!</v>
      </c>
      <c r="Y190" s="954">
        <f t="shared" si="205"/>
        <v>18.019271948608136</v>
      </c>
      <c r="Z190" s="954">
        <f t="shared" ref="Z190:AB190" si="206">Z12*Z162</f>
        <v>18.019271948608136</v>
      </c>
      <c r="AA190" s="954">
        <f t="shared" si="206"/>
        <v>18.019271948608136</v>
      </c>
      <c r="AB190" s="954">
        <f t="shared" si="206"/>
        <v>18.019271948608136</v>
      </c>
      <c r="AC190" s="1005">
        <f>(AC12-AC285)*AC162+AC287</f>
        <v>15.664989293361884</v>
      </c>
      <c r="AD190" s="1005">
        <f t="shared" ref="AD190:AG190" si="207">(AD12-AD285)*AD162+AD287</f>
        <v>11.605706638115629</v>
      </c>
      <c r="AE190" s="1005">
        <f t="shared" si="207"/>
        <v>10.500706638115629</v>
      </c>
      <c r="AF190" s="1005">
        <f t="shared" si="207"/>
        <v>10.445506638115628</v>
      </c>
      <c r="AG190" s="1005">
        <f t="shared" si="207"/>
        <v>10.540706638115632</v>
      </c>
      <c r="AH190" s="1005">
        <f t="shared" ref="AH190:AI190" si="208">(AH12-AH285)*AH162+AH287</f>
        <v>10.980706638115635</v>
      </c>
      <c r="AI190" s="1005">
        <f t="shared" si="208"/>
        <v>15.87770663811563</v>
      </c>
      <c r="AJ190" s="1005">
        <f t="shared" ref="AJ190:AK190" si="209">(AJ12-AJ285)*AJ162+AJ287</f>
        <v>14.054989293361881</v>
      </c>
      <c r="AK190" s="1005">
        <f t="shared" si="209"/>
        <v>0</v>
      </c>
      <c r="AL190" s="990"/>
    </row>
    <row r="191" spans="2:38" s="955" customFormat="1" ht="12">
      <c r="B191" s="1055" t="s">
        <v>340</v>
      </c>
      <c r="C191" s="930" t="s">
        <v>321</v>
      </c>
      <c r="D191" s="967" t="e">
        <f>D13*D163</f>
        <v>#VALUE!</v>
      </c>
      <c r="E191" s="967" t="e">
        <f t="shared" ref="E191:Y191" si="210">E13*E163</f>
        <v>#VALUE!</v>
      </c>
      <c r="F191" s="967" t="e">
        <f t="shared" si="210"/>
        <v>#VALUE!</v>
      </c>
      <c r="G191" s="967" t="e">
        <f t="shared" si="210"/>
        <v>#VALUE!</v>
      </c>
      <c r="H191" s="967" t="e">
        <f t="shared" si="210"/>
        <v>#VALUE!</v>
      </c>
      <c r="I191" s="967" t="e">
        <f t="shared" si="210"/>
        <v>#VALUE!</v>
      </c>
      <c r="J191" s="967" t="e">
        <f t="shared" si="210"/>
        <v>#VALUE!</v>
      </c>
      <c r="K191" s="967" t="e">
        <f t="shared" si="210"/>
        <v>#VALUE!</v>
      </c>
      <c r="L191" s="967" t="e">
        <f t="shared" si="210"/>
        <v>#VALUE!</v>
      </c>
      <c r="M191" s="967" t="e">
        <f t="shared" si="210"/>
        <v>#VALUE!</v>
      </c>
      <c r="N191" s="967" t="e">
        <f t="shared" si="210"/>
        <v>#VALUE!</v>
      </c>
      <c r="O191" s="967" t="e">
        <f t="shared" si="210"/>
        <v>#VALUE!</v>
      </c>
      <c r="P191" s="967" t="e">
        <f t="shared" si="210"/>
        <v>#VALUE!</v>
      </c>
      <c r="Q191" s="967" t="e">
        <f t="shared" si="210"/>
        <v>#VALUE!</v>
      </c>
      <c r="R191" s="967" t="e">
        <f t="shared" si="210"/>
        <v>#VALUE!</v>
      </c>
      <c r="S191" s="967" t="e">
        <f t="shared" si="210"/>
        <v>#VALUE!</v>
      </c>
      <c r="T191" s="967" t="e">
        <f t="shared" si="210"/>
        <v>#VALUE!</v>
      </c>
      <c r="U191" s="967" t="e">
        <f t="shared" si="210"/>
        <v>#VALUE!</v>
      </c>
      <c r="V191" s="967" t="e">
        <f t="shared" si="210"/>
        <v>#VALUE!</v>
      </c>
      <c r="W191" s="967" t="e">
        <f t="shared" si="210"/>
        <v>#VALUE!</v>
      </c>
      <c r="X191" s="967" t="e">
        <f t="shared" si="210"/>
        <v>#VALUE!</v>
      </c>
      <c r="Y191" s="954">
        <f t="shared" si="210"/>
        <v>6.4775160599571731</v>
      </c>
      <c r="Z191" s="954">
        <f t="shared" ref="Z191:AB191" si="211">Z13*Z163</f>
        <v>7.7730192719486082</v>
      </c>
      <c r="AA191" s="954">
        <f t="shared" si="211"/>
        <v>7.7730192719486091</v>
      </c>
      <c r="AB191" s="954">
        <f t="shared" si="211"/>
        <v>7.7730192719486082</v>
      </c>
      <c r="AC191" s="1005">
        <f>(AC13-AC288)*AC163+AC290</f>
        <v>3.4410064239828695</v>
      </c>
      <c r="AD191" s="1005">
        <f t="shared" ref="AD191:AG191" si="212">AD13*AD163</f>
        <v>7.7730192719486055</v>
      </c>
      <c r="AE191" s="1005">
        <f t="shared" si="212"/>
        <v>7.7730192719486082</v>
      </c>
      <c r="AF191" s="1005">
        <f t="shared" si="212"/>
        <v>7.7730192719486082</v>
      </c>
      <c r="AG191" s="1005">
        <f t="shared" si="212"/>
        <v>7.7730192719486082</v>
      </c>
      <c r="AH191" s="1005">
        <f t="shared" ref="AH191:AI191" si="213">AH13*AH163</f>
        <v>7.7730192719486082</v>
      </c>
      <c r="AI191" s="1005">
        <f t="shared" si="213"/>
        <v>9.0685224839400433</v>
      </c>
      <c r="AJ191" s="1005">
        <f t="shared" ref="AJ191:AK191" si="214">AJ13*AJ163</f>
        <v>9.0685224839400433</v>
      </c>
      <c r="AK191" s="1005">
        <f t="shared" si="214"/>
        <v>0</v>
      </c>
      <c r="AL191" s="990"/>
    </row>
    <row r="192" spans="2:38" s="955" customFormat="1" ht="12">
      <c r="B192" s="924" t="s">
        <v>341</v>
      </c>
      <c r="C192" s="925"/>
      <c r="D192" s="925"/>
      <c r="E192" s="925"/>
      <c r="F192" s="925"/>
      <c r="G192" s="925"/>
      <c r="H192" s="925"/>
      <c r="I192" s="925"/>
      <c r="J192" s="925"/>
      <c r="K192" s="925"/>
      <c r="L192" s="925"/>
      <c r="M192" s="925"/>
      <c r="N192" s="925"/>
      <c r="O192" s="925"/>
      <c r="P192" s="925"/>
      <c r="Q192" s="925"/>
      <c r="R192" s="925"/>
      <c r="S192" s="925"/>
      <c r="T192" s="925"/>
      <c r="U192" s="925"/>
      <c r="V192" s="925"/>
      <c r="W192" s="925"/>
      <c r="X192" s="925"/>
      <c r="Y192" s="954"/>
      <c r="Z192" s="954"/>
      <c r="AA192" s="954"/>
      <c r="AB192" s="954"/>
      <c r="AC192" s="954"/>
      <c r="AD192" s="954"/>
      <c r="AE192" s="954"/>
      <c r="AF192" s="954"/>
      <c r="AG192" s="954"/>
      <c r="AH192" s="954"/>
      <c r="AI192" s="954"/>
      <c r="AJ192" s="954"/>
      <c r="AK192" s="954"/>
      <c r="AL192" s="990"/>
    </row>
    <row r="193" spans="2:38" s="955" customFormat="1" ht="12">
      <c r="B193" s="928" t="s">
        <v>342</v>
      </c>
      <c r="C193" s="930" t="s">
        <v>321</v>
      </c>
      <c r="D193" s="954">
        <f>D15*D165</f>
        <v>0</v>
      </c>
      <c r="E193" s="954">
        <f t="shared" ref="E193:AG193" si="215">E15*E165</f>
        <v>0</v>
      </c>
      <c r="F193" s="954">
        <f t="shared" si="215"/>
        <v>0</v>
      </c>
      <c r="G193" s="954">
        <f t="shared" si="215"/>
        <v>0</v>
      </c>
      <c r="H193" s="954">
        <f t="shared" si="215"/>
        <v>0</v>
      </c>
      <c r="I193" s="954">
        <f t="shared" si="215"/>
        <v>0</v>
      </c>
      <c r="J193" s="954">
        <f t="shared" si="215"/>
        <v>0</v>
      </c>
      <c r="K193" s="954">
        <f t="shared" si="215"/>
        <v>0</v>
      </c>
      <c r="L193" s="954">
        <f t="shared" si="215"/>
        <v>0</v>
      </c>
      <c r="M193" s="954">
        <f t="shared" si="215"/>
        <v>0</v>
      </c>
      <c r="N193" s="954">
        <f t="shared" si="215"/>
        <v>0</v>
      </c>
      <c r="O193" s="954">
        <f t="shared" si="215"/>
        <v>0</v>
      </c>
      <c r="P193" s="954">
        <f t="shared" si="215"/>
        <v>0</v>
      </c>
      <c r="Q193" s="954">
        <f t="shared" si="215"/>
        <v>0</v>
      </c>
      <c r="R193" s="954">
        <f t="shared" si="215"/>
        <v>0</v>
      </c>
      <c r="S193" s="954">
        <f t="shared" si="215"/>
        <v>0</v>
      </c>
      <c r="T193" s="954">
        <f t="shared" si="215"/>
        <v>0</v>
      </c>
      <c r="U193" s="954">
        <f t="shared" si="215"/>
        <v>0</v>
      </c>
      <c r="V193" s="954">
        <f t="shared" si="215"/>
        <v>0</v>
      </c>
      <c r="W193" s="954">
        <f t="shared" si="215"/>
        <v>0</v>
      </c>
      <c r="X193" s="954">
        <f t="shared" si="215"/>
        <v>0</v>
      </c>
      <c r="Y193" s="954">
        <f t="shared" si="215"/>
        <v>0</v>
      </c>
      <c r="Z193" s="954">
        <f t="shared" si="215"/>
        <v>0</v>
      </c>
      <c r="AA193" s="954">
        <f t="shared" si="215"/>
        <v>0</v>
      </c>
      <c r="AB193" s="954">
        <f t="shared" si="215"/>
        <v>0</v>
      </c>
      <c r="AC193" s="954">
        <f t="shared" si="215"/>
        <v>0</v>
      </c>
      <c r="AD193" s="954">
        <f t="shared" si="215"/>
        <v>0</v>
      </c>
      <c r="AE193" s="954">
        <f t="shared" si="215"/>
        <v>0</v>
      </c>
      <c r="AF193" s="954">
        <f t="shared" si="215"/>
        <v>0</v>
      </c>
      <c r="AG193" s="954">
        <f t="shared" si="215"/>
        <v>0</v>
      </c>
      <c r="AH193" s="954">
        <f t="shared" ref="AH193:AI193" si="216">AH15*AH165</f>
        <v>0</v>
      </c>
      <c r="AI193" s="954">
        <f t="shared" si="216"/>
        <v>0</v>
      </c>
      <c r="AJ193" s="954">
        <f t="shared" ref="AJ193:AK193" si="217">AJ15*AJ165</f>
        <v>0</v>
      </c>
      <c r="AK193" s="954">
        <f t="shared" si="217"/>
        <v>0</v>
      </c>
      <c r="AL193" s="990"/>
    </row>
    <row r="194" spans="2:38" s="955" customFormat="1" ht="12">
      <c r="B194" s="963" t="s">
        <v>344</v>
      </c>
      <c r="C194" s="930" t="s">
        <v>321</v>
      </c>
      <c r="D194" s="954">
        <f>D16*D166</f>
        <v>0</v>
      </c>
      <c r="E194" s="954">
        <f t="shared" ref="E194:AG194" si="218">E16*E166</f>
        <v>0</v>
      </c>
      <c r="F194" s="954">
        <f t="shared" si="218"/>
        <v>0</v>
      </c>
      <c r="G194" s="954">
        <f t="shared" si="218"/>
        <v>0</v>
      </c>
      <c r="H194" s="954">
        <f t="shared" si="218"/>
        <v>0</v>
      </c>
      <c r="I194" s="954">
        <f t="shared" si="218"/>
        <v>0</v>
      </c>
      <c r="J194" s="954">
        <f t="shared" si="218"/>
        <v>0</v>
      </c>
      <c r="K194" s="954">
        <f t="shared" si="218"/>
        <v>0</v>
      </c>
      <c r="L194" s="954">
        <f t="shared" si="218"/>
        <v>0</v>
      </c>
      <c r="M194" s="954">
        <f t="shared" si="218"/>
        <v>0</v>
      </c>
      <c r="N194" s="954">
        <f t="shared" si="218"/>
        <v>0</v>
      </c>
      <c r="O194" s="954">
        <f t="shared" si="218"/>
        <v>0</v>
      </c>
      <c r="P194" s="954">
        <f t="shared" si="218"/>
        <v>0</v>
      </c>
      <c r="Q194" s="954">
        <f t="shared" si="218"/>
        <v>0</v>
      </c>
      <c r="R194" s="954">
        <f t="shared" si="218"/>
        <v>0</v>
      </c>
      <c r="S194" s="954">
        <f t="shared" si="218"/>
        <v>0</v>
      </c>
      <c r="T194" s="954">
        <f t="shared" si="218"/>
        <v>0</v>
      </c>
      <c r="U194" s="954">
        <f t="shared" si="218"/>
        <v>0</v>
      </c>
      <c r="V194" s="954">
        <f t="shared" si="218"/>
        <v>0</v>
      </c>
      <c r="W194" s="954">
        <f t="shared" si="218"/>
        <v>0</v>
      </c>
      <c r="X194" s="954">
        <f t="shared" si="218"/>
        <v>0</v>
      </c>
      <c r="Y194" s="954">
        <f t="shared" si="218"/>
        <v>0</v>
      </c>
      <c r="Z194" s="954">
        <f t="shared" si="218"/>
        <v>0</v>
      </c>
      <c r="AA194" s="954">
        <f t="shared" si="218"/>
        <v>0</v>
      </c>
      <c r="AB194" s="954">
        <f t="shared" si="218"/>
        <v>0</v>
      </c>
      <c r="AC194" s="954">
        <f t="shared" si="218"/>
        <v>0</v>
      </c>
      <c r="AD194" s="954">
        <f t="shared" si="218"/>
        <v>0</v>
      </c>
      <c r="AE194" s="954">
        <f t="shared" si="218"/>
        <v>0</v>
      </c>
      <c r="AF194" s="954">
        <f t="shared" si="218"/>
        <v>0</v>
      </c>
      <c r="AG194" s="954">
        <f t="shared" si="218"/>
        <v>0</v>
      </c>
      <c r="AH194" s="954">
        <f t="shared" ref="AH194:AI194" si="219">AH16*AH166</f>
        <v>0</v>
      </c>
      <c r="AI194" s="954">
        <f t="shared" si="219"/>
        <v>0</v>
      </c>
      <c r="AJ194" s="954">
        <f t="shared" ref="AJ194:AK194" si="220">AJ16*AJ166</f>
        <v>0</v>
      </c>
      <c r="AK194" s="954">
        <f t="shared" si="220"/>
        <v>0</v>
      </c>
      <c r="AL194" s="990"/>
    </row>
    <row r="195" spans="2:38" s="955" customFormat="1" ht="12">
      <c r="B195" s="924" t="s">
        <v>345</v>
      </c>
      <c r="C195" s="925"/>
      <c r="D195" s="925"/>
      <c r="E195" s="925"/>
      <c r="F195" s="925"/>
      <c r="G195" s="925"/>
      <c r="H195" s="925"/>
      <c r="I195" s="925"/>
      <c r="J195" s="925"/>
      <c r="K195" s="925"/>
      <c r="L195" s="925"/>
      <c r="M195" s="925"/>
      <c r="N195" s="925"/>
      <c r="O195" s="925"/>
      <c r="P195" s="925"/>
      <c r="Q195" s="925"/>
      <c r="R195" s="925"/>
      <c r="S195" s="925"/>
      <c r="T195" s="925"/>
      <c r="U195" s="925"/>
      <c r="V195" s="925"/>
      <c r="W195" s="925"/>
      <c r="X195" s="925"/>
      <c r="Y195" s="954"/>
      <c r="Z195" s="954"/>
      <c r="AA195" s="954"/>
      <c r="AB195" s="954"/>
      <c r="AC195" s="954"/>
      <c r="AD195" s="954"/>
      <c r="AE195" s="954"/>
      <c r="AF195" s="954"/>
      <c r="AG195" s="954"/>
      <c r="AH195" s="954"/>
      <c r="AI195" s="954"/>
      <c r="AJ195" s="954"/>
      <c r="AK195" s="954"/>
      <c r="AL195" s="990"/>
    </row>
    <row r="196" spans="2:38" s="955" customFormat="1" ht="12">
      <c r="B196" s="928" t="s">
        <v>345</v>
      </c>
      <c r="C196" s="930" t="s">
        <v>321</v>
      </c>
      <c r="D196" s="954">
        <f>D18*D168</f>
        <v>12.50903552762313</v>
      </c>
      <c r="E196" s="954">
        <f t="shared" ref="E196:AG196" si="221">E18*E168</f>
        <v>12.509035527623126</v>
      </c>
      <c r="F196" s="954">
        <f t="shared" si="221"/>
        <v>12.509035527623126</v>
      </c>
      <c r="G196" s="954">
        <f t="shared" si="221"/>
        <v>12.413951249571753</v>
      </c>
      <c r="H196" s="954">
        <f t="shared" si="221"/>
        <v>12.318866971520375</v>
      </c>
      <c r="I196" s="954">
        <f t="shared" si="221"/>
        <v>12.223782693469003</v>
      </c>
      <c r="J196" s="954">
        <f t="shared" si="221"/>
        <v>12.128698415417629</v>
      </c>
      <c r="K196" s="954">
        <f t="shared" si="221"/>
        <v>12.033614137366254</v>
      </c>
      <c r="L196" s="954">
        <f t="shared" si="221"/>
        <v>11.938529859314876</v>
      </c>
      <c r="M196" s="954">
        <f t="shared" si="221"/>
        <v>11.843445581263506</v>
      </c>
      <c r="N196" s="954">
        <f t="shared" si="221"/>
        <v>11.748361303212127</v>
      </c>
      <c r="O196" s="954">
        <f t="shared" si="221"/>
        <v>11.653277025160754</v>
      </c>
      <c r="P196" s="954">
        <f t="shared" si="221"/>
        <v>11.558192747109377</v>
      </c>
      <c r="Q196" s="954">
        <f t="shared" si="221"/>
        <v>11.463108469058001</v>
      </c>
      <c r="R196" s="954">
        <f t="shared" si="221"/>
        <v>11.368024191006626</v>
      </c>
      <c r="S196" s="954">
        <f t="shared" si="221"/>
        <v>11.272939912955252</v>
      </c>
      <c r="T196" s="954">
        <f t="shared" si="221"/>
        <v>11.177855634903878</v>
      </c>
      <c r="U196" s="954">
        <f t="shared" si="221"/>
        <v>11.082771356852501</v>
      </c>
      <c r="V196" s="954">
        <f t="shared" si="221"/>
        <v>10.987687078801132</v>
      </c>
      <c r="W196" s="954">
        <f t="shared" si="221"/>
        <v>10.892602800749756</v>
      </c>
      <c r="X196" s="954">
        <f t="shared" si="221"/>
        <v>10.797518522698377</v>
      </c>
      <c r="Y196" s="967">
        <f t="shared" si="221"/>
        <v>13.29934843636282</v>
      </c>
      <c r="Z196" s="967">
        <f t="shared" si="221"/>
        <v>12.906571565358297</v>
      </c>
      <c r="AA196" s="967">
        <f t="shared" si="221"/>
        <v>12.177967939906017</v>
      </c>
      <c r="AB196" s="967">
        <f t="shared" si="221"/>
        <v>3.1225028771754491</v>
      </c>
      <c r="AC196" s="967">
        <f t="shared" si="221"/>
        <v>2.8946279761904701</v>
      </c>
      <c r="AD196" s="967">
        <f t="shared" si="221"/>
        <v>2.701587181044955</v>
      </c>
      <c r="AE196" s="967">
        <f t="shared" si="221"/>
        <v>3.6545779637001554</v>
      </c>
      <c r="AF196" s="967">
        <f t="shared" si="221"/>
        <v>2.4998590272882848</v>
      </c>
      <c r="AG196" s="967">
        <f t="shared" si="221"/>
        <v>2.4589584624922516</v>
      </c>
      <c r="AH196" s="967">
        <f t="shared" ref="AH196:AI196" si="222">AH18*AH168</f>
        <v>2.3993080410403222</v>
      </c>
      <c r="AI196" s="967">
        <f t="shared" si="222"/>
        <v>2.288168909856156</v>
      </c>
      <c r="AJ196" s="967">
        <f t="shared" ref="AJ196:AK196" si="223">AJ18*AJ168</f>
        <v>2.3615010293842396</v>
      </c>
      <c r="AK196" s="967">
        <f t="shared" si="223"/>
        <v>0</v>
      </c>
      <c r="AL196" s="990"/>
    </row>
    <row r="197" spans="2:38" s="955" customFormat="1" ht="12" customHeight="1">
      <c r="B197" s="959" t="s">
        <v>347</v>
      </c>
      <c r="C197" s="930" t="s">
        <v>321</v>
      </c>
      <c r="D197" s="967" t="e">
        <f>D19*D169</f>
        <v>#VALUE!</v>
      </c>
      <c r="E197" s="967" t="e">
        <f t="shared" ref="E197:Y197" si="224">E19*E169</f>
        <v>#VALUE!</v>
      </c>
      <c r="F197" s="967" t="e">
        <f t="shared" si="224"/>
        <v>#VALUE!</v>
      </c>
      <c r="G197" s="967" t="e">
        <f t="shared" si="224"/>
        <v>#VALUE!</v>
      </c>
      <c r="H197" s="967" t="e">
        <f t="shared" si="224"/>
        <v>#VALUE!</v>
      </c>
      <c r="I197" s="967" t="e">
        <f t="shared" si="224"/>
        <v>#VALUE!</v>
      </c>
      <c r="J197" s="967" t="e">
        <f t="shared" si="224"/>
        <v>#VALUE!</v>
      </c>
      <c r="K197" s="967" t="e">
        <f t="shared" si="224"/>
        <v>#VALUE!</v>
      </c>
      <c r="L197" s="967" t="e">
        <f t="shared" si="224"/>
        <v>#VALUE!</v>
      </c>
      <c r="M197" s="967" t="e">
        <f t="shared" si="224"/>
        <v>#VALUE!</v>
      </c>
      <c r="N197" s="967" t="e">
        <f t="shared" si="224"/>
        <v>#VALUE!</v>
      </c>
      <c r="O197" s="967" t="e">
        <f t="shared" si="224"/>
        <v>#VALUE!</v>
      </c>
      <c r="P197" s="967" t="e">
        <f t="shared" si="224"/>
        <v>#VALUE!</v>
      </c>
      <c r="Q197" s="967" t="e">
        <f t="shared" si="224"/>
        <v>#VALUE!</v>
      </c>
      <c r="R197" s="967" t="e">
        <f t="shared" si="224"/>
        <v>#VALUE!</v>
      </c>
      <c r="S197" s="967" t="e">
        <f t="shared" si="224"/>
        <v>#VALUE!</v>
      </c>
      <c r="T197" s="967" t="e">
        <f t="shared" si="224"/>
        <v>#VALUE!</v>
      </c>
      <c r="U197" s="967" t="e">
        <f t="shared" si="224"/>
        <v>#VALUE!</v>
      </c>
      <c r="V197" s="967" t="e">
        <f t="shared" si="224"/>
        <v>#VALUE!</v>
      </c>
      <c r="W197" s="967" t="e">
        <f t="shared" si="224"/>
        <v>#VALUE!</v>
      </c>
      <c r="X197" s="967" t="e">
        <f t="shared" si="224"/>
        <v>#VALUE!</v>
      </c>
      <c r="Y197" s="954">
        <f t="shared" si="224"/>
        <v>0</v>
      </c>
      <c r="Z197" s="954">
        <f t="shared" ref="Z197:AG197" si="225">Z19*Z169</f>
        <v>0</v>
      </c>
      <c r="AA197" s="954">
        <f t="shared" si="225"/>
        <v>0</v>
      </c>
      <c r="AB197" s="954">
        <f t="shared" si="225"/>
        <v>0</v>
      </c>
      <c r="AC197" s="954">
        <f t="shared" si="225"/>
        <v>0</v>
      </c>
      <c r="AD197" s="954">
        <f t="shared" si="225"/>
        <v>0</v>
      </c>
      <c r="AE197" s="954">
        <f t="shared" si="225"/>
        <v>0</v>
      </c>
      <c r="AF197" s="954">
        <f t="shared" si="225"/>
        <v>0</v>
      </c>
      <c r="AG197" s="954">
        <f t="shared" si="225"/>
        <v>0</v>
      </c>
      <c r="AH197" s="954">
        <f t="shared" ref="AH197:AI197" si="226">AH19*AH169</f>
        <v>0</v>
      </c>
      <c r="AI197" s="954">
        <f t="shared" si="226"/>
        <v>0</v>
      </c>
      <c r="AJ197" s="954">
        <f t="shared" ref="AJ197:AK197" si="227">AJ19*AJ169</f>
        <v>0</v>
      </c>
      <c r="AK197" s="954">
        <f t="shared" si="227"/>
        <v>0</v>
      </c>
      <c r="AL197" s="990"/>
    </row>
    <row r="198" spans="2:38" s="955" customFormat="1" ht="12">
      <c r="B198" s="959" t="s">
        <v>348</v>
      </c>
      <c r="C198" s="930" t="s">
        <v>321</v>
      </c>
      <c r="D198" s="967" t="e">
        <f>D20*D170</f>
        <v>#VALUE!</v>
      </c>
      <c r="E198" s="967" t="e">
        <f t="shared" ref="E198:Y198" si="228">E20*E170</f>
        <v>#VALUE!</v>
      </c>
      <c r="F198" s="967" t="e">
        <f t="shared" si="228"/>
        <v>#VALUE!</v>
      </c>
      <c r="G198" s="967" t="e">
        <f t="shared" si="228"/>
        <v>#VALUE!</v>
      </c>
      <c r="H198" s="967" t="e">
        <f t="shared" si="228"/>
        <v>#VALUE!</v>
      </c>
      <c r="I198" s="967" t="e">
        <f t="shared" si="228"/>
        <v>#VALUE!</v>
      </c>
      <c r="J198" s="967" t="e">
        <f t="shared" si="228"/>
        <v>#VALUE!</v>
      </c>
      <c r="K198" s="967" t="e">
        <f t="shared" si="228"/>
        <v>#VALUE!</v>
      </c>
      <c r="L198" s="967" t="e">
        <f t="shared" si="228"/>
        <v>#VALUE!</v>
      </c>
      <c r="M198" s="967" t="e">
        <f t="shared" si="228"/>
        <v>#VALUE!</v>
      </c>
      <c r="N198" s="967" t="e">
        <f t="shared" si="228"/>
        <v>#VALUE!</v>
      </c>
      <c r="O198" s="967" t="e">
        <f t="shared" si="228"/>
        <v>#VALUE!</v>
      </c>
      <c r="P198" s="967" t="e">
        <f t="shared" si="228"/>
        <v>#VALUE!</v>
      </c>
      <c r="Q198" s="967" t="e">
        <f t="shared" si="228"/>
        <v>#VALUE!</v>
      </c>
      <c r="R198" s="967" t="e">
        <f t="shared" si="228"/>
        <v>#VALUE!</v>
      </c>
      <c r="S198" s="967" t="e">
        <f t="shared" si="228"/>
        <v>#VALUE!</v>
      </c>
      <c r="T198" s="967" t="e">
        <f t="shared" si="228"/>
        <v>#VALUE!</v>
      </c>
      <c r="U198" s="967" t="e">
        <f t="shared" si="228"/>
        <v>#VALUE!</v>
      </c>
      <c r="V198" s="967" t="e">
        <f t="shared" si="228"/>
        <v>#VALUE!</v>
      </c>
      <c r="W198" s="967" t="e">
        <f t="shared" si="228"/>
        <v>#VALUE!</v>
      </c>
      <c r="X198" s="967" t="e">
        <f t="shared" si="228"/>
        <v>#VALUE!</v>
      </c>
      <c r="Y198" s="954">
        <f t="shared" si="228"/>
        <v>13.625814388169726</v>
      </c>
      <c r="Z198" s="954">
        <f t="shared" ref="Z198:AG198" si="229">Z20*Z170</f>
        <v>13.651431394568796</v>
      </c>
      <c r="AA198" s="954">
        <f t="shared" si="229"/>
        <v>12.741465575340806</v>
      </c>
      <c r="AB198" s="954">
        <f t="shared" si="229"/>
        <v>2.0361665857885303</v>
      </c>
      <c r="AC198" s="954">
        <f t="shared" si="229"/>
        <v>1.6250298192494719</v>
      </c>
      <c r="AD198" s="954">
        <f t="shared" si="229"/>
        <v>1.8202316258351887</v>
      </c>
      <c r="AE198" s="954">
        <f t="shared" si="229"/>
        <v>3.0039132484677045</v>
      </c>
      <c r="AF198" s="954">
        <f t="shared" si="229"/>
        <v>1.883323866863569</v>
      </c>
      <c r="AG198" s="954">
        <f t="shared" si="229"/>
        <v>1.8550436599346423</v>
      </c>
      <c r="AH198" s="954">
        <f t="shared" ref="AH198:AI198" si="230">AH20*AH170</f>
        <v>1.8313309776207276</v>
      </c>
      <c r="AI198" s="954">
        <f t="shared" si="230"/>
        <v>1.813392075024475</v>
      </c>
      <c r="AJ198" s="954">
        <f t="shared" ref="AJ198:AK198" si="231">AJ20*AJ170</f>
        <v>1.8960811576291241</v>
      </c>
      <c r="AK198" s="954">
        <f t="shared" si="231"/>
        <v>0</v>
      </c>
      <c r="AL198" s="990"/>
    </row>
    <row r="199" spans="2:38" s="955" customFormat="1" ht="12">
      <c r="B199" s="959" t="s">
        <v>349</v>
      </c>
      <c r="C199" s="930" t="s">
        <v>321</v>
      </c>
      <c r="D199" s="967" t="e">
        <f>D21*D171</f>
        <v>#VALUE!</v>
      </c>
      <c r="E199" s="967" t="e">
        <f t="shared" ref="E199:Y199" si="232">E21*E171</f>
        <v>#VALUE!</v>
      </c>
      <c r="F199" s="967" t="e">
        <f t="shared" si="232"/>
        <v>#VALUE!</v>
      </c>
      <c r="G199" s="967" t="e">
        <f t="shared" si="232"/>
        <v>#VALUE!</v>
      </c>
      <c r="H199" s="967" t="e">
        <f t="shared" si="232"/>
        <v>#VALUE!</v>
      </c>
      <c r="I199" s="967" t="e">
        <f t="shared" si="232"/>
        <v>#VALUE!</v>
      </c>
      <c r="J199" s="967" t="e">
        <f t="shared" si="232"/>
        <v>#VALUE!</v>
      </c>
      <c r="K199" s="967" t="e">
        <f t="shared" si="232"/>
        <v>#VALUE!</v>
      </c>
      <c r="L199" s="967" t="e">
        <f t="shared" si="232"/>
        <v>#VALUE!</v>
      </c>
      <c r="M199" s="967" t="e">
        <f t="shared" si="232"/>
        <v>#VALUE!</v>
      </c>
      <c r="N199" s="967" t="e">
        <f t="shared" si="232"/>
        <v>#VALUE!</v>
      </c>
      <c r="O199" s="967" t="e">
        <f t="shared" si="232"/>
        <v>#VALUE!</v>
      </c>
      <c r="P199" s="967" t="e">
        <f t="shared" si="232"/>
        <v>#VALUE!</v>
      </c>
      <c r="Q199" s="967" t="e">
        <f t="shared" si="232"/>
        <v>#VALUE!</v>
      </c>
      <c r="R199" s="967" t="e">
        <f t="shared" si="232"/>
        <v>#VALUE!</v>
      </c>
      <c r="S199" s="967" t="e">
        <f t="shared" si="232"/>
        <v>#VALUE!</v>
      </c>
      <c r="T199" s="967" t="e">
        <f t="shared" si="232"/>
        <v>#VALUE!</v>
      </c>
      <c r="U199" s="967" t="e">
        <f t="shared" si="232"/>
        <v>#VALUE!</v>
      </c>
      <c r="V199" s="967" t="e">
        <f t="shared" si="232"/>
        <v>#VALUE!</v>
      </c>
      <c r="W199" s="967" t="e">
        <f t="shared" si="232"/>
        <v>#VALUE!</v>
      </c>
      <c r="X199" s="967" t="e">
        <f t="shared" si="232"/>
        <v>#VALUE!</v>
      </c>
      <c r="Y199" s="954">
        <f t="shared" si="232"/>
        <v>0</v>
      </c>
      <c r="Z199" s="954">
        <f t="shared" ref="Z199:AG199" si="233">Z21*Z171</f>
        <v>0</v>
      </c>
      <c r="AA199" s="954">
        <f t="shared" si="233"/>
        <v>0</v>
      </c>
      <c r="AB199" s="954">
        <f t="shared" si="233"/>
        <v>0</v>
      </c>
      <c r="AC199" s="954">
        <f t="shared" si="233"/>
        <v>0</v>
      </c>
      <c r="AD199" s="954">
        <f t="shared" si="233"/>
        <v>0</v>
      </c>
      <c r="AE199" s="954">
        <f t="shared" si="233"/>
        <v>0</v>
      </c>
      <c r="AF199" s="954">
        <f t="shared" si="233"/>
        <v>0</v>
      </c>
      <c r="AG199" s="954">
        <f t="shared" si="233"/>
        <v>0</v>
      </c>
      <c r="AH199" s="954">
        <f t="shared" ref="AH199:AI199" si="234">AH21*AH171</f>
        <v>0</v>
      </c>
      <c r="AI199" s="954">
        <f t="shared" si="234"/>
        <v>0</v>
      </c>
      <c r="AJ199" s="954">
        <f t="shared" ref="AJ199:AK199" si="235">AJ21*AJ171</f>
        <v>0</v>
      </c>
      <c r="AK199" s="954">
        <f t="shared" si="235"/>
        <v>0</v>
      </c>
      <c r="AL199" s="990"/>
    </row>
    <row r="200" spans="2:38" s="955" customFormat="1" ht="12">
      <c r="B200" s="924" t="s">
        <v>350</v>
      </c>
      <c r="C200" s="925"/>
      <c r="D200" s="925"/>
      <c r="E200" s="925"/>
      <c r="F200" s="925"/>
      <c r="G200" s="925"/>
      <c r="H200" s="925"/>
      <c r="I200" s="925"/>
      <c r="J200" s="925"/>
      <c r="K200" s="925"/>
      <c r="L200" s="925"/>
      <c r="M200" s="925"/>
      <c r="N200" s="925"/>
      <c r="O200" s="925"/>
      <c r="P200" s="925"/>
      <c r="Q200" s="925"/>
      <c r="R200" s="925"/>
      <c r="S200" s="925"/>
      <c r="T200" s="925"/>
      <c r="U200" s="925"/>
      <c r="V200" s="925"/>
      <c r="W200" s="925"/>
      <c r="X200" s="925"/>
      <c r="Y200" s="954"/>
      <c r="Z200" s="954"/>
      <c r="AA200" s="954"/>
      <c r="AB200" s="954"/>
      <c r="AC200" s="954"/>
      <c r="AD200" s="954"/>
      <c r="AE200" s="954"/>
      <c r="AF200" s="954"/>
      <c r="AG200" s="954"/>
      <c r="AH200" s="954"/>
      <c r="AI200" s="954"/>
      <c r="AJ200" s="954"/>
      <c r="AK200" s="954"/>
      <c r="AL200" s="990"/>
    </row>
    <row r="201" spans="2:38" s="955" customFormat="1" ht="12">
      <c r="B201" s="1006" t="s">
        <v>351</v>
      </c>
      <c r="C201" s="961" t="s">
        <v>321</v>
      </c>
      <c r="D201" s="954">
        <f>D23*D173</f>
        <v>16.601890591541753</v>
      </c>
      <c r="E201" s="954">
        <f t="shared" ref="E201:AC201" si="236">E23*E173</f>
        <v>16.768806896948604</v>
      </c>
      <c r="F201" s="954">
        <f t="shared" si="236"/>
        <v>16.777780891862953</v>
      </c>
      <c r="G201" s="954">
        <f t="shared" si="236"/>
        <v>16.878289634903641</v>
      </c>
      <c r="H201" s="954">
        <f t="shared" si="236"/>
        <v>16.930338805406851</v>
      </c>
      <c r="I201" s="954">
        <f t="shared" si="236"/>
        <v>16.948286795235543</v>
      </c>
      <c r="J201" s="954">
        <f t="shared" si="236"/>
        <v>17.362885360278373</v>
      </c>
      <c r="K201" s="954">
        <f t="shared" si="236"/>
        <v>17.346732169432549</v>
      </c>
      <c r="L201" s="954">
        <f t="shared" si="236"/>
        <v>17.499290082976444</v>
      </c>
      <c r="M201" s="954">
        <f t="shared" si="236"/>
        <v>17.785365187731781</v>
      </c>
      <c r="N201" s="954">
        <f t="shared" si="236"/>
        <v>17.875105136875248</v>
      </c>
      <c r="O201" s="954">
        <f t="shared" si="236"/>
        <v>18.665909421841544</v>
      </c>
      <c r="P201" s="954">
        <f t="shared" si="236"/>
        <v>18.919514518120984</v>
      </c>
      <c r="Q201" s="954">
        <f t="shared" si="236"/>
        <v>18.868434539068524</v>
      </c>
      <c r="R201" s="954">
        <f t="shared" si="236"/>
        <v>19.670996852248393</v>
      </c>
      <c r="S201" s="954">
        <f t="shared" si="236"/>
        <v>19.747455288918626</v>
      </c>
      <c r="T201" s="954">
        <f t="shared" si="236"/>
        <v>19.63043439523554</v>
      </c>
      <c r="U201" s="954">
        <f t="shared" si="236"/>
        <v>19.93070426506959</v>
      </c>
      <c r="V201" s="954">
        <f t="shared" si="236"/>
        <v>19.917602232494641</v>
      </c>
      <c r="W201" s="954">
        <f t="shared" si="236"/>
        <v>19.980958636589932</v>
      </c>
      <c r="X201" s="954">
        <f t="shared" si="236"/>
        <v>20.182514562366165</v>
      </c>
      <c r="Y201" s="954">
        <f t="shared" si="236"/>
        <v>20.194360235653104</v>
      </c>
      <c r="Z201" s="954">
        <f t="shared" si="236"/>
        <v>20.194539715551386</v>
      </c>
      <c r="AA201" s="954">
        <f t="shared" si="236"/>
        <v>20.269023873340469</v>
      </c>
      <c r="AB201" s="954">
        <f t="shared" si="236"/>
        <v>20.269490521076015</v>
      </c>
      <c r="AC201" s="954">
        <f t="shared" si="236"/>
        <v>20.288228222457168</v>
      </c>
      <c r="AD201" s="1005">
        <f>(AD23-AD226)*AD173+AD229</f>
        <v>10.569189498574046</v>
      </c>
      <c r="AE201" s="1005">
        <f t="shared" ref="AE201:AG201" si="237">(AE23-AE226)*AE173+AE229</f>
        <v>3.8812531379679855</v>
      </c>
      <c r="AF201" s="1005">
        <f t="shared" si="237"/>
        <v>1.5857102757079142</v>
      </c>
      <c r="AG201" s="1005">
        <f t="shared" si="237"/>
        <v>5.8134724267708151</v>
      </c>
      <c r="AH201" s="1005">
        <f t="shared" ref="AH201:AI201" si="238">(AH23-AH226)*AH173+AH229</f>
        <v>3.2914136002487924</v>
      </c>
      <c r="AI201" s="1005">
        <f t="shared" si="238"/>
        <v>3.2454546511941214</v>
      </c>
      <c r="AJ201" s="1005">
        <f t="shared" ref="AJ201:AK201" si="239">(AJ23-AJ226)*AJ173+AJ229</f>
        <v>6.0374162443865806</v>
      </c>
      <c r="AK201" s="1005">
        <f t="shared" si="239"/>
        <v>0</v>
      </c>
      <c r="AL201" s="990"/>
    </row>
    <row r="202" spans="2:38" s="955" customFormat="1" ht="12">
      <c r="B202" s="924" t="s">
        <v>352</v>
      </c>
      <c r="C202" s="925"/>
      <c r="D202" s="925"/>
      <c r="E202" s="925"/>
      <c r="F202" s="925"/>
      <c r="G202" s="925"/>
      <c r="H202" s="925"/>
      <c r="I202" s="925"/>
      <c r="J202" s="925"/>
      <c r="K202" s="925"/>
      <c r="L202" s="925"/>
      <c r="M202" s="925"/>
      <c r="N202" s="925"/>
      <c r="O202" s="925"/>
      <c r="P202" s="925"/>
      <c r="Q202" s="925"/>
      <c r="R202" s="925"/>
      <c r="S202" s="925"/>
      <c r="T202" s="925"/>
      <c r="U202" s="925"/>
      <c r="V202" s="925"/>
      <c r="W202" s="925"/>
      <c r="X202" s="925"/>
      <c r="Y202" s="954"/>
      <c r="Z202" s="954"/>
      <c r="AA202" s="954"/>
      <c r="AB202" s="954"/>
      <c r="AC202" s="954"/>
      <c r="AD202" s="954"/>
      <c r="AE202" s="954"/>
      <c r="AF202" s="954"/>
      <c r="AG202" s="954"/>
      <c r="AH202" s="954"/>
      <c r="AI202" s="954"/>
      <c r="AJ202" s="954"/>
      <c r="AK202" s="954"/>
      <c r="AL202" s="990"/>
    </row>
    <row r="203" spans="2:38" s="955" customFormat="1" ht="12">
      <c r="B203" s="1007" t="s">
        <v>352</v>
      </c>
      <c r="C203" s="928" t="s">
        <v>321</v>
      </c>
      <c r="D203" s="954">
        <f>D25*D175</f>
        <v>9.8875561027837247</v>
      </c>
      <c r="E203" s="954">
        <f t="shared" ref="E203:AB203" si="240">E25*E175</f>
        <v>9.8875561027837282</v>
      </c>
      <c r="F203" s="954">
        <f t="shared" si="240"/>
        <v>9.8875561027837282</v>
      </c>
      <c r="G203" s="954">
        <f t="shared" si="240"/>
        <v>9.8875561027837264</v>
      </c>
      <c r="H203" s="954">
        <f t="shared" si="240"/>
        <v>9.8875561027837264</v>
      </c>
      <c r="I203" s="954">
        <f t="shared" si="240"/>
        <v>9.8875561027837282</v>
      </c>
      <c r="J203" s="954">
        <f t="shared" si="240"/>
        <v>9.8875561027837264</v>
      </c>
      <c r="K203" s="954">
        <f t="shared" si="240"/>
        <v>9.8875561027837264</v>
      </c>
      <c r="L203" s="954">
        <f t="shared" si="240"/>
        <v>9.8875561027837264</v>
      </c>
      <c r="M203" s="954">
        <f t="shared" si="240"/>
        <v>9.8875561027837282</v>
      </c>
      <c r="N203" s="954">
        <f t="shared" si="240"/>
        <v>9.8875561027837247</v>
      </c>
      <c r="O203" s="954">
        <f t="shared" si="240"/>
        <v>9.8875561027837282</v>
      </c>
      <c r="P203" s="954">
        <f t="shared" si="240"/>
        <v>9.8875561027837264</v>
      </c>
      <c r="Q203" s="954">
        <f t="shared" si="240"/>
        <v>9.8875561027837264</v>
      </c>
      <c r="R203" s="954">
        <f t="shared" si="240"/>
        <v>9.8875561027837282</v>
      </c>
      <c r="S203" s="954">
        <f t="shared" si="240"/>
        <v>9.8875561027837264</v>
      </c>
      <c r="T203" s="954">
        <f t="shared" si="240"/>
        <v>9.8875561027837264</v>
      </c>
      <c r="U203" s="954">
        <f t="shared" si="240"/>
        <v>9.8875561027837282</v>
      </c>
      <c r="V203" s="954">
        <f t="shared" si="240"/>
        <v>9.8875561027837264</v>
      </c>
      <c r="W203" s="954">
        <f t="shared" si="240"/>
        <v>9.8875561027837247</v>
      </c>
      <c r="X203" s="954">
        <f t="shared" si="240"/>
        <v>9.8875561027837264</v>
      </c>
      <c r="Y203" s="954">
        <f t="shared" si="240"/>
        <v>9.8875561027837264</v>
      </c>
      <c r="Z203" s="954">
        <f t="shared" si="240"/>
        <v>12.359445128479656</v>
      </c>
      <c r="AA203" s="954">
        <f t="shared" si="240"/>
        <v>12.359445128479656</v>
      </c>
      <c r="AB203" s="954">
        <f t="shared" si="240"/>
        <v>12.359445128479656</v>
      </c>
      <c r="AC203" s="1005">
        <f>(AC25-AC279)*AC175+AC293</f>
        <v>10.615667077087792</v>
      </c>
      <c r="AD203" s="1005">
        <f>(AD25-AD279)*AD175+AD293</f>
        <v>8.2437780513918639</v>
      </c>
      <c r="AE203" s="1005">
        <f t="shared" ref="AE203:AG203" si="241">(AE25-AE279)*AE175+AE293</f>
        <v>7.4437780513918632</v>
      </c>
      <c r="AF203" s="1005">
        <f t="shared" si="241"/>
        <v>8.1437780513918625</v>
      </c>
      <c r="AG203" s="1005">
        <f t="shared" si="241"/>
        <v>6.7237780513918626</v>
      </c>
      <c r="AH203" s="1005">
        <f t="shared" ref="AH203:AI203" si="242">(AH25-AH279)*AH175+AH293</f>
        <v>6.5437780513918646</v>
      </c>
      <c r="AI203" s="1005">
        <f t="shared" si="242"/>
        <v>9.4096670770877946</v>
      </c>
      <c r="AJ203" s="1005">
        <f t="shared" ref="AJ203:AK203" si="243">(AJ25-AJ279)*AJ175+AJ293</f>
        <v>6.5437780513918629</v>
      </c>
      <c r="AK203" s="1005">
        <f t="shared" si="243"/>
        <v>0</v>
      </c>
      <c r="AL203" s="990"/>
    </row>
    <row r="204" spans="2:38" s="955" customFormat="1" ht="12">
      <c r="B204" s="924" t="s">
        <v>353</v>
      </c>
      <c r="C204" s="925"/>
      <c r="D204" s="925"/>
      <c r="E204" s="925"/>
      <c r="F204" s="925"/>
      <c r="G204" s="925"/>
      <c r="H204" s="925"/>
      <c r="I204" s="925"/>
      <c r="J204" s="925"/>
      <c r="K204" s="925"/>
      <c r="L204" s="925"/>
      <c r="M204" s="925"/>
      <c r="N204" s="925"/>
      <c r="O204" s="925"/>
      <c r="P204" s="925"/>
      <c r="Q204" s="925"/>
      <c r="R204" s="925"/>
      <c r="S204" s="925"/>
      <c r="T204" s="925"/>
      <c r="U204" s="925"/>
      <c r="V204" s="925"/>
      <c r="W204" s="925"/>
      <c r="X204" s="925"/>
      <c r="Y204" s="925"/>
      <c r="Z204" s="925"/>
      <c r="AA204" s="925"/>
      <c r="AB204" s="925"/>
      <c r="AC204" s="925"/>
      <c r="AD204" s="925"/>
      <c r="AE204" s="925"/>
      <c r="AF204" s="925"/>
      <c r="AG204" s="925"/>
      <c r="AH204" s="925"/>
      <c r="AI204" s="925"/>
      <c r="AJ204" s="925"/>
      <c r="AK204" s="925"/>
      <c r="AL204" s="989"/>
    </row>
    <row r="205" spans="2:38" s="955" customFormat="1" ht="12">
      <c r="B205" s="928" t="s">
        <v>354</v>
      </c>
      <c r="C205" s="930" t="s">
        <v>321</v>
      </c>
      <c r="D205" s="954">
        <f>0*D177</f>
        <v>0</v>
      </c>
      <c r="E205" s="954">
        <f t="shared" ref="E205:AG205" si="244">0*E177</f>
        <v>0</v>
      </c>
      <c r="F205" s="954">
        <f t="shared" si="244"/>
        <v>0</v>
      </c>
      <c r="G205" s="954">
        <f t="shared" si="244"/>
        <v>0</v>
      </c>
      <c r="H205" s="954">
        <f t="shared" si="244"/>
        <v>0</v>
      </c>
      <c r="I205" s="954">
        <f t="shared" si="244"/>
        <v>0</v>
      </c>
      <c r="J205" s="954">
        <f t="shared" si="244"/>
        <v>0</v>
      </c>
      <c r="K205" s="954">
        <f t="shared" si="244"/>
        <v>0</v>
      </c>
      <c r="L205" s="954">
        <f t="shared" si="244"/>
        <v>0</v>
      </c>
      <c r="M205" s="954">
        <f t="shared" si="244"/>
        <v>0</v>
      </c>
      <c r="N205" s="954">
        <f t="shared" si="244"/>
        <v>0</v>
      </c>
      <c r="O205" s="954">
        <f t="shared" si="244"/>
        <v>0</v>
      </c>
      <c r="P205" s="954">
        <f t="shared" si="244"/>
        <v>0</v>
      </c>
      <c r="Q205" s="954">
        <f t="shared" si="244"/>
        <v>0</v>
      </c>
      <c r="R205" s="954">
        <f t="shared" si="244"/>
        <v>0</v>
      </c>
      <c r="S205" s="954">
        <f t="shared" si="244"/>
        <v>0</v>
      </c>
      <c r="T205" s="954">
        <f t="shared" si="244"/>
        <v>0</v>
      </c>
      <c r="U205" s="954">
        <f t="shared" si="244"/>
        <v>0</v>
      </c>
      <c r="V205" s="954">
        <f t="shared" si="244"/>
        <v>0</v>
      </c>
      <c r="W205" s="954">
        <f t="shared" si="244"/>
        <v>0</v>
      </c>
      <c r="X205" s="954">
        <f t="shared" si="244"/>
        <v>0</v>
      </c>
      <c r="Y205" s="954">
        <f t="shared" si="244"/>
        <v>0</v>
      </c>
      <c r="Z205" s="954">
        <f t="shared" si="244"/>
        <v>0</v>
      </c>
      <c r="AA205" s="954">
        <f t="shared" si="244"/>
        <v>0</v>
      </c>
      <c r="AB205" s="954">
        <f t="shared" si="244"/>
        <v>0</v>
      </c>
      <c r="AC205" s="954">
        <f t="shared" si="244"/>
        <v>0</v>
      </c>
      <c r="AD205" s="954">
        <f t="shared" si="244"/>
        <v>0</v>
      </c>
      <c r="AE205" s="954">
        <f t="shared" si="244"/>
        <v>0</v>
      </c>
      <c r="AF205" s="954">
        <f t="shared" si="244"/>
        <v>0</v>
      </c>
      <c r="AG205" s="954">
        <f t="shared" si="244"/>
        <v>0</v>
      </c>
      <c r="AH205" s="954">
        <f t="shared" ref="AH205:AI205" si="245">0*AH177</f>
        <v>0</v>
      </c>
      <c r="AI205" s="954">
        <f t="shared" si="245"/>
        <v>0</v>
      </c>
      <c r="AJ205" s="954">
        <f t="shared" ref="AJ205:AK205" si="246">0*AJ177</f>
        <v>0</v>
      </c>
      <c r="AK205" s="954">
        <f t="shared" si="246"/>
        <v>0</v>
      </c>
      <c r="AL205" s="990"/>
    </row>
    <row r="206" spans="2:38" s="955" customFormat="1" ht="12">
      <c r="B206" s="930" t="s">
        <v>356</v>
      </c>
      <c r="C206" s="930" t="s">
        <v>321</v>
      </c>
      <c r="D206" s="954">
        <f>D28*D178</f>
        <v>51.67584942571829</v>
      </c>
      <c r="E206" s="954">
        <f t="shared" ref="E206:AG206" si="247">E28*E178</f>
        <v>51.67584942571829</v>
      </c>
      <c r="F206" s="954">
        <f t="shared" si="247"/>
        <v>51.675849425718297</v>
      </c>
      <c r="G206" s="954">
        <f t="shared" si="247"/>
        <v>51.675849425718297</v>
      </c>
      <c r="H206" s="954">
        <f t="shared" si="247"/>
        <v>51.675849425718297</v>
      </c>
      <c r="I206" s="954">
        <f t="shared" si="247"/>
        <v>51.675849425718297</v>
      </c>
      <c r="J206" s="954">
        <f t="shared" si="247"/>
        <v>51.675849425718297</v>
      </c>
      <c r="K206" s="954">
        <f t="shared" si="247"/>
        <v>51.675849425718305</v>
      </c>
      <c r="L206" s="954">
        <f t="shared" si="247"/>
        <v>51.675849425718297</v>
      </c>
      <c r="M206" s="954">
        <f t="shared" si="247"/>
        <v>51.675849425718297</v>
      </c>
      <c r="N206" s="954">
        <f t="shared" si="247"/>
        <v>54.546729949369301</v>
      </c>
      <c r="O206" s="954">
        <f t="shared" si="247"/>
        <v>54.546729949369322</v>
      </c>
      <c r="P206" s="954">
        <f t="shared" si="247"/>
        <v>54.546729949369293</v>
      </c>
      <c r="Q206" s="954">
        <f t="shared" si="247"/>
        <v>54.546729949369315</v>
      </c>
      <c r="R206" s="954">
        <f t="shared" si="247"/>
        <v>54.546729949369315</v>
      </c>
      <c r="S206" s="954">
        <f t="shared" si="247"/>
        <v>54.546729949369315</v>
      </c>
      <c r="T206" s="954">
        <f t="shared" si="247"/>
        <v>54.546729949369315</v>
      </c>
      <c r="U206" s="954">
        <f t="shared" si="247"/>
        <v>54.546729949369315</v>
      </c>
      <c r="V206" s="954">
        <f t="shared" si="247"/>
        <v>54.546729949369315</v>
      </c>
      <c r="W206" s="954">
        <f t="shared" si="247"/>
        <v>54.546729949369315</v>
      </c>
      <c r="X206" s="954">
        <f t="shared" si="247"/>
        <v>54.546729949369315</v>
      </c>
      <c r="Y206" s="954">
        <f t="shared" si="247"/>
        <v>54.546729949369315</v>
      </c>
      <c r="Z206" s="954">
        <f t="shared" si="247"/>
        <v>54.546729949369322</v>
      </c>
      <c r="AA206" s="954">
        <f t="shared" si="247"/>
        <v>54.546729949369322</v>
      </c>
      <c r="AB206" s="954">
        <f t="shared" si="247"/>
        <v>54.546729949369322</v>
      </c>
      <c r="AC206" s="954">
        <f t="shared" si="247"/>
        <v>54.546729949369322</v>
      </c>
      <c r="AD206" s="954">
        <f t="shared" si="247"/>
        <v>54.546729949369315</v>
      </c>
      <c r="AE206" s="954">
        <f t="shared" si="247"/>
        <v>54.546729949369301</v>
      </c>
      <c r="AF206" s="954">
        <f t="shared" si="247"/>
        <v>54.546729949369315</v>
      </c>
      <c r="AG206" s="954">
        <f t="shared" si="247"/>
        <v>54.546729949369322</v>
      </c>
      <c r="AH206" s="954">
        <f t="shared" ref="AH206:AI206" si="248">AH28*AH178</f>
        <v>54.546729949369322</v>
      </c>
      <c r="AI206" s="954">
        <f t="shared" si="248"/>
        <v>54.546729949369315</v>
      </c>
      <c r="AJ206" s="954">
        <f t="shared" ref="AJ206:AK206" si="249">AJ28*AJ178</f>
        <v>54.546729949369322</v>
      </c>
      <c r="AK206" s="954">
        <f t="shared" si="249"/>
        <v>0</v>
      </c>
      <c r="AL206" s="990"/>
    </row>
    <row r="207" spans="2:38" s="955" customFormat="1" ht="12">
      <c r="B207" s="924" t="s">
        <v>357</v>
      </c>
      <c r="C207" s="925"/>
      <c r="D207" s="925"/>
      <c r="E207" s="925"/>
      <c r="F207" s="925"/>
      <c r="G207" s="925"/>
      <c r="H207" s="925"/>
      <c r="I207" s="925"/>
      <c r="J207" s="925"/>
      <c r="K207" s="925"/>
      <c r="L207" s="925"/>
      <c r="M207" s="925"/>
      <c r="N207" s="925"/>
      <c r="O207" s="925"/>
      <c r="P207" s="925"/>
      <c r="Q207" s="925"/>
      <c r="R207" s="925"/>
      <c r="S207" s="925"/>
      <c r="T207" s="925"/>
      <c r="U207" s="925"/>
      <c r="V207" s="925"/>
      <c r="W207" s="925"/>
      <c r="X207" s="925"/>
      <c r="Y207" s="925"/>
      <c r="Z207" s="925"/>
      <c r="AA207" s="925"/>
      <c r="AB207" s="925"/>
      <c r="AC207" s="925"/>
      <c r="AD207" s="925"/>
      <c r="AE207" s="925"/>
      <c r="AF207" s="925"/>
      <c r="AG207" s="925"/>
      <c r="AH207" s="925"/>
      <c r="AI207" s="925"/>
      <c r="AJ207" s="925"/>
      <c r="AK207" s="925"/>
      <c r="AL207" s="989"/>
    </row>
    <row r="208" spans="2:38" s="955" customFormat="1" ht="12">
      <c r="B208" s="1017" t="s">
        <v>358</v>
      </c>
      <c r="C208" s="930" t="s">
        <v>321</v>
      </c>
      <c r="D208" s="954">
        <f>(D30-D303)*D180</f>
        <v>0</v>
      </c>
      <c r="E208" s="954">
        <f t="shared" ref="E208:AA208" si="250">(E30-E303)*E180</f>
        <v>0</v>
      </c>
      <c r="F208" s="954">
        <f t="shared" si="250"/>
        <v>0</v>
      </c>
      <c r="G208" s="954">
        <f t="shared" si="250"/>
        <v>0</v>
      </c>
      <c r="H208" s="954">
        <f t="shared" si="250"/>
        <v>0</v>
      </c>
      <c r="I208" s="954">
        <f t="shared" si="250"/>
        <v>0</v>
      </c>
      <c r="J208" s="954">
        <f t="shared" si="250"/>
        <v>0</v>
      </c>
      <c r="K208" s="954">
        <f t="shared" si="250"/>
        <v>0</v>
      </c>
      <c r="L208" s="954">
        <f t="shared" si="250"/>
        <v>0</v>
      </c>
      <c r="M208" s="954">
        <f t="shared" si="250"/>
        <v>0</v>
      </c>
      <c r="N208" s="954">
        <f t="shared" si="250"/>
        <v>0</v>
      </c>
      <c r="O208" s="954">
        <f t="shared" si="250"/>
        <v>0</v>
      </c>
      <c r="P208" s="954">
        <f t="shared" si="250"/>
        <v>0</v>
      </c>
      <c r="Q208" s="954">
        <f t="shared" si="250"/>
        <v>0</v>
      </c>
      <c r="R208" s="954">
        <f t="shared" si="250"/>
        <v>0</v>
      </c>
      <c r="S208" s="954">
        <f t="shared" si="250"/>
        <v>0</v>
      </c>
      <c r="T208" s="954">
        <f t="shared" si="250"/>
        <v>0</v>
      </c>
      <c r="U208" s="954">
        <f t="shared" si="250"/>
        <v>0</v>
      </c>
      <c r="V208" s="954">
        <f t="shared" si="250"/>
        <v>6929.0749999999998</v>
      </c>
      <c r="W208" s="954">
        <f t="shared" si="250"/>
        <v>6929.0749999999998</v>
      </c>
      <c r="X208" s="954">
        <f t="shared" si="250"/>
        <v>13858.15</v>
      </c>
      <c r="Y208" s="954">
        <f t="shared" si="250"/>
        <v>0</v>
      </c>
      <c r="Z208" s="954">
        <f t="shared" si="250"/>
        <v>0</v>
      </c>
      <c r="AA208" s="954">
        <f t="shared" si="250"/>
        <v>0</v>
      </c>
      <c r="AB208" s="1005">
        <f>(AB30-AB303)*AB180+(AB302+AB305)</f>
        <v>0</v>
      </c>
      <c r="AC208" s="1005">
        <f t="shared" ref="AC208:AG208" si="251">(AC30-AC303)*AC180+(AC302+AC305)</f>
        <v>6929.0749999999998</v>
      </c>
      <c r="AD208" s="1005">
        <f t="shared" si="251"/>
        <v>6929.0749999999998</v>
      </c>
      <c r="AE208" s="1005">
        <f t="shared" si="251"/>
        <v>0</v>
      </c>
      <c r="AF208" s="1005">
        <f t="shared" si="251"/>
        <v>0</v>
      </c>
      <c r="AG208" s="1005">
        <f t="shared" si="251"/>
        <v>2486.586666666667</v>
      </c>
      <c r="AH208" s="1005">
        <f t="shared" ref="AH208:AI208" si="252">(AH30-AH303)*AH180+(AH302+AH305)</f>
        <v>0</v>
      </c>
      <c r="AI208" s="1005">
        <f t="shared" si="252"/>
        <v>0</v>
      </c>
      <c r="AJ208" s="1005">
        <f t="shared" ref="AJ208:AK208" si="253">(AJ30-AJ303)*AJ180+(AJ302+AJ305)</f>
        <v>678.99</v>
      </c>
      <c r="AK208" s="1005">
        <f t="shared" si="253"/>
        <v>0</v>
      </c>
      <c r="AL208" s="990"/>
    </row>
    <row r="209" spans="2:38" s="955" customFormat="1" ht="12">
      <c r="B209" s="1017" t="s">
        <v>360</v>
      </c>
      <c r="C209" s="930" t="s">
        <v>321</v>
      </c>
      <c r="D209" s="954">
        <f>D31*D181</f>
        <v>54.340000000000011</v>
      </c>
      <c r="E209" s="954">
        <f t="shared" ref="E209:X209" si="254">E31*E181</f>
        <v>50.943750000000001</v>
      </c>
      <c r="F209" s="954">
        <f t="shared" si="254"/>
        <v>50.943750000000001</v>
      </c>
      <c r="G209" s="954">
        <f t="shared" si="254"/>
        <v>50.943750000000001</v>
      </c>
      <c r="H209" s="954">
        <f t="shared" si="254"/>
        <v>50.943750000000001</v>
      </c>
      <c r="I209" s="954">
        <f t="shared" si="254"/>
        <v>50.943750000000001</v>
      </c>
      <c r="J209" s="954">
        <f t="shared" si="254"/>
        <v>50.943750000000001</v>
      </c>
      <c r="K209" s="954">
        <f t="shared" si="254"/>
        <v>50.943750000000001</v>
      </c>
      <c r="L209" s="954">
        <f t="shared" si="254"/>
        <v>50.943750000000001</v>
      </c>
      <c r="M209" s="954">
        <f t="shared" si="254"/>
        <v>50.943750000000001</v>
      </c>
      <c r="N209" s="954">
        <f t="shared" si="254"/>
        <v>50.943750000000001</v>
      </c>
      <c r="O209" s="954">
        <f t="shared" si="254"/>
        <v>50.943750000000001</v>
      </c>
      <c r="P209" s="954">
        <f t="shared" si="254"/>
        <v>50.943750000000001</v>
      </c>
      <c r="Q209" s="954">
        <f t="shared" si="254"/>
        <v>50.943750000000001</v>
      </c>
      <c r="R209" s="954">
        <f t="shared" si="254"/>
        <v>50.943750000000001</v>
      </c>
      <c r="S209" s="954">
        <f t="shared" si="254"/>
        <v>50.943750000000001</v>
      </c>
      <c r="T209" s="954">
        <f t="shared" si="254"/>
        <v>50.943750000000001</v>
      </c>
      <c r="U209" s="954">
        <f t="shared" si="254"/>
        <v>50.943750000000001</v>
      </c>
      <c r="V209" s="954">
        <f t="shared" si="254"/>
        <v>101.8875</v>
      </c>
      <c r="W209" s="954">
        <f t="shared" si="254"/>
        <v>101.88750000000002</v>
      </c>
      <c r="X209" s="954">
        <f t="shared" si="254"/>
        <v>152.83125000000001</v>
      </c>
      <c r="Y209" s="1005">
        <f>(Y31-Y303)*Y181+Y299</f>
        <v>0</v>
      </c>
      <c r="Z209" s="1005">
        <f t="shared" ref="Z209:AG209" si="255">(Z31-Z303)*Z181+Z299</f>
        <v>0</v>
      </c>
      <c r="AA209" s="1005">
        <f t="shared" si="255"/>
        <v>0</v>
      </c>
      <c r="AB209" s="1005">
        <f t="shared" si="255"/>
        <v>0</v>
      </c>
      <c r="AC209" s="1005">
        <f t="shared" si="255"/>
        <v>50.943750000000001</v>
      </c>
      <c r="AD209" s="1005">
        <f t="shared" si="255"/>
        <v>50.943750000000001</v>
      </c>
      <c r="AE209" s="1005">
        <f t="shared" si="255"/>
        <v>0</v>
      </c>
      <c r="AF209" s="1005">
        <f t="shared" si="255"/>
        <v>0</v>
      </c>
      <c r="AG209" s="1005">
        <f t="shared" si="255"/>
        <v>0.88666666666666671</v>
      </c>
      <c r="AH209" s="1005">
        <f t="shared" ref="AH209:AI209" si="256">(AH31-AH303)*AH181+AH299</f>
        <v>0</v>
      </c>
      <c r="AI209" s="1005">
        <f t="shared" si="256"/>
        <v>0</v>
      </c>
      <c r="AJ209" s="1005">
        <f t="shared" ref="AJ209:AK209" si="257">(AJ31-AJ303)*AJ181+AJ299</f>
        <v>15.341000000000003</v>
      </c>
      <c r="AK209" s="1005">
        <f t="shared" si="257"/>
        <v>0</v>
      </c>
      <c r="AL209" s="990"/>
    </row>
    <row r="210" spans="2:38" s="918" customFormat="1" ht="12">
      <c r="B210" s="1043" t="s">
        <v>25</v>
      </c>
      <c r="C210" s="1044" t="s">
        <v>321</v>
      </c>
      <c r="D210" s="1045">
        <f>D185+D187+D193+D194+D196+D201+D203+D205+D206+D208+D209</f>
        <v>219.95996695924646</v>
      </c>
      <c r="E210" s="1045">
        <f>E187+E193+E194+E196+E201+E203+E205+E206+E208+E209</f>
        <v>216.43311724832637</v>
      </c>
      <c r="F210" s="1045">
        <f t="shared" ref="F210:X210" si="258">F187+F193+F194+F196+F201+F203+F205+F206+F208+F209</f>
        <v>216.44209124324075</v>
      </c>
      <c r="G210" s="1045">
        <f t="shared" si="258"/>
        <v>214.50973975910378</v>
      </c>
      <c r="H210" s="1045">
        <f t="shared" si="258"/>
        <v>212.52892870242934</v>
      </c>
      <c r="I210" s="1045">
        <f t="shared" si="258"/>
        <v>210.51401646508046</v>
      </c>
      <c r="J210" s="1045">
        <f t="shared" si="258"/>
        <v>208.89575480294565</v>
      </c>
      <c r="K210" s="1045">
        <f t="shared" si="258"/>
        <v>206.84674138492218</v>
      </c>
      <c r="L210" s="1045">
        <f t="shared" si="258"/>
        <v>204.96643907128845</v>
      </c>
      <c r="M210" s="1045">
        <f t="shared" si="258"/>
        <v>203.21965394886618</v>
      </c>
      <c r="N210" s="1045">
        <f t="shared" si="258"/>
        <v>204.14741419448302</v>
      </c>
      <c r="O210" s="1045">
        <f t="shared" si="258"/>
        <v>202.90535825227172</v>
      </c>
      <c r="P210" s="1045">
        <f t="shared" si="258"/>
        <v>201.12610312137352</v>
      </c>
      <c r="Q210" s="1045">
        <f t="shared" si="258"/>
        <v>199.04216291514339</v>
      </c>
      <c r="R210" s="1045">
        <f t="shared" si="258"/>
        <v>197.81186500114566</v>
      </c>
      <c r="S210" s="1045">
        <f t="shared" si="258"/>
        <v>195.85546321063825</v>
      </c>
      <c r="T210" s="1045">
        <f t="shared" si="258"/>
        <v>193.70558208977752</v>
      </c>
      <c r="U210" s="1045">
        <f t="shared" si="258"/>
        <v>191.97299173243397</v>
      </c>
      <c r="V210" s="1045">
        <f t="shared" si="258"/>
        <v>7169.9457794726814</v>
      </c>
      <c r="W210" s="1045">
        <f t="shared" si="258"/>
        <v>7167.9762756495984</v>
      </c>
      <c r="X210" s="1045">
        <f t="shared" si="258"/>
        <v>14146.163721348197</v>
      </c>
      <c r="Y210" s="1046">
        <f>Y188+Y189+Y190+Y191+Y193+Y194+Y197+Y198+Y199+Y201+Y203+Y205+Y206+Y208+Y209</f>
        <v>132.20253348111504</v>
      </c>
      <c r="Z210" s="1046">
        <f t="shared" ref="Z210:AG210" si="259">Z188+Z189+Z190+Z191+Z193+Z194+Z197+Z198+Z199+Z201+Z203+Z205+Z206+Z208+Z209</f>
        <v>137.88009051345097</v>
      </c>
      <c r="AA210" s="1046">
        <f t="shared" si="259"/>
        <v>137.04460885201206</v>
      </c>
      <c r="AB210" s="1046">
        <f t="shared" si="259"/>
        <v>126.33977651019531</v>
      </c>
      <c r="AC210" s="1046">
        <f t="shared" si="259"/>
        <v>7092.3535057105619</v>
      </c>
      <c r="AD210" s="1046">
        <f t="shared" si="259"/>
        <v>7079.5461416519374</v>
      </c>
      <c r="AE210" s="1046">
        <f t="shared" si="259"/>
        <v>91.574136913963443</v>
      </c>
      <c r="AF210" s="1046">
        <f t="shared" si="259"/>
        <v>88.446804670099255</v>
      </c>
      <c r="AG210" s="1046">
        <f t="shared" si="259"/>
        <v>2578.6948199475669</v>
      </c>
      <c r="AH210" s="1046">
        <f>AH188+AH189+AH190+AH191+AH193+AH194+AH197+AH198+AH199+AH201+AH203+AH205+AH206+AH208+AH209</f>
        <v>89.13571510539731</v>
      </c>
      <c r="AI210" s="1046">
        <f>AI188+AI189+AI190+AI191+AI193+AI194+AI197+AI198+AI199+AI201+AI203+AI205+AI206+AI208+AI209</f>
        <v>100.21457779978491</v>
      </c>
      <c r="AJ210" s="1046">
        <f t="shared" ref="AJ210:AK210" si="260">AJ188+AJ189+AJ190+AJ191+AJ193+AJ194+AJ197+AJ198+AJ199+AJ201+AJ203+AJ205+AJ206+AJ208+AJ209</f>
        <v>791.74725379678114</v>
      </c>
      <c r="AK210" s="1046">
        <f t="shared" si="260"/>
        <v>0</v>
      </c>
      <c r="AL210" s="1236"/>
    </row>
    <row r="211" spans="2:38" s="918" customFormat="1" ht="12">
      <c r="B211" s="1043" t="s">
        <v>25</v>
      </c>
      <c r="C211" s="1044" t="s">
        <v>317</v>
      </c>
      <c r="D211" s="1047">
        <f>D210/1000000</f>
        <v>2.1995996695924646E-4</v>
      </c>
      <c r="E211" s="1047">
        <f t="shared" ref="E211:AG211" si="261">E210/1000000</f>
        <v>2.1643311724832637E-4</v>
      </c>
      <c r="F211" s="1047">
        <f t="shared" si="261"/>
        <v>2.1644209124324076E-4</v>
      </c>
      <c r="G211" s="1047">
        <f t="shared" si="261"/>
        <v>2.1450973975910379E-4</v>
      </c>
      <c r="H211" s="1047">
        <f t="shared" si="261"/>
        <v>2.1252892870242935E-4</v>
      </c>
      <c r="I211" s="1047">
        <f t="shared" si="261"/>
        <v>2.1051401646508046E-4</v>
      </c>
      <c r="J211" s="1047">
        <f t="shared" si="261"/>
        <v>2.0889575480294564E-4</v>
      </c>
      <c r="K211" s="1047">
        <f t="shared" si="261"/>
        <v>2.0684674138492218E-4</v>
      </c>
      <c r="L211" s="1047">
        <f t="shared" si="261"/>
        <v>2.0496643907128844E-4</v>
      </c>
      <c r="M211" s="1047">
        <f t="shared" si="261"/>
        <v>2.0321965394886618E-4</v>
      </c>
      <c r="N211" s="1047">
        <f t="shared" si="261"/>
        <v>2.0414741419448303E-4</v>
      </c>
      <c r="O211" s="1047">
        <f t="shared" si="261"/>
        <v>2.0290535825227173E-4</v>
      </c>
      <c r="P211" s="1047">
        <f t="shared" si="261"/>
        <v>2.0112610312137351E-4</v>
      </c>
      <c r="Q211" s="1047">
        <f t="shared" si="261"/>
        <v>1.9904216291514339E-4</v>
      </c>
      <c r="R211" s="1047">
        <f t="shared" si="261"/>
        <v>1.9781186500114566E-4</v>
      </c>
      <c r="S211" s="1047">
        <f t="shared" si="261"/>
        <v>1.9585546321063824E-4</v>
      </c>
      <c r="T211" s="1047">
        <f t="shared" si="261"/>
        <v>1.9370558208977752E-4</v>
      </c>
      <c r="U211" s="1047">
        <f t="shared" si="261"/>
        <v>1.9197299173243397E-4</v>
      </c>
      <c r="V211" s="1047">
        <f t="shared" si="261"/>
        <v>7.1699457794726813E-3</v>
      </c>
      <c r="W211" s="1047">
        <f t="shared" si="261"/>
        <v>7.1679762756495981E-3</v>
      </c>
      <c r="X211" s="1047">
        <f t="shared" si="261"/>
        <v>1.4146163721348198E-2</v>
      </c>
      <c r="Y211" s="1047">
        <f t="shared" si="261"/>
        <v>1.3220253348111504E-4</v>
      </c>
      <c r="Z211" s="1047">
        <f t="shared" si="261"/>
        <v>1.3788009051345096E-4</v>
      </c>
      <c r="AA211" s="1047">
        <f t="shared" si="261"/>
        <v>1.3704460885201206E-4</v>
      </c>
      <c r="AB211" s="1047">
        <f t="shared" si="261"/>
        <v>1.2633977651019531E-4</v>
      </c>
      <c r="AC211" s="1047">
        <f t="shared" si="261"/>
        <v>7.092353505710562E-3</v>
      </c>
      <c r="AD211" s="1047">
        <f t="shared" si="261"/>
        <v>7.0795461416519375E-3</v>
      </c>
      <c r="AE211" s="1047">
        <f t="shared" si="261"/>
        <v>9.1574136913963444E-5</v>
      </c>
      <c r="AF211" s="1047">
        <f t="shared" si="261"/>
        <v>8.8446804670099256E-5</v>
      </c>
      <c r="AG211" s="1047">
        <f t="shared" si="261"/>
        <v>2.5786948199475667E-3</v>
      </c>
      <c r="AH211" s="1047">
        <f t="shared" ref="AH211:AI211" si="262">AH210/1000000</f>
        <v>8.9135715105397308E-5</v>
      </c>
      <c r="AI211" s="1575">
        <f t="shared" si="262"/>
        <v>1.0021457779978491E-4</v>
      </c>
      <c r="AJ211" s="1575">
        <f t="shared" ref="AJ211:AK211" si="263">AJ210/1000000</f>
        <v>7.917472537967811E-4</v>
      </c>
      <c r="AK211" s="1575">
        <f t="shared" si="263"/>
        <v>0</v>
      </c>
      <c r="AL211" s="1237"/>
    </row>
    <row r="212" spans="2:38" s="955" customFormat="1" ht="12">
      <c r="B212" s="963"/>
      <c r="C212" s="953"/>
      <c r="D212" s="954"/>
      <c r="E212" s="954"/>
      <c r="F212" s="954"/>
      <c r="G212" s="954"/>
      <c r="H212" s="954"/>
      <c r="I212" s="954"/>
      <c r="J212" s="954"/>
      <c r="K212" s="954"/>
      <c r="L212" s="954"/>
      <c r="M212" s="954"/>
      <c r="N212" s="954"/>
      <c r="O212" s="954"/>
      <c r="P212" s="954"/>
      <c r="Q212" s="954"/>
      <c r="R212" s="954"/>
      <c r="S212" s="954"/>
      <c r="T212" s="954"/>
      <c r="U212" s="954"/>
      <c r="V212" s="954"/>
      <c r="W212" s="954"/>
      <c r="X212" s="954"/>
      <c r="Y212" s="954"/>
      <c r="Z212" s="954"/>
      <c r="AA212" s="954"/>
      <c r="AB212" s="954"/>
      <c r="AC212" s="954"/>
      <c r="AD212" s="954"/>
      <c r="AE212" s="954"/>
      <c r="AF212" s="954"/>
      <c r="AG212" s="954"/>
      <c r="AH212" s="954"/>
      <c r="AJ212" s="1660"/>
      <c r="AK212" s="1209"/>
      <c r="AL212" s="1209"/>
    </row>
    <row r="213" spans="2:38" s="955" customFormat="1" ht="21.5">
      <c r="B213" s="89" t="s">
        <v>375</v>
      </c>
      <c r="C213" s="953"/>
      <c r="D213" s="954"/>
      <c r="E213" s="954"/>
      <c r="F213" s="954"/>
      <c r="G213" s="954"/>
      <c r="H213" s="954"/>
      <c r="I213" s="954"/>
      <c r="J213" s="954"/>
      <c r="K213" s="954"/>
      <c r="L213" s="954"/>
      <c r="M213" s="954"/>
      <c r="N213" s="954"/>
      <c r="O213" s="954"/>
      <c r="P213" s="954"/>
      <c r="Q213" s="954"/>
      <c r="R213" s="954"/>
      <c r="S213" s="954"/>
      <c r="T213" s="954"/>
      <c r="U213" s="954"/>
      <c r="V213" s="954"/>
      <c r="W213" s="954"/>
      <c r="X213" s="954"/>
      <c r="Y213" s="954"/>
      <c r="Z213" s="954"/>
      <c r="AA213" s="954"/>
      <c r="AB213" s="954"/>
      <c r="AC213" s="954"/>
      <c r="AD213" s="954"/>
      <c r="AE213" s="954"/>
      <c r="AF213" s="954"/>
      <c r="AG213" s="954"/>
      <c r="AH213" s="954"/>
      <c r="AI213" s="954"/>
      <c r="AK213" s="954"/>
    </row>
    <row r="214" spans="2:38" s="955" customFormat="1" ht="15.5">
      <c r="B214" s="1016" t="s">
        <v>376</v>
      </c>
      <c r="C214" s="953"/>
      <c r="D214" s="1049">
        <v>1990</v>
      </c>
      <c r="E214" s="1049">
        <v>1991</v>
      </c>
      <c r="F214" s="1049">
        <v>1992</v>
      </c>
      <c r="G214" s="1049">
        <v>1993</v>
      </c>
      <c r="H214" s="1049">
        <v>1994</v>
      </c>
      <c r="I214" s="1049">
        <v>1995</v>
      </c>
      <c r="J214" s="1049">
        <v>1996</v>
      </c>
      <c r="K214" s="1049">
        <v>1997</v>
      </c>
      <c r="L214" s="1049">
        <v>1998</v>
      </c>
      <c r="M214" s="1049">
        <v>1999</v>
      </c>
      <c r="N214" s="1049">
        <v>2000</v>
      </c>
      <c r="O214" s="1049">
        <v>2001</v>
      </c>
      <c r="P214" s="1049">
        <v>2002</v>
      </c>
      <c r="Q214" s="1049">
        <v>2003</v>
      </c>
      <c r="R214" s="1049">
        <v>2004</v>
      </c>
      <c r="S214" s="1049">
        <v>2005</v>
      </c>
      <c r="T214" s="1049">
        <v>2006</v>
      </c>
      <c r="U214" s="1049">
        <v>2007</v>
      </c>
      <c r="V214" s="1049">
        <v>2008</v>
      </c>
      <c r="W214" s="1049">
        <v>2009</v>
      </c>
      <c r="X214" s="1049">
        <v>2010</v>
      </c>
      <c r="Y214" s="1049">
        <v>2011</v>
      </c>
      <c r="Z214" s="1049">
        <v>2012</v>
      </c>
      <c r="AA214" s="1049">
        <v>2013</v>
      </c>
      <c r="AB214" s="1049">
        <v>2014</v>
      </c>
      <c r="AC214" s="1049">
        <v>2015</v>
      </c>
      <c r="AD214" s="1049">
        <v>2016</v>
      </c>
      <c r="AE214" s="1049">
        <v>2017</v>
      </c>
      <c r="AF214" s="1049">
        <v>2018</v>
      </c>
      <c r="AG214" s="1049">
        <v>2019</v>
      </c>
      <c r="AH214" s="1217">
        <v>2020</v>
      </c>
      <c r="AI214" s="1049">
        <v>2021</v>
      </c>
      <c r="AJ214" s="1217">
        <v>2022</v>
      </c>
      <c r="AK214" s="1049">
        <v>2023</v>
      </c>
    </row>
    <row r="215" spans="2:38" s="955" customFormat="1" ht="12">
      <c r="B215" s="1010" t="s">
        <v>377</v>
      </c>
      <c r="C215" s="953"/>
      <c r="D215" s="954"/>
      <c r="E215" s="954"/>
      <c r="F215" s="954"/>
      <c r="G215" s="954"/>
      <c r="H215" s="954"/>
      <c r="I215" s="954"/>
      <c r="J215" s="954"/>
      <c r="K215" s="954"/>
      <c r="L215" s="954"/>
      <c r="M215" s="954"/>
      <c r="N215" s="954"/>
      <c r="O215" s="954"/>
      <c r="P215" s="954"/>
      <c r="Q215" s="954"/>
      <c r="R215" s="954"/>
      <c r="S215" s="954"/>
      <c r="T215" s="954"/>
      <c r="U215" s="954"/>
      <c r="V215" s="954"/>
      <c r="W215" s="954"/>
      <c r="X215" s="954"/>
      <c r="Y215" s="954"/>
      <c r="Z215" s="954"/>
      <c r="AA215" s="954"/>
      <c r="AB215" s="954"/>
      <c r="AC215" s="954"/>
      <c r="AD215" s="954"/>
      <c r="AE215" s="954"/>
      <c r="AF215" s="954"/>
      <c r="AG215" s="954"/>
      <c r="AH215" s="954"/>
    </row>
    <row r="216" spans="2:38">
      <c r="B216" s="1051" t="s">
        <v>378</v>
      </c>
      <c r="C216" s="1051" t="s">
        <v>332</v>
      </c>
      <c r="D216" s="954" t="s">
        <v>379</v>
      </c>
      <c r="E216" s="954" t="s">
        <v>379</v>
      </c>
      <c r="F216" s="954" t="s">
        <v>379</v>
      </c>
      <c r="G216" s="954" t="s">
        <v>379</v>
      </c>
      <c r="H216" s="954" t="s">
        <v>379</v>
      </c>
      <c r="I216" s="954" t="s">
        <v>379</v>
      </c>
      <c r="J216" s="954" t="s">
        <v>379</v>
      </c>
      <c r="K216" s="954" t="s">
        <v>379</v>
      </c>
      <c r="L216" s="954" t="s">
        <v>379</v>
      </c>
      <c r="M216" s="954" t="s">
        <v>379</v>
      </c>
      <c r="N216" s="954" t="s">
        <v>379</v>
      </c>
      <c r="O216" s="954" t="s">
        <v>379</v>
      </c>
      <c r="P216" s="954" t="s">
        <v>379</v>
      </c>
      <c r="Q216" s="954" t="s">
        <v>379</v>
      </c>
      <c r="R216" s="954" t="s">
        <v>379</v>
      </c>
      <c r="S216" s="954" t="s">
        <v>379</v>
      </c>
      <c r="T216" s="954" t="s">
        <v>379</v>
      </c>
      <c r="U216" s="954" t="s">
        <v>379</v>
      </c>
      <c r="V216" s="954" t="s">
        <v>379</v>
      </c>
      <c r="W216" s="954" t="s">
        <v>379</v>
      </c>
      <c r="X216" s="954" t="s">
        <v>379</v>
      </c>
      <c r="Y216" s="954" t="s">
        <v>379</v>
      </c>
      <c r="Z216" s="954" t="s">
        <v>379</v>
      </c>
      <c r="AA216" s="954" t="s">
        <v>379</v>
      </c>
      <c r="AB216" s="954" t="s">
        <v>379</v>
      </c>
      <c r="AC216" s="954" t="s">
        <v>379</v>
      </c>
      <c r="AD216" s="954">
        <v>594.05999999999995</v>
      </c>
      <c r="AE216" s="954">
        <v>598.74</v>
      </c>
      <c r="AF216" s="954">
        <v>599.13</v>
      </c>
      <c r="AG216" s="954">
        <v>599.29999999999995</v>
      </c>
      <c r="AH216" s="954">
        <v>601.39698859999999</v>
      </c>
      <c r="AI216" s="954">
        <v>601.6</v>
      </c>
      <c r="AJ216" s="954">
        <v>601.70000000000005</v>
      </c>
    </row>
    <row r="217" spans="2:38">
      <c r="B217" s="1051" t="s">
        <v>380</v>
      </c>
      <c r="C217" s="1051" t="s">
        <v>381</v>
      </c>
      <c r="D217" s="954" t="s">
        <v>379</v>
      </c>
      <c r="E217" s="954" t="s">
        <v>379</v>
      </c>
      <c r="F217" s="954" t="s">
        <v>379</v>
      </c>
      <c r="G217" s="954" t="s">
        <v>379</v>
      </c>
      <c r="H217" s="954" t="s">
        <v>379</v>
      </c>
      <c r="I217" s="954" t="s">
        <v>379</v>
      </c>
      <c r="J217" s="954" t="s">
        <v>379</v>
      </c>
      <c r="K217" s="954" t="s">
        <v>379</v>
      </c>
      <c r="L217" s="954" t="s">
        <v>379</v>
      </c>
      <c r="M217" s="954" t="s">
        <v>379</v>
      </c>
      <c r="N217" s="954" t="s">
        <v>379</v>
      </c>
      <c r="O217" s="954" t="s">
        <v>379</v>
      </c>
      <c r="P217" s="954" t="s">
        <v>379</v>
      </c>
      <c r="Q217" s="954" t="s">
        <v>379</v>
      </c>
      <c r="R217" s="954" t="s">
        <v>379</v>
      </c>
      <c r="S217" s="954" t="s">
        <v>379</v>
      </c>
      <c r="T217" s="954" t="s">
        <v>379</v>
      </c>
      <c r="U217" s="954" t="s">
        <v>379</v>
      </c>
      <c r="V217" s="954" t="s">
        <v>379</v>
      </c>
      <c r="W217" s="954" t="s">
        <v>379</v>
      </c>
      <c r="X217" s="954" t="s">
        <v>379</v>
      </c>
      <c r="Y217" s="954" t="s">
        <v>379</v>
      </c>
      <c r="Z217" s="954" t="s">
        <v>379</v>
      </c>
      <c r="AA217" s="954" t="s">
        <v>379</v>
      </c>
      <c r="AB217" s="954" t="s">
        <v>379</v>
      </c>
      <c r="AC217" s="954" t="s">
        <v>379</v>
      </c>
      <c r="AD217" s="958">
        <v>3</v>
      </c>
      <c r="AE217" s="958">
        <v>5</v>
      </c>
      <c r="AF217" s="958">
        <v>0</v>
      </c>
      <c r="AG217" s="958">
        <v>5</v>
      </c>
      <c r="AH217" s="958">
        <v>3</v>
      </c>
      <c r="AI217" s="958">
        <v>2</v>
      </c>
      <c r="AJ217" s="958">
        <v>20</v>
      </c>
    </row>
    <row r="218" spans="2:38">
      <c r="B218" s="1051" t="s">
        <v>382</v>
      </c>
      <c r="C218" s="1051" t="s">
        <v>383</v>
      </c>
      <c r="D218" s="954" t="s">
        <v>379</v>
      </c>
      <c r="E218" s="954" t="s">
        <v>379</v>
      </c>
      <c r="F218" s="954" t="s">
        <v>379</v>
      </c>
      <c r="G218" s="954" t="s">
        <v>379</v>
      </c>
      <c r="H218" s="954" t="s">
        <v>379</v>
      </c>
      <c r="I218" s="954" t="s">
        <v>379</v>
      </c>
      <c r="J218" s="954" t="s">
        <v>379</v>
      </c>
      <c r="K218" s="954" t="s">
        <v>379</v>
      </c>
      <c r="L218" s="954" t="s">
        <v>379</v>
      </c>
      <c r="M218" s="954" t="s">
        <v>379</v>
      </c>
      <c r="N218" s="954" t="s">
        <v>379</v>
      </c>
      <c r="O218" s="954" t="s">
        <v>379</v>
      </c>
      <c r="P218" s="954" t="s">
        <v>379</v>
      </c>
      <c r="Q218" s="954" t="s">
        <v>379</v>
      </c>
      <c r="R218" s="954" t="s">
        <v>379</v>
      </c>
      <c r="S218" s="954" t="s">
        <v>379</v>
      </c>
      <c r="T218" s="954" t="s">
        <v>379</v>
      </c>
      <c r="U218" s="954" t="s">
        <v>379</v>
      </c>
      <c r="V218" s="954" t="s">
        <v>379</v>
      </c>
      <c r="W218" s="954" t="s">
        <v>379</v>
      </c>
      <c r="X218" s="954" t="s">
        <v>379</v>
      </c>
      <c r="Y218" s="954" t="s">
        <v>379</v>
      </c>
      <c r="Z218" s="954" t="s">
        <v>379</v>
      </c>
      <c r="AA218" s="954" t="s">
        <v>379</v>
      </c>
      <c r="AB218" s="954" t="s">
        <v>379</v>
      </c>
      <c r="AC218" s="954" t="s">
        <v>379</v>
      </c>
      <c r="AD218" s="954">
        <v>0.54</v>
      </c>
      <c r="AE218" s="954">
        <v>72.84</v>
      </c>
      <c r="AF218" s="954">
        <v>0</v>
      </c>
      <c r="AG218" s="954">
        <v>21.02</v>
      </c>
      <c r="AH218" s="954">
        <v>47.185942500000003</v>
      </c>
      <c r="AI218" s="954">
        <v>0.15037239999999999</v>
      </c>
      <c r="AJ218" s="954">
        <v>20.6886288</v>
      </c>
    </row>
    <row r="219" spans="2:38">
      <c r="B219" s="1028" t="s">
        <v>382</v>
      </c>
      <c r="C219" s="1028" t="s">
        <v>384</v>
      </c>
      <c r="D219" s="954" t="s">
        <v>379</v>
      </c>
      <c r="E219" s="954" t="s">
        <v>379</v>
      </c>
      <c r="F219" s="954" t="s">
        <v>379</v>
      </c>
      <c r="G219" s="954" t="s">
        <v>379</v>
      </c>
      <c r="H219" s="954" t="s">
        <v>379</v>
      </c>
      <c r="I219" s="954" t="s">
        <v>379</v>
      </c>
      <c r="J219" s="954" t="s">
        <v>379</v>
      </c>
      <c r="K219" s="954" t="s">
        <v>379</v>
      </c>
      <c r="L219" s="954" t="s">
        <v>379</v>
      </c>
      <c r="M219" s="954" t="s">
        <v>379</v>
      </c>
      <c r="N219" s="954" t="s">
        <v>379</v>
      </c>
      <c r="O219" s="954" t="s">
        <v>379</v>
      </c>
      <c r="P219" s="954" t="s">
        <v>379</v>
      </c>
      <c r="Q219" s="954" t="s">
        <v>379</v>
      </c>
      <c r="R219" s="954" t="s">
        <v>379</v>
      </c>
      <c r="S219" s="954" t="s">
        <v>379</v>
      </c>
      <c r="T219" s="954" t="s">
        <v>379</v>
      </c>
      <c r="U219" s="954" t="s">
        <v>379</v>
      </c>
      <c r="V219" s="954" t="s">
        <v>379</v>
      </c>
      <c r="W219" s="954" t="s">
        <v>379</v>
      </c>
      <c r="X219" s="954" t="s">
        <v>379</v>
      </c>
      <c r="Y219" s="954" t="s">
        <v>379</v>
      </c>
      <c r="Z219" s="954" t="s">
        <v>379</v>
      </c>
      <c r="AA219" s="954" t="s">
        <v>379</v>
      </c>
      <c r="AB219" s="954" t="s">
        <v>379</v>
      </c>
      <c r="AC219" s="954" t="s">
        <v>379</v>
      </c>
      <c r="AD219" s="1012">
        <v>0</v>
      </c>
      <c r="AE219" s="1012">
        <v>2.1</v>
      </c>
      <c r="AF219" s="1012">
        <v>0</v>
      </c>
      <c r="AG219" s="1012">
        <v>0.6</v>
      </c>
      <c r="AH219" s="1012">
        <v>1.360735</v>
      </c>
      <c r="AI219" s="1012">
        <v>4.3363999999999998E-3</v>
      </c>
      <c r="AJ219" s="1012">
        <v>0.5966129</v>
      </c>
    </row>
    <row r="220" spans="2:38">
      <c r="B220" s="1008" t="s">
        <v>385</v>
      </c>
      <c r="D220" s="954"/>
      <c r="E220" s="954"/>
      <c r="F220" s="954"/>
      <c r="G220" s="954"/>
      <c r="H220" s="954"/>
      <c r="I220" s="954"/>
      <c r="J220" s="954"/>
      <c r="K220" s="954"/>
      <c r="L220" s="954"/>
      <c r="M220" s="954"/>
      <c r="N220" s="954"/>
      <c r="O220" s="954"/>
      <c r="P220" s="954"/>
      <c r="Q220" s="954"/>
      <c r="R220" s="954"/>
      <c r="S220" s="954"/>
      <c r="T220" s="954"/>
      <c r="U220" s="954"/>
      <c r="V220" s="954"/>
      <c r="W220" s="954"/>
      <c r="X220" s="954"/>
      <c r="Y220" s="954"/>
      <c r="Z220" s="954"/>
      <c r="AA220" s="954"/>
      <c r="AB220" s="954"/>
      <c r="AC220" s="954"/>
    </row>
    <row r="221" spans="2:38">
      <c r="B221" s="1051" t="s">
        <v>378</v>
      </c>
      <c r="C221" s="1051" t="s">
        <v>332</v>
      </c>
      <c r="D221" s="954" t="s">
        <v>379</v>
      </c>
      <c r="E221" s="954" t="s">
        <v>379</v>
      </c>
      <c r="F221" s="954" t="s">
        <v>379</v>
      </c>
      <c r="G221" s="954" t="s">
        <v>379</v>
      </c>
      <c r="H221" s="954" t="s">
        <v>379</v>
      </c>
      <c r="I221" s="954" t="s">
        <v>379</v>
      </c>
      <c r="J221" s="954" t="s">
        <v>379</v>
      </c>
      <c r="K221" s="954" t="s">
        <v>379</v>
      </c>
      <c r="L221" s="954" t="s">
        <v>379</v>
      </c>
      <c r="M221" s="954" t="s">
        <v>379</v>
      </c>
      <c r="N221" s="954" t="s">
        <v>379</v>
      </c>
      <c r="O221" s="954" t="s">
        <v>379</v>
      </c>
      <c r="P221" s="954" t="s">
        <v>379</v>
      </c>
      <c r="Q221" s="954" t="s">
        <v>379</v>
      </c>
      <c r="R221" s="954" t="s">
        <v>379</v>
      </c>
      <c r="S221" s="954" t="s">
        <v>379</v>
      </c>
      <c r="T221" s="954" t="s">
        <v>379</v>
      </c>
      <c r="U221" s="954" t="s">
        <v>379</v>
      </c>
      <c r="V221" s="954" t="s">
        <v>379</v>
      </c>
      <c r="W221" s="954" t="s">
        <v>379</v>
      </c>
      <c r="X221" s="954" t="s">
        <v>379</v>
      </c>
      <c r="Y221" s="954" t="s">
        <v>379</v>
      </c>
      <c r="Z221" s="954" t="s">
        <v>379</v>
      </c>
      <c r="AA221" s="954" t="s">
        <v>379</v>
      </c>
      <c r="AB221" s="954" t="s">
        <v>379</v>
      </c>
      <c r="AC221" s="954" t="s">
        <v>379</v>
      </c>
      <c r="AD221" s="954">
        <v>465.87</v>
      </c>
      <c r="AE221" s="954">
        <v>459.87</v>
      </c>
      <c r="AF221" s="954">
        <v>460.12</v>
      </c>
      <c r="AG221" s="954">
        <v>456.79</v>
      </c>
      <c r="AH221" s="954">
        <v>456.79</v>
      </c>
      <c r="AI221" s="954">
        <v>451.11</v>
      </c>
      <c r="AJ221" s="1658"/>
    </row>
    <row r="222" spans="2:38">
      <c r="B222" s="1051" t="s">
        <v>380</v>
      </c>
      <c r="C222" s="1051" t="s">
        <v>381</v>
      </c>
      <c r="D222" s="954" t="s">
        <v>379</v>
      </c>
      <c r="E222" s="954" t="s">
        <v>379</v>
      </c>
      <c r="F222" s="954" t="s">
        <v>379</v>
      </c>
      <c r="G222" s="954" t="s">
        <v>379</v>
      </c>
      <c r="H222" s="954" t="s">
        <v>379</v>
      </c>
      <c r="I222" s="954" t="s">
        <v>379</v>
      </c>
      <c r="J222" s="954" t="s">
        <v>379</v>
      </c>
      <c r="K222" s="954" t="s">
        <v>379</v>
      </c>
      <c r="L222" s="954" t="s">
        <v>379</v>
      </c>
      <c r="M222" s="954" t="s">
        <v>379</v>
      </c>
      <c r="N222" s="954" t="s">
        <v>379</v>
      </c>
      <c r="O222" s="954" t="s">
        <v>379</v>
      </c>
      <c r="P222" s="954" t="s">
        <v>379</v>
      </c>
      <c r="Q222" s="954" t="s">
        <v>379</v>
      </c>
      <c r="R222" s="954" t="s">
        <v>379</v>
      </c>
      <c r="S222" s="954" t="s">
        <v>379</v>
      </c>
      <c r="T222" s="954" t="s">
        <v>379</v>
      </c>
      <c r="U222" s="954" t="s">
        <v>379</v>
      </c>
      <c r="V222" s="954" t="s">
        <v>379</v>
      </c>
      <c r="W222" s="954" t="s">
        <v>379</v>
      </c>
      <c r="X222" s="954" t="s">
        <v>379</v>
      </c>
      <c r="Y222" s="954" t="s">
        <v>379</v>
      </c>
      <c r="Z222" s="954" t="s">
        <v>379</v>
      </c>
      <c r="AA222" s="954" t="s">
        <v>379</v>
      </c>
      <c r="AB222" s="954" t="s">
        <v>379</v>
      </c>
      <c r="AC222" s="954" t="s">
        <v>379</v>
      </c>
      <c r="AD222" s="958">
        <v>85</v>
      </c>
      <c r="AE222" s="958">
        <v>19</v>
      </c>
      <c r="AF222" s="958">
        <v>2</v>
      </c>
      <c r="AG222" s="958">
        <v>0</v>
      </c>
      <c r="AH222" s="958">
        <v>7</v>
      </c>
      <c r="AI222" s="958">
        <v>34</v>
      </c>
      <c r="AJ222" s="1659"/>
    </row>
    <row r="223" spans="2:38">
      <c r="B223" s="1051" t="s">
        <v>382</v>
      </c>
      <c r="C223" s="1051" t="s">
        <v>383</v>
      </c>
      <c r="D223" s="954" t="s">
        <v>379</v>
      </c>
      <c r="E223" s="954" t="s">
        <v>379</v>
      </c>
      <c r="F223" s="954" t="s">
        <v>379</v>
      </c>
      <c r="G223" s="954" t="s">
        <v>379</v>
      </c>
      <c r="H223" s="954" t="s">
        <v>379</v>
      </c>
      <c r="I223" s="954" t="s">
        <v>379</v>
      </c>
      <c r="J223" s="954" t="s">
        <v>379</v>
      </c>
      <c r="K223" s="954" t="s">
        <v>379</v>
      </c>
      <c r="L223" s="954" t="s">
        <v>379</v>
      </c>
      <c r="M223" s="954" t="s">
        <v>379</v>
      </c>
      <c r="N223" s="954" t="s">
        <v>379</v>
      </c>
      <c r="O223" s="954" t="s">
        <v>379</v>
      </c>
      <c r="P223" s="954" t="s">
        <v>379</v>
      </c>
      <c r="Q223" s="954" t="s">
        <v>379</v>
      </c>
      <c r="R223" s="954" t="s">
        <v>379</v>
      </c>
      <c r="S223" s="954" t="s">
        <v>379</v>
      </c>
      <c r="T223" s="954" t="s">
        <v>379</v>
      </c>
      <c r="U223" s="954" t="s">
        <v>379</v>
      </c>
      <c r="V223" s="954" t="s">
        <v>379</v>
      </c>
      <c r="W223" s="954" t="s">
        <v>379</v>
      </c>
      <c r="X223" s="954" t="s">
        <v>379</v>
      </c>
      <c r="Y223" s="954" t="s">
        <v>379</v>
      </c>
      <c r="Z223" s="954" t="s">
        <v>379</v>
      </c>
      <c r="AA223" s="954" t="s">
        <v>379</v>
      </c>
      <c r="AB223" s="954" t="s">
        <v>379</v>
      </c>
      <c r="AC223" s="954" t="s">
        <v>379</v>
      </c>
      <c r="AD223" s="954">
        <v>300.27</v>
      </c>
      <c r="AE223" s="954">
        <v>10.57</v>
      </c>
      <c r="AF223" s="954">
        <v>0.92</v>
      </c>
      <c r="AG223" s="954">
        <v>133.75</v>
      </c>
      <c r="AH223" s="954">
        <v>13.48</v>
      </c>
      <c r="AI223" s="954">
        <v>72.53</v>
      </c>
      <c r="AJ223" s="1658"/>
    </row>
    <row r="224" spans="2:38">
      <c r="B224" s="1028" t="s">
        <v>382</v>
      </c>
      <c r="C224" s="1028" t="s">
        <v>384</v>
      </c>
      <c r="D224" s="954" t="s">
        <v>379</v>
      </c>
      <c r="E224" s="954" t="s">
        <v>379</v>
      </c>
      <c r="F224" s="954" t="s">
        <v>379</v>
      </c>
      <c r="G224" s="954" t="s">
        <v>379</v>
      </c>
      <c r="H224" s="954" t="s">
        <v>379</v>
      </c>
      <c r="I224" s="954" t="s">
        <v>379</v>
      </c>
      <c r="J224" s="954" t="s">
        <v>379</v>
      </c>
      <c r="K224" s="954" t="s">
        <v>379</v>
      </c>
      <c r="L224" s="954" t="s">
        <v>379</v>
      </c>
      <c r="M224" s="954" t="s">
        <v>379</v>
      </c>
      <c r="N224" s="954" t="s">
        <v>379</v>
      </c>
      <c r="O224" s="954" t="s">
        <v>379</v>
      </c>
      <c r="P224" s="954" t="s">
        <v>379</v>
      </c>
      <c r="Q224" s="954" t="s">
        <v>379</v>
      </c>
      <c r="R224" s="954" t="s">
        <v>379</v>
      </c>
      <c r="S224" s="954" t="s">
        <v>379</v>
      </c>
      <c r="T224" s="954" t="s">
        <v>379</v>
      </c>
      <c r="U224" s="954" t="s">
        <v>379</v>
      </c>
      <c r="V224" s="954" t="s">
        <v>379</v>
      </c>
      <c r="W224" s="954" t="s">
        <v>379</v>
      </c>
      <c r="X224" s="954" t="s">
        <v>379</v>
      </c>
      <c r="Y224" s="954" t="s">
        <v>379</v>
      </c>
      <c r="Z224" s="954" t="s">
        <v>379</v>
      </c>
      <c r="AA224" s="954" t="s">
        <v>379</v>
      </c>
      <c r="AB224" s="954" t="s">
        <v>379</v>
      </c>
      <c r="AC224" s="954" t="s">
        <v>379</v>
      </c>
      <c r="AD224" s="1012">
        <v>8.6999999999999993</v>
      </c>
      <c r="AE224" s="1012">
        <v>0.3</v>
      </c>
      <c r="AF224" s="1012">
        <v>0</v>
      </c>
      <c r="AG224" s="1012">
        <v>3.9</v>
      </c>
      <c r="AH224" s="1012">
        <v>0.4</v>
      </c>
      <c r="AI224" s="1012">
        <v>2.1</v>
      </c>
      <c r="AJ224" s="1657"/>
    </row>
    <row r="225" spans="2:37">
      <c r="B225" s="1063" t="s">
        <v>386</v>
      </c>
      <c r="C225" s="1064"/>
      <c r="D225" s="954"/>
      <c r="E225" s="954"/>
      <c r="F225" s="954"/>
      <c r="G225" s="954"/>
      <c r="H225" s="954"/>
      <c r="I225" s="954"/>
      <c r="J225" s="954"/>
      <c r="K225" s="954"/>
      <c r="L225" s="954"/>
      <c r="M225" s="954"/>
      <c r="N225" s="954"/>
      <c r="O225" s="954"/>
      <c r="P225" s="954"/>
      <c r="Q225" s="954"/>
      <c r="R225" s="954"/>
      <c r="S225" s="954"/>
      <c r="T225" s="954"/>
      <c r="U225" s="954"/>
      <c r="V225" s="954"/>
      <c r="W225" s="954"/>
      <c r="X225" s="954"/>
      <c r="Y225" s="954"/>
      <c r="Z225" s="954"/>
      <c r="AA225" s="954"/>
      <c r="AB225" s="954"/>
      <c r="AC225" s="954"/>
    </row>
    <row r="226" spans="2:37">
      <c r="B226" s="1009" t="s">
        <v>378</v>
      </c>
      <c r="C226" s="1009" t="s">
        <v>332</v>
      </c>
      <c r="D226" s="954" t="s">
        <v>379</v>
      </c>
      <c r="E226" s="954" t="s">
        <v>379</v>
      </c>
      <c r="F226" s="954" t="s">
        <v>379</v>
      </c>
      <c r="G226" s="954" t="s">
        <v>379</v>
      </c>
      <c r="H226" s="954" t="s">
        <v>379</v>
      </c>
      <c r="I226" s="954" t="s">
        <v>379</v>
      </c>
      <c r="J226" s="954" t="s">
        <v>379</v>
      </c>
      <c r="K226" s="954" t="s">
        <v>379</v>
      </c>
      <c r="L226" s="954" t="s">
        <v>379</v>
      </c>
      <c r="M226" s="954" t="s">
        <v>379</v>
      </c>
      <c r="N226" s="954" t="s">
        <v>379</v>
      </c>
      <c r="O226" s="954" t="s">
        <v>379</v>
      </c>
      <c r="P226" s="954" t="s">
        <v>379</v>
      </c>
      <c r="Q226" s="954" t="s">
        <v>379</v>
      </c>
      <c r="R226" s="954" t="s">
        <v>379</v>
      </c>
      <c r="S226" s="954" t="s">
        <v>379</v>
      </c>
      <c r="T226" s="954" t="s">
        <v>379</v>
      </c>
      <c r="U226" s="954" t="s">
        <v>379</v>
      </c>
      <c r="V226" s="954" t="s">
        <v>379</v>
      </c>
      <c r="W226" s="954" t="s">
        <v>379</v>
      </c>
      <c r="X226" s="954" t="s">
        <v>379</v>
      </c>
      <c r="Y226" s="954" t="s">
        <v>379</v>
      </c>
      <c r="Z226" s="954" t="s">
        <v>379</v>
      </c>
      <c r="AA226" s="954" t="s">
        <v>379</v>
      </c>
      <c r="AB226" s="954" t="s">
        <v>379</v>
      </c>
      <c r="AC226" s="954" t="s">
        <v>379</v>
      </c>
      <c r="AD226" s="1005">
        <f t="shared" ref="AD226:AG229" si="264">AD216+AD221</f>
        <v>1059.9299999999998</v>
      </c>
      <c r="AE226" s="1005">
        <f t="shared" si="264"/>
        <v>1058.6100000000001</v>
      </c>
      <c r="AF226" s="1005">
        <f t="shared" si="264"/>
        <v>1059.25</v>
      </c>
      <c r="AG226" s="1005">
        <f t="shared" si="264"/>
        <v>1056.0899999999999</v>
      </c>
      <c r="AH226" s="1005">
        <f t="shared" ref="AH226:AI226" si="265">AH216+AH221</f>
        <v>1058.1869885999999</v>
      </c>
      <c r="AI226" s="1005">
        <f t="shared" si="265"/>
        <v>1052.71</v>
      </c>
      <c r="AJ226" s="1005">
        <f t="shared" ref="AJ226" si="266">AJ216+AJ221</f>
        <v>601.70000000000005</v>
      </c>
    </row>
    <row r="227" spans="2:37">
      <c r="B227" s="1009" t="s">
        <v>380</v>
      </c>
      <c r="C227" s="1009" t="s">
        <v>381</v>
      </c>
      <c r="D227" s="954" t="s">
        <v>379</v>
      </c>
      <c r="E227" s="954" t="s">
        <v>379</v>
      </c>
      <c r="F227" s="954" t="s">
        <v>379</v>
      </c>
      <c r="G227" s="954" t="s">
        <v>379</v>
      </c>
      <c r="H227" s="954" t="s">
        <v>379</v>
      </c>
      <c r="I227" s="954" t="s">
        <v>379</v>
      </c>
      <c r="J227" s="954" t="s">
        <v>379</v>
      </c>
      <c r="K227" s="954" t="s">
        <v>379</v>
      </c>
      <c r="L227" s="954" t="s">
        <v>379</v>
      </c>
      <c r="M227" s="954" t="s">
        <v>379</v>
      </c>
      <c r="N227" s="954" t="s">
        <v>379</v>
      </c>
      <c r="O227" s="954" t="s">
        <v>379</v>
      </c>
      <c r="P227" s="954" t="s">
        <v>379</v>
      </c>
      <c r="Q227" s="954" t="s">
        <v>379</v>
      </c>
      <c r="R227" s="954" t="s">
        <v>379</v>
      </c>
      <c r="S227" s="954" t="s">
        <v>379</v>
      </c>
      <c r="T227" s="954" t="s">
        <v>379</v>
      </c>
      <c r="U227" s="954" t="s">
        <v>379</v>
      </c>
      <c r="V227" s="954" t="s">
        <v>379</v>
      </c>
      <c r="W227" s="954" t="s">
        <v>379</v>
      </c>
      <c r="X227" s="954" t="s">
        <v>379</v>
      </c>
      <c r="Y227" s="954" t="s">
        <v>379</v>
      </c>
      <c r="Z227" s="954" t="s">
        <v>379</v>
      </c>
      <c r="AA227" s="954" t="s">
        <v>379</v>
      </c>
      <c r="AB227" s="954" t="s">
        <v>379</v>
      </c>
      <c r="AC227" s="954" t="s">
        <v>379</v>
      </c>
      <c r="AD227" s="1014">
        <f t="shared" si="264"/>
        <v>88</v>
      </c>
      <c r="AE227" s="1014">
        <f t="shared" si="264"/>
        <v>24</v>
      </c>
      <c r="AF227" s="1014">
        <f t="shared" si="264"/>
        <v>2</v>
      </c>
      <c r="AG227" s="1014">
        <f t="shared" si="264"/>
        <v>5</v>
      </c>
      <c r="AH227" s="1014">
        <f t="shared" ref="AH227:AI227" si="267">AH217+AH222</f>
        <v>10</v>
      </c>
      <c r="AI227" s="1014">
        <f t="shared" si="267"/>
        <v>36</v>
      </c>
      <c r="AJ227" s="1014">
        <f t="shared" ref="AJ227" si="268">AJ217+AJ222</f>
        <v>20</v>
      </c>
    </row>
    <row r="228" spans="2:37">
      <c r="B228" s="1009" t="s">
        <v>382</v>
      </c>
      <c r="C228" s="1009" t="s">
        <v>383</v>
      </c>
      <c r="D228" s="954" t="s">
        <v>379</v>
      </c>
      <c r="E228" s="954" t="s">
        <v>379</v>
      </c>
      <c r="F228" s="954" t="s">
        <v>379</v>
      </c>
      <c r="G228" s="954" t="s">
        <v>379</v>
      </c>
      <c r="H228" s="954" t="s">
        <v>379</v>
      </c>
      <c r="I228" s="954" t="s">
        <v>379</v>
      </c>
      <c r="J228" s="954" t="s">
        <v>379</v>
      </c>
      <c r="K228" s="954" t="s">
        <v>379</v>
      </c>
      <c r="L228" s="954" t="s">
        <v>379</v>
      </c>
      <c r="M228" s="954" t="s">
        <v>379</v>
      </c>
      <c r="N228" s="954" t="s">
        <v>379</v>
      </c>
      <c r="O228" s="954" t="s">
        <v>379</v>
      </c>
      <c r="P228" s="954" t="s">
        <v>379</v>
      </c>
      <c r="Q228" s="954" t="s">
        <v>379</v>
      </c>
      <c r="R228" s="954" t="s">
        <v>379</v>
      </c>
      <c r="S228" s="954" t="s">
        <v>379</v>
      </c>
      <c r="T228" s="954" t="s">
        <v>379</v>
      </c>
      <c r="U228" s="954" t="s">
        <v>379</v>
      </c>
      <c r="V228" s="954" t="s">
        <v>379</v>
      </c>
      <c r="W228" s="954" t="s">
        <v>379</v>
      </c>
      <c r="X228" s="954" t="s">
        <v>379</v>
      </c>
      <c r="Y228" s="954" t="s">
        <v>379</v>
      </c>
      <c r="Z228" s="954" t="s">
        <v>379</v>
      </c>
      <c r="AA228" s="954" t="s">
        <v>379</v>
      </c>
      <c r="AB228" s="954" t="s">
        <v>379</v>
      </c>
      <c r="AC228" s="954" t="s">
        <v>379</v>
      </c>
      <c r="AD228" s="1005">
        <f t="shared" si="264"/>
        <v>300.81</v>
      </c>
      <c r="AE228" s="1005">
        <f t="shared" si="264"/>
        <v>83.41</v>
      </c>
      <c r="AF228" s="1005">
        <f t="shared" si="264"/>
        <v>0.92</v>
      </c>
      <c r="AG228" s="1005">
        <f t="shared" si="264"/>
        <v>154.77000000000001</v>
      </c>
      <c r="AH228" s="1005">
        <f t="shared" ref="AH228:AI228" si="269">AH218+AH223</f>
        <v>60.6659425</v>
      </c>
      <c r="AI228" s="1005">
        <f t="shared" si="269"/>
        <v>72.680372399999996</v>
      </c>
      <c r="AJ228" s="1005">
        <f t="shared" ref="AJ228" si="270">AJ218+AJ223</f>
        <v>20.6886288</v>
      </c>
    </row>
    <row r="229" spans="2:37">
      <c r="B229" s="1013" t="s">
        <v>382</v>
      </c>
      <c r="C229" s="1013" t="s">
        <v>384</v>
      </c>
      <c r="D229" s="1012" t="s">
        <v>379</v>
      </c>
      <c r="E229" s="1012" t="s">
        <v>379</v>
      </c>
      <c r="F229" s="1012" t="s">
        <v>379</v>
      </c>
      <c r="G229" s="1012" t="s">
        <v>379</v>
      </c>
      <c r="H229" s="1012" t="s">
        <v>379</v>
      </c>
      <c r="I229" s="1012" t="s">
        <v>379</v>
      </c>
      <c r="J229" s="1012" t="s">
        <v>379</v>
      </c>
      <c r="K229" s="1012" t="s">
        <v>379</v>
      </c>
      <c r="L229" s="1012" t="s">
        <v>379</v>
      </c>
      <c r="M229" s="1012" t="s">
        <v>379</v>
      </c>
      <c r="N229" s="1012" t="s">
        <v>379</v>
      </c>
      <c r="O229" s="1012" t="s">
        <v>379</v>
      </c>
      <c r="P229" s="1012" t="s">
        <v>379</v>
      </c>
      <c r="Q229" s="1012" t="s">
        <v>379</v>
      </c>
      <c r="R229" s="1012" t="s">
        <v>379</v>
      </c>
      <c r="S229" s="1012" t="s">
        <v>379</v>
      </c>
      <c r="T229" s="1012" t="s">
        <v>379</v>
      </c>
      <c r="U229" s="1012" t="s">
        <v>379</v>
      </c>
      <c r="V229" s="1012" t="s">
        <v>379</v>
      </c>
      <c r="W229" s="1012" t="s">
        <v>379</v>
      </c>
      <c r="X229" s="1012" t="s">
        <v>379</v>
      </c>
      <c r="Y229" s="1012" t="s">
        <v>379</v>
      </c>
      <c r="Z229" s="1012" t="s">
        <v>379</v>
      </c>
      <c r="AA229" s="1012" t="s">
        <v>379</v>
      </c>
      <c r="AB229" s="1012" t="s">
        <v>379</v>
      </c>
      <c r="AC229" s="1012" t="s">
        <v>379</v>
      </c>
      <c r="AD229" s="1011">
        <f t="shared" si="264"/>
        <v>8.6999999999999993</v>
      </c>
      <c r="AE229" s="1011">
        <f t="shared" si="264"/>
        <v>2.4</v>
      </c>
      <c r="AF229" s="1011">
        <f t="shared" si="264"/>
        <v>0</v>
      </c>
      <c r="AG229" s="1011">
        <f t="shared" si="264"/>
        <v>4.5</v>
      </c>
      <c r="AH229" s="1011">
        <f t="shared" ref="AH229:AI229" si="271">AH219+AH224</f>
        <v>1.7607349999999999</v>
      </c>
      <c r="AI229" s="1011">
        <f t="shared" si="271"/>
        <v>2.1043364000000002</v>
      </c>
      <c r="AJ229" s="1011">
        <f t="shared" ref="AJ229" si="272">AJ219+AJ224</f>
        <v>0.5966129</v>
      </c>
    </row>
    <row r="230" spans="2:37">
      <c r="B230" s="1019"/>
      <c r="C230" s="1019"/>
      <c r="D230" s="990"/>
      <c r="E230" s="990"/>
      <c r="F230" s="990"/>
      <c r="G230" s="990"/>
      <c r="H230" s="990"/>
      <c r="I230" s="990"/>
      <c r="J230" s="990"/>
      <c r="K230" s="990"/>
      <c r="L230" s="990"/>
      <c r="M230" s="990"/>
      <c r="N230" s="990"/>
      <c r="O230" s="990"/>
      <c r="P230" s="990"/>
      <c r="Q230" s="990"/>
      <c r="R230" s="990"/>
      <c r="S230" s="990"/>
      <c r="T230" s="990"/>
      <c r="U230" s="990"/>
      <c r="V230" s="990"/>
      <c r="W230" s="990"/>
      <c r="X230" s="990"/>
      <c r="Y230" s="990"/>
      <c r="Z230" s="990"/>
      <c r="AA230" s="990"/>
      <c r="AB230" s="990"/>
      <c r="AC230" s="990"/>
      <c r="AD230" s="990"/>
      <c r="AE230" s="990"/>
      <c r="AF230" s="990"/>
      <c r="AG230" s="990"/>
      <c r="AH230" s="990"/>
    </row>
    <row r="231" spans="2:37" ht="15.5">
      <c r="B231" s="1016" t="s">
        <v>387</v>
      </c>
      <c r="C231" s="1019"/>
      <c r="D231" s="1049">
        <v>1990</v>
      </c>
      <c r="E231" s="1049">
        <v>1991</v>
      </c>
      <c r="F231" s="1049">
        <v>1992</v>
      </c>
      <c r="G231" s="1049">
        <v>1993</v>
      </c>
      <c r="H231" s="1049">
        <v>1994</v>
      </c>
      <c r="I231" s="1049">
        <v>1995</v>
      </c>
      <c r="J231" s="1049">
        <v>1996</v>
      </c>
      <c r="K231" s="1049">
        <v>1997</v>
      </c>
      <c r="L231" s="1049">
        <v>1998</v>
      </c>
      <c r="M231" s="1049">
        <v>1999</v>
      </c>
      <c r="N231" s="1049">
        <v>2000</v>
      </c>
      <c r="O231" s="1049">
        <v>2001</v>
      </c>
      <c r="P231" s="1049">
        <v>2002</v>
      </c>
      <c r="Q231" s="1049">
        <v>2003</v>
      </c>
      <c r="R231" s="1049">
        <v>2004</v>
      </c>
      <c r="S231" s="1049">
        <v>2005</v>
      </c>
      <c r="T231" s="1049">
        <v>2006</v>
      </c>
      <c r="U231" s="1049">
        <v>2007</v>
      </c>
      <c r="V231" s="1049">
        <v>2008</v>
      </c>
      <c r="W231" s="1049">
        <v>2009</v>
      </c>
      <c r="X231" s="1049">
        <v>2010</v>
      </c>
      <c r="Y231" s="1049">
        <v>2011</v>
      </c>
      <c r="Z231" s="1049">
        <v>2012</v>
      </c>
      <c r="AA231" s="1049">
        <v>2013</v>
      </c>
      <c r="AB231" s="1049">
        <v>2014</v>
      </c>
      <c r="AC231" s="1049">
        <v>2015</v>
      </c>
      <c r="AD231" s="1049">
        <v>2016</v>
      </c>
      <c r="AE231" s="1049">
        <v>2017</v>
      </c>
      <c r="AF231" s="1049">
        <v>2018</v>
      </c>
      <c r="AG231" s="1049">
        <v>2019</v>
      </c>
      <c r="AH231" s="1217">
        <v>2020</v>
      </c>
      <c r="AI231" s="1049">
        <v>2021</v>
      </c>
      <c r="AJ231" s="1217">
        <v>2022</v>
      </c>
      <c r="AK231" s="1049">
        <v>2023</v>
      </c>
    </row>
    <row r="232" spans="2:37">
      <c r="B232" s="1010" t="s">
        <v>388</v>
      </c>
      <c r="C232" s="1019"/>
      <c r="D232" s="990"/>
      <c r="E232" s="990"/>
      <c r="F232" s="990"/>
      <c r="G232" s="990"/>
      <c r="H232" s="990"/>
      <c r="I232" s="990"/>
      <c r="J232" s="990"/>
      <c r="K232" s="990"/>
      <c r="L232" s="990"/>
      <c r="M232" s="990"/>
      <c r="N232" s="990"/>
      <c r="O232" s="990"/>
      <c r="P232" s="990"/>
      <c r="Q232" s="990"/>
      <c r="R232" s="990"/>
      <c r="S232" s="990"/>
      <c r="T232" s="990"/>
      <c r="U232" s="990"/>
      <c r="V232" s="990"/>
      <c r="W232" s="990"/>
      <c r="X232" s="990"/>
      <c r="Y232" s="990"/>
      <c r="Z232" s="990"/>
      <c r="AA232" s="990"/>
      <c r="AB232" s="990"/>
      <c r="AC232" s="990"/>
      <c r="AD232" s="990"/>
      <c r="AE232" s="990"/>
      <c r="AF232" s="990"/>
      <c r="AG232" s="990"/>
    </row>
    <row r="233" spans="2:37">
      <c r="B233" s="1021" t="s">
        <v>389</v>
      </c>
      <c r="C233" s="1024"/>
      <c r="D233" s="1023"/>
      <c r="E233" s="1023"/>
      <c r="F233" s="1023"/>
      <c r="G233" s="1023"/>
      <c r="H233" s="1023"/>
      <c r="I233" s="1023"/>
      <c r="J233" s="1023"/>
      <c r="K233" s="1023"/>
      <c r="L233" s="1023"/>
      <c r="M233" s="1023"/>
      <c r="N233" s="1023"/>
      <c r="O233" s="1023"/>
      <c r="P233" s="1023"/>
      <c r="Q233" s="1023"/>
      <c r="R233" s="1023"/>
      <c r="S233" s="1023"/>
      <c r="T233" s="1023"/>
      <c r="U233" s="1023"/>
      <c r="V233" s="1023"/>
      <c r="W233" s="1023"/>
      <c r="X233" s="1023"/>
      <c r="Y233" s="1023"/>
      <c r="Z233" s="1023"/>
      <c r="AA233" s="1023"/>
      <c r="AB233" s="1023"/>
      <c r="AC233" s="1023"/>
      <c r="AD233" s="1023"/>
      <c r="AE233" s="1023"/>
      <c r="AF233" s="1023"/>
      <c r="AG233" s="1155"/>
      <c r="AH233" s="1155"/>
      <c r="AI233" s="1155"/>
      <c r="AJ233" s="1155"/>
      <c r="AK233" s="1155"/>
    </row>
    <row r="234" spans="2:37">
      <c r="B234" s="959" t="s">
        <v>336</v>
      </c>
      <c r="C234" s="1052" t="s">
        <v>298</v>
      </c>
      <c r="D234" s="1012" t="s">
        <v>379</v>
      </c>
      <c r="E234" s="1012" t="s">
        <v>379</v>
      </c>
      <c r="F234" s="1012" t="s">
        <v>379</v>
      </c>
      <c r="G234" s="1012" t="s">
        <v>379</v>
      </c>
      <c r="H234" s="1012" t="s">
        <v>379</v>
      </c>
      <c r="I234" s="1012" t="s">
        <v>379</v>
      </c>
      <c r="J234" s="1012" t="s">
        <v>379</v>
      </c>
      <c r="K234" s="1012" t="s">
        <v>379</v>
      </c>
      <c r="L234" s="1012" t="s">
        <v>379</v>
      </c>
      <c r="M234" s="1012" t="s">
        <v>379</v>
      </c>
      <c r="N234" s="1012" t="s">
        <v>379</v>
      </c>
      <c r="O234" s="1012" t="s">
        <v>379</v>
      </c>
      <c r="P234" s="1012" t="s">
        <v>379</v>
      </c>
      <c r="Q234" s="1012" t="s">
        <v>379</v>
      </c>
      <c r="R234" s="1012" t="s">
        <v>379</v>
      </c>
      <c r="S234" s="1012" t="s">
        <v>379</v>
      </c>
      <c r="T234" s="1012" t="s">
        <v>379</v>
      </c>
      <c r="U234" s="1012" t="s">
        <v>379</v>
      </c>
      <c r="V234" s="1012" t="s">
        <v>379</v>
      </c>
      <c r="W234" s="1012" t="s">
        <v>379</v>
      </c>
      <c r="X234" s="1012" t="s">
        <v>379</v>
      </c>
      <c r="Y234" s="1012" t="s">
        <v>379</v>
      </c>
      <c r="Z234" s="1012" t="s">
        <v>379</v>
      </c>
      <c r="AA234" s="1012" t="s">
        <v>379</v>
      </c>
      <c r="AB234" s="1012" t="s">
        <v>379</v>
      </c>
      <c r="AC234" s="1023">
        <v>2.76</v>
      </c>
      <c r="AD234" s="1023">
        <v>5.94</v>
      </c>
      <c r="AE234" s="1023">
        <v>0.94</v>
      </c>
      <c r="AF234" s="1023">
        <v>1.87</v>
      </c>
      <c r="AG234" s="1023">
        <v>0.81</v>
      </c>
      <c r="AH234" s="1023">
        <v>0</v>
      </c>
      <c r="AI234" s="1023">
        <v>16.91</v>
      </c>
      <c r="AJ234" s="1023">
        <v>21.06</v>
      </c>
    </row>
    <row r="235" spans="2:37">
      <c r="B235" s="959" t="s">
        <v>336</v>
      </c>
      <c r="C235" s="1052" t="s">
        <v>321</v>
      </c>
      <c r="D235" s="1012" t="s">
        <v>379</v>
      </c>
      <c r="E235" s="1012" t="s">
        <v>379</v>
      </c>
      <c r="F235" s="1012" t="s">
        <v>379</v>
      </c>
      <c r="G235" s="1012" t="s">
        <v>379</v>
      </c>
      <c r="H235" s="1012" t="s">
        <v>379</v>
      </c>
      <c r="I235" s="1012" t="s">
        <v>379</v>
      </c>
      <c r="J235" s="1012" t="s">
        <v>379</v>
      </c>
      <c r="K235" s="1012" t="s">
        <v>379</v>
      </c>
      <c r="L235" s="1012" t="s">
        <v>379</v>
      </c>
      <c r="M235" s="1012" t="s">
        <v>379</v>
      </c>
      <c r="N235" s="1012" t="s">
        <v>379</v>
      </c>
      <c r="O235" s="1012" t="s">
        <v>379</v>
      </c>
      <c r="P235" s="1012" t="s">
        <v>379</v>
      </c>
      <c r="Q235" s="1012" t="s">
        <v>379</v>
      </c>
      <c r="R235" s="1012" t="s">
        <v>379</v>
      </c>
      <c r="S235" s="1012" t="s">
        <v>379</v>
      </c>
      <c r="T235" s="1012" t="s">
        <v>379</v>
      </c>
      <c r="U235" s="1012" t="s">
        <v>379</v>
      </c>
      <c r="V235" s="1012" t="s">
        <v>379</v>
      </c>
      <c r="W235" s="1012" t="s">
        <v>379</v>
      </c>
      <c r="X235" s="1012" t="s">
        <v>379</v>
      </c>
      <c r="Y235" s="1012" t="s">
        <v>379</v>
      </c>
      <c r="Z235" s="1012" t="s">
        <v>379</v>
      </c>
      <c r="AA235" s="1012" t="s">
        <v>379</v>
      </c>
      <c r="AB235" s="1012" t="s">
        <v>379</v>
      </c>
      <c r="AC235" s="1023">
        <v>0.1</v>
      </c>
      <c r="AD235" s="1023">
        <v>0.2</v>
      </c>
      <c r="AE235" s="1023">
        <v>0</v>
      </c>
      <c r="AF235" s="1023">
        <v>0.1</v>
      </c>
      <c r="AG235" s="1023">
        <v>0</v>
      </c>
      <c r="AH235" s="1023">
        <v>0</v>
      </c>
      <c r="AI235" s="1023">
        <v>0.5</v>
      </c>
      <c r="AJ235" s="1023">
        <v>0.7</v>
      </c>
    </row>
    <row r="236" spans="2:37">
      <c r="B236" s="959" t="s">
        <v>337</v>
      </c>
      <c r="C236" s="1052" t="s">
        <v>390</v>
      </c>
      <c r="D236" s="1012" t="s">
        <v>379</v>
      </c>
      <c r="E236" s="1012" t="s">
        <v>379</v>
      </c>
      <c r="F236" s="1012" t="s">
        <v>379</v>
      </c>
      <c r="G236" s="1012" t="s">
        <v>379</v>
      </c>
      <c r="H236" s="1012" t="s">
        <v>379</v>
      </c>
      <c r="I236" s="1012" t="s">
        <v>379</v>
      </c>
      <c r="J236" s="1012" t="s">
        <v>379</v>
      </c>
      <c r="K236" s="1012" t="s">
        <v>379</v>
      </c>
      <c r="L236" s="1012" t="s">
        <v>379</v>
      </c>
      <c r="M236" s="1012" t="s">
        <v>379</v>
      </c>
      <c r="N236" s="1012" t="s">
        <v>379</v>
      </c>
      <c r="O236" s="1012" t="s">
        <v>379</v>
      </c>
      <c r="P236" s="1012" t="s">
        <v>379</v>
      </c>
      <c r="Q236" s="1012" t="s">
        <v>379</v>
      </c>
      <c r="R236" s="1012" t="s">
        <v>379</v>
      </c>
      <c r="S236" s="1012" t="s">
        <v>379</v>
      </c>
      <c r="T236" s="1012" t="s">
        <v>379</v>
      </c>
      <c r="U236" s="1012" t="s">
        <v>379</v>
      </c>
      <c r="V236" s="1012" t="s">
        <v>379</v>
      </c>
      <c r="W236" s="1012" t="s">
        <v>379</v>
      </c>
      <c r="X236" s="1012" t="s">
        <v>379</v>
      </c>
      <c r="Y236" s="1012" t="s">
        <v>379</v>
      </c>
      <c r="Z236" s="1012" t="s">
        <v>379</v>
      </c>
      <c r="AA236" s="1012" t="s">
        <v>379</v>
      </c>
      <c r="AB236" s="1012" t="s">
        <v>379</v>
      </c>
      <c r="AC236" s="1050">
        <v>1</v>
      </c>
      <c r="AD236" s="1050">
        <v>1</v>
      </c>
      <c r="AE236" s="1050">
        <v>1</v>
      </c>
      <c r="AF236" s="1050">
        <v>1</v>
      </c>
      <c r="AG236" s="1050">
        <v>1</v>
      </c>
      <c r="AH236" s="1050">
        <v>1</v>
      </c>
      <c r="AI236" s="1050">
        <v>1</v>
      </c>
      <c r="AJ236" s="1050">
        <v>1</v>
      </c>
    </row>
    <row r="237" spans="2:37">
      <c r="B237" s="959" t="s">
        <v>337</v>
      </c>
      <c r="C237" s="1052" t="s">
        <v>298</v>
      </c>
      <c r="D237" s="1012" t="s">
        <v>379</v>
      </c>
      <c r="E237" s="1012" t="s">
        <v>379</v>
      </c>
      <c r="F237" s="1012" t="s">
        <v>379</v>
      </c>
      <c r="G237" s="1012" t="s">
        <v>379</v>
      </c>
      <c r="H237" s="1012" t="s">
        <v>379</v>
      </c>
      <c r="I237" s="1012" t="s">
        <v>379</v>
      </c>
      <c r="J237" s="1012" t="s">
        <v>379</v>
      </c>
      <c r="K237" s="1012" t="s">
        <v>379</v>
      </c>
      <c r="L237" s="1012" t="s">
        <v>379</v>
      </c>
      <c r="M237" s="1012" t="s">
        <v>379</v>
      </c>
      <c r="N237" s="1012" t="s">
        <v>379</v>
      </c>
      <c r="O237" s="1012" t="s">
        <v>379</v>
      </c>
      <c r="P237" s="1012" t="s">
        <v>379</v>
      </c>
      <c r="Q237" s="1012" t="s">
        <v>379</v>
      </c>
      <c r="R237" s="1012" t="s">
        <v>379</v>
      </c>
      <c r="S237" s="1012" t="s">
        <v>379</v>
      </c>
      <c r="T237" s="1012" t="s">
        <v>379</v>
      </c>
      <c r="U237" s="1012" t="s">
        <v>379</v>
      </c>
      <c r="V237" s="1012" t="s">
        <v>379</v>
      </c>
      <c r="W237" s="1012" t="s">
        <v>379</v>
      </c>
      <c r="X237" s="1012" t="s">
        <v>379</v>
      </c>
      <c r="Y237" s="1012" t="s">
        <v>379</v>
      </c>
      <c r="Z237" s="1012" t="s">
        <v>379</v>
      </c>
      <c r="AA237" s="1012" t="s">
        <v>379</v>
      </c>
      <c r="AB237" s="1012" t="s">
        <v>379</v>
      </c>
      <c r="AC237" s="1023">
        <v>15.39</v>
      </c>
      <c r="AD237" s="1023">
        <v>20.43</v>
      </c>
      <c r="AE237" s="1023">
        <v>12.5</v>
      </c>
      <c r="AF237" s="1023">
        <v>1.17</v>
      </c>
      <c r="AG237" s="1023">
        <v>6.63</v>
      </c>
      <c r="AH237" s="1023">
        <v>8.85</v>
      </c>
      <c r="AI237" s="1023">
        <v>0.37</v>
      </c>
      <c r="AJ237" s="1023">
        <v>22.8</v>
      </c>
    </row>
    <row r="238" spans="2:37">
      <c r="B238" s="959" t="s">
        <v>337</v>
      </c>
      <c r="C238" s="1024" t="s">
        <v>321</v>
      </c>
      <c r="D238" s="1012" t="s">
        <v>379</v>
      </c>
      <c r="E238" s="1012" t="s">
        <v>379</v>
      </c>
      <c r="F238" s="1012" t="s">
        <v>379</v>
      </c>
      <c r="G238" s="1012" t="s">
        <v>379</v>
      </c>
      <c r="H238" s="1012" t="s">
        <v>379</v>
      </c>
      <c r="I238" s="1012" t="s">
        <v>379</v>
      </c>
      <c r="J238" s="1012" t="s">
        <v>379</v>
      </c>
      <c r="K238" s="1012" t="s">
        <v>379</v>
      </c>
      <c r="L238" s="1012" t="s">
        <v>379</v>
      </c>
      <c r="M238" s="1012" t="s">
        <v>379</v>
      </c>
      <c r="N238" s="1012" t="s">
        <v>379</v>
      </c>
      <c r="O238" s="1012" t="s">
        <v>379</v>
      </c>
      <c r="P238" s="1012" t="s">
        <v>379</v>
      </c>
      <c r="Q238" s="1012" t="s">
        <v>379</v>
      </c>
      <c r="R238" s="1012" t="s">
        <v>379</v>
      </c>
      <c r="S238" s="1012" t="s">
        <v>379</v>
      </c>
      <c r="T238" s="1012" t="s">
        <v>379</v>
      </c>
      <c r="U238" s="1012" t="s">
        <v>379</v>
      </c>
      <c r="V238" s="1012" t="s">
        <v>379</v>
      </c>
      <c r="W238" s="1012" t="s">
        <v>379</v>
      </c>
      <c r="X238" s="1012" t="s">
        <v>379</v>
      </c>
      <c r="Y238" s="1012" t="s">
        <v>379</v>
      </c>
      <c r="Z238" s="1012" t="s">
        <v>379</v>
      </c>
      <c r="AA238" s="1012" t="s">
        <v>379</v>
      </c>
      <c r="AB238" s="1012" t="s">
        <v>379</v>
      </c>
      <c r="AC238" s="1023">
        <v>0.4</v>
      </c>
      <c r="AD238" s="1023">
        <v>0.6</v>
      </c>
      <c r="AE238" s="1023">
        <v>0.35599999999999998</v>
      </c>
      <c r="AF238" s="1023">
        <v>0</v>
      </c>
      <c r="AG238" s="1023">
        <v>0.2</v>
      </c>
      <c r="AH238" s="1023">
        <v>0.3</v>
      </c>
      <c r="AI238" s="1023">
        <v>0</v>
      </c>
      <c r="AJ238" s="1023">
        <v>0.7</v>
      </c>
    </row>
    <row r="239" spans="2:37">
      <c r="B239" s="959" t="s">
        <v>339</v>
      </c>
      <c r="C239" s="1052" t="s">
        <v>390</v>
      </c>
      <c r="D239" s="1012" t="s">
        <v>379</v>
      </c>
      <c r="E239" s="1012" t="s">
        <v>379</v>
      </c>
      <c r="F239" s="1012" t="s">
        <v>379</v>
      </c>
      <c r="G239" s="1012" t="s">
        <v>379</v>
      </c>
      <c r="H239" s="1012" t="s">
        <v>379</v>
      </c>
      <c r="I239" s="1012" t="s">
        <v>379</v>
      </c>
      <c r="J239" s="1012" t="s">
        <v>379</v>
      </c>
      <c r="K239" s="1012" t="s">
        <v>379</v>
      </c>
      <c r="L239" s="1012" t="s">
        <v>379</v>
      </c>
      <c r="M239" s="1012" t="s">
        <v>379</v>
      </c>
      <c r="N239" s="1012" t="s">
        <v>379</v>
      </c>
      <c r="O239" s="1012" t="s">
        <v>379</v>
      </c>
      <c r="P239" s="1012" t="s">
        <v>379</v>
      </c>
      <c r="Q239" s="1012" t="s">
        <v>379</v>
      </c>
      <c r="R239" s="1012" t="s">
        <v>379</v>
      </c>
      <c r="S239" s="1012" t="s">
        <v>379</v>
      </c>
      <c r="T239" s="1012" t="s">
        <v>379</v>
      </c>
      <c r="U239" s="1012" t="s">
        <v>379</v>
      </c>
      <c r="V239" s="1012" t="s">
        <v>379</v>
      </c>
      <c r="W239" s="1012" t="s">
        <v>379</v>
      </c>
      <c r="X239" s="1012" t="s">
        <v>379</v>
      </c>
      <c r="Y239" s="1012" t="s">
        <v>379</v>
      </c>
      <c r="Z239" s="1012" t="s">
        <v>379</v>
      </c>
      <c r="AA239" s="1012" t="s">
        <v>379</v>
      </c>
      <c r="AB239" s="1012" t="s">
        <v>379</v>
      </c>
      <c r="AC239" s="1050">
        <v>2</v>
      </c>
      <c r="AD239" s="1050">
        <v>2</v>
      </c>
      <c r="AE239" s="1050">
        <v>2</v>
      </c>
      <c r="AF239" s="1050">
        <v>2</v>
      </c>
      <c r="AG239" s="1050">
        <v>2</v>
      </c>
      <c r="AH239" s="1050">
        <v>2</v>
      </c>
      <c r="AI239" s="1050">
        <v>2</v>
      </c>
      <c r="AJ239" s="1050">
        <v>2</v>
      </c>
    </row>
    <row r="240" spans="2:37">
      <c r="B240" s="959" t="s">
        <v>339</v>
      </c>
      <c r="C240" s="1052" t="s">
        <v>298</v>
      </c>
      <c r="D240" s="1012" t="s">
        <v>379</v>
      </c>
      <c r="E240" s="1012" t="s">
        <v>379</v>
      </c>
      <c r="F240" s="1012" t="s">
        <v>379</v>
      </c>
      <c r="G240" s="1012" t="s">
        <v>379</v>
      </c>
      <c r="H240" s="1012" t="s">
        <v>379</v>
      </c>
      <c r="I240" s="1012" t="s">
        <v>379</v>
      </c>
      <c r="J240" s="1012" t="s">
        <v>379</v>
      </c>
      <c r="K240" s="1012" t="s">
        <v>379</v>
      </c>
      <c r="L240" s="1012" t="s">
        <v>379</v>
      </c>
      <c r="M240" s="1012" t="s">
        <v>379</v>
      </c>
      <c r="N240" s="1012" t="s">
        <v>379</v>
      </c>
      <c r="O240" s="1012" t="s">
        <v>379</v>
      </c>
      <c r="P240" s="1012" t="s">
        <v>379</v>
      </c>
      <c r="Q240" s="1012" t="s">
        <v>379</v>
      </c>
      <c r="R240" s="1012" t="s">
        <v>379</v>
      </c>
      <c r="S240" s="1012" t="s">
        <v>379</v>
      </c>
      <c r="T240" s="1012" t="s">
        <v>379</v>
      </c>
      <c r="U240" s="1012" t="s">
        <v>379</v>
      </c>
      <c r="V240" s="1012" t="s">
        <v>379</v>
      </c>
      <c r="W240" s="1012" t="s">
        <v>379</v>
      </c>
      <c r="X240" s="1012" t="s">
        <v>379</v>
      </c>
      <c r="Y240" s="1012" t="s">
        <v>379</v>
      </c>
      <c r="Z240" s="1012" t="s">
        <v>379</v>
      </c>
      <c r="AA240" s="1012" t="s">
        <v>379</v>
      </c>
      <c r="AB240" s="1012" t="s">
        <v>379</v>
      </c>
      <c r="AC240" s="1023">
        <v>58.673853700000002</v>
      </c>
      <c r="AD240" s="1023">
        <v>40.125</v>
      </c>
      <c r="AE240" s="1023">
        <v>18.597346399999999</v>
      </c>
      <c r="AF240" s="1023">
        <f>14.85</f>
        <v>14.85</v>
      </c>
      <c r="AG240" s="1023">
        <v>9.31</v>
      </c>
      <c r="AH240" s="1023">
        <v>13.21</v>
      </c>
      <c r="AI240" s="1023">
        <v>172.92500000000001</v>
      </c>
      <c r="AJ240" s="1023">
        <v>1.48</v>
      </c>
    </row>
    <row r="241" spans="2:36">
      <c r="B241" s="959" t="s">
        <v>339</v>
      </c>
      <c r="C241" s="1024" t="s">
        <v>321</v>
      </c>
      <c r="D241" s="1012" t="s">
        <v>379</v>
      </c>
      <c r="E241" s="1012" t="s">
        <v>379</v>
      </c>
      <c r="F241" s="1012" t="s">
        <v>379</v>
      </c>
      <c r="G241" s="1012" t="s">
        <v>379</v>
      </c>
      <c r="H241" s="1012" t="s">
        <v>379</v>
      </c>
      <c r="I241" s="1012" t="s">
        <v>379</v>
      </c>
      <c r="J241" s="1012" t="s">
        <v>379</v>
      </c>
      <c r="K241" s="1012" t="s">
        <v>379</v>
      </c>
      <c r="L241" s="1012" t="s">
        <v>379</v>
      </c>
      <c r="M241" s="1012" t="s">
        <v>379</v>
      </c>
      <c r="N241" s="1012" t="s">
        <v>379</v>
      </c>
      <c r="O241" s="1012" t="s">
        <v>379</v>
      </c>
      <c r="P241" s="1012" t="s">
        <v>379</v>
      </c>
      <c r="Q241" s="1012" t="s">
        <v>379</v>
      </c>
      <c r="R241" s="1012" t="s">
        <v>379</v>
      </c>
      <c r="S241" s="1012" t="s">
        <v>379</v>
      </c>
      <c r="T241" s="1012" t="s">
        <v>379</v>
      </c>
      <c r="U241" s="1012" t="s">
        <v>379</v>
      </c>
      <c r="V241" s="1012" t="s">
        <v>379</v>
      </c>
      <c r="W241" s="1012" t="s">
        <v>379</v>
      </c>
      <c r="X241" s="1012" t="s">
        <v>379</v>
      </c>
      <c r="Y241" s="1012" t="s">
        <v>379</v>
      </c>
      <c r="Z241" s="1012" t="s">
        <v>379</v>
      </c>
      <c r="AA241" s="1012" t="s">
        <v>379</v>
      </c>
      <c r="AB241" s="1012" t="s">
        <v>379</v>
      </c>
      <c r="AC241" s="1023">
        <v>1.65</v>
      </c>
      <c r="AD241" s="1023">
        <v>1.125</v>
      </c>
      <c r="AE241" s="1023">
        <v>0.48</v>
      </c>
      <c r="AF241" s="1023">
        <v>0.4118</v>
      </c>
      <c r="AG241" s="1023">
        <v>0.27</v>
      </c>
      <c r="AH241" s="1023">
        <v>0.38</v>
      </c>
      <c r="AI241" s="1023">
        <v>4.9870000000000001</v>
      </c>
      <c r="AJ241" s="1023">
        <v>0.04</v>
      </c>
    </row>
    <row r="242" spans="2:36">
      <c r="B242" s="959" t="s">
        <v>340</v>
      </c>
      <c r="C242" s="1052" t="s">
        <v>390</v>
      </c>
      <c r="D242" s="1012" t="s">
        <v>379</v>
      </c>
      <c r="E242" s="1012" t="s">
        <v>379</v>
      </c>
      <c r="F242" s="1012" t="s">
        <v>379</v>
      </c>
      <c r="G242" s="1012" t="s">
        <v>379</v>
      </c>
      <c r="H242" s="1012" t="s">
        <v>379</v>
      </c>
      <c r="I242" s="1012" t="s">
        <v>379</v>
      </c>
      <c r="J242" s="1012" t="s">
        <v>379</v>
      </c>
      <c r="K242" s="1012" t="s">
        <v>379</v>
      </c>
      <c r="L242" s="1012" t="s">
        <v>379</v>
      </c>
      <c r="M242" s="1012" t="s">
        <v>379</v>
      </c>
      <c r="N242" s="1012" t="s">
        <v>379</v>
      </c>
      <c r="O242" s="1012" t="s">
        <v>379</v>
      </c>
      <c r="P242" s="1012" t="s">
        <v>379</v>
      </c>
      <c r="Q242" s="1012" t="s">
        <v>379</v>
      </c>
      <c r="R242" s="1012" t="s">
        <v>379</v>
      </c>
      <c r="S242" s="1012" t="s">
        <v>379</v>
      </c>
      <c r="T242" s="1012" t="s">
        <v>379</v>
      </c>
      <c r="U242" s="1012" t="s">
        <v>379</v>
      </c>
      <c r="V242" s="1012" t="s">
        <v>379</v>
      </c>
      <c r="W242" s="1012" t="s">
        <v>379</v>
      </c>
      <c r="X242" s="1012" t="s">
        <v>379</v>
      </c>
      <c r="Y242" s="1012" t="s">
        <v>379</v>
      </c>
      <c r="Z242" s="1012" t="s">
        <v>379</v>
      </c>
      <c r="AA242" s="1012" t="s">
        <v>379</v>
      </c>
      <c r="AB242" s="1012" t="s">
        <v>379</v>
      </c>
      <c r="AC242" s="1050">
        <v>2</v>
      </c>
      <c r="AD242" s="1050">
        <v>2</v>
      </c>
      <c r="AE242" s="1050">
        <v>2</v>
      </c>
      <c r="AF242" s="1050">
        <v>2</v>
      </c>
      <c r="AG242" s="1050">
        <v>2</v>
      </c>
      <c r="AH242" s="1050">
        <v>2</v>
      </c>
      <c r="AI242" s="1050">
        <v>1</v>
      </c>
      <c r="AJ242" s="1050">
        <v>1</v>
      </c>
    </row>
    <row r="243" spans="2:36">
      <c r="B243" s="959" t="s">
        <v>340</v>
      </c>
      <c r="C243" s="1053" t="s">
        <v>298</v>
      </c>
      <c r="D243" s="1012" t="s">
        <v>379</v>
      </c>
      <c r="E243" s="1012" t="s">
        <v>379</v>
      </c>
      <c r="F243" s="1012" t="s">
        <v>379</v>
      </c>
      <c r="G243" s="1012" t="s">
        <v>379</v>
      </c>
      <c r="H243" s="1012" t="s">
        <v>379</v>
      </c>
      <c r="I243" s="1012" t="s">
        <v>379</v>
      </c>
      <c r="J243" s="1012" t="s">
        <v>379</v>
      </c>
      <c r="K243" s="1012" t="s">
        <v>379</v>
      </c>
      <c r="L243" s="1012" t="s">
        <v>379</v>
      </c>
      <c r="M243" s="1012" t="s">
        <v>379</v>
      </c>
      <c r="N243" s="1012" t="s">
        <v>379</v>
      </c>
      <c r="O243" s="1012" t="s">
        <v>379</v>
      </c>
      <c r="P243" s="1012" t="s">
        <v>379</v>
      </c>
      <c r="Q243" s="1012" t="s">
        <v>379</v>
      </c>
      <c r="R243" s="1012" t="s">
        <v>379</v>
      </c>
      <c r="S243" s="1012" t="s">
        <v>379</v>
      </c>
      <c r="T243" s="1012" t="s">
        <v>379</v>
      </c>
      <c r="U243" s="1012" t="s">
        <v>379</v>
      </c>
      <c r="V243" s="1012" t="s">
        <v>379</v>
      </c>
      <c r="W243" s="1012" t="s">
        <v>379</v>
      </c>
      <c r="X243" s="1012" t="s">
        <v>379</v>
      </c>
      <c r="Y243" s="1012" t="s">
        <v>379</v>
      </c>
      <c r="Z243" s="1012" t="s">
        <v>379</v>
      </c>
      <c r="AA243" s="1012" t="s">
        <v>379</v>
      </c>
      <c r="AB243" s="1012" t="s">
        <v>379</v>
      </c>
      <c r="AC243" s="1023">
        <f>7.24+1.3961463</f>
        <v>8.6361463000000001</v>
      </c>
      <c r="AD243" s="1023">
        <v>9.5352023999999993</v>
      </c>
      <c r="AE243" s="1023">
        <v>0.35265360000000001</v>
      </c>
      <c r="AF243" s="1023">
        <v>0.60894999999999999</v>
      </c>
      <c r="AG243" s="1023">
        <v>38.43</v>
      </c>
      <c r="AH243" s="1023">
        <v>9.73</v>
      </c>
      <c r="AI243" s="1023">
        <v>13.39</v>
      </c>
      <c r="AJ243" s="1023">
        <v>9.8000000000000007</v>
      </c>
    </row>
    <row r="244" spans="2:36">
      <c r="B244" s="959" t="s">
        <v>340</v>
      </c>
      <c r="C244" s="1024" t="s">
        <v>321</v>
      </c>
      <c r="D244" s="1012" t="s">
        <v>379</v>
      </c>
      <c r="E244" s="1012" t="s">
        <v>379</v>
      </c>
      <c r="F244" s="1012" t="s">
        <v>379</v>
      </c>
      <c r="G244" s="1012" t="s">
        <v>379</v>
      </c>
      <c r="H244" s="1012" t="s">
        <v>379</v>
      </c>
      <c r="I244" s="1012" t="s">
        <v>379</v>
      </c>
      <c r="J244" s="1012" t="s">
        <v>379</v>
      </c>
      <c r="K244" s="1012" t="s">
        <v>379</v>
      </c>
      <c r="L244" s="1012" t="s">
        <v>379</v>
      </c>
      <c r="M244" s="1012" t="s">
        <v>379</v>
      </c>
      <c r="N244" s="1012" t="s">
        <v>379</v>
      </c>
      <c r="O244" s="1012" t="s">
        <v>379</v>
      </c>
      <c r="P244" s="1012" t="s">
        <v>379</v>
      </c>
      <c r="Q244" s="1012" t="s">
        <v>379</v>
      </c>
      <c r="R244" s="1012" t="s">
        <v>379</v>
      </c>
      <c r="S244" s="1012" t="s">
        <v>379</v>
      </c>
      <c r="T244" s="1012" t="s">
        <v>379</v>
      </c>
      <c r="U244" s="1012" t="s">
        <v>379</v>
      </c>
      <c r="V244" s="1012" t="s">
        <v>379</v>
      </c>
      <c r="W244" s="1012" t="s">
        <v>379</v>
      </c>
      <c r="X244" s="1012" t="s">
        <v>379</v>
      </c>
      <c r="Y244" s="1012" t="s">
        <v>379</v>
      </c>
      <c r="Z244" s="1012" t="s">
        <v>379</v>
      </c>
      <c r="AA244" s="1012" t="s">
        <v>379</v>
      </c>
      <c r="AB244" s="1012" t="s">
        <v>379</v>
      </c>
      <c r="AC244" s="1023">
        <v>0.25</v>
      </c>
      <c r="AD244" s="1023">
        <v>0.27497349999999998</v>
      </c>
      <c r="AE244" s="1023">
        <v>1.9E-2</v>
      </c>
      <c r="AF244" s="1023">
        <v>1.7999999999999999E-2</v>
      </c>
      <c r="AG244" s="1023">
        <v>1.1000000000000001</v>
      </c>
      <c r="AH244" s="1023">
        <v>0.28000000000000003</v>
      </c>
      <c r="AI244" s="1023">
        <v>0.38600000000000001</v>
      </c>
      <c r="AJ244" s="1023">
        <v>0.3</v>
      </c>
    </row>
    <row r="245" spans="2:36">
      <c r="B245" s="1028" t="s">
        <v>391</v>
      </c>
      <c r="C245" s="1028" t="s">
        <v>381</v>
      </c>
      <c r="D245" s="1012" t="s">
        <v>379</v>
      </c>
      <c r="E245" s="1012" t="s">
        <v>379</v>
      </c>
      <c r="F245" s="1012" t="s">
        <v>379</v>
      </c>
      <c r="G245" s="1012" t="s">
        <v>379</v>
      </c>
      <c r="H245" s="1012" t="s">
        <v>379</v>
      </c>
      <c r="I245" s="1012" t="s">
        <v>379</v>
      </c>
      <c r="J245" s="1012" t="s">
        <v>379</v>
      </c>
      <c r="K245" s="1012" t="s">
        <v>379</v>
      </c>
      <c r="L245" s="1012" t="s">
        <v>379</v>
      </c>
      <c r="M245" s="1012" t="s">
        <v>379</v>
      </c>
      <c r="N245" s="1012" t="s">
        <v>379</v>
      </c>
      <c r="O245" s="1012" t="s">
        <v>379</v>
      </c>
      <c r="P245" s="1012" t="s">
        <v>379</v>
      </c>
      <c r="Q245" s="1012" t="s">
        <v>379</v>
      </c>
      <c r="R245" s="1012" t="s">
        <v>379</v>
      </c>
      <c r="S245" s="1012" t="s">
        <v>379</v>
      </c>
      <c r="T245" s="1012" t="s">
        <v>379</v>
      </c>
      <c r="U245" s="1012" t="s">
        <v>379</v>
      </c>
      <c r="V245" s="1012" t="s">
        <v>379</v>
      </c>
      <c r="W245" s="1012" t="s">
        <v>379</v>
      </c>
      <c r="X245" s="1012" t="s">
        <v>379</v>
      </c>
      <c r="Y245" s="1012" t="s">
        <v>379</v>
      </c>
      <c r="Z245" s="1012" t="s">
        <v>379</v>
      </c>
      <c r="AA245" s="1012" t="s">
        <v>379</v>
      </c>
      <c r="AB245" s="1012" t="s">
        <v>379</v>
      </c>
      <c r="AC245" s="1050">
        <v>277</v>
      </c>
      <c r="AD245" s="1050">
        <v>340</v>
      </c>
      <c r="AE245" s="1050">
        <v>312</v>
      </c>
      <c r="AF245" s="1050">
        <v>333</v>
      </c>
      <c r="AG245" s="1050">
        <v>192</v>
      </c>
      <c r="AH245" s="1050">
        <v>178</v>
      </c>
      <c r="AI245" s="1050">
        <v>206</v>
      </c>
      <c r="AJ245" s="1050">
        <v>122</v>
      </c>
    </row>
    <row r="246" spans="2:36">
      <c r="B246" s="1024" t="s">
        <v>392</v>
      </c>
      <c r="C246" s="1024" t="s">
        <v>298</v>
      </c>
      <c r="D246" s="1012" t="s">
        <v>379</v>
      </c>
      <c r="E246" s="1012" t="s">
        <v>379</v>
      </c>
      <c r="F246" s="1012" t="s">
        <v>379</v>
      </c>
      <c r="G246" s="1012" t="s">
        <v>379</v>
      </c>
      <c r="H246" s="1012" t="s">
        <v>379</v>
      </c>
      <c r="I246" s="1012" t="s">
        <v>379</v>
      </c>
      <c r="J246" s="1012" t="s">
        <v>379</v>
      </c>
      <c r="K246" s="1012" t="s">
        <v>379</v>
      </c>
      <c r="L246" s="1012" t="s">
        <v>379</v>
      </c>
      <c r="M246" s="1012" t="s">
        <v>379</v>
      </c>
      <c r="N246" s="1012" t="s">
        <v>379</v>
      </c>
      <c r="O246" s="1012" t="s">
        <v>379</v>
      </c>
      <c r="P246" s="1012" t="s">
        <v>379</v>
      </c>
      <c r="Q246" s="1012" t="s">
        <v>379</v>
      </c>
      <c r="R246" s="1012" t="s">
        <v>379</v>
      </c>
      <c r="S246" s="1012" t="s">
        <v>379</v>
      </c>
      <c r="T246" s="1012" t="s">
        <v>379</v>
      </c>
      <c r="U246" s="1012" t="s">
        <v>379</v>
      </c>
      <c r="V246" s="1012" t="s">
        <v>379</v>
      </c>
      <c r="W246" s="1012" t="s">
        <v>379</v>
      </c>
      <c r="X246" s="1012" t="s">
        <v>379</v>
      </c>
      <c r="Y246" s="1012" t="s">
        <v>379</v>
      </c>
      <c r="Z246" s="1012" t="s">
        <v>379</v>
      </c>
      <c r="AA246" s="1012" t="s">
        <v>379</v>
      </c>
      <c r="AB246" s="1012" t="s">
        <v>379</v>
      </c>
      <c r="AC246" s="1023">
        <v>112.35</v>
      </c>
      <c r="AD246" s="1023">
        <v>102.18</v>
      </c>
      <c r="AE246" s="1023">
        <v>67.59</v>
      </c>
      <c r="AF246" s="1023">
        <v>89.69</v>
      </c>
      <c r="AG246" s="1023">
        <v>40.479999999999997</v>
      </c>
      <c r="AH246" s="1023">
        <v>31.22</v>
      </c>
      <c r="AI246" s="1023">
        <v>42.53</v>
      </c>
      <c r="AJ246" s="1023">
        <v>42.39</v>
      </c>
    </row>
    <row r="247" spans="2:36">
      <c r="B247" s="1024" t="s">
        <v>392</v>
      </c>
      <c r="C247" s="1024" t="s">
        <v>321</v>
      </c>
      <c r="D247" s="1012" t="s">
        <v>379</v>
      </c>
      <c r="E247" s="1012" t="s">
        <v>379</v>
      </c>
      <c r="F247" s="1012" t="s">
        <v>379</v>
      </c>
      <c r="G247" s="1012" t="s">
        <v>379</v>
      </c>
      <c r="H247" s="1012" t="s">
        <v>379</v>
      </c>
      <c r="I247" s="1012" t="s">
        <v>379</v>
      </c>
      <c r="J247" s="1012" t="s">
        <v>379</v>
      </c>
      <c r="K247" s="1012" t="s">
        <v>379</v>
      </c>
      <c r="L247" s="1012" t="s">
        <v>379</v>
      </c>
      <c r="M247" s="1012" t="s">
        <v>379</v>
      </c>
      <c r="N247" s="1012" t="s">
        <v>379</v>
      </c>
      <c r="O247" s="1012" t="s">
        <v>379</v>
      </c>
      <c r="P247" s="1012" t="s">
        <v>379</v>
      </c>
      <c r="Q247" s="1012" t="s">
        <v>379</v>
      </c>
      <c r="R247" s="1012" t="s">
        <v>379</v>
      </c>
      <c r="S247" s="1012" t="s">
        <v>379</v>
      </c>
      <c r="T247" s="1012" t="s">
        <v>379</v>
      </c>
      <c r="U247" s="1012" t="s">
        <v>379</v>
      </c>
      <c r="V247" s="1012" t="s">
        <v>379</v>
      </c>
      <c r="W247" s="1012" t="s">
        <v>379</v>
      </c>
      <c r="X247" s="1012" t="s">
        <v>379</v>
      </c>
      <c r="Y247" s="1012" t="s">
        <v>379</v>
      </c>
      <c r="Z247" s="1012" t="s">
        <v>379</v>
      </c>
      <c r="AA247" s="1012" t="s">
        <v>379</v>
      </c>
      <c r="AB247" s="1012" t="s">
        <v>379</v>
      </c>
      <c r="AC247" s="1023">
        <v>2.7</v>
      </c>
      <c r="AD247" s="1023">
        <v>2.9</v>
      </c>
      <c r="AE247" s="1023">
        <v>1.9</v>
      </c>
      <c r="AF247" s="1023">
        <v>2.6</v>
      </c>
      <c r="AG247" s="1023">
        <v>1.2</v>
      </c>
      <c r="AH247" s="1023">
        <v>0.9</v>
      </c>
      <c r="AI247" s="1023">
        <v>1.23</v>
      </c>
      <c r="AJ247" s="1023">
        <v>1.2</v>
      </c>
    </row>
    <row r="248" spans="2:36">
      <c r="B248" s="1021" t="s">
        <v>393</v>
      </c>
      <c r="C248" s="1019"/>
      <c r="D248" s="1012"/>
      <c r="E248" s="1012"/>
      <c r="F248" s="1012"/>
      <c r="G248" s="1012"/>
      <c r="H248" s="1012"/>
      <c r="I248" s="1012"/>
      <c r="J248" s="1012"/>
      <c r="K248" s="1012"/>
      <c r="L248" s="1012"/>
      <c r="M248" s="1012"/>
      <c r="N248" s="1012"/>
      <c r="O248" s="1012"/>
      <c r="P248" s="1012"/>
      <c r="Q248" s="1012"/>
      <c r="R248" s="1012"/>
      <c r="S248" s="1012"/>
      <c r="T248" s="1012"/>
      <c r="U248" s="1012"/>
      <c r="V248" s="1012"/>
      <c r="W248" s="1012"/>
      <c r="X248" s="1012"/>
      <c r="Y248" s="1012"/>
      <c r="Z248" s="1012"/>
      <c r="AA248" s="1012"/>
      <c r="AB248" s="1012"/>
      <c r="AC248" s="1012"/>
      <c r="AD248" s="1012"/>
      <c r="AE248" s="1012"/>
      <c r="AF248" s="1012"/>
      <c r="AG248" s="1012"/>
      <c r="AH248" s="1012"/>
      <c r="AI248" s="1012"/>
      <c r="AJ248" s="1012"/>
    </row>
    <row r="249" spans="2:36">
      <c r="B249" s="959" t="s">
        <v>336</v>
      </c>
      <c r="C249" s="1052" t="s">
        <v>298</v>
      </c>
      <c r="D249" s="1012" t="s">
        <v>379</v>
      </c>
      <c r="E249" s="1012" t="s">
        <v>379</v>
      </c>
      <c r="F249" s="1012" t="s">
        <v>379</v>
      </c>
      <c r="G249" s="1012" t="s">
        <v>379</v>
      </c>
      <c r="H249" s="1012" t="s">
        <v>379</v>
      </c>
      <c r="I249" s="1012" t="s">
        <v>379</v>
      </c>
      <c r="J249" s="1012" t="s">
        <v>379</v>
      </c>
      <c r="K249" s="1012" t="s">
        <v>379</v>
      </c>
      <c r="L249" s="1012" t="s">
        <v>379</v>
      </c>
      <c r="M249" s="1012" t="s">
        <v>379</v>
      </c>
      <c r="N249" s="1012" t="s">
        <v>379</v>
      </c>
      <c r="O249" s="1012" t="s">
        <v>379</v>
      </c>
      <c r="P249" s="1012" t="s">
        <v>379</v>
      </c>
      <c r="Q249" s="1012" t="s">
        <v>379</v>
      </c>
      <c r="R249" s="1012" t="s">
        <v>379</v>
      </c>
      <c r="S249" s="1012" t="s">
        <v>379</v>
      </c>
      <c r="T249" s="1012" t="s">
        <v>379</v>
      </c>
      <c r="U249" s="1012" t="s">
        <v>379</v>
      </c>
      <c r="V249" s="1012" t="s">
        <v>379</v>
      </c>
      <c r="W249" s="1012" t="s">
        <v>379</v>
      </c>
      <c r="X249" s="1012" t="s">
        <v>379</v>
      </c>
      <c r="Y249" s="1012" t="s">
        <v>379</v>
      </c>
      <c r="Z249" s="1012" t="s">
        <v>379</v>
      </c>
      <c r="AA249" s="1012" t="s">
        <v>379</v>
      </c>
      <c r="AB249" s="1012" t="s">
        <v>379</v>
      </c>
      <c r="AC249" s="1023">
        <v>1.05</v>
      </c>
      <c r="AD249" s="1023">
        <v>2.93</v>
      </c>
      <c r="AE249" s="1023">
        <v>7.77</v>
      </c>
      <c r="AF249" s="1023">
        <v>2.11</v>
      </c>
      <c r="AG249" s="1023">
        <v>0</v>
      </c>
      <c r="AH249" s="1023">
        <v>3.05</v>
      </c>
      <c r="AI249" s="1023">
        <v>0</v>
      </c>
      <c r="AJ249" s="1023">
        <v>3.36</v>
      </c>
    </row>
    <row r="250" spans="2:36">
      <c r="B250" s="959" t="s">
        <v>336</v>
      </c>
      <c r="C250" s="1028" t="s">
        <v>321</v>
      </c>
      <c r="D250" s="1012" t="s">
        <v>379</v>
      </c>
      <c r="E250" s="1012" t="s">
        <v>379</v>
      </c>
      <c r="F250" s="1012" t="s">
        <v>379</v>
      </c>
      <c r="G250" s="1012" t="s">
        <v>379</v>
      </c>
      <c r="H250" s="1012" t="s">
        <v>379</v>
      </c>
      <c r="I250" s="1012" t="s">
        <v>379</v>
      </c>
      <c r="J250" s="1012" t="s">
        <v>379</v>
      </c>
      <c r="K250" s="1012" t="s">
        <v>379</v>
      </c>
      <c r="L250" s="1012" t="s">
        <v>379</v>
      </c>
      <c r="M250" s="1012" t="s">
        <v>379</v>
      </c>
      <c r="N250" s="1012" t="s">
        <v>379</v>
      </c>
      <c r="O250" s="1012" t="s">
        <v>379</v>
      </c>
      <c r="P250" s="1012" t="s">
        <v>379</v>
      </c>
      <c r="Q250" s="1012" t="s">
        <v>379</v>
      </c>
      <c r="R250" s="1012" t="s">
        <v>379</v>
      </c>
      <c r="S250" s="1012" t="s">
        <v>379</v>
      </c>
      <c r="T250" s="1012" t="s">
        <v>379</v>
      </c>
      <c r="U250" s="1012" t="s">
        <v>379</v>
      </c>
      <c r="V250" s="1012" t="s">
        <v>379</v>
      </c>
      <c r="W250" s="1012" t="s">
        <v>379</v>
      </c>
      <c r="X250" s="1012" t="s">
        <v>379</v>
      </c>
      <c r="Y250" s="1012" t="s">
        <v>379</v>
      </c>
      <c r="Z250" s="1012" t="s">
        <v>379</v>
      </c>
      <c r="AA250" s="1012" t="s">
        <v>379</v>
      </c>
      <c r="AB250" s="1012" t="s">
        <v>379</v>
      </c>
      <c r="AC250" s="1023">
        <v>0</v>
      </c>
      <c r="AD250" s="1023">
        <v>0.1</v>
      </c>
      <c r="AE250" s="1023">
        <v>0.2</v>
      </c>
      <c r="AF250" s="1023">
        <v>0.1</v>
      </c>
      <c r="AG250" s="1023">
        <v>0</v>
      </c>
      <c r="AH250" s="1023">
        <v>0.1</v>
      </c>
      <c r="AI250" s="1023">
        <v>0</v>
      </c>
      <c r="AJ250" s="1023">
        <v>0.1</v>
      </c>
    </row>
    <row r="251" spans="2:36">
      <c r="B251" s="959" t="s">
        <v>337</v>
      </c>
      <c r="C251" s="1052" t="s">
        <v>390</v>
      </c>
      <c r="D251" s="1012" t="s">
        <v>379</v>
      </c>
      <c r="E251" s="1012" t="s">
        <v>379</v>
      </c>
      <c r="F251" s="1012" t="s">
        <v>379</v>
      </c>
      <c r="G251" s="1012" t="s">
        <v>379</v>
      </c>
      <c r="H251" s="1012" t="s">
        <v>379</v>
      </c>
      <c r="I251" s="1012" t="s">
        <v>379</v>
      </c>
      <c r="J251" s="1012" t="s">
        <v>379</v>
      </c>
      <c r="K251" s="1012" t="s">
        <v>379</v>
      </c>
      <c r="L251" s="1012" t="s">
        <v>379</v>
      </c>
      <c r="M251" s="1012" t="s">
        <v>379</v>
      </c>
      <c r="N251" s="1012" t="s">
        <v>379</v>
      </c>
      <c r="O251" s="1012" t="s">
        <v>379</v>
      </c>
      <c r="P251" s="1012" t="s">
        <v>379</v>
      </c>
      <c r="Q251" s="1012" t="s">
        <v>379</v>
      </c>
      <c r="R251" s="1012" t="s">
        <v>379</v>
      </c>
      <c r="S251" s="1012" t="s">
        <v>379</v>
      </c>
      <c r="T251" s="1012" t="s">
        <v>379</v>
      </c>
      <c r="U251" s="1012" t="s">
        <v>379</v>
      </c>
      <c r="V251" s="1012" t="s">
        <v>379</v>
      </c>
      <c r="W251" s="1012" t="s">
        <v>379</v>
      </c>
      <c r="X251" s="1012" t="s">
        <v>379</v>
      </c>
      <c r="Y251" s="1012" t="s">
        <v>379</v>
      </c>
      <c r="Z251" s="1012" t="s">
        <v>379</v>
      </c>
      <c r="AA251" s="1012" t="s">
        <v>379</v>
      </c>
      <c r="AB251" s="1012" t="s">
        <v>379</v>
      </c>
      <c r="AC251" s="1050">
        <v>0</v>
      </c>
      <c r="AD251" s="1050">
        <v>0</v>
      </c>
      <c r="AE251" s="1050">
        <v>0</v>
      </c>
      <c r="AF251" s="1050">
        <v>0</v>
      </c>
      <c r="AG251" s="1050">
        <v>0</v>
      </c>
      <c r="AH251" s="1050">
        <v>0</v>
      </c>
      <c r="AI251" s="1050">
        <v>0</v>
      </c>
      <c r="AJ251" s="1050">
        <v>0</v>
      </c>
    </row>
    <row r="252" spans="2:36">
      <c r="B252" s="959" t="s">
        <v>337</v>
      </c>
      <c r="C252" s="1052" t="s">
        <v>298</v>
      </c>
      <c r="D252" s="1012" t="s">
        <v>379</v>
      </c>
      <c r="E252" s="1012" t="s">
        <v>379</v>
      </c>
      <c r="F252" s="1012" t="s">
        <v>379</v>
      </c>
      <c r="G252" s="1012" t="s">
        <v>379</v>
      </c>
      <c r="H252" s="1012" t="s">
        <v>379</v>
      </c>
      <c r="I252" s="1012" t="s">
        <v>379</v>
      </c>
      <c r="J252" s="1012" t="s">
        <v>379</v>
      </c>
      <c r="K252" s="1012" t="s">
        <v>379</v>
      </c>
      <c r="L252" s="1012" t="s">
        <v>379</v>
      </c>
      <c r="M252" s="1012" t="s">
        <v>379</v>
      </c>
      <c r="N252" s="1012" t="s">
        <v>379</v>
      </c>
      <c r="O252" s="1012" t="s">
        <v>379</v>
      </c>
      <c r="P252" s="1012" t="s">
        <v>379</v>
      </c>
      <c r="Q252" s="1012" t="s">
        <v>379</v>
      </c>
      <c r="R252" s="1012" t="s">
        <v>379</v>
      </c>
      <c r="S252" s="1012" t="s">
        <v>379</v>
      </c>
      <c r="T252" s="1012" t="s">
        <v>379</v>
      </c>
      <c r="U252" s="1012" t="s">
        <v>379</v>
      </c>
      <c r="V252" s="1012" t="s">
        <v>379</v>
      </c>
      <c r="W252" s="1012" t="s">
        <v>379</v>
      </c>
      <c r="X252" s="1012" t="s">
        <v>379</v>
      </c>
      <c r="Y252" s="1012" t="s">
        <v>379</v>
      </c>
      <c r="Z252" s="1012" t="s">
        <v>379</v>
      </c>
      <c r="AA252" s="1012" t="s">
        <v>379</v>
      </c>
      <c r="AB252" s="1012" t="s">
        <v>379</v>
      </c>
      <c r="AC252" s="1050">
        <v>0</v>
      </c>
      <c r="AD252" s="1050">
        <v>0</v>
      </c>
      <c r="AE252" s="1050">
        <v>0</v>
      </c>
      <c r="AF252" s="1050">
        <v>0</v>
      </c>
      <c r="AG252" s="1050">
        <v>0</v>
      </c>
      <c r="AH252" s="1050">
        <v>0</v>
      </c>
      <c r="AI252" s="1050">
        <v>0</v>
      </c>
      <c r="AJ252" s="1050">
        <v>0</v>
      </c>
    </row>
    <row r="253" spans="2:36">
      <c r="B253" s="959" t="s">
        <v>337</v>
      </c>
      <c r="C253" s="1052" t="s">
        <v>321</v>
      </c>
      <c r="D253" s="1012" t="s">
        <v>379</v>
      </c>
      <c r="E253" s="1012" t="s">
        <v>379</v>
      </c>
      <c r="F253" s="1012" t="s">
        <v>379</v>
      </c>
      <c r="G253" s="1012" t="s">
        <v>379</v>
      </c>
      <c r="H253" s="1012" t="s">
        <v>379</v>
      </c>
      <c r="I253" s="1012" t="s">
        <v>379</v>
      </c>
      <c r="J253" s="1012" t="s">
        <v>379</v>
      </c>
      <c r="K253" s="1012" t="s">
        <v>379</v>
      </c>
      <c r="L253" s="1012" t="s">
        <v>379</v>
      </c>
      <c r="M253" s="1012" t="s">
        <v>379</v>
      </c>
      <c r="N253" s="1012" t="s">
        <v>379</v>
      </c>
      <c r="O253" s="1012" t="s">
        <v>379</v>
      </c>
      <c r="P253" s="1012" t="s">
        <v>379</v>
      </c>
      <c r="Q253" s="1012" t="s">
        <v>379</v>
      </c>
      <c r="R253" s="1012" t="s">
        <v>379</v>
      </c>
      <c r="S253" s="1012" t="s">
        <v>379</v>
      </c>
      <c r="T253" s="1012" t="s">
        <v>379</v>
      </c>
      <c r="U253" s="1012" t="s">
        <v>379</v>
      </c>
      <c r="V253" s="1012" t="s">
        <v>379</v>
      </c>
      <c r="W253" s="1012" t="s">
        <v>379</v>
      </c>
      <c r="X253" s="1012" t="s">
        <v>379</v>
      </c>
      <c r="Y253" s="1012" t="s">
        <v>379</v>
      </c>
      <c r="Z253" s="1012" t="s">
        <v>379</v>
      </c>
      <c r="AA253" s="1012" t="s">
        <v>379</v>
      </c>
      <c r="AB253" s="1012" t="s">
        <v>379</v>
      </c>
      <c r="AC253" s="1050">
        <v>0</v>
      </c>
      <c r="AD253" s="1050">
        <v>0</v>
      </c>
      <c r="AE253" s="1050">
        <v>0</v>
      </c>
      <c r="AF253" s="1050">
        <v>0</v>
      </c>
      <c r="AG253" s="1050">
        <v>0</v>
      </c>
      <c r="AH253" s="1050">
        <v>0</v>
      </c>
      <c r="AI253" s="1050">
        <v>0</v>
      </c>
      <c r="AJ253" s="1050">
        <v>0</v>
      </c>
    </row>
    <row r="254" spans="2:36">
      <c r="B254" s="959" t="s">
        <v>339</v>
      </c>
      <c r="C254" s="1052" t="s">
        <v>390</v>
      </c>
      <c r="D254" s="1012" t="s">
        <v>379</v>
      </c>
      <c r="E254" s="1012" t="s">
        <v>379</v>
      </c>
      <c r="F254" s="1012" t="s">
        <v>379</v>
      </c>
      <c r="G254" s="1012" t="s">
        <v>379</v>
      </c>
      <c r="H254" s="1012" t="s">
        <v>379</v>
      </c>
      <c r="I254" s="1012" t="s">
        <v>379</v>
      </c>
      <c r="J254" s="1012" t="s">
        <v>379</v>
      </c>
      <c r="K254" s="1012" t="s">
        <v>379</v>
      </c>
      <c r="L254" s="1012" t="s">
        <v>379</v>
      </c>
      <c r="M254" s="1012" t="s">
        <v>379</v>
      </c>
      <c r="N254" s="1012" t="s">
        <v>379</v>
      </c>
      <c r="O254" s="1012" t="s">
        <v>379</v>
      </c>
      <c r="P254" s="1012" t="s">
        <v>379</v>
      </c>
      <c r="Q254" s="1012" t="s">
        <v>379</v>
      </c>
      <c r="R254" s="1012" t="s">
        <v>379</v>
      </c>
      <c r="S254" s="1012" t="s">
        <v>379</v>
      </c>
      <c r="T254" s="1012" t="s">
        <v>379</v>
      </c>
      <c r="U254" s="1012" t="s">
        <v>379</v>
      </c>
      <c r="V254" s="1012" t="s">
        <v>379</v>
      </c>
      <c r="W254" s="1012" t="s">
        <v>379</v>
      </c>
      <c r="X254" s="1012" t="s">
        <v>379</v>
      </c>
      <c r="Y254" s="1012" t="s">
        <v>379</v>
      </c>
      <c r="Z254" s="1012" t="s">
        <v>379</v>
      </c>
      <c r="AA254" s="1012" t="s">
        <v>379</v>
      </c>
      <c r="AB254" s="1012" t="s">
        <v>379</v>
      </c>
      <c r="AC254" s="1050">
        <v>0</v>
      </c>
      <c r="AD254" s="1050">
        <v>0</v>
      </c>
      <c r="AE254" s="1050">
        <v>0</v>
      </c>
      <c r="AF254" s="1050">
        <v>0</v>
      </c>
      <c r="AG254" s="1050">
        <v>0</v>
      </c>
      <c r="AH254" s="1050">
        <v>0</v>
      </c>
      <c r="AI254" s="1050">
        <v>0</v>
      </c>
      <c r="AJ254" s="1050">
        <v>0</v>
      </c>
    </row>
    <row r="255" spans="2:36">
      <c r="B255" s="959" t="s">
        <v>339</v>
      </c>
      <c r="C255" s="1052" t="s">
        <v>298</v>
      </c>
      <c r="D255" s="1012" t="s">
        <v>379</v>
      </c>
      <c r="E255" s="1012" t="s">
        <v>379</v>
      </c>
      <c r="F255" s="1012" t="s">
        <v>379</v>
      </c>
      <c r="G255" s="1012" t="s">
        <v>379</v>
      </c>
      <c r="H255" s="1012" t="s">
        <v>379</v>
      </c>
      <c r="I255" s="1012" t="s">
        <v>379</v>
      </c>
      <c r="J255" s="1012" t="s">
        <v>379</v>
      </c>
      <c r="K255" s="1012" t="s">
        <v>379</v>
      </c>
      <c r="L255" s="1012" t="s">
        <v>379</v>
      </c>
      <c r="M255" s="1012" t="s">
        <v>379</v>
      </c>
      <c r="N255" s="1012" t="s">
        <v>379</v>
      </c>
      <c r="O255" s="1012" t="s">
        <v>379</v>
      </c>
      <c r="P255" s="1012" t="s">
        <v>379</v>
      </c>
      <c r="Q255" s="1012" t="s">
        <v>379</v>
      </c>
      <c r="R255" s="1012" t="s">
        <v>379</v>
      </c>
      <c r="S255" s="1012" t="s">
        <v>379</v>
      </c>
      <c r="T255" s="1012" t="s">
        <v>379</v>
      </c>
      <c r="U255" s="1012" t="s">
        <v>379</v>
      </c>
      <c r="V255" s="1012" t="s">
        <v>379</v>
      </c>
      <c r="W255" s="1012" t="s">
        <v>379</v>
      </c>
      <c r="X255" s="1012" t="s">
        <v>379</v>
      </c>
      <c r="Y255" s="1012" t="s">
        <v>379</v>
      </c>
      <c r="Z255" s="1012" t="s">
        <v>379</v>
      </c>
      <c r="AA255" s="1012" t="s">
        <v>379</v>
      </c>
      <c r="AB255" s="1012" t="s">
        <v>379</v>
      </c>
      <c r="AC255" s="1050">
        <v>0</v>
      </c>
      <c r="AD255" s="1050">
        <v>0</v>
      </c>
      <c r="AE255" s="1050">
        <v>0</v>
      </c>
      <c r="AF255" s="1050">
        <v>0</v>
      </c>
      <c r="AG255" s="1050">
        <v>0</v>
      </c>
      <c r="AH255" s="1050">
        <v>0</v>
      </c>
      <c r="AI255" s="1050">
        <v>0</v>
      </c>
      <c r="AJ255" s="1050">
        <v>0</v>
      </c>
    </row>
    <row r="256" spans="2:36">
      <c r="B256" s="959" t="s">
        <v>339</v>
      </c>
      <c r="C256" s="1028" t="s">
        <v>321</v>
      </c>
      <c r="D256" s="1012" t="s">
        <v>379</v>
      </c>
      <c r="E256" s="1012" t="s">
        <v>379</v>
      </c>
      <c r="F256" s="1012" t="s">
        <v>379</v>
      </c>
      <c r="G256" s="1012" t="s">
        <v>379</v>
      </c>
      <c r="H256" s="1012" t="s">
        <v>379</v>
      </c>
      <c r="I256" s="1012" t="s">
        <v>379</v>
      </c>
      <c r="J256" s="1012" t="s">
        <v>379</v>
      </c>
      <c r="K256" s="1012" t="s">
        <v>379</v>
      </c>
      <c r="L256" s="1012" t="s">
        <v>379</v>
      </c>
      <c r="M256" s="1012" t="s">
        <v>379</v>
      </c>
      <c r="N256" s="1012" t="s">
        <v>379</v>
      </c>
      <c r="O256" s="1012" t="s">
        <v>379</v>
      </c>
      <c r="P256" s="1012" t="s">
        <v>379</v>
      </c>
      <c r="Q256" s="1012" t="s">
        <v>379</v>
      </c>
      <c r="R256" s="1012" t="s">
        <v>379</v>
      </c>
      <c r="S256" s="1012" t="s">
        <v>379</v>
      </c>
      <c r="T256" s="1012" t="s">
        <v>379</v>
      </c>
      <c r="U256" s="1012" t="s">
        <v>379</v>
      </c>
      <c r="V256" s="1012" t="s">
        <v>379</v>
      </c>
      <c r="W256" s="1012" t="s">
        <v>379</v>
      </c>
      <c r="X256" s="1012" t="s">
        <v>379</v>
      </c>
      <c r="Y256" s="1012" t="s">
        <v>379</v>
      </c>
      <c r="Z256" s="1012" t="s">
        <v>379</v>
      </c>
      <c r="AA256" s="1012" t="s">
        <v>379</v>
      </c>
      <c r="AB256" s="1012" t="s">
        <v>379</v>
      </c>
      <c r="AC256" s="1050">
        <v>0</v>
      </c>
      <c r="AD256" s="1050">
        <v>0</v>
      </c>
      <c r="AE256" s="1050">
        <v>0</v>
      </c>
      <c r="AF256" s="1050">
        <v>0</v>
      </c>
      <c r="AG256" s="1050">
        <v>0</v>
      </c>
      <c r="AH256" s="1050">
        <v>0</v>
      </c>
      <c r="AI256" s="1050">
        <v>0</v>
      </c>
      <c r="AJ256" s="1050">
        <v>0</v>
      </c>
    </row>
    <row r="257" spans="2:36">
      <c r="B257" s="959" t="s">
        <v>340</v>
      </c>
      <c r="C257" s="1052" t="s">
        <v>390</v>
      </c>
      <c r="D257" s="1012" t="s">
        <v>379</v>
      </c>
      <c r="E257" s="1012" t="s">
        <v>379</v>
      </c>
      <c r="F257" s="1012" t="s">
        <v>379</v>
      </c>
      <c r="G257" s="1012" t="s">
        <v>379</v>
      </c>
      <c r="H257" s="1012" t="s">
        <v>379</v>
      </c>
      <c r="I257" s="1012" t="s">
        <v>379</v>
      </c>
      <c r="J257" s="1012" t="s">
        <v>379</v>
      </c>
      <c r="K257" s="1012" t="s">
        <v>379</v>
      </c>
      <c r="L257" s="1012" t="s">
        <v>379</v>
      </c>
      <c r="M257" s="1012" t="s">
        <v>379</v>
      </c>
      <c r="N257" s="1012" t="s">
        <v>379</v>
      </c>
      <c r="O257" s="1012" t="s">
        <v>379</v>
      </c>
      <c r="P257" s="1012" t="s">
        <v>379</v>
      </c>
      <c r="Q257" s="1012" t="s">
        <v>379</v>
      </c>
      <c r="R257" s="1012" t="s">
        <v>379</v>
      </c>
      <c r="S257" s="1012" t="s">
        <v>379</v>
      </c>
      <c r="T257" s="1012" t="s">
        <v>379</v>
      </c>
      <c r="U257" s="1012" t="s">
        <v>379</v>
      </c>
      <c r="V257" s="1012" t="s">
        <v>379</v>
      </c>
      <c r="W257" s="1012" t="s">
        <v>379</v>
      </c>
      <c r="X257" s="1012" t="s">
        <v>379</v>
      </c>
      <c r="Y257" s="1012" t="s">
        <v>379</v>
      </c>
      <c r="Z257" s="1012" t="s">
        <v>379</v>
      </c>
      <c r="AA257" s="1012" t="s">
        <v>379</v>
      </c>
      <c r="AB257" s="1012" t="s">
        <v>379</v>
      </c>
      <c r="AC257" s="1050">
        <v>2</v>
      </c>
      <c r="AD257" s="1050">
        <v>2</v>
      </c>
      <c r="AE257" s="1050">
        <v>2</v>
      </c>
      <c r="AF257" s="1050">
        <v>2</v>
      </c>
      <c r="AG257" s="1050">
        <v>2</v>
      </c>
      <c r="AH257" s="1050">
        <v>2</v>
      </c>
      <c r="AI257" s="1050">
        <v>2</v>
      </c>
      <c r="AJ257" s="1050">
        <v>2</v>
      </c>
    </row>
    <row r="258" spans="2:36">
      <c r="B258" s="959" t="s">
        <v>340</v>
      </c>
      <c r="C258" s="1053" t="s">
        <v>298</v>
      </c>
      <c r="D258" s="1012" t="s">
        <v>379</v>
      </c>
      <c r="E258" s="1012" t="s">
        <v>379</v>
      </c>
      <c r="F258" s="1012" t="s">
        <v>379</v>
      </c>
      <c r="G258" s="1012" t="s">
        <v>379</v>
      </c>
      <c r="H258" s="1012" t="s">
        <v>379</v>
      </c>
      <c r="I258" s="1012" t="s">
        <v>379</v>
      </c>
      <c r="J258" s="1012" t="s">
        <v>379</v>
      </c>
      <c r="K258" s="1012" t="s">
        <v>379</v>
      </c>
      <c r="L258" s="1012" t="s">
        <v>379</v>
      </c>
      <c r="M258" s="1012" t="s">
        <v>379</v>
      </c>
      <c r="N258" s="1012" t="s">
        <v>379</v>
      </c>
      <c r="O258" s="1012" t="s">
        <v>379</v>
      </c>
      <c r="P258" s="1012" t="s">
        <v>379</v>
      </c>
      <c r="Q258" s="1012" t="s">
        <v>379</v>
      </c>
      <c r="R258" s="1012" t="s">
        <v>379</v>
      </c>
      <c r="S258" s="1012" t="s">
        <v>379</v>
      </c>
      <c r="T258" s="1012" t="s">
        <v>379</v>
      </c>
      <c r="U258" s="1012" t="s">
        <v>379</v>
      </c>
      <c r="V258" s="1012" t="s">
        <v>379</v>
      </c>
      <c r="W258" s="1012" t="s">
        <v>379</v>
      </c>
      <c r="X258" s="1012" t="s">
        <v>379</v>
      </c>
      <c r="Y258" s="1012" t="s">
        <v>379</v>
      </c>
      <c r="Z258" s="1012" t="s">
        <v>379</v>
      </c>
      <c r="AA258" s="1012" t="s">
        <v>379</v>
      </c>
      <c r="AB258" s="1012" t="s">
        <v>379</v>
      </c>
      <c r="AC258" s="1023">
        <v>19.62</v>
      </c>
      <c r="AD258" s="1023">
        <v>16.46</v>
      </c>
      <c r="AE258" s="1023">
        <v>5.88</v>
      </c>
      <c r="AF258" s="1023">
        <v>4.0599999999999996</v>
      </c>
      <c r="AG258" s="1023">
        <v>1.04</v>
      </c>
      <c r="AH258" s="1023">
        <v>2.83</v>
      </c>
      <c r="AI258" s="1023">
        <v>12.1</v>
      </c>
      <c r="AJ258" s="1023">
        <v>9.73</v>
      </c>
    </row>
    <row r="259" spans="2:36">
      <c r="B259" s="959" t="s">
        <v>340</v>
      </c>
      <c r="C259" s="1028" t="s">
        <v>321</v>
      </c>
      <c r="D259" s="1012" t="s">
        <v>379</v>
      </c>
      <c r="E259" s="1012" t="s">
        <v>379</v>
      </c>
      <c r="F259" s="1012" t="s">
        <v>379</v>
      </c>
      <c r="G259" s="1012" t="s">
        <v>379</v>
      </c>
      <c r="H259" s="1012" t="s">
        <v>379</v>
      </c>
      <c r="I259" s="1012" t="s">
        <v>379</v>
      </c>
      <c r="J259" s="1012" t="s">
        <v>379</v>
      </c>
      <c r="K259" s="1012" t="s">
        <v>379</v>
      </c>
      <c r="L259" s="1012" t="s">
        <v>379</v>
      </c>
      <c r="M259" s="1012" t="s">
        <v>379</v>
      </c>
      <c r="N259" s="1012" t="s">
        <v>379</v>
      </c>
      <c r="O259" s="1012" t="s">
        <v>379</v>
      </c>
      <c r="P259" s="1012" t="s">
        <v>379</v>
      </c>
      <c r="Q259" s="1012" t="s">
        <v>379</v>
      </c>
      <c r="R259" s="1012" t="s">
        <v>379</v>
      </c>
      <c r="S259" s="1012" t="s">
        <v>379</v>
      </c>
      <c r="T259" s="1012" t="s">
        <v>379</v>
      </c>
      <c r="U259" s="1012" t="s">
        <v>379</v>
      </c>
      <c r="V259" s="1012" t="s">
        <v>379</v>
      </c>
      <c r="W259" s="1012" t="s">
        <v>379</v>
      </c>
      <c r="X259" s="1012" t="s">
        <v>379</v>
      </c>
      <c r="Y259" s="1012" t="s">
        <v>379</v>
      </c>
      <c r="Z259" s="1012" t="s">
        <v>379</v>
      </c>
      <c r="AA259" s="1012" t="s">
        <v>379</v>
      </c>
      <c r="AB259" s="1012" t="s">
        <v>379</v>
      </c>
      <c r="AC259" s="1023">
        <v>0.6</v>
      </c>
      <c r="AD259" s="1023">
        <v>0.5</v>
      </c>
      <c r="AE259" s="1023">
        <v>0.2</v>
      </c>
      <c r="AF259" s="1023">
        <v>0.1</v>
      </c>
      <c r="AG259" s="1023">
        <v>0</v>
      </c>
      <c r="AH259" s="1023">
        <v>0.1</v>
      </c>
      <c r="AI259" s="1023">
        <v>0.3</v>
      </c>
      <c r="AJ259" s="1023">
        <v>0.3</v>
      </c>
    </row>
    <row r="260" spans="2:36">
      <c r="B260" s="1028" t="s">
        <v>394</v>
      </c>
      <c r="C260" s="1028" t="s">
        <v>381</v>
      </c>
      <c r="D260" s="1012" t="s">
        <v>379</v>
      </c>
      <c r="E260" s="1012" t="s">
        <v>379</v>
      </c>
      <c r="F260" s="1012" t="s">
        <v>379</v>
      </c>
      <c r="G260" s="1012" t="s">
        <v>379</v>
      </c>
      <c r="H260" s="1012" t="s">
        <v>379</v>
      </c>
      <c r="I260" s="1012" t="s">
        <v>379</v>
      </c>
      <c r="J260" s="1012" t="s">
        <v>379</v>
      </c>
      <c r="K260" s="1012" t="s">
        <v>379</v>
      </c>
      <c r="L260" s="1012" t="s">
        <v>379</v>
      </c>
      <c r="M260" s="1012" t="s">
        <v>379</v>
      </c>
      <c r="N260" s="1012" t="s">
        <v>379</v>
      </c>
      <c r="O260" s="1012" t="s">
        <v>379</v>
      </c>
      <c r="P260" s="1012" t="s">
        <v>379</v>
      </c>
      <c r="Q260" s="1012" t="s">
        <v>379</v>
      </c>
      <c r="R260" s="1012" t="s">
        <v>379</v>
      </c>
      <c r="S260" s="1012" t="s">
        <v>379</v>
      </c>
      <c r="T260" s="1012" t="s">
        <v>379</v>
      </c>
      <c r="U260" s="1012" t="s">
        <v>379</v>
      </c>
      <c r="V260" s="1012" t="s">
        <v>379</v>
      </c>
      <c r="W260" s="1012" t="s">
        <v>379</v>
      </c>
      <c r="X260" s="1012" t="s">
        <v>379</v>
      </c>
      <c r="Y260" s="1012" t="s">
        <v>379</v>
      </c>
      <c r="Z260" s="1012" t="s">
        <v>379</v>
      </c>
      <c r="AA260" s="1012" t="s">
        <v>379</v>
      </c>
      <c r="AB260" s="1012" t="s">
        <v>379</v>
      </c>
      <c r="AC260" s="1050">
        <v>70</v>
      </c>
      <c r="AD260" s="1050">
        <v>28</v>
      </c>
      <c r="AE260" s="1050">
        <v>62</v>
      </c>
      <c r="AF260" s="1050">
        <v>82</v>
      </c>
      <c r="AG260" s="1050">
        <v>58</v>
      </c>
      <c r="AH260" s="1050">
        <v>77</v>
      </c>
      <c r="AI260" s="1050">
        <v>73</v>
      </c>
      <c r="AJ260" s="1050">
        <v>86</v>
      </c>
    </row>
    <row r="261" spans="2:36">
      <c r="B261" s="1028" t="s">
        <v>392</v>
      </c>
      <c r="C261" s="1028" t="s">
        <v>298</v>
      </c>
      <c r="D261" s="1012" t="s">
        <v>379</v>
      </c>
      <c r="E261" s="1012" t="s">
        <v>379</v>
      </c>
      <c r="F261" s="1012" t="s">
        <v>379</v>
      </c>
      <c r="G261" s="1012" t="s">
        <v>379</v>
      </c>
      <c r="H261" s="1012" t="s">
        <v>379</v>
      </c>
      <c r="I261" s="1012" t="s">
        <v>379</v>
      </c>
      <c r="J261" s="1012" t="s">
        <v>379</v>
      </c>
      <c r="K261" s="1012" t="s">
        <v>379</v>
      </c>
      <c r="L261" s="1012" t="s">
        <v>379</v>
      </c>
      <c r="M261" s="1012" t="s">
        <v>379</v>
      </c>
      <c r="N261" s="1012" t="s">
        <v>379</v>
      </c>
      <c r="O261" s="1012" t="s">
        <v>379</v>
      </c>
      <c r="P261" s="1012" t="s">
        <v>379</v>
      </c>
      <c r="Q261" s="1012" t="s">
        <v>379</v>
      </c>
      <c r="R261" s="1012" t="s">
        <v>379</v>
      </c>
      <c r="S261" s="1012" t="s">
        <v>379</v>
      </c>
      <c r="T261" s="1012" t="s">
        <v>379</v>
      </c>
      <c r="U261" s="1012" t="s">
        <v>379</v>
      </c>
      <c r="V261" s="1012" t="s">
        <v>379</v>
      </c>
      <c r="W261" s="1012" t="s">
        <v>379</v>
      </c>
      <c r="X261" s="1012" t="s">
        <v>379</v>
      </c>
      <c r="Y261" s="1012" t="s">
        <v>379</v>
      </c>
      <c r="Z261" s="1012" t="s">
        <v>379</v>
      </c>
      <c r="AA261" s="1012" t="s">
        <v>379</v>
      </c>
      <c r="AB261" s="1012" t="s">
        <v>379</v>
      </c>
      <c r="AC261" s="1023">
        <v>17.440000000000001</v>
      </c>
      <c r="AD261" s="1023">
        <v>5.32</v>
      </c>
      <c r="AE261" s="1023">
        <v>11.04</v>
      </c>
      <c r="AF261" s="1023">
        <v>14.21</v>
      </c>
      <c r="AG261" s="1023">
        <v>10.55</v>
      </c>
      <c r="AH261" s="1023">
        <v>11.5</v>
      </c>
      <c r="AI261" s="1023">
        <v>11.8</v>
      </c>
      <c r="AJ261" s="1023">
        <v>13.7</v>
      </c>
    </row>
    <row r="262" spans="2:36">
      <c r="B262" s="1028" t="s">
        <v>392</v>
      </c>
      <c r="C262" s="1028" t="s">
        <v>321</v>
      </c>
      <c r="D262" s="1012" t="s">
        <v>379</v>
      </c>
      <c r="E262" s="1012" t="s">
        <v>379</v>
      </c>
      <c r="F262" s="1012" t="s">
        <v>379</v>
      </c>
      <c r="G262" s="1012" t="s">
        <v>379</v>
      </c>
      <c r="H262" s="1012" t="s">
        <v>379</v>
      </c>
      <c r="I262" s="1012" t="s">
        <v>379</v>
      </c>
      <c r="J262" s="1012" t="s">
        <v>379</v>
      </c>
      <c r="K262" s="1012" t="s">
        <v>379</v>
      </c>
      <c r="L262" s="1012" t="s">
        <v>379</v>
      </c>
      <c r="M262" s="1012" t="s">
        <v>379</v>
      </c>
      <c r="N262" s="1012" t="s">
        <v>379</v>
      </c>
      <c r="O262" s="1012" t="s">
        <v>379</v>
      </c>
      <c r="P262" s="1012" t="s">
        <v>379</v>
      </c>
      <c r="Q262" s="1012" t="s">
        <v>379</v>
      </c>
      <c r="R262" s="1012" t="s">
        <v>379</v>
      </c>
      <c r="S262" s="1012" t="s">
        <v>379</v>
      </c>
      <c r="T262" s="1012" t="s">
        <v>379</v>
      </c>
      <c r="U262" s="1012" t="s">
        <v>379</v>
      </c>
      <c r="V262" s="1012" t="s">
        <v>379</v>
      </c>
      <c r="W262" s="1012" t="s">
        <v>379</v>
      </c>
      <c r="X262" s="1012" t="s">
        <v>379</v>
      </c>
      <c r="Y262" s="1012" t="s">
        <v>379</v>
      </c>
      <c r="Z262" s="1012" t="s">
        <v>379</v>
      </c>
      <c r="AA262" s="1012" t="s">
        <v>379</v>
      </c>
      <c r="AB262" s="1012" t="s">
        <v>379</v>
      </c>
      <c r="AC262" s="1012">
        <v>0.5</v>
      </c>
      <c r="AD262" s="1023">
        <v>0.2</v>
      </c>
      <c r="AE262" s="1023">
        <v>0.3</v>
      </c>
      <c r="AF262" s="1023">
        <v>0.4</v>
      </c>
      <c r="AG262" s="1023">
        <v>0.3</v>
      </c>
      <c r="AH262" s="1023">
        <v>0.3</v>
      </c>
      <c r="AI262" s="1023">
        <v>0.3</v>
      </c>
      <c r="AJ262" s="1023">
        <v>0.4</v>
      </c>
    </row>
    <row r="263" spans="2:36">
      <c r="B263" s="1021" t="s">
        <v>395</v>
      </c>
      <c r="C263" s="1019"/>
      <c r="D263" s="1012"/>
      <c r="E263" s="1012"/>
      <c r="F263" s="1012"/>
      <c r="G263" s="1012"/>
      <c r="H263" s="1012"/>
      <c r="I263" s="1012"/>
      <c r="J263" s="1012"/>
      <c r="K263" s="1012"/>
      <c r="L263" s="1012"/>
      <c r="M263" s="1012"/>
      <c r="N263" s="1012"/>
      <c r="O263" s="1012"/>
      <c r="P263" s="1012"/>
      <c r="Q263" s="1012"/>
      <c r="R263" s="1012"/>
      <c r="S263" s="1012"/>
      <c r="T263" s="1012"/>
      <c r="U263" s="1012"/>
      <c r="V263" s="1012"/>
      <c r="W263" s="1012"/>
      <c r="X263" s="1012"/>
      <c r="Y263" s="1012"/>
      <c r="Z263" s="1012"/>
      <c r="AA263" s="1012"/>
      <c r="AB263" s="1012"/>
      <c r="AC263" s="990"/>
      <c r="AD263" s="1012"/>
      <c r="AE263" s="1012"/>
      <c r="AF263" s="1012"/>
      <c r="AG263" s="1012"/>
      <c r="AH263" s="1012"/>
      <c r="AI263" s="1012"/>
      <c r="AJ263" s="1012"/>
    </row>
    <row r="264" spans="2:36">
      <c r="B264" s="959" t="s">
        <v>336</v>
      </c>
      <c r="C264" s="1052" t="s">
        <v>298</v>
      </c>
      <c r="D264" s="1012" t="s">
        <v>379</v>
      </c>
      <c r="E264" s="1012" t="s">
        <v>379</v>
      </c>
      <c r="F264" s="1012" t="s">
        <v>379</v>
      </c>
      <c r="G264" s="1012" t="s">
        <v>379</v>
      </c>
      <c r="H264" s="1012" t="s">
        <v>379</v>
      </c>
      <c r="I264" s="1012" t="s">
        <v>379</v>
      </c>
      <c r="J264" s="1012" t="s">
        <v>379</v>
      </c>
      <c r="K264" s="1012" t="s">
        <v>379</v>
      </c>
      <c r="L264" s="1012" t="s">
        <v>379</v>
      </c>
      <c r="M264" s="1012" t="s">
        <v>379</v>
      </c>
      <c r="N264" s="1012" t="s">
        <v>379</v>
      </c>
      <c r="O264" s="1012" t="s">
        <v>379</v>
      </c>
      <c r="P264" s="1012" t="s">
        <v>379</v>
      </c>
      <c r="Q264" s="1012" t="s">
        <v>379</v>
      </c>
      <c r="R264" s="1012" t="s">
        <v>379</v>
      </c>
      <c r="S264" s="1012" t="s">
        <v>379</v>
      </c>
      <c r="T264" s="1012" t="s">
        <v>379</v>
      </c>
      <c r="U264" s="1012" t="s">
        <v>379</v>
      </c>
      <c r="V264" s="1012" t="s">
        <v>379</v>
      </c>
      <c r="W264" s="1012" t="s">
        <v>379</v>
      </c>
      <c r="X264" s="1012" t="s">
        <v>379</v>
      </c>
      <c r="Y264" s="1012" t="s">
        <v>379</v>
      </c>
      <c r="Z264" s="1012" t="s">
        <v>379</v>
      </c>
      <c r="AA264" s="1012" t="s">
        <v>379</v>
      </c>
      <c r="AB264" s="1012" t="s">
        <v>379</v>
      </c>
      <c r="AC264" s="1012" t="s">
        <v>379</v>
      </c>
      <c r="AD264" s="1023">
        <v>8.83</v>
      </c>
      <c r="AE264" s="1023">
        <v>1.99</v>
      </c>
      <c r="AF264" s="1023">
        <v>2.11</v>
      </c>
      <c r="AG264" s="1023">
        <v>1.34</v>
      </c>
      <c r="AH264" s="1023">
        <v>0.67</v>
      </c>
      <c r="AI264" s="1023">
        <v>2.69</v>
      </c>
      <c r="AJ264" s="1655"/>
    </row>
    <row r="265" spans="2:36">
      <c r="B265" s="959" t="s">
        <v>336</v>
      </c>
      <c r="C265" s="1028" t="s">
        <v>321</v>
      </c>
      <c r="D265" s="1012" t="s">
        <v>379</v>
      </c>
      <c r="E265" s="1012" t="s">
        <v>379</v>
      </c>
      <c r="F265" s="1012" t="s">
        <v>379</v>
      </c>
      <c r="G265" s="1012" t="s">
        <v>379</v>
      </c>
      <c r="H265" s="1012" t="s">
        <v>379</v>
      </c>
      <c r="I265" s="1012" t="s">
        <v>379</v>
      </c>
      <c r="J265" s="1012" t="s">
        <v>379</v>
      </c>
      <c r="K265" s="1012" t="s">
        <v>379</v>
      </c>
      <c r="L265" s="1012" t="s">
        <v>379</v>
      </c>
      <c r="M265" s="1012" t="s">
        <v>379</v>
      </c>
      <c r="N265" s="1012" t="s">
        <v>379</v>
      </c>
      <c r="O265" s="1012" t="s">
        <v>379</v>
      </c>
      <c r="P265" s="1012" t="s">
        <v>379</v>
      </c>
      <c r="Q265" s="1012" t="s">
        <v>379</v>
      </c>
      <c r="R265" s="1012" t="s">
        <v>379</v>
      </c>
      <c r="S265" s="1012" t="s">
        <v>379</v>
      </c>
      <c r="T265" s="1012" t="s">
        <v>379</v>
      </c>
      <c r="U265" s="1012" t="s">
        <v>379</v>
      </c>
      <c r="V265" s="1012" t="s">
        <v>379</v>
      </c>
      <c r="W265" s="1012" t="s">
        <v>379</v>
      </c>
      <c r="X265" s="1012" t="s">
        <v>379</v>
      </c>
      <c r="Y265" s="1012" t="s">
        <v>379</v>
      </c>
      <c r="Z265" s="1012" t="s">
        <v>379</v>
      </c>
      <c r="AA265" s="1012" t="s">
        <v>379</v>
      </c>
      <c r="AB265" s="1012" t="s">
        <v>379</v>
      </c>
      <c r="AC265" s="1012" t="s">
        <v>379</v>
      </c>
      <c r="AD265" s="1023">
        <v>0.3</v>
      </c>
      <c r="AE265" s="1023">
        <v>0.1</v>
      </c>
      <c r="AF265" s="1023">
        <v>0.1</v>
      </c>
      <c r="AG265" s="1023">
        <v>0</v>
      </c>
      <c r="AH265" s="1023">
        <v>0</v>
      </c>
      <c r="AI265" s="1023">
        <v>0.1</v>
      </c>
      <c r="AJ265" s="1655"/>
    </row>
    <row r="266" spans="2:36">
      <c r="B266" s="959" t="s">
        <v>337</v>
      </c>
      <c r="C266" s="1052" t="s">
        <v>390</v>
      </c>
      <c r="D266" s="1012" t="s">
        <v>379</v>
      </c>
      <c r="E266" s="1012" t="s">
        <v>379</v>
      </c>
      <c r="F266" s="1012" t="s">
        <v>379</v>
      </c>
      <c r="G266" s="1012" t="s">
        <v>379</v>
      </c>
      <c r="H266" s="1012" t="s">
        <v>379</v>
      </c>
      <c r="I266" s="1012" t="s">
        <v>379</v>
      </c>
      <c r="J266" s="1012" t="s">
        <v>379</v>
      </c>
      <c r="K266" s="1012" t="s">
        <v>379</v>
      </c>
      <c r="L266" s="1012" t="s">
        <v>379</v>
      </c>
      <c r="M266" s="1012" t="s">
        <v>379</v>
      </c>
      <c r="N266" s="1012" t="s">
        <v>379</v>
      </c>
      <c r="O266" s="1012" t="s">
        <v>379</v>
      </c>
      <c r="P266" s="1012" t="s">
        <v>379</v>
      </c>
      <c r="Q266" s="1012" t="s">
        <v>379</v>
      </c>
      <c r="R266" s="1012" t="s">
        <v>379</v>
      </c>
      <c r="S266" s="1012" t="s">
        <v>379</v>
      </c>
      <c r="T266" s="1012" t="s">
        <v>379</v>
      </c>
      <c r="U266" s="1012" t="s">
        <v>379</v>
      </c>
      <c r="V266" s="1012" t="s">
        <v>379</v>
      </c>
      <c r="W266" s="1012" t="s">
        <v>379</v>
      </c>
      <c r="X266" s="1012" t="s">
        <v>379</v>
      </c>
      <c r="Y266" s="1012" t="s">
        <v>379</v>
      </c>
      <c r="Z266" s="1012" t="s">
        <v>379</v>
      </c>
      <c r="AA266" s="1012" t="s">
        <v>379</v>
      </c>
      <c r="AB266" s="1012" t="s">
        <v>379</v>
      </c>
      <c r="AC266" s="1012" t="s">
        <v>379</v>
      </c>
      <c r="AD266" s="1050">
        <v>0</v>
      </c>
      <c r="AE266" s="1050">
        <v>0</v>
      </c>
      <c r="AF266" s="1050">
        <v>0</v>
      </c>
      <c r="AG266" s="1050">
        <v>0</v>
      </c>
      <c r="AH266" s="1050">
        <v>0</v>
      </c>
      <c r="AI266" s="1050">
        <v>0</v>
      </c>
      <c r="AJ266" s="1656"/>
    </row>
    <row r="267" spans="2:36">
      <c r="B267" s="959" t="s">
        <v>337</v>
      </c>
      <c r="C267" s="1052" t="s">
        <v>298</v>
      </c>
      <c r="D267" s="1012" t="s">
        <v>379</v>
      </c>
      <c r="E267" s="1012" t="s">
        <v>379</v>
      </c>
      <c r="F267" s="1012" t="s">
        <v>379</v>
      </c>
      <c r="G267" s="1012" t="s">
        <v>379</v>
      </c>
      <c r="H267" s="1012" t="s">
        <v>379</v>
      </c>
      <c r="I267" s="1012" t="s">
        <v>379</v>
      </c>
      <c r="J267" s="1012" t="s">
        <v>379</v>
      </c>
      <c r="K267" s="1012" t="s">
        <v>379</v>
      </c>
      <c r="L267" s="1012" t="s">
        <v>379</v>
      </c>
      <c r="M267" s="1012" t="s">
        <v>379</v>
      </c>
      <c r="N267" s="1012" t="s">
        <v>379</v>
      </c>
      <c r="O267" s="1012" t="s">
        <v>379</v>
      </c>
      <c r="P267" s="1012" t="s">
        <v>379</v>
      </c>
      <c r="Q267" s="1012" t="s">
        <v>379</v>
      </c>
      <c r="R267" s="1012" t="s">
        <v>379</v>
      </c>
      <c r="S267" s="1012" t="s">
        <v>379</v>
      </c>
      <c r="T267" s="1012" t="s">
        <v>379</v>
      </c>
      <c r="U267" s="1012" t="s">
        <v>379</v>
      </c>
      <c r="V267" s="1012" t="s">
        <v>379</v>
      </c>
      <c r="W267" s="1012" t="s">
        <v>379</v>
      </c>
      <c r="X267" s="1012" t="s">
        <v>379</v>
      </c>
      <c r="Y267" s="1012" t="s">
        <v>379</v>
      </c>
      <c r="Z267" s="1012" t="s">
        <v>379</v>
      </c>
      <c r="AA267" s="1012" t="s">
        <v>379</v>
      </c>
      <c r="AB267" s="1012" t="s">
        <v>379</v>
      </c>
      <c r="AC267" s="1012" t="s">
        <v>379</v>
      </c>
      <c r="AD267" s="1050">
        <v>0</v>
      </c>
      <c r="AE267" s="1050">
        <v>0</v>
      </c>
      <c r="AF267" s="1050">
        <v>0</v>
      </c>
      <c r="AG267" s="1050">
        <v>0</v>
      </c>
      <c r="AH267" s="1050">
        <v>0</v>
      </c>
      <c r="AI267" s="1050">
        <v>0</v>
      </c>
      <c r="AJ267" s="1656"/>
    </row>
    <row r="268" spans="2:36">
      <c r="B268" s="959" t="s">
        <v>337</v>
      </c>
      <c r="C268" s="1052" t="s">
        <v>321</v>
      </c>
      <c r="D268" s="1012" t="s">
        <v>379</v>
      </c>
      <c r="E268" s="1012" t="s">
        <v>379</v>
      </c>
      <c r="F268" s="1012" t="s">
        <v>379</v>
      </c>
      <c r="G268" s="1012" t="s">
        <v>379</v>
      </c>
      <c r="H268" s="1012" t="s">
        <v>379</v>
      </c>
      <c r="I268" s="1012" t="s">
        <v>379</v>
      </c>
      <c r="J268" s="1012" t="s">
        <v>379</v>
      </c>
      <c r="K268" s="1012" t="s">
        <v>379</v>
      </c>
      <c r="L268" s="1012" t="s">
        <v>379</v>
      </c>
      <c r="M268" s="1012" t="s">
        <v>379</v>
      </c>
      <c r="N268" s="1012" t="s">
        <v>379</v>
      </c>
      <c r="O268" s="1012" t="s">
        <v>379</v>
      </c>
      <c r="P268" s="1012" t="s">
        <v>379</v>
      </c>
      <c r="Q268" s="1012" t="s">
        <v>379</v>
      </c>
      <c r="R268" s="1012" t="s">
        <v>379</v>
      </c>
      <c r="S268" s="1012" t="s">
        <v>379</v>
      </c>
      <c r="T268" s="1012" t="s">
        <v>379</v>
      </c>
      <c r="U268" s="1012" t="s">
        <v>379</v>
      </c>
      <c r="V268" s="1012" t="s">
        <v>379</v>
      </c>
      <c r="W268" s="1012" t="s">
        <v>379</v>
      </c>
      <c r="X268" s="1012" t="s">
        <v>379</v>
      </c>
      <c r="Y268" s="1012" t="s">
        <v>379</v>
      </c>
      <c r="Z268" s="1012" t="s">
        <v>379</v>
      </c>
      <c r="AA268" s="1012" t="s">
        <v>379</v>
      </c>
      <c r="AB268" s="1012" t="s">
        <v>379</v>
      </c>
      <c r="AC268" s="1012" t="s">
        <v>379</v>
      </c>
      <c r="AD268" s="1050">
        <v>0</v>
      </c>
      <c r="AE268" s="1050">
        <v>0</v>
      </c>
      <c r="AF268" s="1050">
        <v>0</v>
      </c>
      <c r="AG268" s="1050">
        <v>0</v>
      </c>
      <c r="AH268" s="1050">
        <v>0</v>
      </c>
      <c r="AI268" s="1050">
        <v>0</v>
      </c>
      <c r="AJ268" s="1656"/>
    </row>
    <row r="269" spans="2:36">
      <c r="B269" s="959" t="s">
        <v>339</v>
      </c>
      <c r="C269" s="1052" t="s">
        <v>390</v>
      </c>
      <c r="D269" s="1012" t="s">
        <v>379</v>
      </c>
      <c r="E269" s="1012" t="s">
        <v>379</v>
      </c>
      <c r="F269" s="1012" t="s">
        <v>379</v>
      </c>
      <c r="G269" s="1012" t="s">
        <v>379</v>
      </c>
      <c r="H269" s="1012" t="s">
        <v>379</v>
      </c>
      <c r="I269" s="1012" t="s">
        <v>379</v>
      </c>
      <c r="J269" s="1012" t="s">
        <v>379</v>
      </c>
      <c r="K269" s="1012" t="s">
        <v>379</v>
      </c>
      <c r="L269" s="1012" t="s">
        <v>379</v>
      </c>
      <c r="M269" s="1012" t="s">
        <v>379</v>
      </c>
      <c r="N269" s="1012" t="s">
        <v>379</v>
      </c>
      <c r="O269" s="1012" t="s">
        <v>379</v>
      </c>
      <c r="P269" s="1012" t="s">
        <v>379</v>
      </c>
      <c r="Q269" s="1012" t="s">
        <v>379</v>
      </c>
      <c r="R269" s="1012" t="s">
        <v>379</v>
      </c>
      <c r="S269" s="1012" t="s">
        <v>379</v>
      </c>
      <c r="T269" s="1012" t="s">
        <v>379</v>
      </c>
      <c r="U269" s="1012" t="s">
        <v>379</v>
      </c>
      <c r="V269" s="1012" t="s">
        <v>379</v>
      </c>
      <c r="W269" s="1012" t="s">
        <v>379</v>
      </c>
      <c r="X269" s="1012" t="s">
        <v>379</v>
      </c>
      <c r="Y269" s="1012" t="s">
        <v>379</v>
      </c>
      <c r="Z269" s="1012" t="s">
        <v>379</v>
      </c>
      <c r="AA269" s="1012" t="s">
        <v>379</v>
      </c>
      <c r="AB269" s="1012" t="s">
        <v>379</v>
      </c>
      <c r="AC269" s="1012" t="s">
        <v>379</v>
      </c>
      <c r="AD269" s="1050">
        <v>2</v>
      </c>
      <c r="AE269" s="1050">
        <v>2</v>
      </c>
      <c r="AF269" s="1050">
        <v>2</v>
      </c>
      <c r="AG269" s="1050">
        <v>2</v>
      </c>
      <c r="AH269" s="1050">
        <v>2</v>
      </c>
      <c r="AI269" s="1050">
        <v>2</v>
      </c>
      <c r="AJ269" s="1656"/>
    </row>
    <row r="270" spans="2:36">
      <c r="B270" s="959" t="s">
        <v>339</v>
      </c>
      <c r="C270" s="1052" t="s">
        <v>298</v>
      </c>
      <c r="D270" s="1012" t="s">
        <v>379</v>
      </c>
      <c r="E270" s="1012" t="s">
        <v>379</v>
      </c>
      <c r="F270" s="1012" t="s">
        <v>379</v>
      </c>
      <c r="G270" s="1012" t="s">
        <v>379</v>
      </c>
      <c r="H270" s="1012" t="s">
        <v>379</v>
      </c>
      <c r="I270" s="1012" t="s">
        <v>379</v>
      </c>
      <c r="J270" s="1012" t="s">
        <v>379</v>
      </c>
      <c r="K270" s="1012" t="s">
        <v>379</v>
      </c>
      <c r="L270" s="1012" t="s">
        <v>379</v>
      </c>
      <c r="M270" s="1012" t="s">
        <v>379</v>
      </c>
      <c r="N270" s="1012" t="s">
        <v>379</v>
      </c>
      <c r="O270" s="1012" t="s">
        <v>379</v>
      </c>
      <c r="P270" s="1012" t="s">
        <v>379</v>
      </c>
      <c r="Q270" s="1012" t="s">
        <v>379</v>
      </c>
      <c r="R270" s="1012" t="s">
        <v>379</v>
      </c>
      <c r="S270" s="1012" t="s">
        <v>379</v>
      </c>
      <c r="T270" s="1012" t="s">
        <v>379</v>
      </c>
      <c r="U270" s="1012" t="s">
        <v>379</v>
      </c>
      <c r="V270" s="1012" t="s">
        <v>379</v>
      </c>
      <c r="W270" s="1012" t="s">
        <v>379</v>
      </c>
      <c r="X270" s="1012" t="s">
        <v>379</v>
      </c>
      <c r="Y270" s="1012" t="s">
        <v>379</v>
      </c>
      <c r="Z270" s="1012" t="s">
        <v>379</v>
      </c>
      <c r="AA270" s="1012" t="s">
        <v>379</v>
      </c>
      <c r="AB270" s="1012" t="s">
        <v>379</v>
      </c>
      <c r="AC270" s="1012" t="s">
        <v>379</v>
      </c>
      <c r="AD270" s="1023">
        <f>0.06+0.49</f>
        <v>0.55000000000000004</v>
      </c>
      <c r="AE270" s="1023">
        <v>0.47</v>
      </c>
      <c r="AF270" s="1023">
        <f>0.051+0.042+0.715</f>
        <v>0.80799999999999994</v>
      </c>
      <c r="AG270" s="1023">
        <v>9</v>
      </c>
      <c r="AH270" s="1023">
        <v>21.35</v>
      </c>
      <c r="AI270" s="1023">
        <v>30.53</v>
      </c>
      <c r="AJ270" s="1655"/>
    </row>
    <row r="271" spans="2:36">
      <c r="B271" s="959" t="s">
        <v>339</v>
      </c>
      <c r="C271" s="1028" t="s">
        <v>321</v>
      </c>
      <c r="D271" s="1012" t="s">
        <v>379</v>
      </c>
      <c r="E271" s="1012" t="s">
        <v>379</v>
      </c>
      <c r="F271" s="1012" t="s">
        <v>379</v>
      </c>
      <c r="G271" s="1012" t="s">
        <v>379</v>
      </c>
      <c r="H271" s="1012" t="s">
        <v>379</v>
      </c>
      <c r="I271" s="1012" t="s">
        <v>379</v>
      </c>
      <c r="J271" s="1012" t="s">
        <v>379</v>
      </c>
      <c r="K271" s="1012" t="s">
        <v>379</v>
      </c>
      <c r="L271" s="1012" t="s">
        <v>379</v>
      </c>
      <c r="M271" s="1012" t="s">
        <v>379</v>
      </c>
      <c r="N271" s="1012" t="s">
        <v>379</v>
      </c>
      <c r="O271" s="1012" t="s">
        <v>379</v>
      </c>
      <c r="P271" s="1012" t="s">
        <v>379</v>
      </c>
      <c r="Q271" s="1012" t="s">
        <v>379</v>
      </c>
      <c r="R271" s="1012" t="s">
        <v>379</v>
      </c>
      <c r="S271" s="1012" t="s">
        <v>379</v>
      </c>
      <c r="T271" s="1012" t="s">
        <v>379</v>
      </c>
      <c r="U271" s="1012" t="s">
        <v>379</v>
      </c>
      <c r="V271" s="1012" t="s">
        <v>379</v>
      </c>
      <c r="W271" s="1012" t="s">
        <v>379</v>
      </c>
      <c r="X271" s="1012" t="s">
        <v>379</v>
      </c>
      <c r="Y271" s="1012" t="s">
        <v>379</v>
      </c>
      <c r="Z271" s="1012" t="s">
        <v>379</v>
      </c>
      <c r="AA271" s="1012" t="s">
        <v>379</v>
      </c>
      <c r="AB271" s="1012" t="s">
        <v>379</v>
      </c>
      <c r="AC271" s="1012" t="s">
        <v>379</v>
      </c>
      <c r="AD271" s="1023">
        <v>0.47</v>
      </c>
      <c r="AE271" s="1023">
        <v>0.01</v>
      </c>
      <c r="AF271" s="1023">
        <v>2.3E-2</v>
      </c>
      <c r="AG271" s="1023">
        <v>0.26</v>
      </c>
      <c r="AH271" s="1023">
        <v>0.59</v>
      </c>
      <c r="AI271" s="1023">
        <v>0.88</v>
      </c>
      <c r="AJ271" s="1655"/>
    </row>
    <row r="272" spans="2:36">
      <c r="B272" s="959" t="s">
        <v>340</v>
      </c>
      <c r="C272" s="1052" t="s">
        <v>390</v>
      </c>
      <c r="D272" s="1012" t="s">
        <v>379</v>
      </c>
      <c r="E272" s="1012" t="s">
        <v>379</v>
      </c>
      <c r="F272" s="1012" t="s">
        <v>379</v>
      </c>
      <c r="G272" s="1012" t="s">
        <v>379</v>
      </c>
      <c r="H272" s="1012" t="s">
        <v>379</v>
      </c>
      <c r="I272" s="1012" t="s">
        <v>379</v>
      </c>
      <c r="J272" s="1012" t="s">
        <v>379</v>
      </c>
      <c r="K272" s="1012" t="s">
        <v>379</v>
      </c>
      <c r="L272" s="1012" t="s">
        <v>379</v>
      </c>
      <c r="M272" s="1012" t="s">
        <v>379</v>
      </c>
      <c r="N272" s="1012" t="s">
        <v>379</v>
      </c>
      <c r="O272" s="1012" t="s">
        <v>379</v>
      </c>
      <c r="P272" s="1012" t="s">
        <v>379</v>
      </c>
      <c r="Q272" s="1012" t="s">
        <v>379</v>
      </c>
      <c r="R272" s="1012" t="s">
        <v>379</v>
      </c>
      <c r="S272" s="1012" t="s">
        <v>379</v>
      </c>
      <c r="T272" s="1012" t="s">
        <v>379</v>
      </c>
      <c r="U272" s="1012" t="s">
        <v>379</v>
      </c>
      <c r="V272" s="1012" t="s">
        <v>379</v>
      </c>
      <c r="W272" s="1012" t="s">
        <v>379</v>
      </c>
      <c r="X272" s="1012" t="s">
        <v>379</v>
      </c>
      <c r="Y272" s="1012" t="s">
        <v>379</v>
      </c>
      <c r="Z272" s="1012" t="s">
        <v>379</v>
      </c>
      <c r="AA272" s="1012" t="s">
        <v>379</v>
      </c>
      <c r="AB272" s="1012" t="s">
        <v>379</v>
      </c>
      <c r="AC272" s="1012" t="s">
        <v>379</v>
      </c>
      <c r="AD272" s="1050">
        <v>1</v>
      </c>
      <c r="AE272" s="1050">
        <v>1</v>
      </c>
      <c r="AF272" s="1050">
        <v>1</v>
      </c>
      <c r="AG272" s="1050">
        <v>1</v>
      </c>
      <c r="AH272" s="1050">
        <v>1</v>
      </c>
      <c r="AI272" s="1050">
        <v>1</v>
      </c>
      <c r="AJ272" s="1656"/>
    </row>
    <row r="273" spans="2:37">
      <c r="B273" s="1054" t="s">
        <v>340</v>
      </c>
      <c r="C273" s="1052" t="s">
        <v>298</v>
      </c>
      <c r="D273" s="1012" t="s">
        <v>379</v>
      </c>
      <c r="E273" s="1012" t="s">
        <v>379</v>
      </c>
      <c r="F273" s="1012" t="s">
        <v>379</v>
      </c>
      <c r="G273" s="1012" t="s">
        <v>379</v>
      </c>
      <c r="H273" s="1012" t="s">
        <v>379</v>
      </c>
      <c r="I273" s="1012" t="s">
        <v>379</v>
      </c>
      <c r="J273" s="1012" t="s">
        <v>379</v>
      </c>
      <c r="K273" s="1012" t="s">
        <v>379</v>
      </c>
      <c r="L273" s="1012" t="s">
        <v>379</v>
      </c>
      <c r="M273" s="1012" t="s">
        <v>379</v>
      </c>
      <c r="N273" s="1012" t="s">
        <v>379</v>
      </c>
      <c r="O273" s="1012" t="s">
        <v>379</v>
      </c>
      <c r="P273" s="1012" t="s">
        <v>379</v>
      </c>
      <c r="Q273" s="1012" t="s">
        <v>379</v>
      </c>
      <c r="R273" s="1012" t="s">
        <v>379</v>
      </c>
      <c r="S273" s="1012" t="s">
        <v>379</v>
      </c>
      <c r="T273" s="1012" t="s">
        <v>379</v>
      </c>
      <c r="U273" s="1012" t="s">
        <v>379</v>
      </c>
      <c r="V273" s="1012" t="s">
        <v>379</v>
      </c>
      <c r="W273" s="1012" t="s">
        <v>379</v>
      </c>
      <c r="X273" s="1012" t="s">
        <v>379</v>
      </c>
      <c r="Y273" s="1012" t="s">
        <v>379</v>
      </c>
      <c r="Z273" s="1012" t="s">
        <v>379</v>
      </c>
      <c r="AA273" s="1012" t="s">
        <v>379</v>
      </c>
      <c r="AB273" s="1012" t="s">
        <v>379</v>
      </c>
      <c r="AC273" s="1012" t="s">
        <v>379</v>
      </c>
      <c r="AD273" s="1023">
        <v>16.34</v>
      </c>
      <c r="AE273" s="1023">
        <v>0</v>
      </c>
      <c r="AF273" s="1023">
        <v>1.514</v>
      </c>
      <c r="AG273" s="1023">
        <v>50.77</v>
      </c>
      <c r="AH273" s="1023">
        <v>11.19</v>
      </c>
      <c r="AI273" s="1023">
        <v>51.51</v>
      </c>
      <c r="AJ273" s="1655"/>
    </row>
    <row r="274" spans="2:37">
      <c r="B274" s="1054" t="s">
        <v>340</v>
      </c>
      <c r="C274" s="1052" t="s">
        <v>321</v>
      </c>
      <c r="D274" s="1012" t="s">
        <v>379</v>
      </c>
      <c r="E274" s="1012" t="s">
        <v>379</v>
      </c>
      <c r="F274" s="1012" t="s">
        <v>379</v>
      </c>
      <c r="G274" s="1012" t="s">
        <v>379</v>
      </c>
      <c r="H274" s="1012" t="s">
        <v>379</v>
      </c>
      <c r="I274" s="1012" t="s">
        <v>379</v>
      </c>
      <c r="J274" s="1012" t="s">
        <v>379</v>
      </c>
      <c r="K274" s="1012" t="s">
        <v>379</v>
      </c>
      <c r="L274" s="1012" t="s">
        <v>379</v>
      </c>
      <c r="M274" s="1012" t="s">
        <v>379</v>
      </c>
      <c r="N274" s="1012" t="s">
        <v>379</v>
      </c>
      <c r="O274" s="1012" t="s">
        <v>379</v>
      </c>
      <c r="P274" s="1012" t="s">
        <v>379</v>
      </c>
      <c r="Q274" s="1012" t="s">
        <v>379</v>
      </c>
      <c r="R274" s="1012" t="s">
        <v>379</v>
      </c>
      <c r="S274" s="1012" t="s">
        <v>379</v>
      </c>
      <c r="T274" s="1012" t="s">
        <v>379</v>
      </c>
      <c r="U274" s="1012" t="s">
        <v>379</v>
      </c>
      <c r="V274" s="1012" t="s">
        <v>379</v>
      </c>
      <c r="W274" s="1012" t="s">
        <v>379</v>
      </c>
      <c r="X274" s="1012" t="s">
        <v>379</v>
      </c>
      <c r="Y274" s="1012" t="s">
        <v>379</v>
      </c>
      <c r="Z274" s="1012" t="s">
        <v>379</v>
      </c>
      <c r="AA274" s="1012" t="s">
        <v>379</v>
      </c>
      <c r="AB274" s="1012" t="s">
        <v>379</v>
      </c>
      <c r="AC274" s="1012" t="s">
        <v>379</v>
      </c>
      <c r="AD274" s="1023">
        <v>0.55000000000000004</v>
      </c>
      <c r="AE274" s="1023">
        <v>0</v>
      </c>
      <c r="AF274" s="1023">
        <v>0.04</v>
      </c>
      <c r="AG274" s="1023">
        <v>1.46</v>
      </c>
      <c r="AH274" s="1023">
        <v>0.32</v>
      </c>
      <c r="AI274" s="1023">
        <v>1.49</v>
      </c>
      <c r="AJ274" s="1655"/>
    </row>
    <row r="275" spans="2:37">
      <c r="B275" s="1028" t="s">
        <v>396</v>
      </c>
      <c r="C275" s="1052" t="s">
        <v>381</v>
      </c>
      <c r="D275" s="1012" t="s">
        <v>379</v>
      </c>
      <c r="E275" s="1012" t="s">
        <v>379</v>
      </c>
      <c r="F275" s="1012" t="s">
        <v>379</v>
      </c>
      <c r="G275" s="1012" t="s">
        <v>379</v>
      </c>
      <c r="H275" s="1012" t="s">
        <v>379</v>
      </c>
      <c r="I275" s="1012" t="s">
        <v>379</v>
      </c>
      <c r="J275" s="1012" t="s">
        <v>379</v>
      </c>
      <c r="K275" s="1012" t="s">
        <v>379</v>
      </c>
      <c r="L275" s="1012" t="s">
        <v>379</v>
      </c>
      <c r="M275" s="1012" t="s">
        <v>379</v>
      </c>
      <c r="N275" s="1012" t="s">
        <v>379</v>
      </c>
      <c r="O275" s="1012" t="s">
        <v>379</v>
      </c>
      <c r="P275" s="1012" t="s">
        <v>379</v>
      </c>
      <c r="Q275" s="1012" t="s">
        <v>379</v>
      </c>
      <c r="R275" s="1012" t="s">
        <v>379</v>
      </c>
      <c r="S275" s="1012" t="s">
        <v>379</v>
      </c>
      <c r="T275" s="1012" t="s">
        <v>379</v>
      </c>
      <c r="U275" s="1012" t="s">
        <v>379</v>
      </c>
      <c r="V275" s="1012" t="s">
        <v>379</v>
      </c>
      <c r="W275" s="1012" t="s">
        <v>379</v>
      </c>
      <c r="X275" s="1012" t="s">
        <v>379</v>
      </c>
      <c r="Y275" s="1012" t="s">
        <v>379</v>
      </c>
      <c r="Z275" s="1012" t="s">
        <v>379</v>
      </c>
      <c r="AA275" s="1012" t="s">
        <v>379</v>
      </c>
      <c r="AB275" s="1012" t="s">
        <v>379</v>
      </c>
      <c r="AC275" s="1012" t="s">
        <v>379</v>
      </c>
      <c r="AD275" s="1050">
        <v>106</v>
      </c>
      <c r="AE275" s="1050">
        <v>141</v>
      </c>
      <c r="AF275" s="1050">
        <v>86</v>
      </c>
      <c r="AG275" s="1050">
        <v>211</v>
      </c>
      <c r="AH275" s="1050">
        <v>295</v>
      </c>
      <c r="AI275" s="1050">
        <v>286</v>
      </c>
      <c r="AJ275" s="1656"/>
    </row>
    <row r="276" spans="2:37">
      <c r="B276" s="1028" t="s">
        <v>392</v>
      </c>
      <c r="C276" s="1052" t="s">
        <v>298</v>
      </c>
      <c r="D276" s="1012" t="s">
        <v>379</v>
      </c>
      <c r="E276" s="1012" t="s">
        <v>379</v>
      </c>
      <c r="F276" s="1012" t="s">
        <v>379</v>
      </c>
      <c r="G276" s="1012" t="s">
        <v>379</v>
      </c>
      <c r="H276" s="1012" t="s">
        <v>379</v>
      </c>
      <c r="I276" s="1012" t="s">
        <v>379</v>
      </c>
      <c r="J276" s="1012" t="s">
        <v>379</v>
      </c>
      <c r="K276" s="1012" t="s">
        <v>379</v>
      </c>
      <c r="L276" s="1012" t="s">
        <v>379</v>
      </c>
      <c r="M276" s="1012" t="s">
        <v>379</v>
      </c>
      <c r="N276" s="1012" t="s">
        <v>379</v>
      </c>
      <c r="O276" s="1012" t="s">
        <v>379</v>
      </c>
      <c r="P276" s="1012" t="s">
        <v>379</v>
      </c>
      <c r="Q276" s="1012" t="s">
        <v>379</v>
      </c>
      <c r="R276" s="1012" t="s">
        <v>379</v>
      </c>
      <c r="S276" s="1012" t="s">
        <v>379</v>
      </c>
      <c r="T276" s="1012" t="s">
        <v>379</v>
      </c>
      <c r="U276" s="1012" t="s">
        <v>379</v>
      </c>
      <c r="V276" s="1012" t="s">
        <v>379</v>
      </c>
      <c r="W276" s="1012" t="s">
        <v>379</v>
      </c>
      <c r="X276" s="1012" t="s">
        <v>379</v>
      </c>
      <c r="Y276" s="1012" t="s">
        <v>379</v>
      </c>
      <c r="Z276" s="1012" t="s">
        <v>379</v>
      </c>
      <c r="AA276" s="1012" t="s">
        <v>379</v>
      </c>
      <c r="AB276" s="1012" t="s">
        <v>379</v>
      </c>
      <c r="AC276" s="1012" t="s">
        <v>379</v>
      </c>
      <c r="AD276" s="1023">
        <v>8.41</v>
      </c>
      <c r="AE276" s="1023">
        <v>9.49</v>
      </c>
      <c r="AF276" s="1155">
        <v>7.93</v>
      </c>
      <c r="AG276" s="1023">
        <v>9.77</v>
      </c>
      <c r="AH276" s="1023">
        <v>13.27</v>
      </c>
      <c r="AI276" s="1023">
        <v>16.09</v>
      </c>
      <c r="AJ276" s="1655"/>
    </row>
    <row r="277" spans="2:37">
      <c r="B277" s="1028" t="s">
        <v>392</v>
      </c>
      <c r="C277" s="1052" t="s">
        <v>321</v>
      </c>
      <c r="D277" s="1012" t="s">
        <v>379</v>
      </c>
      <c r="E277" s="1012" t="s">
        <v>379</v>
      </c>
      <c r="F277" s="1012" t="s">
        <v>379</v>
      </c>
      <c r="G277" s="1012" t="s">
        <v>379</v>
      </c>
      <c r="H277" s="1012" t="s">
        <v>379</v>
      </c>
      <c r="I277" s="1012" t="s">
        <v>379</v>
      </c>
      <c r="J277" s="1012" t="s">
        <v>379</v>
      </c>
      <c r="K277" s="1012" t="s">
        <v>379</v>
      </c>
      <c r="L277" s="1012" t="s">
        <v>379</v>
      </c>
      <c r="M277" s="1012" t="s">
        <v>379</v>
      </c>
      <c r="N277" s="1012" t="s">
        <v>379</v>
      </c>
      <c r="O277" s="1012" t="s">
        <v>379</v>
      </c>
      <c r="P277" s="1012" t="s">
        <v>379</v>
      </c>
      <c r="Q277" s="1012" t="s">
        <v>379</v>
      </c>
      <c r="R277" s="1012" t="s">
        <v>379</v>
      </c>
      <c r="S277" s="1012" t="s">
        <v>379</v>
      </c>
      <c r="T277" s="1012" t="s">
        <v>379</v>
      </c>
      <c r="U277" s="1012" t="s">
        <v>379</v>
      </c>
      <c r="V277" s="1012" t="s">
        <v>379</v>
      </c>
      <c r="W277" s="1012" t="s">
        <v>379</v>
      </c>
      <c r="X277" s="1012" t="s">
        <v>379</v>
      </c>
      <c r="Y277" s="1012" t="s">
        <v>379</v>
      </c>
      <c r="Z277" s="1012" t="s">
        <v>379</v>
      </c>
      <c r="AA277" s="1012" t="s">
        <v>379</v>
      </c>
      <c r="AB277" s="1012" t="s">
        <v>379</v>
      </c>
      <c r="AC277" s="1012" t="s">
        <v>379</v>
      </c>
      <c r="AD277" s="1012">
        <v>0.2</v>
      </c>
      <c r="AE277" s="1012">
        <v>0.3</v>
      </c>
      <c r="AF277" s="1012">
        <v>0.2</v>
      </c>
      <c r="AG277" s="1012">
        <v>0.28000000000000003</v>
      </c>
      <c r="AH277" s="1012">
        <v>0.4</v>
      </c>
      <c r="AI277" s="1012">
        <v>0.46400000000000002</v>
      </c>
      <c r="AJ277" s="1657"/>
    </row>
    <row r="278" spans="2:37">
      <c r="B278" s="1062" t="s">
        <v>397</v>
      </c>
      <c r="C278" s="1013"/>
      <c r="D278" s="1049">
        <v>1990</v>
      </c>
      <c r="E278" s="1049">
        <v>1991</v>
      </c>
      <c r="F278" s="1049">
        <v>1992</v>
      </c>
      <c r="G278" s="1049">
        <v>1993</v>
      </c>
      <c r="H278" s="1049">
        <v>1994</v>
      </c>
      <c r="I278" s="1049">
        <v>1995</v>
      </c>
      <c r="J278" s="1049">
        <v>1996</v>
      </c>
      <c r="K278" s="1049">
        <v>1997</v>
      </c>
      <c r="L278" s="1049">
        <v>1998</v>
      </c>
      <c r="M278" s="1049">
        <v>1999</v>
      </c>
      <c r="N278" s="1049">
        <v>2000</v>
      </c>
      <c r="O278" s="1049">
        <v>2001</v>
      </c>
      <c r="P278" s="1049">
        <v>2002</v>
      </c>
      <c r="Q278" s="1049">
        <v>2003</v>
      </c>
      <c r="R278" s="1049">
        <v>2004</v>
      </c>
      <c r="S278" s="1049">
        <v>2005</v>
      </c>
      <c r="T278" s="1049">
        <v>2006</v>
      </c>
      <c r="U278" s="1049">
        <v>2007</v>
      </c>
      <c r="V278" s="1049">
        <v>2008</v>
      </c>
      <c r="W278" s="1049">
        <v>2009</v>
      </c>
      <c r="X278" s="1049">
        <v>2010</v>
      </c>
      <c r="Y278" s="1049">
        <v>2011</v>
      </c>
      <c r="Z278" s="1049">
        <v>2012</v>
      </c>
      <c r="AA278" s="1049">
        <v>2013</v>
      </c>
      <c r="AB278" s="1049">
        <v>2014</v>
      </c>
      <c r="AC278" s="1049">
        <v>2015</v>
      </c>
      <c r="AD278" s="1049">
        <v>2016</v>
      </c>
      <c r="AE278" s="1049">
        <v>2017</v>
      </c>
      <c r="AF278" s="1049">
        <v>2018</v>
      </c>
      <c r="AG278" s="1049">
        <v>2019</v>
      </c>
      <c r="AH278" s="1217">
        <v>2020</v>
      </c>
      <c r="AI278" s="1049">
        <v>2021</v>
      </c>
      <c r="AJ278" s="1217">
        <v>2022</v>
      </c>
      <c r="AK278" s="1049">
        <v>2023</v>
      </c>
    </row>
    <row r="279" spans="2:37">
      <c r="B279" s="1027" t="s">
        <v>398</v>
      </c>
      <c r="C279" s="1018" t="s">
        <v>399</v>
      </c>
      <c r="D279" s="1012" t="s">
        <v>379</v>
      </c>
      <c r="E279" s="1012" t="s">
        <v>379</v>
      </c>
      <c r="F279" s="1012" t="s">
        <v>379</v>
      </c>
      <c r="G279" s="1012" t="s">
        <v>379</v>
      </c>
      <c r="H279" s="1012" t="s">
        <v>379</v>
      </c>
      <c r="I279" s="1012" t="s">
        <v>379</v>
      </c>
      <c r="J279" s="1012" t="s">
        <v>379</v>
      </c>
      <c r="K279" s="1012" t="s">
        <v>379</v>
      </c>
      <c r="L279" s="1012" t="s">
        <v>379</v>
      </c>
      <c r="M279" s="1012" t="s">
        <v>379</v>
      </c>
      <c r="N279" s="1012" t="s">
        <v>379</v>
      </c>
      <c r="O279" s="1012" t="s">
        <v>379</v>
      </c>
      <c r="P279" s="1012" t="s">
        <v>379</v>
      </c>
      <c r="Q279" s="1012" t="s">
        <v>379</v>
      </c>
      <c r="R279" s="1012" t="s">
        <v>379</v>
      </c>
      <c r="S279" s="1012" t="s">
        <v>379</v>
      </c>
      <c r="T279" s="1012" t="s">
        <v>379</v>
      </c>
      <c r="U279" s="1012" t="s">
        <v>379</v>
      </c>
      <c r="V279" s="1012" t="s">
        <v>379</v>
      </c>
      <c r="W279" s="1012" t="s">
        <v>379</v>
      </c>
      <c r="X279" s="1012" t="s">
        <v>379</v>
      </c>
      <c r="Y279" s="1012" t="s">
        <v>379</v>
      </c>
      <c r="Z279" s="1012" t="s">
        <v>379</v>
      </c>
      <c r="AA279" s="1012" t="s">
        <v>379</v>
      </c>
      <c r="AB279" s="1012" t="s">
        <v>379</v>
      </c>
      <c r="AC279" s="1025">
        <v>2</v>
      </c>
      <c r="AD279" s="1025">
        <v>3</v>
      </c>
      <c r="AE279" s="1025">
        <v>3</v>
      </c>
      <c r="AF279" s="1025">
        <v>3</v>
      </c>
      <c r="AG279" s="1025">
        <v>3</v>
      </c>
      <c r="AH279" s="1025">
        <v>3</v>
      </c>
      <c r="AI279" s="1025">
        <v>3</v>
      </c>
      <c r="AJ279" s="1025">
        <v>4</v>
      </c>
    </row>
    <row r="280" spans="2:37">
      <c r="B280" s="1022" t="s">
        <v>336</v>
      </c>
      <c r="C280" s="1026" t="s">
        <v>298</v>
      </c>
      <c r="D280" s="1012" t="s">
        <v>379</v>
      </c>
      <c r="E280" s="1012" t="s">
        <v>379</v>
      </c>
      <c r="F280" s="1012" t="s">
        <v>379</v>
      </c>
      <c r="G280" s="1012" t="s">
        <v>379</v>
      </c>
      <c r="H280" s="1012" t="s">
        <v>379</v>
      </c>
      <c r="I280" s="1012" t="s">
        <v>379</v>
      </c>
      <c r="J280" s="1012" t="s">
        <v>379</v>
      </c>
      <c r="K280" s="1012" t="s">
        <v>379</v>
      </c>
      <c r="L280" s="1012" t="s">
        <v>379</v>
      </c>
      <c r="M280" s="1012" t="s">
        <v>379</v>
      </c>
      <c r="N280" s="1012" t="s">
        <v>379</v>
      </c>
      <c r="O280" s="1012" t="s">
        <v>379</v>
      </c>
      <c r="P280" s="1012" t="s">
        <v>379</v>
      </c>
      <c r="Q280" s="1012" t="s">
        <v>379</v>
      </c>
      <c r="R280" s="1012" t="s">
        <v>379</v>
      </c>
      <c r="S280" s="1012" t="s">
        <v>379</v>
      </c>
      <c r="T280" s="1012" t="s">
        <v>379</v>
      </c>
      <c r="U280" s="1012" t="s">
        <v>379</v>
      </c>
      <c r="V280" s="1012" t="s">
        <v>379</v>
      </c>
      <c r="W280" s="1012" t="s">
        <v>379</v>
      </c>
      <c r="X280" s="1012" t="s">
        <v>379</v>
      </c>
      <c r="Y280" s="1012" t="s">
        <v>379</v>
      </c>
      <c r="Z280" s="1012" t="s">
        <v>379</v>
      </c>
      <c r="AA280" s="1012" t="s">
        <v>379</v>
      </c>
      <c r="AB280" s="1012" t="s">
        <v>379</v>
      </c>
      <c r="AC280" s="1020">
        <f t="shared" ref="AC280:AC293" si="273">AC234+AC249</f>
        <v>3.8099999999999996</v>
      </c>
      <c r="AD280" s="1020">
        <f t="shared" ref="AD280:AH280" si="274">AD234+AD249+AD264</f>
        <v>17.700000000000003</v>
      </c>
      <c r="AE280" s="1020">
        <f t="shared" si="274"/>
        <v>10.7</v>
      </c>
      <c r="AF280" s="1020">
        <f t="shared" si="274"/>
        <v>6.09</v>
      </c>
      <c r="AG280" s="1020">
        <f t="shared" si="274"/>
        <v>2.1500000000000004</v>
      </c>
      <c r="AH280" s="1020">
        <f t="shared" si="274"/>
        <v>3.7199999999999998</v>
      </c>
      <c r="AI280" s="1020">
        <f t="shared" ref="AI280:AJ280" si="275">AI234+AI249+AI264</f>
        <v>19.600000000000001</v>
      </c>
      <c r="AJ280" s="1020">
        <f t="shared" si="275"/>
        <v>24.419999999999998</v>
      </c>
    </row>
    <row r="281" spans="2:37">
      <c r="B281" s="1022" t="s">
        <v>336</v>
      </c>
      <c r="C281" s="1013" t="s">
        <v>321</v>
      </c>
      <c r="D281" s="1012" t="s">
        <v>379</v>
      </c>
      <c r="E281" s="1012" t="s">
        <v>379</v>
      </c>
      <c r="F281" s="1012" t="s">
        <v>379</v>
      </c>
      <c r="G281" s="1012" t="s">
        <v>379</v>
      </c>
      <c r="H281" s="1012" t="s">
        <v>379</v>
      </c>
      <c r="I281" s="1012" t="s">
        <v>379</v>
      </c>
      <c r="J281" s="1012" t="s">
        <v>379</v>
      </c>
      <c r="K281" s="1012" t="s">
        <v>379</v>
      </c>
      <c r="L281" s="1012" t="s">
        <v>379</v>
      </c>
      <c r="M281" s="1012" t="s">
        <v>379</v>
      </c>
      <c r="N281" s="1012" t="s">
        <v>379</v>
      </c>
      <c r="O281" s="1012" t="s">
        <v>379</v>
      </c>
      <c r="P281" s="1012" t="s">
        <v>379</v>
      </c>
      <c r="Q281" s="1012" t="s">
        <v>379</v>
      </c>
      <c r="R281" s="1012" t="s">
        <v>379</v>
      </c>
      <c r="S281" s="1012" t="s">
        <v>379</v>
      </c>
      <c r="T281" s="1012" t="s">
        <v>379</v>
      </c>
      <c r="U281" s="1012" t="s">
        <v>379</v>
      </c>
      <c r="V281" s="1012" t="s">
        <v>379</v>
      </c>
      <c r="W281" s="1012" t="s">
        <v>379</v>
      </c>
      <c r="X281" s="1012" t="s">
        <v>379</v>
      </c>
      <c r="Y281" s="1012" t="s">
        <v>379</v>
      </c>
      <c r="Z281" s="1012" t="s">
        <v>379</v>
      </c>
      <c r="AA281" s="1012" t="s">
        <v>379</v>
      </c>
      <c r="AB281" s="1012" t="s">
        <v>379</v>
      </c>
      <c r="AC281" s="1020">
        <f t="shared" si="273"/>
        <v>0.1</v>
      </c>
      <c r="AD281" s="1020">
        <f t="shared" ref="AD281:AE281" si="276">AD235+AD250+AD265</f>
        <v>0.60000000000000009</v>
      </c>
      <c r="AE281" s="1020">
        <f t="shared" si="276"/>
        <v>0.30000000000000004</v>
      </c>
      <c r="AF281" s="1020">
        <f t="shared" ref="AF281:AG293" si="277">AF235+AF250+AF265</f>
        <v>0.30000000000000004</v>
      </c>
      <c r="AG281" s="1020">
        <f t="shared" si="277"/>
        <v>0</v>
      </c>
      <c r="AH281" s="1020">
        <f t="shared" ref="AH281:AI281" si="278">AH235+AH250+AH265</f>
        <v>0.1</v>
      </c>
      <c r="AI281" s="1020">
        <f t="shared" si="278"/>
        <v>0.6</v>
      </c>
      <c r="AJ281" s="1020">
        <f t="shared" ref="AJ281" si="279">AJ235+AJ250+AJ265</f>
        <v>0.79999999999999993</v>
      </c>
    </row>
    <row r="282" spans="2:37">
      <c r="B282" s="1022" t="s">
        <v>337</v>
      </c>
      <c r="C282" s="1026" t="s">
        <v>390</v>
      </c>
      <c r="D282" s="1012" t="s">
        <v>379</v>
      </c>
      <c r="E282" s="1012" t="s">
        <v>379</v>
      </c>
      <c r="F282" s="1012" t="s">
        <v>379</v>
      </c>
      <c r="G282" s="1012" t="s">
        <v>379</v>
      </c>
      <c r="H282" s="1012" t="s">
        <v>379</v>
      </c>
      <c r="I282" s="1012" t="s">
        <v>379</v>
      </c>
      <c r="J282" s="1012" t="s">
        <v>379</v>
      </c>
      <c r="K282" s="1012" t="s">
        <v>379</v>
      </c>
      <c r="L282" s="1012" t="s">
        <v>379</v>
      </c>
      <c r="M282" s="1012" t="s">
        <v>379</v>
      </c>
      <c r="N282" s="1012" t="s">
        <v>379</v>
      </c>
      <c r="O282" s="1012" t="s">
        <v>379</v>
      </c>
      <c r="P282" s="1012" t="s">
        <v>379</v>
      </c>
      <c r="Q282" s="1012" t="s">
        <v>379</v>
      </c>
      <c r="R282" s="1012" t="s">
        <v>379</v>
      </c>
      <c r="S282" s="1012" t="s">
        <v>379</v>
      </c>
      <c r="T282" s="1012" t="s">
        <v>379</v>
      </c>
      <c r="U282" s="1012" t="s">
        <v>379</v>
      </c>
      <c r="V282" s="1012" t="s">
        <v>379</v>
      </c>
      <c r="W282" s="1012" t="s">
        <v>379</v>
      </c>
      <c r="X282" s="1012" t="s">
        <v>379</v>
      </c>
      <c r="Y282" s="1012" t="s">
        <v>379</v>
      </c>
      <c r="Z282" s="1012" t="s">
        <v>379</v>
      </c>
      <c r="AA282" s="1012" t="s">
        <v>379</v>
      </c>
      <c r="AB282" s="1012" t="s">
        <v>379</v>
      </c>
      <c r="AC282" s="1025">
        <f t="shared" si="273"/>
        <v>1</v>
      </c>
      <c r="AD282" s="1025">
        <f>AD236+AD251+AD266</f>
        <v>1</v>
      </c>
      <c r="AE282" s="1025">
        <f>AE236+AE251+AE266</f>
        <v>1</v>
      </c>
      <c r="AF282" s="1025">
        <f t="shared" si="277"/>
        <v>1</v>
      </c>
      <c r="AG282" s="1025">
        <f t="shared" si="277"/>
        <v>1</v>
      </c>
      <c r="AH282" s="1025">
        <f t="shared" ref="AH282:AI282" si="280">AH236+AH251+AH266</f>
        <v>1</v>
      </c>
      <c r="AI282" s="1025">
        <f t="shared" si="280"/>
        <v>1</v>
      </c>
      <c r="AJ282" s="1025">
        <f t="shared" ref="AJ282" si="281">AJ236+AJ251+AJ266</f>
        <v>1</v>
      </c>
    </row>
    <row r="283" spans="2:37">
      <c r="B283" s="1022" t="s">
        <v>337</v>
      </c>
      <c r="C283" s="1026" t="s">
        <v>298</v>
      </c>
      <c r="D283" s="1012" t="s">
        <v>379</v>
      </c>
      <c r="E283" s="1012" t="s">
        <v>379</v>
      </c>
      <c r="F283" s="1012" t="s">
        <v>379</v>
      </c>
      <c r="G283" s="1012" t="s">
        <v>379</v>
      </c>
      <c r="H283" s="1012" t="s">
        <v>379</v>
      </c>
      <c r="I283" s="1012" t="s">
        <v>379</v>
      </c>
      <c r="J283" s="1012" t="s">
        <v>379</v>
      </c>
      <c r="K283" s="1012" t="s">
        <v>379</v>
      </c>
      <c r="L283" s="1012" t="s">
        <v>379</v>
      </c>
      <c r="M283" s="1012" t="s">
        <v>379</v>
      </c>
      <c r="N283" s="1012" t="s">
        <v>379</v>
      </c>
      <c r="O283" s="1012" t="s">
        <v>379</v>
      </c>
      <c r="P283" s="1012" t="s">
        <v>379</v>
      </c>
      <c r="Q283" s="1012" t="s">
        <v>379</v>
      </c>
      <c r="R283" s="1012" t="s">
        <v>379</v>
      </c>
      <c r="S283" s="1012" t="s">
        <v>379</v>
      </c>
      <c r="T283" s="1012" t="s">
        <v>379</v>
      </c>
      <c r="U283" s="1012" t="s">
        <v>379</v>
      </c>
      <c r="V283" s="1012" t="s">
        <v>379</v>
      </c>
      <c r="W283" s="1012" t="s">
        <v>379</v>
      </c>
      <c r="X283" s="1012" t="s">
        <v>379</v>
      </c>
      <c r="Y283" s="1012" t="s">
        <v>379</v>
      </c>
      <c r="Z283" s="1012" t="s">
        <v>379</v>
      </c>
      <c r="AA283" s="1012" t="s">
        <v>379</v>
      </c>
      <c r="AB283" s="1012" t="s">
        <v>379</v>
      </c>
      <c r="AC283" s="1020">
        <f t="shared" si="273"/>
        <v>15.39</v>
      </c>
      <c r="AD283" s="1020">
        <f>AD237+AD252+AD267</f>
        <v>20.43</v>
      </c>
      <c r="AE283" s="1020">
        <f>AE237+AE252+AE267</f>
        <v>12.5</v>
      </c>
      <c r="AF283" s="1020">
        <f t="shared" si="277"/>
        <v>1.17</v>
      </c>
      <c r="AG283" s="1020">
        <f t="shared" si="277"/>
        <v>6.63</v>
      </c>
      <c r="AH283" s="1020">
        <f t="shared" ref="AH283:AI283" si="282">AH237+AH252+AH267</f>
        <v>8.85</v>
      </c>
      <c r="AI283" s="1020">
        <f t="shared" si="282"/>
        <v>0.37</v>
      </c>
      <c r="AJ283" s="1020">
        <f t="shared" ref="AJ283" si="283">AJ237+AJ252+AJ267</f>
        <v>22.8</v>
      </c>
    </row>
    <row r="284" spans="2:37">
      <c r="B284" s="1022" t="s">
        <v>337</v>
      </c>
      <c r="C284" s="1026" t="s">
        <v>321</v>
      </c>
      <c r="D284" s="1012" t="s">
        <v>379</v>
      </c>
      <c r="E284" s="1012" t="s">
        <v>379</v>
      </c>
      <c r="F284" s="1012" t="s">
        <v>379</v>
      </c>
      <c r="G284" s="1012" t="s">
        <v>379</v>
      </c>
      <c r="H284" s="1012" t="s">
        <v>379</v>
      </c>
      <c r="I284" s="1012" t="s">
        <v>379</v>
      </c>
      <c r="J284" s="1012" t="s">
        <v>379</v>
      </c>
      <c r="K284" s="1012" t="s">
        <v>379</v>
      </c>
      <c r="L284" s="1012" t="s">
        <v>379</v>
      </c>
      <c r="M284" s="1012" t="s">
        <v>379</v>
      </c>
      <c r="N284" s="1012" t="s">
        <v>379</v>
      </c>
      <c r="O284" s="1012" t="s">
        <v>379</v>
      </c>
      <c r="P284" s="1012" t="s">
        <v>379</v>
      </c>
      <c r="Q284" s="1012" t="s">
        <v>379</v>
      </c>
      <c r="R284" s="1012" t="s">
        <v>379</v>
      </c>
      <c r="S284" s="1012" t="s">
        <v>379</v>
      </c>
      <c r="T284" s="1012" t="s">
        <v>379</v>
      </c>
      <c r="U284" s="1012" t="s">
        <v>379</v>
      </c>
      <c r="V284" s="1012" t="s">
        <v>379</v>
      </c>
      <c r="W284" s="1012" t="s">
        <v>379</v>
      </c>
      <c r="X284" s="1012" t="s">
        <v>379</v>
      </c>
      <c r="Y284" s="1012" t="s">
        <v>379</v>
      </c>
      <c r="Z284" s="1012" t="s">
        <v>379</v>
      </c>
      <c r="AA284" s="1012" t="s">
        <v>379</v>
      </c>
      <c r="AB284" s="1012" t="s">
        <v>379</v>
      </c>
      <c r="AC284" s="1020">
        <f t="shared" si="273"/>
        <v>0.4</v>
      </c>
      <c r="AD284" s="1020">
        <f t="shared" ref="AD284:AE284" si="284">AD238+AD253+AD268</f>
        <v>0.6</v>
      </c>
      <c r="AE284" s="1020">
        <f t="shared" si="284"/>
        <v>0.35599999999999998</v>
      </c>
      <c r="AF284" s="1020">
        <f t="shared" si="277"/>
        <v>0</v>
      </c>
      <c r="AG284" s="1020">
        <f t="shared" si="277"/>
        <v>0.2</v>
      </c>
      <c r="AH284" s="1020">
        <f t="shared" ref="AH284:AI284" si="285">AH238+AH253+AH268</f>
        <v>0.3</v>
      </c>
      <c r="AI284" s="1020">
        <f t="shared" si="285"/>
        <v>0</v>
      </c>
      <c r="AJ284" s="1020">
        <f t="shared" ref="AJ284" si="286">AJ238+AJ253+AJ268</f>
        <v>0.7</v>
      </c>
    </row>
    <row r="285" spans="2:37">
      <c r="B285" s="1022" t="s">
        <v>339</v>
      </c>
      <c r="C285" s="1026" t="s">
        <v>390</v>
      </c>
      <c r="D285" s="1012" t="s">
        <v>379</v>
      </c>
      <c r="E285" s="1012" t="s">
        <v>379</v>
      </c>
      <c r="F285" s="1012" t="s">
        <v>379</v>
      </c>
      <c r="G285" s="1012" t="s">
        <v>379</v>
      </c>
      <c r="H285" s="1012" t="s">
        <v>379</v>
      </c>
      <c r="I285" s="1012" t="s">
        <v>379</v>
      </c>
      <c r="J285" s="1012" t="s">
        <v>379</v>
      </c>
      <c r="K285" s="1012" t="s">
        <v>379</v>
      </c>
      <c r="L285" s="1012" t="s">
        <v>379</v>
      </c>
      <c r="M285" s="1012" t="s">
        <v>379</v>
      </c>
      <c r="N285" s="1012" t="s">
        <v>379</v>
      </c>
      <c r="O285" s="1012" t="s">
        <v>379</v>
      </c>
      <c r="P285" s="1012" t="s">
        <v>379</v>
      </c>
      <c r="Q285" s="1012" t="s">
        <v>379</v>
      </c>
      <c r="R285" s="1012" t="s">
        <v>379</v>
      </c>
      <c r="S285" s="1012" t="s">
        <v>379</v>
      </c>
      <c r="T285" s="1012" t="s">
        <v>379</v>
      </c>
      <c r="U285" s="1012" t="s">
        <v>379</v>
      </c>
      <c r="V285" s="1012" t="s">
        <v>379</v>
      </c>
      <c r="W285" s="1012" t="s">
        <v>379</v>
      </c>
      <c r="X285" s="1012" t="s">
        <v>379</v>
      </c>
      <c r="Y285" s="1012" t="s">
        <v>379</v>
      </c>
      <c r="Z285" s="1012" t="s">
        <v>379</v>
      </c>
      <c r="AA285" s="1012" t="s">
        <v>379</v>
      </c>
      <c r="AB285" s="1012" t="s">
        <v>379</v>
      </c>
      <c r="AC285" s="1025">
        <f t="shared" si="273"/>
        <v>2</v>
      </c>
      <c r="AD285" s="1025">
        <f>AD239+AD254+AD269</f>
        <v>4</v>
      </c>
      <c r="AE285" s="1025">
        <f>AE239+AE254+AE269</f>
        <v>4</v>
      </c>
      <c r="AF285" s="1025">
        <f t="shared" si="277"/>
        <v>4</v>
      </c>
      <c r="AG285" s="1025">
        <f t="shared" si="277"/>
        <v>4</v>
      </c>
      <c r="AH285" s="1025">
        <f t="shared" ref="AH285:AI285" si="287">AH239+AH254+AH269</f>
        <v>4</v>
      </c>
      <c r="AI285" s="1025">
        <f t="shared" si="287"/>
        <v>4</v>
      </c>
      <c r="AJ285" s="1025">
        <f t="shared" ref="AJ285" si="288">AJ239+AJ254+AJ269</f>
        <v>2</v>
      </c>
    </row>
    <row r="286" spans="2:37">
      <c r="B286" s="1022" t="s">
        <v>339</v>
      </c>
      <c r="C286" s="1026" t="s">
        <v>298</v>
      </c>
      <c r="D286" s="1012" t="s">
        <v>379</v>
      </c>
      <c r="E286" s="1012" t="s">
        <v>379</v>
      </c>
      <c r="F286" s="1012" t="s">
        <v>379</v>
      </c>
      <c r="G286" s="1012" t="s">
        <v>379</v>
      </c>
      <c r="H286" s="1012" t="s">
        <v>379</v>
      </c>
      <c r="I286" s="1012" t="s">
        <v>379</v>
      </c>
      <c r="J286" s="1012" t="s">
        <v>379</v>
      </c>
      <c r="K286" s="1012" t="s">
        <v>379</v>
      </c>
      <c r="L286" s="1012" t="s">
        <v>379</v>
      </c>
      <c r="M286" s="1012" t="s">
        <v>379</v>
      </c>
      <c r="N286" s="1012" t="s">
        <v>379</v>
      </c>
      <c r="O286" s="1012" t="s">
        <v>379</v>
      </c>
      <c r="P286" s="1012" t="s">
        <v>379</v>
      </c>
      <c r="Q286" s="1012" t="s">
        <v>379</v>
      </c>
      <c r="R286" s="1012" t="s">
        <v>379</v>
      </c>
      <c r="S286" s="1012" t="s">
        <v>379</v>
      </c>
      <c r="T286" s="1012" t="s">
        <v>379</v>
      </c>
      <c r="U286" s="1012" t="s">
        <v>379</v>
      </c>
      <c r="V286" s="1012" t="s">
        <v>379</v>
      </c>
      <c r="W286" s="1012" t="s">
        <v>379</v>
      </c>
      <c r="X286" s="1012" t="s">
        <v>379</v>
      </c>
      <c r="Y286" s="1012" t="s">
        <v>379</v>
      </c>
      <c r="Z286" s="1012" t="s">
        <v>379</v>
      </c>
      <c r="AA286" s="1012" t="s">
        <v>379</v>
      </c>
      <c r="AB286" s="1012" t="s">
        <v>379</v>
      </c>
      <c r="AC286" s="1020">
        <f t="shared" si="273"/>
        <v>58.673853700000002</v>
      </c>
      <c r="AD286" s="1020">
        <f>AD240+AD255+AD270</f>
        <v>40.674999999999997</v>
      </c>
      <c r="AE286" s="1020">
        <f>AE240+AE255+AE270</f>
        <v>19.067346399999998</v>
      </c>
      <c r="AF286" s="1020">
        <f t="shared" si="277"/>
        <v>15.657999999999999</v>
      </c>
      <c r="AG286" s="1020">
        <f t="shared" si="277"/>
        <v>18.310000000000002</v>
      </c>
      <c r="AH286" s="1020">
        <f t="shared" ref="AH286:AI286" si="289">AH240+AH255+AH270</f>
        <v>34.56</v>
      </c>
      <c r="AI286" s="1020">
        <f t="shared" si="289"/>
        <v>203.45500000000001</v>
      </c>
      <c r="AJ286" s="1020">
        <f t="shared" ref="AJ286" si="290">AJ240+AJ255+AJ270</f>
        <v>1.48</v>
      </c>
    </row>
    <row r="287" spans="2:37">
      <c r="B287" s="1022" t="s">
        <v>339</v>
      </c>
      <c r="C287" s="1013" t="s">
        <v>321</v>
      </c>
      <c r="D287" s="1012" t="s">
        <v>379</v>
      </c>
      <c r="E287" s="1012" t="s">
        <v>379</v>
      </c>
      <c r="F287" s="1012" t="s">
        <v>379</v>
      </c>
      <c r="G287" s="1012" t="s">
        <v>379</v>
      </c>
      <c r="H287" s="1012" t="s">
        <v>379</v>
      </c>
      <c r="I287" s="1012" t="s">
        <v>379</v>
      </c>
      <c r="J287" s="1012" t="s">
        <v>379</v>
      </c>
      <c r="K287" s="1012" t="s">
        <v>379</v>
      </c>
      <c r="L287" s="1012" t="s">
        <v>379</v>
      </c>
      <c r="M287" s="1012" t="s">
        <v>379</v>
      </c>
      <c r="N287" s="1012" t="s">
        <v>379</v>
      </c>
      <c r="O287" s="1012" t="s">
        <v>379</v>
      </c>
      <c r="P287" s="1012" t="s">
        <v>379</v>
      </c>
      <c r="Q287" s="1012" t="s">
        <v>379</v>
      </c>
      <c r="R287" s="1012" t="s">
        <v>379</v>
      </c>
      <c r="S287" s="1012" t="s">
        <v>379</v>
      </c>
      <c r="T287" s="1012" t="s">
        <v>379</v>
      </c>
      <c r="U287" s="1012" t="s">
        <v>379</v>
      </c>
      <c r="V287" s="1012" t="s">
        <v>379</v>
      </c>
      <c r="W287" s="1012" t="s">
        <v>379</v>
      </c>
      <c r="X287" s="1012" t="s">
        <v>379</v>
      </c>
      <c r="Y287" s="1012" t="s">
        <v>379</v>
      </c>
      <c r="Z287" s="1012" t="s">
        <v>379</v>
      </c>
      <c r="AA287" s="1012" t="s">
        <v>379</v>
      </c>
      <c r="AB287" s="1012" t="s">
        <v>379</v>
      </c>
      <c r="AC287" s="1020">
        <f t="shared" si="273"/>
        <v>1.65</v>
      </c>
      <c r="AD287" s="1020">
        <f t="shared" ref="AD287:AE287" si="291">AD241+AD256+AD271</f>
        <v>1.595</v>
      </c>
      <c r="AE287" s="1020">
        <f t="shared" si="291"/>
        <v>0.49</v>
      </c>
      <c r="AF287" s="1020">
        <f t="shared" si="277"/>
        <v>0.43480000000000002</v>
      </c>
      <c r="AG287" s="1020">
        <f t="shared" si="277"/>
        <v>0.53</v>
      </c>
      <c r="AH287" s="1020">
        <f t="shared" ref="AH287:AI287" si="292">AH241+AH256+AH271</f>
        <v>0.97</v>
      </c>
      <c r="AI287" s="1020">
        <f t="shared" si="292"/>
        <v>5.867</v>
      </c>
      <c r="AJ287" s="1020">
        <f t="shared" ref="AJ287" si="293">AJ241+AJ256+AJ271</f>
        <v>0.04</v>
      </c>
    </row>
    <row r="288" spans="2:37">
      <c r="B288" s="1022" t="s">
        <v>340</v>
      </c>
      <c r="C288" s="1026" t="s">
        <v>390</v>
      </c>
      <c r="D288" s="1012" t="s">
        <v>379</v>
      </c>
      <c r="E288" s="1012" t="s">
        <v>379</v>
      </c>
      <c r="F288" s="1012" t="s">
        <v>379</v>
      </c>
      <c r="G288" s="1012" t="s">
        <v>379</v>
      </c>
      <c r="H288" s="1012" t="s">
        <v>379</v>
      </c>
      <c r="I288" s="1012" t="s">
        <v>379</v>
      </c>
      <c r="J288" s="1012" t="s">
        <v>379</v>
      </c>
      <c r="K288" s="1012" t="s">
        <v>379</v>
      </c>
      <c r="L288" s="1012" t="s">
        <v>379</v>
      </c>
      <c r="M288" s="1012" t="s">
        <v>379</v>
      </c>
      <c r="N288" s="1012" t="s">
        <v>379</v>
      </c>
      <c r="O288" s="1012" t="s">
        <v>379</v>
      </c>
      <c r="P288" s="1012" t="s">
        <v>379</v>
      </c>
      <c r="Q288" s="1012" t="s">
        <v>379</v>
      </c>
      <c r="R288" s="1012" t="s">
        <v>379</v>
      </c>
      <c r="S288" s="1012" t="s">
        <v>379</v>
      </c>
      <c r="T288" s="1012" t="s">
        <v>379</v>
      </c>
      <c r="U288" s="1012" t="s">
        <v>379</v>
      </c>
      <c r="V288" s="1012" t="s">
        <v>379</v>
      </c>
      <c r="W288" s="1012" t="s">
        <v>379</v>
      </c>
      <c r="X288" s="1012" t="s">
        <v>379</v>
      </c>
      <c r="Y288" s="1012" t="s">
        <v>379</v>
      </c>
      <c r="Z288" s="1012" t="s">
        <v>379</v>
      </c>
      <c r="AA288" s="1012" t="s">
        <v>379</v>
      </c>
      <c r="AB288" s="1012" t="s">
        <v>379</v>
      </c>
      <c r="AC288" s="1025">
        <f t="shared" si="273"/>
        <v>4</v>
      </c>
      <c r="AD288" s="1025">
        <f t="shared" ref="AD288:AE292" si="294">AD242+AD257+AD272</f>
        <v>5</v>
      </c>
      <c r="AE288" s="1025">
        <f t="shared" si="294"/>
        <v>5</v>
      </c>
      <c r="AF288" s="1025">
        <f t="shared" si="277"/>
        <v>5</v>
      </c>
      <c r="AG288" s="1025">
        <f t="shared" si="277"/>
        <v>5</v>
      </c>
      <c r="AH288" s="1025">
        <f t="shared" ref="AH288:AI288" si="295">AH242+AH257+AH272</f>
        <v>5</v>
      </c>
      <c r="AI288" s="1025">
        <f t="shared" si="295"/>
        <v>4</v>
      </c>
      <c r="AJ288" s="1025">
        <f t="shared" ref="AJ288" si="296">AJ242+AJ257+AJ272</f>
        <v>3</v>
      </c>
    </row>
    <row r="289" spans="2:36">
      <c r="B289" s="1030" t="s">
        <v>340</v>
      </c>
      <c r="C289" s="1026" t="s">
        <v>298</v>
      </c>
      <c r="D289" s="1012" t="s">
        <v>379</v>
      </c>
      <c r="E289" s="1012" t="s">
        <v>379</v>
      </c>
      <c r="F289" s="1012" t="s">
        <v>379</v>
      </c>
      <c r="G289" s="1012" t="s">
        <v>379</v>
      </c>
      <c r="H289" s="1012" t="s">
        <v>379</v>
      </c>
      <c r="I289" s="1012" t="s">
        <v>379</v>
      </c>
      <c r="J289" s="1012" t="s">
        <v>379</v>
      </c>
      <c r="K289" s="1012" t="s">
        <v>379</v>
      </c>
      <c r="L289" s="1012" t="s">
        <v>379</v>
      </c>
      <c r="M289" s="1012" t="s">
        <v>379</v>
      </c>
      <c r="N289" s="1012" t="s">
        <v>379</v>
      </c>
      <c r="O289" s="1012" t="s">
        <v>379</v>
      </c>
      <c r="P289" s="1012" t="s">
        <v>379</v>
      </c>
      <c r="Q289" s="1012" t="s">
        <v>379</v>
      </c>
      <c r="R289" s="1012" t="s">
        <v>379</v>
      </c>
      <c r="S289" s="1012" t="s">
        <v>379</v>
      </c>
      <c r="T289" s="1012" t="s">
        <v>379</v>
      </c>
      <c r="U289" s="1012" t="s">
        <v>379</v>
      </c>
      <c r="V289" s="1012" t="s">
        <v>379</v>
      </c>
      <c r="W289" s="1012" t="s">
        <v>379</v>
      </c>
      <c r="X289" s="1012" t="s">
        <v>379</v>
      </c>
      <c r="Y289" s="1012" t="s">
        <v>379</v>
      </c>
      <c r="Z289" s="1012" t="s">
        <v>379</v>
      </c>
      <c r="AA289" s="1012" t="s">
        <v>379</v>
      </c>
      <c r="AB289" s="1012" t="s">
        <v>379</v>
      </c>
      <c r="AC289" s="1020">
        <f t="shared" si="273"/>
        <v>28.256146300000001</v>
      </c>
      <c r="AD289" s="1020">
        <f t="shared" si="294"/>
        <v>42.3352024</v>
      </c>
      <c r="AE289" s="1020">
        <f t="shared" si="294"/>
        <v>6.2326535999999999</v>
      </c>
      <c r="AF289" s="1020">
        <f t="shared" si="277"/>
        <v>6.1829499999999999</v>
      </c>
      <c r="AG289" s="1020">
        <f t="shared" si="277"/>
        <v>90.240000000000009</v>
      </c>
      <c r="AH289" s="1020">
        <f t="shared" ref="AH289:AI289" si="297">AH243+AH258+AH273</f>
        <v>23.75</v>
      </c>
      <c r="AI289" s="1020">
        <f t="shared" si="297"/>
        <v>77</v>
      </c>
      <c r="AJ289" s="1020">
        <f t="shared" ref="AJ289" si="298">AJ243+AJ258+AJ273</f>
        <v>19.53</v>
      </c>
    </row>
    <row r="290" spans="2:36">
      <c r="B290" s="1030" t="s">
        <v>340</v>
      </c>
      <c r="C290" s="1026" t="s">
        <v>321</v>
      </c>
      <c r="D290" s="1012" t="s">
        <v>379</v>
      </c>
      <c r="E290" s="1012" t="s">
        <v>379</v>
      </c>
      <c r="F290" s="1012" t="s">
        <v>379</v>
      </c>
      <c r="G290" s="1012" t="s">
        <v>379</v>
      </c>
      <c r="H290" s="1012" t="s">
        <v>379</v>
      </c>
      <c r="I290" s="1012" t="s">
        <v>379</v>
      </c>
      <c r="J290" s="1012" t="s">
        <v>379</v>
      </c>
      <c r="K290" s="1012" t="s">
        <v>379</v>
      </c>
      <c r="L290" s="1012" t="s">
        <v>379</v>
      </c>
      <c r="M290" s="1012" t="s">
        <v>379</v>
      </c>
      <c r="N290" s="1012" t="s">
        <v>379</v>
      </c>
      <c r="O290" s="1012" t="s">
        <v>379</v>
      </c>
      <c r="P290" s="1012" t="s">
        <v>379</v>
      </c>
      <c r="Q290" s="1012" t="s">
        <v>379</v>
      </c>
      <c r="R290" s="1012" t="s">
        <v>379</v>
      </c>
      <c r="S290" s="1012" t="s">
        <v>379</v>
      </c>
      <c r="T290" s="1012" t="s">
        <v>379</v>
      </c>
      <c r="U290" s="1012" t="s">
        <v>379</v>
      </c>
      <c r="V290" s="1012" t="s">
        <v>379</v>
      </c>
      <c r="W290" s="1012" t="s">
        <v>379</v>
      </c>
      <c r="X290" s="1012" t="s">
        <v>379</v>
      </c>
      <c r="Y290" s="1012" t="s">
        <v>379</v>
      </c>
      <c r="Z290" s="1012" t="s">
        <v>379</v>
      </c>
      <c r="AA290" s="1012" t="s">
        <v>379</v>
      </c>
      <c r="AB290" s="1012" t="s">
        <v>379</v>
      </c>
      <c r="AC290" s="1020">
        <f t="shared" si="273"/>
        <v>0.85</v>
      </c>
      <c r="AD290" s="1020">
        <f t="shared" si="294"/>
        <v>1.3249735</v>
      </c>
      <c r="AE290" s="1020">
        <f t="shared" si="294"/>
        <v>0.219</v>
      </c>
      <c r="AF290" s="1020">
        <f t="shared" si="277"/>
        <v>0.158</v>
      </c>
      <c r="AG290" s="1020">
        <f t="shared" si="277"/>
        <v>2.56</v>
      </c>
      <c r="AH290" s="1020">
        <f t="shared" ref="AH290:AI290" si="299">AH244+AH259+AH274</f>
        <v>0.7</v>
      </c>
      <c r="AI290" s="1020">
        <f t="shared" si="299"/>
        <v>2.1760000000000002</v>
      </c>
      <c r="AJ290" s="1020">
        <f t="shared" ref="AJ290" si="300">AJ244+AJ259+AJ274</f>
        <v>0.6</v>
      </c>
    </row>
    <row r="291" spans="2:36">
      <c r="B291" s="1013" t="s">
        <v>400</v>
      </c>
      <c r="C291" s="1026" t="s">
        <v>381</v>
      </c>
      <c r="D291" s="1012" t="s">
        <v>379</v>
      </c>
      <c r="E291" s="1012" t="s">
        <v>379</v>
      </c>
      <c r="F291" s="1012" t="s">
        <v>379</v>
      </c>
      <c r="G291" s="1012" t="s">
        <v>379</v>
      </c>
      <c r="H291" s="1012" t="s">
        <v>379</v>
      </c>
      <c r="I291" s="1012" t="s">
        <v>379</v>
      </c>
      <c r="J291" s="1012" t="s">
        <v>379</v>
      </c>
      <c r="K291" s="1012" t="s">
        <v>379</v>
      </c>
      <c r="L291" s="1012" t="s">
        <v>379</v>
      </c>
      <c r="M291" s="1012" t="s">
        <v>379</v>
      </c>
      <c r="N291" s="1012" t="s">
        <v>379</v>
      </c>
      <c r="O291" s="1012" t="s">
        <v>379</v>
      </c>
      <c r="P291" s="1012" t="s">
        <v>379</v>
      </c>
      <c r="Q291" s="1012" t="s">
        <v>379</v>
      </c>
      <c r="R291" s="1012" t="s">
        <v>379</v>
      </c>
      <c r="S291" s="1012" t="s">
        <v>379</v>
      </c>
      <c r="T291" s="1012" t="s">
        <v>379</v>
      </c>
      <c r="U291" s="1012" t="s">
        <v>379</v>
      </c>
      <c r="V291" s="1012" t="s">
        <v>379</v>
      </c>
      <c r="W291" s="1012" t="s">
        <v>379</v>
      </c>
      <c r="X291" s="1012" t="s">
        <v>379</v>
      </c>
      <c r="Y291" s="1012" t="s">
        <v>379</v>
      </c>
      <c r="Z291" s="1012" t="s">
        <v>379</v>
      </c>
      <c r="AA291" s="1012" t="s">
        <v>379</v>
      </c>
      <c r="AB291" s="1012" t="s">
        <v>379</v>
      </c>
      <c r="AC291" s="1025">
        <f t="shared" si="273"/>
        <v>347</v>
      </c>
      <c r="AD291" s="1025">
        <f t="shared" si="294"/>
        <v>474</v>
      </c>
      <c r="AE291" s="1025">
        <f t="shared" si="294"/>
        <v>515</v>
      </c>
      <c r="AF291" s="1025">
        <f t="shared" si="277"/>
        <v>501</v>
      </c>
      <c r="AG291" s="1025">
        <f t="shared" si="277"/>
        <v>461</v>
      </c>
      <c r="AH291" s="1025">
        <f t="shared" ref="AH291:AI291" si="301">AH245+AH260+AH275</f>
        <v>550</v>
      </c>
      <c r="AI291" s="1025">
        <f t="shared" si="301"/>
        <v>565</v>
      </c>
      <c r="AJ291" s="1025">
        <f t="shared" ref="AJ291" si="302">AJ245+AJ260+AJ275</f>
        <v>208</v>
      </c>
    </row>
    <row r="292" spans="2:36">
      <c r="B292" s="1013" t="s">
        <v>392</v>
      </c>
      <c r="C292" s="1026" t="s">
        <v>383</v>
      </c>
      <c r="D292" s="1012" t="s">
        <v>379</v>
      </c>
      <c r="E292" s="1012" t="s">
        <v>379</v>
      </c>
      <c r="F292" s="1012" t="s">
        <v>379</v>
      </c>
      <c r="G292" s="1012" t="s">
        <v>379</v>
      </c>
      <c r="H292" s="1012" t="s">
        <v>379</v>
      </c>
      <c r="I292" s="1012" t="s">
        <v>379</v>
      </c>
      <c r="J292" s="1012" t="s">
        <v>379</v>
      </c>
      <c r="K292" s="1012" t="s">
        <v>379</v>
      </c>
      <c r="L292" s="1012" t="s">
        <v>379</v>
      </c>
      <c r="M292" s="1012" t="s">
        <v>379</v>
      </c>
      <c r="N292" s="1012" t="s">
        <v>379</v>
      </c>
      <c r="O292" s="1012" t="s">
        <v>379</v>
      </c>
      <c r="P292" s="1012" t="s">
        <v>379</v>
      </c>
      <c r="Q292" s="1012" t="s">
        <v>379</v>
      </c>
      <c r="R292" s="1012" t="s">
        <v>379</v>
      </c>
      <c r="S292" s="1012" t="s">
        <v>379</v>
      </c>
      <c r="T292" s="1012" t="s">
        <v>379</v>
      </c>
      <c r="U292" s="1012" t="s">
        <v>379</v>
      </c>
      <c r="V292" s="1012" t="s">
        <v>379</v>
      </c>
      <c r="W292" s="1012" t="s">
        <v>379</v>
      </c>
      <c r="X292" s="1012" t="s">
        <v>379</v>
      </c>
      <c r="Y292" s="1012" t="s">
        <v>379</v>
      </c>
      <c r="Z292" s="1012" t="s">
        <v>379</v>
      </c>
      <c r="AA292" s="1012" t="s">
        <v>379</v>
      </c>
      <c r="AB292" s="1012" t="s">
        <v>379</v>
      </c>
      <c r="AC292" s="1020">
        <f t="shared" si="273"/>
        <v>129.79</v>
      </c>
      <c r="AD292" s="1020">
        <f t="shared" si="294"/>
        <v>115.91</v>
      </c>
      <c r="AE292" s="1020">
        <f t="shared" si="294"/>
        <v>88.11999999999999</v>
      </c>
      <c r="AF292" s="1020">
        <f t="shared" si="277"/>
        <v>111.83000000000001</v>
      </c>
      <c r="AG292" s="1020">
        <f t="shared" si="277"/>
        <v>60.8</v>
      </c>
      <c r="AH292" s="1020">
        <f t="shared" ref="AH292:AI292" si="303">AH246+AH261+AH276</f>
        <v>55.989999999999995</v>
      </c>
      <c r="AI292" s="1020">
        <f t="shared" si="303"/>
        <v>70.42</v>
      </c>
      <c r="AJ292" s="1020">
        <f t="shared" ref="AJ292" si="304">AJ246+AJ261+AJ276</f>
        <v>56.09</v>
      </c>
    </row>
    <row r="293" spans="2:36">
      <c r="B293" s="1013" t="s">
        <v>392</v>
      </c>
      <c r="C293" s="1026" t="s">
        <v>321</v>
      </c>
      <c r="D293" s="1012" t="s">
        <v>379</v>
      </c>
      <c r="E293" s="1012" t="s">
        <v>379</v>
      </c>
      <c r="F293" s="1012" t="s">
        <v>379</v>
      </c>
      <c r="G293" s="1012" t="s">
        <v>379</v>
      </c>
      <c r="H293" s="1012" t="s">
        <v>379</v>
      </c>
      <c r="I293" s="1012" t="s">
        <v>379</v>
      </c>
      <c r="J293" s="1012" t="s">
        <v>379</v>
      </c>
      <c r="K293" s="1012" t="s">
        <v>379</v>
      </c>
      <c r="L293" s="1012" t="s">
        <v>379</v>
      </c>
      <c r="M293" s="1012" t="s">
        <v>379</v>
      </c>
      <c r="N293" s="1012" t="s">
        <v>379</v>
      </c>
      <c r="O293" s="1012" t="s">
        <v>379</v>
      </c>
      <c r="P293" s="1012" t="s">
        <v>379</v>
      </c>
      <c r="Q293" s="1012" t="s">
        <v>379</v>
      </c>
      <c r="R293" s="1012" t="s">
        <v>379</v>
      </c>
      <c r="S293" s="1012" t="s">
        <v>379</v>
      </c>
      <c r="T293" s="1012" t="s">
        <v>379</v>
      </c>
      <c r="U293" s="1012" t="s">
        <v>379</v>
      </c>
      <c r="V293" s="1012" t="s">
        <v>379</v>
      </c>
      <c r="W293" s="1012" t="s">
        <v>379</v>
      </c>
      <c r="X293" s="1012" t="s">
        <v>379</v>
      </c>
      <c r="Y293" s="1012" t="s">
        <v>379</v>
      </c>
      <c r="Z293" s="1012" t="s">
        <v>379</v>
      </c>
      <c r="AA293" s="1012" t="s">
        <v>379</v>
      </c>
      <c r="AB293" s="1012" t="s">
        <v>379</v>
      </c>
      <c r="AC293" s="1020">
        <f t="shared" si="273"/>
        <v>3.2</v>
      </c>
      <c r="AD293" s="1020">
        <f t="shared" ref="AD293:AE293" si="305">AD247+AD262+AD277</f>
        <v>3.3000000000000003</v>
      </c>
      <c r="AE293" s="1020">
        <f t="shared" si="305"/>
        <v>2.4999999999999996</v>
      </c>
      <c r="AF293" s="1020">
        <f t="shared" si="277"/>
        <v>3.2</v>
      </c>
      <c r="AG293" s="1020">
        <f t="shared" si="277"/>
        <v>1.78</v>
      </c>
      <c r="AH293" s="1020">
        <f t="shared" ref="AH293:AI293" si="306">AH247+AH262+AH277</f>
        <v>1.6</v>
      </c>
      <c r="AI293" s="1020">
        <f t="shared" si="306"/>
        <v>1.994</v>
      </c>
      <c r="AJ293" s="1020">
        <f t="shared" ref="AJ293" si="307">AJ247+AJ262+AJ277</f>
        <v>1.6</v>
      </c>
    </row>
    <row r="294" spans="2:36">
      <c r="B294" s="1019"/>
      <c r="C294" s="1019"/>
      <c r="D294" s="990"/>
      <c r="E294" s="990"/>
      <c r="F294" s="990"/>
      <c r="G294" s="990"/>
      <c r="H294" s="990"/>
      <c r="I294" s="990"/>
      <c r="J294" s="990"/>
      <c r="K294" s="990"/>
      <c r="L294" s="990"/>
      <c r="M294" s="990"/>
      <c r="N294" s="990"/>
      <c r="O294" s="990"/>
      <c r="P294" s="990"/>
      <c r="Q294" s="990"/>
      <c r="R294" s="990"/>
      <c r="S294" s="990"/>
      <c r="T294" s="990"/>
      <c r="U294" s="990"/>
      <c r="V294" s="990"/>
      <c r="W294" s="990"/>
      <c r="X294" s="990"/>
      <c r="Y294" s="990"/>
      <c r="Z294" s="990"/>
      <c r="AA294" s="990"/>
      <c r="AB294" s="990"/>
      <c r="AC294" s="990"/>
      <c r="AD294" s="990"/>
      <c r="AE294" s="990"/>
      <c r="AF294" s="990"/>
      <c r="AG294" s="990"/>
      <c r="AH294" s="990"/>
    </row>
    <row r="295" spans="2:36" ht="15.5">
      <c r="B295" s="1061" t="s">
        <v>401</v>
      </c>
      <c r="D295" s="1049">
        <v>1990</v>
      </c>
      <c r="E295" s="1049">
        <v>1991</v>
      </c>
      <c r="F295" s="1049">
        <v>1992</v>
      </c>
      <c r="G295" s="1049">
        <v>1993</v>
      </c>
      <c r="H295" s="1049">
        <v>1994</v>
      </c>
      <c r="I295" s="1049">
        <v>1995</v>
      </c>
      <c r="J295" s="1049">
        <v>1996</v>
      </c>
      <c r="K295" s="1049">
        <v>1997</v>
      </c>
      <c r="L295" s="1049">
        <v>1998</v>
      </c>
      <c r="M295" s="1049">
        <v>1999</v>
      </c>
      <c r="N295" s="1049">
        <v>2000</v>
      </c>
      <c r="O295" s="1049">
        <v>2001</v>
      </c>
      <c r="P295" s="1049">
        <v>2002</v>
      </c>
      <c r="Q295" s="1049">
        <v>2003</v>
      </c>
      <c r="R295" s="1049">
        <v>2004</v>
      </c>
      <c r="S295" s="1049">
        <v>2005</v>
      </c>
      <c r="T295" s="1049">
        <v>2006</v>
      </c>
      <c r="U295" s="1049">
        <v>2007</v>
      </c>
      <c r="V295" s="1049">
        <v>2008</v>
      </c>
      <c r="W295" s="1049">
        <v>2009</v>
      </c>
      <c r="X295" s="1049">
        <v>2010</v>
      </c>
      <c r="Y295" s="1049">
        <v>2011</v>
      </c>
      <c r="Z295" s="1049">
        <v>2012</v>
      </c>
      <c r="AA295" s="1049">
        <v>2013</v>
      </c>
      <c r="AB295" s="1049">
        <v>2014</v>
      </c>
      <c r="AC295" s="1049">
        <v>2015</v>
      </c>
      <c r="AD295" s="1049">
        <v>2016</v>
      </c>
      <c r="AE295" s="1049">
        <v>2017</v>
      </c>
      <c r="AF295" s="1049">
        <v>2018</v>
      </c>
      <c r="AG295" s="1049">
        <v>2019</v>
      </c>
      <c r="AH295" s="1217">
        <v>2020</v>
      </c>
      <c r="AI295" s="1049">
        <v>2021</v>
      </c>
      <c r="AJ295" s="1217">
        <v>2022</v>
      </c>
    </row>
    <row r="296" spans="2:36">
      <c r="B296" s="1008" t="s">
        <v>402</v>
      </c>
    </row>
    <row r="297" spans="2:36">
      <c r="B297" s="1009" t="s">
        <v>403</v>
      </c>
      <c r="C297" s="1009" t="s">
        <v>381</v>
      </c>
      <c r="D297" s="954" t="s">
        <v>379</v>
      </c>
      <c r="E297" s="954" t="s">
        <v>379</v>
      </c>
      <c r="F297" s="954" t="s">
        <v>379</v>
      </c>
      <c r="G297" s="954" t="s">
        <v>379</v>
      </c>
      <c r="H297" s="954" t="s">
        <v>379</v>
      </c>
      <c r="I297" s="954" t="s">
        <v>379</v>
      </c>
      <c r="J297" s="954" t="s">
        <v>379</v>
      </c>
      <c r="K297" s="954" t="s">
        <v>379</v>
      </c>
      <c r="L297" s="954" t="s">
        <v>379</v>
      </c>
      <c r="M297" s="954" t="s">
        <v>379</v>
      </c>
      <c r="N297" s="954" t="s">
        <v>379</v>
      </c>
      <c r="O297" s="954" t="s">
        <v>379</v>
      </c>
      <c r="P297" s="954" t="s">
        <v>379</v>
      </c>
      <c r="Q297" s="954" t="s">
        <v>379</v>
      </c>
      <c r="R297" s="954" t="s">
        <v>379</v>
      </c>
      <c r="S297" s="954" t="s">
        <v>379</v>
      </c>
      <c r="T297" s="954" t="s">
        <v>379</v>
      </c>
      <c r="U297" s="954" t="s">
        <v>379</v>
      </c>
      <c r="V297" s="954" t="s">
        <v>379</v>
      </c>
      <c r="W297" s="954" t="s">
        <v>379</v>
      </c>
      <c r="X297" s="954" t="s">
        <v>379</v>
      </c>
      <c r="Y297" s="1014">
        <f>428+12+10685</f>
        <v>11125</v>
      </c>
      <c r="Z297" s="1014">
        <f>334+1+6494</f>
        <v>6829</v>
      </c>
      <c r="AA297" s="1014">
        <f>345+3+8002+29</f>
        <v>8379</v>
      </c>
      <c r="AB297" s="1031">
        <f>189+10418+24</f>
        <v>10631</v>
      </c>
      <c r="AC297" s="1014">
        <v>11572</v>
      </c>
      <c r="AD297" s="1014">
        <v>6106</v>
      </c>
      <c r="AE297" s="1014">
        <v>3713</v>
      </c>
      <c r="AF297" s="1014">
        <v>5191</v>
      </c>
      <c r="AG297" s="1014">
        <v>3553</v>
      </c>
      <c r="AH297" s="1014">
        <v>2150</v>
      </c>
      <c r="AI297" s="1014">
        <v>2613</v>
      </c>
      <c r="AJ297" s="1014">
        <v>1339</v>
      </c>
    </row>
    <row r="298" spans="2:36">
      <c r="B298" s="1009" t="s">
        <v>392</v>
      </c>
      <c r="C298" s="1009" t="s">
        <v>383</v>
      </c>
      <c r="D298" s="954" t="s">
        <v>379</v>
      </c>
      <c r="E298" s="954" t="s">
        <v>379</v>
      </c>
      <c r="F298" s="954" t="s">
        <v>379</v>
      </c>
      <c r="G298" s="954" t="s">
        <v>379</v>
      </c>
      <c r="H298" s="954" t="s">
        <v>379</v>
      </c>
      <c r="I298" s="954" t="s">
        <v>379</v>
      </c>
      <c r="J298" s="954" t="s">
        <v>379</v>
      </c>
      <c r="K298" s="954" t="s">
        <v>379</v>
      </c>
      <c r="L298" s="954" t="s">
        <v>379</v>
      </c>
      <c r="M298" s="954" t="s">
        <v>379</v>
      </c>
      <c r="N298" s="954" t="s">
        <v>379</v>
      </c>
      <c r="O298" s="954" t="s">
        <v>379</v>
      </c>
      <c r="P298" s="954" t="s">
        <v>379</v>
      </c>
      <c r="Q298" s="954" t="s">
        <v>379</v>
      </c>
      <c r="R298" s="954" t="s">
        <v>379</v>
      </c>
      <c r="S298" s="954" t="s">
        <v>379</v>
      </c>
      <c r="T298" s="954" t="s">
        <v>379</v>
      </c>
      <c r="U298" s="954" t="s">
        <v>379</v>
      </c>
      <c r="V298" s="954" t="s">
        <v>379</v>
      </c>
      <c r="W298" s="954" t="s">
        <v>379</v>
      </c>
      <c r="X298" s="954" t="s">
        <v>379</v>
      </c>
      <c r="Y298" s="1005">
        <f>(122.3+14+142.5)/25</f>
        <v>11.152000000000001</v>
      </c>
      <c r="Z298" s="1005">
        <f>(95.43+1.1+86.58)/25</f>
        <v>7.3244000000000007</v>
      </c>
      <c r="AA298" s="1005">
        <f>(117.3+3.9+127+3.29)/25</f>
        <v>10.0596</v>
      </c>
      <c r="AB298" s="1015">
        <f>232.4/25</f>
        <v>9.2959999999999994</v>
      </c>
      <c r="AC298" s="1005">
        <v>9.2799999999999994</v>
      </c>
      <c r="AD298" s="1005">
        <v>7.47</v>
      </c>
      <c r="AE298" s="1005">
        <v>6.51</v>
      </c>
      <c r="AF298" s="1005">
        <v>7.67</v>
      </c>
      <c r="AG298" s="1005">
        <v>5.82</v>
      </c>
      <c r="AH298" s="1005">
        <v>3.71</v>
      </c>
      <c r="AI298" s="1005">
        <v>8.11</v>
      </c>
      <c r="AJ298" s="1005">
        <v>2.65</v>
      </c>
    </row>
    <row r="299" spans="2:36">
      <c r="B299" s="1009" t="s">
        <v>392</v>
      </c>
      <c r="C299" s="1013" t="s">
        <v>384</v>
      </c>
      <c r="D299" s="954" t="s">
        <v>379</v>
      </c>
      <c r="E299" s="954" t="s">
        <v>379</v>
      </c>
      <c r="F299" s="954" t="s">
        <v>379</v>
      </c>
      <c r="G299" s="954" t="s">
        <v>379</v>
      </c>
      <c r="H299" s="954" t="s">
        <v>379</v>
      </c>
      <c r="I299" s="954" t="s">
        <v>379</v>
      </c>
      <c r="J299" s="954" t="s">
        <v>379</v>
      </c>
      <c r="K299" s="954" t="s">
        <v>379</v>
      </c>
      <c r="L299" s="954" t="s">
        <v>379</v>
      </c>
      <c r="M299" s="954" t="s">
        <v>379</v>
      </c>
      <c r="N299" s="954" t="s">
        <v>379</v>
      </c>
      <c r="O299" s="954" t="s">
        <v>379</v>
      </c>
      <c r="P299" s="954" t="s">
        <v>379</v>
      </c>
      <c r="Q299" s="954" t="s">
        <v>379</v>
      </c>
      <c r="R299" s="954" t="s">
        <v>379</v>
      </c>
      <c r="S299" s="954" t="s">
        <v>379</v>
      </c>
      <c r="T299" s="954" t="s">
        <v>379</v>
      </c>
      <c r="U299" s="954" t="s">
        <v>379</v>
      </c>
      <c r="V299" s="954" t="s">
        <v>379</v>
      </c>
      <c r="W299" s="954" t="s">
        <v>379</v>
      </c>
      <c r="X299" s="954" t="s">
        <v>379</v>
      </c>
      <c r="Y299" s="1005">
        <v>0</v>
      </c>
      <c r="Z299" s="1005">
        <v>0</v>
      </c>
      <c r="AA299" s="1005">
        <v>0</v>
      </c>
      <c r="AB299" s="1015">
        <v>0</v>
      </c>
      <c r="AC299" s="1005">
        <v>0</v>
      </c>
      <c r="AD299" s="1005">
        <v>0</v>
      </c>
      <c r="AE299" s="1005">
        <v>0</v>
      </c>
      <c r="AF299" s="1005">
        <v>0</v>
      </c>
      <c r="AG299" s="1005">
        <v>0</v>
      </c>
      <c r="AH299" s="1005">
        <v>0</v>
      </c>
      <c r="AI299" s="1005">
        <v>0</v>
      </c>
      <c r="AJ299" s="1005">
        <v>0</v>
      </c>
    </row>
    <row r="300" spans="2:36">
      <c r="B300" s="1009" t="s">
        <v>404</v>
      </c>
      <c r="C300" s="1009" t="s">
        <v>381</v>
      </c>
      <c r="D300" s="954" t="s">
        <v>379</v>
      </c>
      <c r="E300" s="954" t="s">
        <v>379</v>
      </c>
      <c r="F300" s="954" t="s">
        <v>379</v>
      </c>
      <c r="G300" s="954" t="s">
        <v>379</v>
      </c>
      <c r="H300" s="954" t="s">
        <v>379</v>
      </c>
      <c r="I300" s="954" t="s">
        <v>379</v>
      </c>
      <c r="J300" s="954" t="s">
        <v>379</v>
      </c>
      <c r="K300" s="954" t="s">
        <v>379</v>
      </c>
      <c r="L300" s="954" t="s">
        <v>379</v>
      </c>
      <c r="M300" s="954" t="s">
        <v>379</v>
      </c>
      <c r="N300" s="954" t="s">
        <v>379</v>
      </c>
      <c r="O300" s="954" t="s">
        <v>379</v>
      </c>
      <c r="P300" s="954" t="s">
        <v>379</v>
      </c>
      <c r="Q300" s="954" t="s">
        <v>379</v>
      </c>
      <c r="R300" s="954" t="s">
        <v>379</v>
      </c>
      <c r="S300" s="954" t="s">
        <v>379</v>
      </c>
      <c r="T300" s="954" t="s">
        <v>379</v>
      </c>
      <c r="U300" s="954" t="s">
        <v>379</v>
      </c>
      <c r="V300" s="954" t="s">
        <v>379</v>
      </c>
      <c r="W300" s="954" t="s">
        <v>379</v>
      </c>
      <c r="X300" s="954" t="s">
        <v>379</v>
      </c>
      <c r="Y300" s="954" t="s">
        <v>379</v>
      </c>
      <c r="Z300" s="954" t="s">
        <v>379</v>
      </c>
      <c r="AA300" s="954" t="s">
        <v>379</v>
      </c>
      <c r="AB300" s="1031">
        <f>6+17+2</f>
        <v>25</v>
      </c>
      <c r="AC300" s="1014">
        <f>5+30</f>
        <v>35</v>
      </c>
      <c r="AD300" s="1014">
        <f>54+23+4</f>
        <v>81</v>
      </c>
      <c r="AE300" s="1014">
        <f>38+1</f>
        <v>39</v>
      </c>
      <c r="AF300" s="1014">
        <f>38+4+2</f>
        <v>44</v>
      </c>
      <c r="AG300" s="1014">
        <v>36</v>
      </c>
      <c r="AH300" s="1014">
        <v>25</v>
      </c>
      <c r="AI300" s="1014">
        <v>34</v>
      </c>
      <c r="AJ300" s="1014">
        <v>23</v>
      </c>
    </row>
    <row r="301" spans="2:36">
      <c r="B301" s="1009" t="s">
        <v>405</v>
      </c>
      <c r="C301" s="1009" t="s">
        <v>383</v>
      </c>
      <c r="D301" s="954" t="s">
        <v>379</v>
      </c>
      <c r="E301" s="954" t="s">
        <v>379</v>
      </c>
      <c r="F301" s="954" t="s">
        <v>379</v>
      </c>
      <c r="G301" s="954" t="s">
        <v>379</v>
      </c>
      <c r="H301" s="954" t="s">
        <v>379</v>
      </c>
      <c r="I301" s="954" t="s">
        <v>379</v>
      </c>
      <c r="J301" s="954" t="s">
        <v>379</v>
      </c>
      <c r="K301" s="954" t="s">
        <v>379</v>
      </c>
      <c r="L301" s="954" t="s">
        <v>379</v>
      </c>
      <c r="M301" s="954" t="s">
        <v>379</v>
      </c>
      <c r="N301" s="954" t="s">
        <v>379</v>
      </c>
      <c r="O301" s="954" t="s">
        <v>379</v>
      </c>
      <c r="P301" s="954" t="s">
        <v>379</v>
      </c>
      <c r="Q301" s="954" t="s">
        <v>379</v>
      </c>
      <c r="R301" s="954" t="s">
        <v>379</v>
      </c>
      <c r="S301" s="954" t="s">
        <v>379</v>
      </c>
      <c r="T301" s="954" t="s">
        <v>379</v>
      </c>
      <c r="U301" s="954" t="s">
        <v>379</v>
      </c>
      <c r="V301" s="954" t="s">
        <v>379</v>
      </c>
      <c r="W301" s="954" t="s">
        <v>379</v>
      </c>
      <c r="X301" s="954" t="s">
        <v>379</v>
      </c>
      <c r="Y301" s="954" t="s">
        <v>379</v>
      </c>
      <c r="Z301" s="954" t="s">
        <v>379</v>
      </c>
      <c r="AA301" s="954" t="s">
        <v>379</v>
      </c>
      <c r="AB301" s="1015">
        <f>86.5/25</f>
        <v>3.46</v>
      </c>
      <c r="AC301" s="1005">
        <f>0.9977+1.714</f>
        <v>2.7117</v>
      </c>
      <c r="AD301" s="1005">
        <f>10.84+1.32+2.7</f>
        <v>14.86</v>
      </c>
      <c r="AE301" s="1005">
        <f>7.6+0.06</f>
        <v>7.6599999999999993</v>
      </c>
      <c r="AF301" s="1015">
        <v>9.8800000000000008</v>
      </c>
      <c r="AG301" s="1015">
        <v>8.08</v>
      </c>
      <c r="AH301" s="1015">
        <v>8.1199999999999992</v>
      </c>
      <c r="AI301" s="1015">
        <v>6.64</v>
      </c>
      <c r="AJ301" s="1015">
        <f>3.802+0.229</f>
        <v>4.0309999999999997</v>
      </c>
    </row>
    <row r="302" spans="2:36">
      <c r="B302" s="1013" t="s">
        <v>405</v>
      </c>
      <c r="C302" s="1013" t="s">
        <v>384</v>
      </c>
      <c r="D302" s="1012" t="s">
        <v>379</v>
      </c>
      <c r="E302" s="1012" t="s">
        <v>379</v>
      </c>
      <c r="F302" s="1012" t="s">
        <v>379</v>
      </c>
      <c r="G302" s="1012" t="s">
        <v>379</v>
      </c>
      <c r="H302" s="1012" t="s">
        <v>379</v>
      </c>
      <c r="I302" s="1012" t="s">
        <v>379</v>
      </c>
      <c r="J302" s="1012" t="s">
        <v>379</v>
      </c>
      <c r="K302" s="1012" t="s">
        <v>379</v>
      </c>
      <c r="L302" s="1012" t="s">
        <v>379</v>
      </c>
      <c r="M302" s="1012" t="s">
        <v>379</v>
      </c>
      <c r="N302" s="1012" t="s">
        <v>379</v>
      </c>
      <c r="O302" s="1012" t="s">
        <v>379</v>
      </c>
      <c r="P302" s="1012" t="s">
        <v>379</v>
      </c>
      <c r="Q302" s="1012" t="s">
        <v>379</v>
      </c>
      <c r="R302" s="1012" t="s">
        <v>379</v>
      </c>
      <c r="S302" s="1012" t="s">
        <v>379</v>
      </c>
      <c r="T302" s="1012" t="s">
        <v>379</v>
      </c>
      <c r="U302" s="1012" t="s">
        <v>379</v>
      </c>
      <c r="V302" s="1012" t="s">
        <v>379</v>
      </c>
      <c r="W302" s="1012" t="s">
        <v>379</v>
      </c>
      <c r="X302" s="1012" t="s">
        <v>379</v>
      </c>
      <c r="Y302" s="1012" t="s">
        <v>379</v>
      </c>
      <c r="Z302" s="1012" t="s">
        <v>379</v>
      </c>
      <c r="AA302" s="1012" t="s">
        <v>379</v>
      </c>
      <c r="AB302" s="1029">
        <v>0</v>
      </c>
      <c r="AC302" s="1011">
        <v>0</v>
      </c>
      <c r="AD302" s="1011">
        <v>0</v>
      </c>
      <c r="AE302" s="1011">
        <v>0</v>
      </c>
      <c r="AF302" s="1011">
        <v>0</v>
      </c>
      <c r="AG302" s="1011">
        <v>0</v>
      </c>
      <c r="AH302" s="1011">
        <v>0</v>
      </c>
      <c r="AI302" s="1011">
        <v>0</v>
      </c>
      <c r="AJ302" s="1011">
        <v>0</v>
      </c>
    </row>
    <row r="303" spans="2:36">
      <c r="B303" s="1013" t="s">
        <v>406</v>
      </c>
      <c r="C303" s="1009" t="s">
        <v>407</v>
      </c>
      <c r="D303" s="1071">
        <v>1</v>
      </c>
      <c r="E303" s="1071">
        <v>1</v>
      </c>
      <c r="F303" s="1071">
        <v>1</v>
      </c>
      <c r="G303" s="1071">
        <v>1</v>
      </c>
      <c r="H303" s="1071">
        <v>1</v>
      </c>
      <c r="I303" s="1071">
        <v>1</v>
      </c>
      <c r="J303" s="1071">
        <v>1</v>
      </c>
      <c r="K303" s="1071">
        <v>1</v>
      </c>
      <c r="L303" s="1071">
        <v>1</v>
      </c>
      <c r="M303" s="1071">
        <v>1</v>
      </c>
      <c r="N303" s="1071">
        <v>1</v>
      </c>
      <c r="O303" s="1071">
        <v>1</v>
      </c>
      <c r="P303" s="1071">
        <v>1</v>
      </c>
      <c r="Q303" s="1071">
        <v>1</v>
      </c>
      <c r="R303" s="1071">
        <v>1</v>
      </c>
      <c r="S303" s="1071">
        <v>1</v>
      </c>
      <c r="T303" s="1071">
        <v>1</v>
      </c>
      <c r="U303" s="1071">
        <v>1</v>
      </c>
      <c r="V303" s="1071">
        <v>1</v>
      </c>
      <c r="W303" s="1071">
        <v>1</v>
      </c>
      <c r="X303" s="1071">
        <v>1</v>
      </c>
      <c r="Y303" s="1031">
        <v>1</v>
      </c>
      <c r="Z303" s="1031">
        <v>1</v>
      </c>
      <c r="AA303" s="1031">
        <v>1</v>
      </c>
      <c r="AB303" s="1031">
        <v>1</v>
      </c>
      <c r="AC303" s="1014">
        <v>1</v>
      </c>
      <c r="AD303" s="1014">
        <v>1</v>
      </c>
      <c r="AE303" s="1014">
        <v>1</v>
      </c>
      <c r="AF303" s="1014">
        <v>1</v>
      </c>
      <c r="AG303" s="1014">
        <v>1</v>
      </c>
      <c r="AH303" s="1014">
        <v>1</v>
      </c>
      <c r="AI303" s="1014">
        <v>1</v>
      </c>
      <c r="AJ303" s="1014">
        <v>1</v>
      </c>
    </row>
    <row r="304" spans="2:36">
      <c r="B304" s="1009" t="s">
        <v>408</v>
      </c>
      <c r="C304" s="1009" t="s">
        <v>383</v>
      </c>
      <c r="D304" s="954" t="s">
        <v>379</v>
      </c>
      <c r="E304" s="954" t="s">
        <v>379</v>
      </c>
      <c r="F304" s="954" t="s">
        <v>379</v>
      </c>
      <c r="G304" s="954" t="s">
        <v>379</v>
      </c>
      <c r="H304" s="954" t="s">
        <v>379</v>
      </c>
      <c r="I304" s="954" t="s">
        <v>379</v>
      </c>
      <c r="J304" s="954" t="s">
        <v>379</v>
      </c>
      <c r="K304" s="954" t="s">
        <v>379</v>
      </c>
      <c r="L304" s="954" t="s">
        <v>379</v>
      </c>
      <c r="M304" s="954" t="s">
        <v>379</v>
      </c>
      <c r="N304" s="954" t="s">
        <v>379</v>
      </c>
      <c r="O304" s="954" t="s">
        <v>379</v>
      </c>
      <c r="P304" s="954" t="s">
        <v>379</v>
      </c>
      <c r="Q304" s="954" t="s">
        <v>379</v>
      </c>
      <c r="R304" s="954" t="s">
        <v>379</v>
      </c>
      <c r="S304" s="954" t="s">
        <v>379</v>
      </c>
      <c r="T304" s="954" t="s">
        <v>379</v>
      </c>
      <c r="U304" s="954" t="s">
        <v>379</v>
      </c>
      <c r="V304" s="954" t="s">
        <v>379</v>
      </c>
      <c r="W304" s="954" t="s">
        <v>379</v>
      </c>
      <c r="X304" s="954" t="s">
        <v>379</v>
      </c>
      <c r="Y304" s="954" t="s">
        <v>379</v>
      </c>
      <c r="Z304" s="954" t="s">
        <v>379</v>
      </c>
      <c r="AA304" s="954" t="s">
        <v>379</v>
      </c>
      <c r="AB304" s="1015">
        <f>17.5/25</f>
        <v>0.7</v>
      </c>
      <c r="AC304" s="1005">
        <v>0.69989999999999997</v>
      </c>
      <c r="AD304" s="1005">
        <v>0.7</v>
      </c>
      <c r="AE304" s="1005">
        <v>0.7</v>
      </c>
      <c r="AF304" s="1005">
        <v>0.7</v>
      </c>
      <c r="AG304" s="1005">
        <v>0.7</v>
      </c>
      <c r="AH304" s="1005">
        <v>0.7</v>
      </c>
      <c r="AI304" s="1005">
        <v>0.7</v>
      </c>
      <c r="AJ304" s="1005">
        <v>0.7</v>
      </c>
    </row>
    <row r="305" spans="2:36">
      <c r="B305" s="1013" t="s">
        <v>408</v>
      </c>
      <c r="C305" s="1013" t="s">
        <v>384</v>
      </c>
      <c r="D305" s="1012" t="s">
        <v>379</v>
      </c>
      <c r="E305" s="1012" t="s">
        <v>379</v>
      </c>
      <c r="F305" s="1012" t="s">
        <v>379</v>
      </c>
      <c r="G305" s="1012" t="s">
        <v>379</v>
      </c>
      <c r="H305" s="1012" t="s">
        <v>379</v>
      </c>
      <c r="I305" s="1012" t="s">
        <v>379</v>
      </c>
      <c r="J305" s="1012" t="s">
        <v>379</v>
      </c>
      <c r="K305" s="1012" t="s">
        <v>379</v>
      </c>
      <c r="L305" s="1012" t="s">
        <v>379</v>
      </c>
      <c r="M305" s="1012" t="s">
        <v>379</v>
      </c>
      <c r="N305" s="1012" t="s">
        <v>379</v>
      </c>
      <c r="O305" s="1012" t="s">
        <v>379</v>
      </c>
      <c r="P305" s="1012" t="s">
        <v>379</v>
      </c>
      <c r="Q305" s="1012" t="s">
        <v>379</v>
      </c>
      <c r="R305" s="1012" t="s">
        <v>379</v>
      </c>
      <c r="S305" s="1012" t="s">
        <v>379</v>
      </c>
      <c r="T305" s="1012" t="s">
        <v>379</v>
      </c>
      <c r="U305" s="1012" t="s">
        <v>379</v>
      </c>
      <c r="V305" s="1012" t="s">
        <v>379</v>
      </c>
      <c r="W305" s="1012" t="s">
        <v>379</v>
      </c>
      <c r="X305" s="1012" t="s">
        <v>379</v>
      </c>
      <c r="Y305" s="1012" t="s">
        <v>379</v>
      </c>
      <c r="Z305" s="1012" t="s">
        <v>379</v>
      </c>
      <c r="AA305" s="1012" t="s">
        <v>379</v>
      </c>
      <c r="AB305" s="1029">
        <v>0</v>
      </c>
      <c r="AC305" s="1011">
        <v>0</v>
      </c>
      <c r="AD305" s="1011">
        <v>0</v>
      </c>
      <c r="AE305" s="1011">
        <v>0</v>
      </c>
      <c r="AF305" s="1011">
        <v>0</v>
      </c>
      <c r="AG305" s="1011">
        <v>0</v>
      </c>
      <c r="AH305" s="1011">
        <v>0</v>
      </c>
      <c r="AI305" s="1011">
        <v>0</v>
      </c>
      <c r="AJ305" s="1011">
        <v>0</v>
      </c>
    </row>
  </sheetData>
  <mergeCells count="2">
    <mergeCell ref="D65:F65"/>
    <mergeCell ref="D156:F156"/>
  </mergeCells>
  <phoneticPr fontId="141" type="noConversion"/>
  <conditionalFormatting sqref="D137:AE148">
    <cfRule type="cellIs" dxfId="17" priority="85" operator="between">
      <formula>0.0000001</formula>
      <formula>0.049999</formula>
    </cfRule>
  </conditionalFormatting>
  <conditionalFormatting sqref="D151:AE151">
    <cfRule type="cellIs" dxfId="16" priority="79" operator="between">
      <formula>0.0000001</formula>
      <formula>0.049999</formula>
    </cfRule>
  </conditionalFormatting>
  <conditionalFormatting sqref="D149:AF150">
    <cfRule type="cellIs" dxfId="15" priority="219" operator="between">
      <formula>0.0000001</formula>
      <formula>0.049999</formula>
    </cfRule>
  </conditionalFormatting>
  <conditionalFormatting sqref="D152:AL153">
    <cfRule type="cellIs" dxfId="14" priority="1" operator="between">
      <formula>0.0000001</formula>
      <formula>0.049999</formula>
    </cfRule>
  </conditionalFormatting>
  <conditionalFormatting sqref="AF128:AF153">
    <cfRule type="cellIs" dxfId="13" priority="80" operator="between">
      <formula>0.0000001</formula>
      <formula>0.049999</formula>
    </cfRule>
  </conditionalFormatting>
  <conditionalFormatting sqref="AG130:AG135">
    <cfRule type="cellIs" dxfId="12" priority="73" operator="between">
      <formula>0.0000001</formula>
      <formula>0.049999</formula>
    </cfRule>
  </conditionalFormatting>
  <conditionalFormatting sqref="AG128:AK129 D128:AF136">
    <cfRule type="cellIs" dxfId="11" priority="233" operator="between">
      <formula>0.0000001</formula>
      <formula>0.049999</formula>
    </cfRule>
  </conditionalFormatting>
  <conditionalFormatting sqref="AG140:AL143">
    <cfRule type="cellIs" dxfId="10" priority="13" operator="between">
      <formula>0.0000001</formula>
      <formula>0.049999</formula>
    </cfRule>
  </conditionalFormatting>
  <conditionalFormatting sqref="AH128:AK135">
    <cfRule type="cellIs" dxfId="9" priority="57" operator="between">
      <formula>0.0000001</formula>
      <formula>0.049999</formula>
    </cfRule>
  </conditionalFormatting>
  <conditionalFormatting sqref="AH141:AK143">
    <cfRule type="cellIs" dxfId="8" priority="2" operator="between">
      <formula>0.0000001</formula>
      <formula>0.049999</formula>
    </cfRule>
  </conditionalFormatting>
  <conditionalFormatting sqref="AL131:AL135">
    <cfRule type="cellIs" dxfId="7" priority="31" operator="between">
      <formula>0.0000001</formula>
      <formula>0.049999</formula>
    </cfRule>
  </conditionalFormatting>
  <conditionalFormatting sqref="AL149">
    <cfRule type="cellIs" dxfId="6" priority="10" operator="between">
      <formula>0.0000001</formula>
      <formula>0.049999</formula>
    </cfRule>
  </conditionalFormatting>
  <pageMargins left="0.7" right="0.7" top="0.75" bottom="0.75" header="0.3" footer="0.3"/>
  <rowBreaks count="2" manualBreakCount="2">
    <brk id="123" max="16383" man="1"/>
    <brk id="212" min="1" max="33" man="1"/>
  </row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K42"/>
  <sheetViews>
    <sheetView zoomScaleNormal="100" workbookViewId="0"/>
  </sheetViews>
  <sheetFormatPr defaultColWidth="8.81640625" defaultRowHeight="14.5"/>
  <cols>
    <col min="1" max="1" width="5.54296875" customWidth="1"/>
    <col min="2" max="2" width="26.453125" customWidth="1"/>
    <col min="3" max="6" width="8.453125" customWidth="1"/>
    <col min="7" max="9" width="9.54296875" customWidth="1"/>
    <col min="10" max="10" width="10" customWidth="1"/>
    <col min="11" max="11" width="9.54296875" customWidth="1"/>
    <col min="12" max="13" width="10" customWidth="1"/>
    <col min="14" max="14" width="10" bestFit="1" customWidth="1"/>
    <col min="15" max="17" width="11.54296875" bestFit="1" customWidth="1"/>
    <col min="18" max="21" width="12.54296875" bestFit="1" customWidth="1"/>
    <col min="22" max="22" width="10" customWidth="1"/>
    <col min="23" max="23" width="10" bestFit="1" customWidth="1"/>
    <col min="24" max="27" width="10" customWidth="1"/>
    <col min="28" max="28" width="11.453125" bestFit="1" customWidth="1"/>
    <col min="29" max="29" width="11.453125" customWidth="1"/>
    <col min="30" max="30" width="10.81640625" customWidth="1"/>
    <col min="31" max="32" width="9" customWidth="1"/>
    <col min="33" max="33" width="9" bestFit="1" customWidth="1"/>
    <col min="34" max="34" width="10" customWidth="1"/>
    <col min="35" max="35" width="9" bestFit="1" customWidth="1"/>
    <col min="36" max="36" width="10" bestFit="1" customWidth="1"/>
    <col min="37" max="37" width="9" bestFit="1" customWidth="1"/>
  </cols>
  <sheetData>
    <row r="1" spans="1:37" ht="21.5">
      <c r="B1" s="91" t="s">
        <v>409</v>
      </c>
      <c r="C1" s="90"/>
      <c r="D1" s="90"/>
      <c r="E1" s="90"/>
      <c r="F1" s="90"/>
      <c r="G1" s="90"/>
      <c r="H1" s="90"/>
      <c r="I1" s="90"/>
      <c r="J1" s="90"/>
      <c r="K1" s="90"/>
      <c r="L1" s="90"/>
    </row>
    <row r="2" spans="1:37" ht="22.5" customHeight="1">
      <c r="A2" s="91"/>
      <c r="B2" s="1767" t="s">
        <v>410</v>
      </c>
      <c r="C2" s="1768"/>
      <c r="D2" s="1768"/>
      <c r="E2" s="1768"/>
      <c r="F2" s="1768"/>
      <c r="G2" s="1768"/>
      <c r="H2" s="1768"/>
      <c r="I2" s="1768"/>
      <c r="J2" s="1768"/>
      <c r="K2" s="1768"/>
      <c r="L2" s="1769"/>
    </row>
    <row r="3" spans="1:37" ht="22" thickBot="1">
      <c r="A3" s="91"/>
      <c r="B3" s="216"/>
      <c r="C3" s="1546"/>
      <c r="D3" s="234"/>
      <c r="E3" s="90"/>
      <c r="F3" s="90"/>
      <c r="G3" s="90"/>
      <c r="H3" s="90"/>
      <c r="I3" s="90"/>
      <c r="J3" s="90"/>
      <c r="K3" s="90"/>
      <c r="L3" s="90"/>
      <c r="V3" s="242"/>
      <c r="W3" s="284"/>
      <c r="X3" s="242"/>
      <c r="Y3" s="242"/>
      <c r="Z3" s="284"/>
      <c r="AA3" s="284"/>
      <c r="AB3" s="284"/>
      <c r="AC3" s="284"/>
      <c r="AD3" s="284"/>
      <c r="AE3" s="151"/>
      <c r="AF3" s="856"/>
      <c r="AG3" s="856"/>
      <c r="AH3" s="856"/>
      <c r="AI3" s="856" t="s">
        <v>0</v>
      </c>
      <c r="AJ3" s="1056"/>
      <c r="AK3" s="1056"/>
    </row>
    <row r="4" spans="1:37" ht="15.5" thickBot="1">
      <c r="A4" s="90"/>
      <c r="B4" s="107" t="s">
        <v>411</v>
      </c>
      <c r="C4" s="219">
        <v>1990</v>
      </c>
      <c r="D4" s="114">
        <v>1991</v>
      </c>
      <c r="E4" s="114">
        <v>1992</v>
      </c>
      <c r="F4" s="114">
        <v>1993</v>
      </c>
      <c r="G4" s="114">
        <v>1994</v>
      </c>
      <c r="H4" s="114">
        <v>1995</v>
      </c>
      <c r="I4" s="114">
        <v>1996</v>
      </c>
      <c r="J4" s="114">
        <v>1997</v>
      </c>
      <c r="K4" s="114">
        <v>1998</v>
      </c>
      <c r="L4" s="114">
        <v>1999</v>
      </c>
      <c r="M4" s="114">
        <v>2000</v>
      </c>
      <c r="N4" s="114">
        <v>2001</v>
      </c>
      <c r="O4" s="114">
        <v>2002</v>
      </c>
      <c r="P4" s="114">
        <v>2003</v>
      </c>
      <c r="Q4" s="114">
        <v>2004</v>
      </c>
      <c r="R4" s="114">
        <v>2005</v>
      </c>
      <c r="S4" s="114">
        <v>2006</v>
      </c>
      <c r="T4" s="114">
        <v>2007</v>
      </c>
      <c r="U4" s="114">
        <v>2008</v>
      </c>
      <c r="V4" s="114">
        <v>2009</v>
      </c>
      <c r="W4" s="114">
        <v>2010</v>
      </c>
      <c r="X4" s="114">
        <v>2011</v>
      </c>
      <c r="Y4" s="93">
        <v>2012</v>
      </c>
      <c r="Z4" s="93">
        <v>2013</v>
      </c>
      <c r="AA4" s="93">
        <v>2014</v>
      </c>
      <c r="AB4" s="93">
        <v>2015</v>
      </c>
      <c r="AC4" s="93">
        <v>2016</v>
      </c>
      <c r="AD4" s="93">
        <v>2017</v>
      </c>
      <c r="AE4" s="93">
        <v>2018</v>
      </c>
      <c r="AF4" s="1090">
        <v>2019</v>
      </c>
      <c r="AG4" s="1090">
        <v>2020</v>
      </c>
      <c r="AH4" s="1090">
        <v>2021</v>
      </c>
      <c r="AI4" s="1090">
        <v>2022</v>
      </c>
      <c r="AJ4" s="1209"/>
      <c r="AK4" s="1209"/>
    </row>
    <row r="5" spans="1:37" ht="15">
      <c r="A5" s="90"/>
      <c r="B5" s="480" t="s">
        <v>412</v>
      </c>
      <c r="C5" s="511">
        <f t="shared" ref="C5:AI5" si="0">C7+C8+C9+C13</f>
        <v>174868.70435586825</v>
      </c>
      <c r="D5" s="511">
        <f t="shared" si="0"/>
        <v>168024.95618437475</v>
      </c>
      <c r="E5" s="511">
        <f t="shared" si="0"/>
        <v>166471.46143521593</v>
      </c>
      <c r="F5" s="511">
        <f t="shared" si="0"/>
        <v>167768.86728671644</v>
      </c>
      <c r="G5" s="511">
        <f t="shared" si="0"/>
        <v>171233.80147318816</v>
      </c>
      <c r="H5" s="511">
        <f t="shared" si="0"/>
        <v>177847.88850002829</v>
      </c>
      <c r="I5" s="511">
        <f t="shared" si="0"/>
        <v>154742.22736004781</v>
      </c>
      <c r="J5" s="511">
        <f t="shared" si="0"/>
        <v>160684.1887589765</v>
      </c>
      <c r="K5" s="511">
        <f t="shared" si="0"/>
        <v>162875.32043738078</v>
      </c>
      <c r="L5" s="511">
        <f t="shared" si="0"/>
        <v>150084.61634922688</v>
      </c>
      <c r="M5" s="511">
        <f t="shared" si="0"/>
        <v>155665.60192136597</v>
      </c>
      <c r="N5" s="511">
        <f>N7+N8+N9+N13</f>
        <v>153422.01959521024</v>
      </c>
      <c r="O5" s="511">
        <f t="shared" ref="O5:U5" si="1">O7+O8+O9+O13</f>
        <v>161069.00239265375</v>
      </c>
      <c r="P5" s="511">
        <f t="shared" si="1"/>
        <v>162882.01663743105</v>
      </c>
      <c r="Q5" s="511">
        <f t="shared" si="1"/>
        <v>178566.4582126328</v>
      </c>
      <c r="R5" s="511">
        <f t="shared" si="1"/>
        <v>184354.30470026869</v>
      </c>
      <c r="S5" s="511">
        <f>S7+S8+S9+S13</f>
        <v>169121.92522942633</v>
      </c>
      <c r="T5" s="511">
        <f t="shared" si="1"/>
        <v>169472.94606177643</v>
      </c>
      <c r="U5" s="511">
        <f t="shared" si="1"/>
        <v>169994.67681789317</v>
      </c>
      <c r="V5" s="511">
        <f>V7+V8+V9+V13</f>
        <v>177037.08287497214</v>
      </c>
      <c r="W5" s="511">
        <f t="shared" si="0"/>
        <v>165024.51852074839</v>
      </c>
      <c r="X5" s="511">
        <f t="shared" si="0"/>
        <v>157309.83808887185</v>
      </c>
      <c r="Y5" s="511">
        <f t="shared" si="0"/>
        <v>141350.05046817998</v>
      </c>
      <c r="Z5" s="511">
        <f t="shared" si="0"/>
        <v>172748.11479382913</v>
      </c>
      <c r="AA5" s="511">
        <f t="shared" si="0"/>
        <v>154431.64337067591</v>
      </c>
      <c r="AB5" s="511">
        <f t="shared" si="0"/>
        <v>178494.46201584366</v>
      </c>
      <c r="AC5" s="511">
        <f t="shared" si="0"/>
        <v>167379.99180826006</v>
      </c>
      <c r="AD5" s="511">
        <f t="shared" si="0"/>
        <v>161639.86486130956</v>
      </c>
      <c r="AE5" s="511">
        <f t="shared" si="0"/>
        <v>170669.99348626717</v>
      </c>
      <c r="AF5" s="511">
        <f t="shared" si="0"/>
        <v>156564.05049563234</v>
      </c>
      <c r="AG5" s="511">
        <f t="shared" si="0"/>
        <v>150437.66880673397</v>
      </c>
      <c r="AH5" s="511">
        <f t="shared" si="0"/>
        <v>153245.32225179404</v>
      </c>
      <c r="AI5" s="1089">
        <f t="shared" si="0"/>
        <v>86354</v>
      </c>
      <c r="AJ5" s="990"/>
    </row>
    <row r="6" spans="1:37" ht="15">
      <c r="A6" s="90"/>
      <c r="B6" s="94" t="s">
        <v>413</v>
      </c>
      <c r="C6" s="1522">
        <v>0</v>
      </c>
      <c r="D6" s="123">
        <v>0</v>
      </c>
      <c r="E6" s="123">
        <v>0</v>
      </c>
      <c r="F6" s="123">
        <v>0</v>
      </c>
      <c r="G6" s="123">
        <v>0</v>
      </c>
      <c r="H6" s="123">
        <v>0</v>
      </c>
      <c r="I6" s="123">
        <v>0</v>
      </c>
      <c r="J6" s="123">
        <v>0</v>
      </c>
      <c r="K6" s="123">
        <v>0</v>
      </c>
      <c r="L6" s="123">
        <v>0</v>
      </c>
      <c r="M6" s="123">
        <v>0</v>
      </c>
      <c r="N6" s="123">
        <v>0</v>
      </c>
      <c r="O6" s="123">
        <v>0</v>
      </c>
      <c r="P6" s="123">
        <v>0</v>
      </c>
      <c r="Q6" s="123">
        <v>0</v>
      </c>
      <c r="R6" s="123">
        <v>0</v>
      </c>
      <c r="S6" s="123">
        <v>0</v>
      </c>
      <c r="T6" s="123">
        <v>0</v>
      </c>
      <c r="U6" s="123">
        <v>0</v>
      </c>
      <c r="V6" s="123">
        <v>0</v>
      </c>
      <c r="W6" s="123">
        <v>0</v>
      </c>
      <c r="X6" s="123">
        <v>0</v>
      </c>
      <c r="Y6" s="375">
        <v>0</v>
      </c>
      <c r="Z6" s="375">
        <v>0</v>
      </c>
      <c r="AA6" s="375">
        <v>0</v>
      </c>
      <c r="AB6" s="375">
        <v>0</v>
      </c>
      <c r="AC6" s="375"/>
      <c r="AF6" s="234"/>
    </row>
    <row r="7" spans="1:37" ht="15">
      <c r="A7" s="90"/>
      <c r="B7" s="94" t="s">
        <v>414</v>
      </c>
      <c r="C7" s="1523">
        <v>82392.64337283335</v>
      </c>
      <c r="D7" s="376">
        <f t="array" ref="D7">TREND($F$7:$M$7,$F$4:$M$4,D4)</f>
        <v>82733.928410662396</v>
      </c>
      <c r="E7" s="377">
        <f t="array" ref="E7">TREND($F$7:$M$7,$F$4:$M$4,E4)</f>
        <v>82736.469557553399</v>
      </c>
      <c r="F7" s="123">
        <v>84888.618842455035</v>
      </c>
      <c r="G7" s="123">
        <v>76384.29939562676</v>
      </c>
      <c r="H7" s="123">
        <v>86407.97132396551</v>
      </c>
      <c r="I7" s="123">
        <v>78683.651952622982</v>
      </c>
      <c r="J7" s="123">
        <v>86428.28917431194</v>
      </c>
      <c r="K7" s="123">
        <v>87046.680046693567</v>
      </c>
      <c r="L7" s="123">
        <v>84155.783632751292</v>
      </c>
      <c r="M7" s="123">
        <v>77987.943380076293</v>
      </c>
      <c r="N7" s="1583">
        <f t="shared" ref="N7:U7" si="2">$M$7+($V$7-$M$7)/($V$4-$M$4)*(N4-$M$4)</f>
        <v>82577.975337645243</v>
      </c>
      <c r="O7" s="1584">
        <f t="shared" si="2"/>
        <v>87168.007295214193</v>
      </c>
      <c r="P7" s="1584">
        <f t="shared" si="2"/>
        <v>91758.039252783157</v>
      </c>
      <c r="Q7" s="1584">
        <f t="shared" si="2"/>
        <v>96348.071210352107</v>
      </c>
      <c r="R7" s="1584">
        <f t="shared" si="2"/>
        <v>100938.10316792106</v>
      </c>
      <c r="S7" s="1584">
        <f t="shared" si="2"/>
        <v>105528.13512549002</v>
      </c>
      <c r="T7" s="1584">
        <f t="shared" si="2"/>
        <v>110118.16708305897</v>
      </c>
      <c r="U7" s="1585">
        <f t="shared" si="2"/>
        <v>114708.19904062792</v>
      </c>
      <c r="V7" s="123">
        <v>119298.23099819687</v>
      </c>
      <c r="W7" s="1115">
        <v>109086</v>
      </c>
      <c r="X7" s="1556">
        <v>100131</v>
      </c>
      <c r="Y7" s="1556">
        <v>86916</v>
      </c>
      <c r="Z7" s="1556">
        <v>92267.3</v>
      </c>
      <c r="AA7" s="1556">
        <v>93031.5</v>
      </c>
      <c r="AB7" s="1556">
        <v>99260.3</v>
      </c>
      <c r="AC7" s="1556">
        <v>90802</v>
      </c>
      <c r="AD7" s="1556">
        <v>99669</v>
      </c>
      <c r="AE7" s="1556">
        <v>108687</v>
      </c>
      <c r="AF7" s="1557">
        <v>98136</v>
      </c>
      <c r="AG7" s="1557">
        <v>86087</v>
      </c>
      <c r="AH7" s="1557">
        <v>92704.9</v>
      </c>
      <c r="AI7" s="1557">
        <v>86354</v>
      </c>
    </row>
    <row r="8" spans="1:37" ht="15">
      <c r="A8" s="90"/>
      <c r="B8" s="94" t="s">
        <v>415</v>
      </c>
      <c r="C8" s="1524">
        <v>26774.291250064271</v>
      </c>
      <c r="D8" s="373">
        <f>TREND($G$8:$S$8,$G$4:$S$4,D4)</f>
        <v>22920.154001667397</v>
      </c>
      <c r="E8" s="373">
        <f>TREND($G$8:$S$8,$G$4:$S$4,E4)</f>
        <v>22302.967150978977</v>
      </c>
      <c r="F8" s="374">
        <f>TREND($G$8:$S$8,$G$4:$S$4,F4)</f>
        <v>21685.780300290557</v>
      </c>
      <c r="G8" s="123">
        <v>34355.263197910848</v>
      </c>
      <c r="H8" s="123">
        <v>28858.060481965218</v>
      </c>
      <c r="I8" s="123">
        <v>14906.478825010878</v>
      </c>
      <c r="J8" s="123">
        <v>12505.114298296707</v>
      </c>
      <c r="K8" s="123">
        <v>13599.247237056918</v>
      </c>
      <c r="L8" s="123">
        <v>4958.4942760550521</v>
      </c>
      <c r="M8" s="123">
        <v>17382.69892999974</v>
      </c>
      <c r="N8" s="123">
        <v>10940.191399934753</v>
      </c>
      <c r="O8" s="123">
        <v>14055.024876924053</v>
      </c>
      <c r="P8" s="123">
        <v>13228.369832216878</v>
      </c>
      <c r="Q8" s="123">
        <v>24921.260359097549</v>
      </c>
      <c r="R8" s="123">
        <v>27273.891029700357</v>
      </c>
      <c r="S8" s="123">
        <v>8767.0457469637568</v>
      </c>
      <c r="T8" s="123">
        <v>6290.9471201558545</v>
      </c>
      <c r="U8" s="123">
        <v>4676.8504723572096</v>
      </c>
      <c r="V8" s="123">
        <v>13209.142311135272</v>
      </c>
      <c r="W8" s="123">
        <v>9176.8499056978344</v>
      </c>
      <c r="X8" s="123">
        <v>11696.870903778061</v>
      </c>
      <c r="Y8" s="375">
        <v>9680.4502947611145</v>
      </c>
      <c r="Z8" s="375">
        <v>35261.960394476766</v>
      </c>
      <c r="AA8" s="375">
        <v>15758.755757032501</v>
      </c>
      <c r="AB8" s="375">
        <v>35309.682542457122</v>
      </c>
      <c r="AC8" s="375">
        <v>31600.200182334724</v>
      </c>
      <c r="AD8" s="375">
        <v>18822.957869047408</v>
      </c>
      <c r="AE8" s="375">
        <v>19423.64104197636</v>
      </c>
      <c r="AF8" s="375">
        <v>17225.136120752031</v>
      </c>
      <c r="AG8" s="375">
        <v>25232.561217095295</v>
      </c>
      <c r="AH8" s="375">
        <v>19903.397214544293</v>
      </c>
    </row>
    <row r="9" spans="1:37" ht="15">
      <c r="A9" s="90"/>
      <c r="B9" s="94" t="s">
        <v>416</v>
      </c>
      <c r="C9" s="1525">
        <v>65360.081521050088</v>
      </c>
      <c r="D9" s="122">
        <v>61991.770536907563</v>
      </c>
      <c r="E9" s="122">
        <v>61036.085120989737</v>
      </c>
      <c r="F9" s="122">
        <v>60885.359077974063</v>
      </c>
      <c r="G9" s="122">
        <v>60170.062401002462</v>
      </c>
      <c r="H9" s="122">
        <v>62167.283656113235</v>
      </c>
      <c r="I9" s="122">
        <v>60884.332800728618</v>
      </c>
      <c r="J9" s="122">
        <v>61457.845619777298</v>
      </c>
      <c r="K9" s="122">
        <v>61849.497469684196</v>
      </c>
      <c r="L9" s="122">
        <v>60396.546128629408</v>
      </c>
      <c r="M9" s="122">
        <v>59810.763493454833</v>
      </c>
      <c r="N9" s="122">
        <v>59422.983481060241</v>
      </c>
      <c r="O9" s="122">
        <v>59514.495058758635</v>
      </c>
      <c r="P9" s="122">
        <v>57596.390836285755</v>
      </c>
      <c r="Q9" s="122">
        <v>56865.369697152826</v>
      </c>
      <c r="R9" s="122">
        <v>55698.126716394705</v>
      </c>
      <c r="S9" s="122">
        <v>54428.692807912616</v>
      </c>
      <c r="T9" s="122">
        <v>52640.977493029131</v>
      </c>
      <c r="U9" s="122">
        <v>50294.610497417751</v>
      </c>
      <c r="V9" s="122">
        <v>44234.967889458218</v>
      </c>
      <c r="W9" s="122">
        <v>46497.481738290255</v>
      </c>
      <c r="X9" s="122">
        <v>45307.35413797498</v>
      </c>
      <c r="Y9" s="111">
        <v>44629.256959595288</v>
      </c>
      <c r="Z9" s="111">
        <v>45091.594522668202</v>
      </c>
      <c r="AA9" s="111">
        <v>45534.333994095578</v>
      </c>
      <c r="AB9" s="375">
        <v>43817.566175068809</v>
      </c>
      <c r="AC9" s="375">
        <v>44884.573402586677</v>
      </c>
      <c r="AD9" s="375">
        <v>43016.24475710863</v>
      </c>
      <c r="AE9" s="375">
        <v>42456.415484042001</v>
      </c>
      <c r="AF9" s="375">
        <v>41108.380663231779</v>
      </c>
      <c r="AG9" s="375">
        <v>39031.977126590355</v>
      </c>
      <c r="AH9" s="375">
        <v>40559.29782280168</v>
      </c>
    </row>
    <row r="10" spans="1:37" ht="15">
      <c r="A10" s="90"/>
      <c r="B10" s="94" t="s">
        <v>417</v>
      </c>
      <c r="C10" s="1525">
        <v>0</v>
      </c>
      <c r="D10" s="122">
        <v>0</v>
      </c>
      <c r="E10" s="122">
        <v>0</v>
      </c>
      <c r="F10" s="122">
        <v>0</v>
      </c>
      <c r="G10" s="122">
        <v>0</v>
      </c>
      <c r="H10" s="122">
        <v>0</v>
      </c>
      <c r="I10" s="122">
        <v>0</v>
      </c>
      <c r="J10" s="122">
        <v>0</v>
      </c>
      <c r="K10" s="122">
        <v>0</v>
      </c>
      <c r="L10" s="122">
        <v>0</v>
      </c>
      <c r="M10" s="122">
        <v>0</v>
      </c>
      <c r="N10" s="122">
        <v>0</v>
      </c>
      <c r="O10" s="122">
        <v>0</v>
      </c>
      <c r="P10" s="122">
        <v>0</v>
      </c>
      <c r="Q10" s="122">
        <v>0</v>
      </c>
      <c r="R10" s="122">
        <v>0</v>
      </c>
      <c r="S10" s="122">
        <v>0</v>
      </c>
      <c r="T10" s="122">
        <v>0</v>
      </c>
      <c r="U10" s="122">
        <v>0</v>
      </c>
      <c r="V10" s="122">
        <v>0</v>
      </c>
      <c r="W10" s="122">
        <v>0</v>
      </c>
      <c r="X10" s="122">
        <v>0</v>
      </c>
      <c r="Y10" s="111">
        <v>0</v>
      </c>
      <c r="Z10" s="111">
        <v>0</v>
      </c>
      <c r="AA10" s="111">
        <v>0</v>
      </c>
      <c r="AB10" s="111">
        <v>0</v>
      </c>
      <c r="AC10" s="111">
        <v>0</v>
      </c>
      <c r="AD10" s="111">
        <v>0</v>
      </c>
      <c r="AE10" s="786">
        <v>0</v>
      </c>
      <c r="AF10" s="786">
        <v>0</v>
      </c>
      <c r="AG10" s="786">
        <v>0</v>
      </c>
      <c r="AH10" s="786">
        <v>0</v>
      </c>
    </row>
    <row r="11" spans="1:37" ht="15">
      <c r="A11" s="90"/>
      <c r="B11" s="94" t="s">
        <v>418</v>
      </c>
      <c r="C11" s="1525">
        <v>0</v>
      </c>
      <c r="D11" s="122">
        <v>0</v>
      </c>
      <c r="E11" s="122">
        <v>0</v>
      </c>
      <c r="F11" s="122">
        <v>0</v>
      </c>
      <c r="G11" s="122">
        <v>0</v>
      </c>
      <c r="H11" s="122">
        <v>0</v>
      </c>
      <c r="I11" s="122">
        <v>0</v>
      </c>
      <c r="J11" s="122">
        <v>0</v>
      </c>
      <c r="K11" s="122">
        <v>0</v>
      </c>
      <c r="L11" s="122">
        <v>0</v>
      </c>
      <c r="M11" s="122">
        <v>0</v>
      </c>
      <c r="N11" s="122">
        <v>0</v>
      </c>
      <c r="O11" s="122">
        <v>0</v>
      </c>
      <c r="P11" s="122">
        <v>0</v>
      </c>
      <c r="Q11" s="122">
        <v>0</v>
      </c>
      <c r="R11" s="122">
        <v>0</v>
      </c>
      <c r="S11" s="122">
        <v>0</v>
      </c>
      <c r="T11" s="122">
        <v>0</v>
      </c>
      <c r="U11" s="122">
        <v>0</v>
      </c>
      <c r="V11" s="122">
        <v>0</v>
      </c>
      <c r="W11" s="122">
        <v>0</v>
      </c>
      <c r="X11" s="122">
        <v>0</v>
      </c>
      <c r="Y11" s="111">
        <v>0</v>
      </c>
      <c r="Z11" s="111">
        <v>0</v>
      </c>
      <c r="AA11" s="111">
        <v>0</v>
      </c>
      <c r="AB11" s="375">
        <v>0</v>
      </c>
      <c r="AC11" s="375">
        <v>0</v>
      </c>
      <c r="AD11" s="375">
        <v>0</v>
      </c>
      <c r="AE11" s="786">
        <v>0</v>
      </c>
      <c r="AF11" s="786">
        <v>0</v>
      </c>
      <c r="AG11" s="786">
        <v>0</v>
      </c>
      <c r="AH11" s="786">
        <v>0</v>
      </c>
    </row>
    <row r="12" spans="1:37" ht="15">
      <c r="A12" s="90"/>
      <c r="B12" s="94" t="s">
        <v>419</v>
      </c>
      <c r="C12" s="1525">
        <v>0</v>
      </c>
      <c r="D12" s="122">
        <v>0</v>
      </c>
      <c r="E12" s="122">
        <v>0</v>
      </c>
      <c r="F12" s="122">
        <v>0</v>
      </c>
      <c r="G12" s="122">
        <v>0</v>
      </c>
      <c r="H12" s="122">
        <v>0</v>
      </c>
      <c r="I12" s="122">
        <v>0</v>
      </c>
      <c r="J12" s="122">
        <v>0</v>
      </c>
      <c r="K12" s="122">
        <v>0</v>
      </c>
      <c r="L12" s="122">
        <v>0</v>
      </c>
      <c r="M12" s="122">
        <v>0</v>
      </c>
      <c r="N12" s="122">
        <v>0</v>
      </c>
      <c r="O12" s="122">
        <v>0</v>
      </c>
      <c r="P12" s="122">
        <v>0</v>
      </c>
      <c r="Q12" s="122">
        <v>0</v>
      </c>
      <c r="R12" s="122">
        <v>0</v>
      </c>
      <c r="S12" s="122">
        <v>0</v>
      </c>
      <c r="T12" s="122">
        <v>0</v>
      </c>
      <c r="U12" s="122">
        <v>0</v>
      </c>
      <c r="V12" s="122">
        <v>0</v>
      </c>
      <c r="W12" s="122">
        <v>0</v>
      </c>
      <c r="X12" s="122">
        <v>0</v>
      </c>
      <c r="Y12" s="111">
        <v>0</v>
      </c>
      <c r="Z12" s="111">
        <v>0</v>
      </c>
      <c r="AA12" s="111">
        <v>0</v>
      </c>
      <c r="AB12" s="111">
        <v>0</v>
      </c>
      <c r="AC12" s="111">
        <v>0</v>
      </c>
      <c r="AD12" s="111">
        <v>0</v>
      </c>
      <c r="AE12" s="111">
        <v>0</v>
      </c>
      <c r="AF12" s="111">
        <v>0</v>
      </c>
      <c r="AG12" s="111">
        <v>0</v>
      </c>
      <c r="AH12" s="111">
        <v>0</v>
      </c>
    </row>
    <row r="13" spans="1:37" ht="15">
      <c r="A13" s="90"/>
      <c r="B13" s="94" t="s">
        <v>420</v>
      </c>
      <c r="C13" s="1525">
        <v>341.6882119205298</v>
      </c>
      <c r="D13" s="122">
        <v>379.1032351373982</v>
      </c>
      <c r="E13" s="122">
        <v>395.93960569384188</v>
      </c>
      <c r="F13" s="122">
        <v>309.10906599680288</v>
      </c>
      <c r="G13" s="122">
        <v>324.17647864809311</v>
      </c>
      <c r="H13" s="122">
        <v>414.573037984319</v>
      </c>
      <c r="I13" s="122">
        <v>267.7637816853163</v>
      </c>
      <c r="J13" s="122">
        <v>292.93966659054576</v>
      </c>
      <c r="K13" s="122">
        <v>379.89568394610643</v>
      </c>
      <c r="L13" s="122">
        <v>573.79231179112423</v>
      </c>
      <c r="M13" s="122">
        <v>484.19611783512221</v>
      </c>
      <c r="N13" s="122">
        <v>480.86937656999311</v>
      </c>
      <c r="O13" s="122">
        <v>331.47516175686991</v>
      </c>
      <c r="P13" s="122">
        <v>299.21671614523859</v>
      </c>
      <c r="Q13" s="122">
        <v>431.75694603029609</v>
      </c>
      <c r="R13" s="122">
        <v>444.18378625256901</v>
      </c>
      <c r="S13" s="122">
        <v>398.05154905990713</v>
      </c>
      <c r="T13" s="122">
        <v>422.85436553246558</v>
      </c>
      <c r="U13" s="122">
        <v>315.01680749029458</v>
      </c>
      <c r="V13" s="122">
        <v>294.74167618177665</v>
      </c>
      <c r="W13" s="122">
        <v>264.18687676029532</v>
      </c>
      <c r="X13" s="122">
        <v>174.61304711882468</v>
      </c>
      <c r="Y13" s="111">
        <v>124.34321382355178</v>
      </c>
      <c r="Z13" s="111">
        <v>127.25987668417447</v>
      </c>
      <c r="AA13" s="111">
        <v>107.05361954784196</v>
      </c>
      <c r="AB13" s="111">
        <v>106.91329831772853</v>
      </c>
      <c r="AC13" s="111">
        <v>93.218223338661772</v>
      </c>
      <c r="AD13" s="111">
        <v>131.66223515351132</v>
      </c>
      <c r="AE13" s="111">
        <v>102.93696024878878</v>
      </c>
      <c r="AF13" s="111">
        <v>94.533711648551105</v>
      </c>
      <c r="AG13" s="111">
        <v>86.130463048313416</v>
      </c>
      <c r="AH13" s="111">
        <v>77.72721444807901</v>
      </c>
    </row>
    <row r="14" spans="1:37" ht="15">
      <c r="A14" s="90"/>
      <c r="B14" s="480" t="s">
        <v>421</v>
      </c>
      <c r="C14" s="1526">
        <v>0</v>
      </c>
      <c r="D14" s="511">
        <v>0</v>
      </c>
      <c r="E14" s="511">
        <v>0</v>
      </c>
      <c r="F14" s="511">
        <v>0</v>
      </c>
      <c r="G14" s="511">
        <v>0</v>
      </c>
      <c r="H14" s="511">
        <v>0</v>
      </c>
      <c r="I14" s="511">
        <v>0</v>
      </c>
      <c r="J14" s="511">
        <v>0</v>
      </c>
      <c r="K14" s="511">
        <v>0</v>
      </c>
      <c r="L14" s="511">
        <v>0</v>
      </c>
      <c r="M14" s="511">
        <v>0</v>
      </c>
      <c r="N14" s="511">
        <v>0</v>
      </c>
      <c r="O14" s="511">
        <v>0</v>
      </c>
      <c r="P14" s="511">
        <v>0</v>
      </c>
      <c r="Q14" s="511">
        <v>0</v>
      </c>
      <c r="R14" s="511">
        <v>0</v>
      </c>
      <c r="S14" s="511">
        <v>0</v>
      </c>
      <c r="T14" s="511">
        <v>0</v>
      </c>
      <c r="U14" s="511">
        <v>0</v>
      </c>
      <c r="V14" s="511">
        <v>0</v>
      </c>
      <c r="W14" s="511">
        <v>0</v>
      </c>
      <c r="X14" s="511">
        <v>0</v>
      </c>
      <c r="Y14" s="512">
        <v>0</v>
      </c>
      <c r="Z14" s="512">
        <v>0</v>
      </c>
      <c r="AA14" s="512">
        <v>0</v>
      </c>
      <c r="AB14" s="512">
        <v>0</v>
      </c>
      <c r="AC14" s="512">
        <v>0</v>
      </c>
      <c r="AD14" s="512">
        <v>0</v>
      </c>
      <c r="AE14" s="512">
        <v>0</v>
      </c>
      <c r="AF14" s="512">
        <v>0</v>
      </c>
      <c r="AG14" s="512">
        <v>0</v>
      </c>
      <c r="AH14" s="512">
        <v>0</v>
      </c>
    </row>
    <row r="15" spans="1:37" ht="15">
      <c r="A15" s="90"/>
      <c r="B15" s="94" t="s">
        <v>422</v>
      </c>
      <c r="C15" s="1525">
        <v>0</v>
      </c>
      <c r="D15" s="122">
        <v>0</v>
      </c>
      <c r="E15" s="122">
        <v>0</v>
      </c>
      <c r="F15" s="122">
        <v>0</v>
      </c>
      <c r="G15" s="122">
        <v>0</v>
      </c>
      <c r="H15" s="122">
        <v>0</v>
      </c>
      <c r="I15" s="122">
        <v>0</v>
      </c>
      <c r="J15" s="122">
        <v>0</v>
      </c>
      <c r="K15" s="122">
        <v>0</v>
      </c>
      <c r="L15" s="122">
        <v>0</v>
      </c>
      <c r="M15" s="122">
        <v>0</v>
      </c>
      <c r="N15" s="122">
        <v>0</v>
      </c>
      <c r="O15" s="122">
        <v>0</v>
      </c>
      <c r="P15" s="122">
        <v>0</v>
      </c>
      <c r="Q15" s="122">
        <v>0</v>
      </c>
      <c r="R15" s="122">
        <v>0</v>
      </c>
      <c r="S15" s="122">
        <v>0</v>
      </c>
      <c r="T15" s="122">
        <v>0</v>
      </c>
      <c r="U15" s="122">
        <v>0</v>
      </c>
      <c r="V15" s="122">
        <v>0</v>
      </c>
      <c r="W15" s="122">
        <v>0</v>
      </c>
      <c r="X15" s="122">
        <v>0</v>
      </c>
      <c r="Y15" s="111">
        <v>0</v>
      </c>
      <c r="Z15" s="111">
        <v>0</v>
      </c>
      <c r="AA15" s="111">
        <v>0</v>
      </c>
      <c r="AB15" s="111">
        <v>0</v>
      </c>
      <c r="AC15" s="111">
        <v>0</v>
      </c>
      <c r="AD15" s="111">
        <v>0</v>
      </c>
      <c r="AE15" s="111">
        <v>0</v>
      </c>
      <c r="AF15" s="111">
        <v>0</v>
      </c>
      <c r="AG15" s="111">
        <v>0</v>
      </c>
      <c r="AH15" s="111">
        <v>0</v>
      </c>
    </row>
    <row r="16" spans="1:37" ht="15">
      <c r="A16" s="90"/>
      <c r="B16" s="94" t="s">
        <v>423</v>
      </c>
      <c r="C16" s="1525">
        <v>0</v>
      </c>
      <c r="D16" s="122">
        <v>0</v>
      </c>
      <c r="E16" s="122">
        <v>0</v>
      </c>
      <c r="F16" s="122">
        <v>0</v>
      </c>
      <c r="G16" s="122">
        <v>0</v>
      </c>
      <c r="H16" s="122">
        <v>0</v>
      </c>
      <c r="I16" s="122">
        <v>0</v>
      </c>
      <c r="J16" s="122">
        <v>0</v>
      </c>
      <c r="K16" s="122">
        <v>0</v>
      </c>
      <c r="L16" s="122">
        <v>0</v>
      </c>
      <c r="M16" s="122">
        <v>0</v>
      </c>
      <c r="N16" s="122">
        <v>0</v>
      </c>
      <c r="O16" s="122">
        <v>0</v>
      </c>
      <c r="P16" s="122">
        <v>0</v>
      </c>
      <c r="Q16" s="122">
        <v>0</v>
      </c>
      <c r="R16" s="122">
        <v>0</v>
      </c>
      <c r="S16" s="122">
        <v>0</v>
      </c>
      <c r="T16" s="122">
        <v>0</v>
      </c>
      <c r="U16" s="122">
        <v>0</v>
      </c>
      <c r="V16" s="122">
        <v>0</v>
      </c>
      <c r="W16" s="122">
        <v>0</v>
      </c>
      <c r="X16" s="122">
        <v>0</v>
      </c>
      <c r="Y16" s="111">
        <v>0</v>
      </c>
      <c r="Z16" s="111">
        <v>0</v>
      </c>
      <c r="AA16" s="111">
        <v>0</v>
      </c>
      <c r="AB16" s="111">
        <v>0</v>
      </c>
      <c r="AC16" s="111">
        <v>0</v>
      </c>
      <c r="AD16" s="111">
        <v>0</v>
      </c>
      <c r="AE16" s="111">
        <v>0</v>
      </c>
      <c r="AF16" s="111">
        <v>0</v>
      </c>
      <c r="AG16" s="111">
        <v>0</v>
      </c>
      <c r="AH16" s="111">
        <v>0</v>
      </c>
    </row>
    <row r="17" spans="1:37" ht="15">
      <c r="A17" s="90"/>
      <c r="B17" s="480" t="s">
        <v>424</v>
      </c>
      <c r="C17" s="1526">
        <v>481383.28615922964</v>
      </c>
      <c r="D17" s="511">
        <v>465291.48834258231</v>
      </c>
      <c r="E17" s="511">
        <v>486521.28246690863</v>
      </c>
      <c r="F17" s="511">
        <v>559763.12398357899</v>
      </c>
      <c r="G17" s="511">
        <v>699910.80705756729</v>
      </c>
      <c r="H17" s="511">
        <v>1009628.5768811572</v>
      </c>
      <c r="I17" s="511">
        <v>1227087.4909229027</v>
      </c>
      <c r="J17" s="511">
        <v>1430746.4862753411</v>
      </c>
      <c r="K17" s="511">
        <v>1644408.5872431365</v>
      </c>
      <c r="L17" s="511">
        <v>1881890.5739800844</v>
      </c>
      <c r="M17" s="511">
        <v>2022583.8871160189</v>
      </c>
      <c r="N17" s="511">
        <v>2101178.7513435581</v>
      </c>
      <c r="O17" s="511">
        <v>2247232.9580084798</v>
      </c>
      <c r="P17" s="511">
        <v>2272801.4810555563</v>
      </c>
      <c r="Q17" s="511">
        <v>2281428.7160123684</v>
      </c>
      <c r="R17" s="511">
        <v>2311436.0742541999</v>
      </c>
      <c r="S17" s="511">
        <v>2402515.1103988634</v>
      </c>
      <c r="T17" s="511">
        <v>2488474.9500308889</v>
      </c>
      <c r="U17" s="511">
        <v>2660002.1936905892</v>
      </c>
      <c r="V17" s="511">
        <v>2712720.303582374</v>
      </c>
      <c r="W17" s="511">
        <v>2580194.2468803641</v>
      </c>
      <c r="X17" s="511">
        <v>2812140.3761619898</v>
      </c>
      <c r="Y17" s="511">
        <v>3045504.3545793793</v>
      </c>
      <c r="Z17" s="511">
        <v>3462247.4424496586</v>
      </c>
      <c r="AA17" s="511">
        <v>3867935.5522063449</v>
      </c>
      <c r="AB17" s="511">
        <v>3727199.6809326229</v>
      </c>
      <c r="AC17" s="511">
        <v>3754458.5266230237</v>
      </c>
      <c r="AD17" s="511">
        <v>3263749.6670263144</v>
      </c>
      <c r="AE17" s="511">
        <v>3625486.8312521996</v>
      </c>
      <c r="AF17" s="511">
        <v>3477628.0502116485</v>
      </c>
      <c r="AG17" s="511">
        <v>3784070.2413895987</v>
      </c>
      <c r="AH17" s="511">
        <v>3949011.0021142708</v>
      </c>
      <c r="AI17" s="123"/>
      <c r="AJ17" s="1238"/>
      <c r="AK17" s="123"/>
    </row>
    <row r="18" spans="1:37" ht="15">
      <c r="A18" s="90"/>
      <c r="B18" s="94" t="s">
        <v>119</v>
      </c>
      <c r="C18" s="1525">
        <v>5409.9844792000004</v>
      </c>
      <c r="D18" s="122">
        <v>12460.479461513316</v>
      </c>
      <c r="E18" s="122">
        <v>33364.256189678723</v>
      </c>
      <c r="F18" s="122">
        <v>107913.87960654042</v>
      </c>
      <c r="G18" s="122">
        <v>260754.42052323412</v>
      </c>
      <c r="H18" s="122">
        <v>572693.65103370836</v>
      </c>
      <c r="I18" s="122">
        <v>803344.1619025541</v>
      </c>
      <c r="J18" s="122">
        <v>1020988.6908184625</v>
      </c>
      <c r="K18" s="122">
        <v>1177602.0716654193</v>
      </c>
      <c r="L18" s="122">
        <v>1338157.4499433034</v>
      </c>
      <c r="M18" s="122">
        <v>1472358.9128157732</v>
      </c>
      <c r="N18" s="122">
        <v>1601652.5441583728</v>
      </c>
      <c r="O18" s="122">
        <v>1693937.4776078654</v>
      </c>
      <c r="P18" s="122">
        <v>1776035.3004828738</v>
      </c>
      <c r="Q18" s="122">
        <v>1841710.4934056657</v>
      </c>
      <c r="R18" s="122">
        <v>1923035.6945102909</v>
      </c>
      <c r="S18" s="122">
        <v>2043473.4271879846</v>
      </c>
      <c r="T18" s="122">
        <v>2185336.0490360721</v>
      </c>
      <c r="U18" s="122">
        <v>2344618.005572557</v>
      </c>
      <c r="V18" s="122">
        <v>2437547.8218789496</v>
      </c>
      <c r="W18" s="122">
        <v>2248724.7459142134</v>
      </c>
      <c r="X18" s="122">
        <v>2375021.3406845252</v>
      </c>
      <c r="Y18" s="111">
        <v>2590013.3833123082</v>
      </c>
      <c r="Z18" s="111">
        <v>3058048.2864494538</v>
      </c>
      <c r="AA18" s="111">
        <v>3467413.4177221409</v>
      </c>
      <c r="AB18" s="375">
        <v>3352298.2398250522</v>
      </c>
      <c r="AC18" s="375">
        <v>3396897.8292518733</v>
      </c>
      <c r="AD18" s="375">
        <v>2930262.2333298363</v>
      </c>
      <c r="AE18" s="375">
        <v>3287497.0695521231</v>
      </c>
      <c r="AF18" s="375">
        <v>3150018.6257919343</v>
      </c>
      <c r="AG18" s="375">
        <v>3460571.3795215455</v>
      </c>
      <c r="AH18" s="375">
        <v>3599382.0553111131</v>
      </c>
      <c r="AI18" s="949"/>
      <c r="AJ18" s="1238"/>
      <c r="AK18" s="949"/>
    </row>
    <row r="19" spans="1:37" ht="15">
      <c r="A19" s="90"/>
      <c r="B19" s="94" t="s">
        <v>120</v>
      </c>
      <c r="C19" s="1525">
        <v>88073.545482425121</v>
      </c>
      <c r="D19" s="122">
        <v>81004.944716333572</v>
      </c>
      <c r="E19" s="122">
        <v>81004.944716333572</v>
      </c>
      <c r="F19" s="122">
        <v>101256.18089541694</v>
      </c>
      <c r="G19" s="122">
        <v>111381.79898495866</v>
      </c>
      <c r="H19" s="122">
        <v>139969.14247232408</v>
      </c>
      <c r="I19" s="122">
        <v>155430.53401135013</v>
      </c>
      <c r="J19" s="122">
        <v>164258.99693515967</v>
      </c>
      <c r="K19" s="122">
        <v>262539.39011032908</v>
      </c>
      <c r="L19" s="122">
        <v>334351.06863421574</v>
      </c>
      <c r="M19" s="122">
        <v>344838.8020991318</v>
      </c>
      <c r="N19" s="122">
        <v>293797.58504386467</v>
      </c>
      <c r="O19" s="122">
        <v>358304.5070221051</v>
      </c>
      <c r="P19" s="122">
        <v>304173.91495858959</v>
      </c>
      <c r="Q19" s="122">
        <v>253070.06955678106</v>
      </c>
      <c r="R19" s="122">
        <v>208761.52734863997</v>
      </c>
      <c r="S19" s="122">
        <v>197059.72486139819</v>
      </c>
      <c r="T19" s="122">
        <v>152778.81297471974</v>
      </c>
      <c r="U19" s="122">
        <v>167850.17402067827</v>
      </c>
      <c r="V19" s="122">
        <v>143266.24702402437</v>
      </c>
      <c r="W19" s="122">
        <v>216883.56644994835</v>
      </c>
      <c r="X19" s="122">
        <v>334499.05312150804</v>
      </c>
      <c r="Y19" s="122">
        <v>366934.54455318779</v>
      </c>
      <c r="Z19" s="122">
        <v>319554.39718401688</v>
      </c>
      <c r="AA19" s="122">
        <v>314886.42340047366</v>
      </c>
      <c r="AB19" s="375">
        <v>299848.89018138766</v>
      </c>
      <c r="AC19" s="375">
        <v>280860.50526205503</v>
      </c>
      <c r="AD19" s="375">
        <v>258541.89962968219</v>
      </c>
      <c r="AE19" s="375">
        <v>267751.35593837884</v>
      </c>
      <c r="AF19" s="375">
        <v>248046.64146958024</v>
      </c>
      <c r="AG19" s="375">
        <v>247064.38617296595</v>
      </c>
      <c r="AH19" s="375">
        <v>272141.99886570615</v>
      </c>
    </row>
    <row r="20" spans="1:37" ht="15">
      <c r="A20" s="90"/>
      <c r="B20" s="94" t="s">
        <v>425</v>
      </c>
      <c r="C20" s="1525">
        <v>0</v>
      </c>
      <c r="D20" s="122">
        <v>0</v>
      </c>
      <c r="E20" s="122">
        <v>0</v>
      </c>
      <c r="F20" s="122">
        <v>0</v>
      </c>
      <c r="G20" s="122">
        <v>0</v>
      </c>
      <c r="H20" s="122">
        <v>0</v>
      </c>
      <c r="I20" s="122">
        <v>0</v>
      </c>
      <c r="J20" s="122">
        <v>0</v>
      </c>
      <c r="K20" s="122">
        <v>0</v>
      </c>
      <c r="L20" s="122">
        <v>0</v>
      </c>
      <c r="M20" s="122">
        <v>0</v>
      </c>
      <c r="N20" s="122">
        <v>0</v>
      </c>
      <c r="O20" s="122">
        <v>0</v>
      </c>
      <c r="P20" s="122">
        <v>0</v>
      </c>
      <c r="Q20" s="122">
        <v>0</v>
      </c>
      <c r="R20" s="122">
        <v>0</v>
      </c>
      <c r="S20" s="122">
        <v>0</v>
      </c>
      <c r="T20" s="122">
        <v>0</v>
      </c>
      <c r="U20" s="122">
        <v>0</v>
      </c>
      <c r="V20" s="122">
        <v>0</v>
      </c>
      <c r="W20" s="122">
        <v>0</v>
      </c>
      <c r="X20" s="122">
        <v>0</v>
      </c>
      <c r="Y20" s="111">
        <v>0</v>
      </c>
      <c r="Z20" s="111">
        <v>0</v>
      </c>
      <c r="AA20" s="111">
        <v>0</v>
      </c>
      <c r="AB20" s="111">
        <v>0</v>
      </c>
      <c r="AC20" s="111">
        <v>0</v>
      </c>
      <c r="AD20" s="111">
        <v>0</v>
      </c>
      <c r="AE20" s="111">
        <v>0</v>
      </c>
      <c r="AF20" s="111">
        <v>0</v>
      </c>
      <c r="AG20" s="111">
        <v>0</v>
      </c>
      <c r="AH20" s="111">
        <v>0</v>
      </c>
    </row>
    <row r="21" spans="1:37" ht="26">
      <c r="A21" s="90"/>
      <c r="B21" s="112" t="s">
        <v>121</v>
      </c>
      <c r="C21" s="1525">
        <v>387899.75619760453</v>
      </c>
      <c r="D21" s="122">
        <v>371826.06416473538</v>
      </c>
      <c r="E21" s="122">
        <v>372152.08156089642</v>
      </c>
      <c r="F21" s="122">
        <v>350593.06348162168</v>
      </c>
      <c r="G21" s="122">
        <v>327774.58754937456</v>
      </c>
      <c r="H21" s="122">
        <v>296965.78337512485</v>
      </c>
      <c r="I21" s="122">
        <v>268312.79500899842</v>
      </c>
      <c r="J21" s="122">
        <v>245498.79852171885</v>
      </c>
      <c r="K21" s="122">
        <v>204267.12546738819</v>
      </c>
      <c r="L21" s="122">
        <v>209382.05540256528</v>
      </c>
      <c r="M21" s="122">
        <v>205386.17220111404</v>
      </c>
      <c r="N21" s="122">
        <v>205728.62214132049</v>
      </c>
      <c r="O21" s="122">
        <v>194990.97337850928</v>
      </c>
      <c r="P21" s="122">
        <v>192592.26561409311</v>
      </c>
      <c r="Q21" s="122">
        <v>186648.15304992144</v>
      </c>
      <c r="R21" s="122">
        <v>179638.85239526923</v>
      </c>
      <c r="S21" s="122">
        <v>161981.95834948044</v>
      </c>
      <c r="T21" s="122">
        <v>150360.08802009723</v>
      </c>
      <c r="U21" s="122">
        <v>147534.01409735379</v>
      </c>
      <c r="V21" s="122">
        <v>131906.23467939996</v>
      </c>
      <c r="W21" s="122">
        <v>114585.93451620261</v>
      </c>
      <c r="X21" s="122">
        <v>102619.98235595651</v>
      </c>
      <c r="Y21" s="122">
        <v>88556.426713883353</v>
      </c>
      <c r="Z21" s="122">
        <v>84644.758816187692</v>
      </c>
      <c r="AA21" s="122">
        <v>85635.711083730901</v>
      </c>
      <c r="AB21" s="123">
        <v>75052.550926182608</v>
      </c>
      <c r="AC21" s="123">
        <v>76700.19210909566</v>
      </c>
      <c r="AD21" s="123">
        <v>74945.534066795866</v>
      </c>
      <c r="AE21" s="123">
        <v>70238.405761697737</v>
      </c>
      <c r="AF21" s="123">
        <v>79562.782950133915</v>
      </c>
      <c r="AG21" s="123">
        <v>76434.475695087429</v>
      </c>
      <c r="AH21" s="123">
        <v>77486.947937451725</v>
      </c>
    </row>
    <row r="22" spans="1:37" ht="15">
      <c r="A22" s="90"/>
      <c r="B22" s="94" t="s">
        <v>426</v>
      </c>
      <c r="C22" s="1525">
        <v>0</v>
      </c>
      <c r="D22" s="122">
        <v>0</v>
      </c>
      <c r="E22" s="122">
        <v>0</v>
      </c>
      <c r="F22" s="122">
        <v>0</v>
      </c>
      <c r="G22" s="122">
        <v>0</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2">
        <v>0</v>
      </c>
      <c r="Y22" s="111">
        <v>0</v>
      </c>
      <c r="Z22" s="111">
        <v>0</v>
      </c>
      <c r="AA22" s="111">
        <v>0</v>
      </c>
      <c r="AB22" s="111">
        <v>0</v>
      </c>
      <c r="AC22" s="111">
        <v>0</v>
      </c>
      <c r="AD22" s="111">
        <v>0</v>
      </c>
      <c r="AE22" s="111">
        <v>0</v>
      </c>
      <c r="AF22" s="111">
        <v>0</v>
      </c>
      <c r="AG22" s="111">
        <v>0</v>
      </c>
      <c r="AH22" s="111">
        <v>0</v>
      </c>
      <c r="AI22" s="111"/>
    </row>
    <row r="23" spans="1:37" ht="15.5" thickBot="1">
      <c r="A23" s="90"/>
      <c r="B23" s="94" t="s">
        <v>427</v>
      </c>
      <c r="C23" s="1527">
        <v>0</v>
      </c>
      <c r="D23" s="372">
        <v>0</v>
      </c>
      <c r="E23" s="372">
        <v>0</v>
      </c>
      <c r="F23" s="372">
        <v>0</v>
      </c>
      <c r="G23" s="372">
        <v>0</v>
      </c>
      <c r="H23" s="372">
        <v>0</v>
      </c>
      <c r="I23" s="372">
        <v>0</v>
      </c>
      <c r="J23" s="372">
        <v>0</v>
      </c>
      <c r="K23" s="372">
        <v>0</v>
      </c>
      <c r="L23" s="372">
        <v>0</v>
      </c>
      <c r="M23" s="372">
        <v>0</v>
      </c>
      <c r="N23" s="372">
        <v>0</v>
      </c>
      <c r="O23" s="372">
        <v>0</v>
      </c>
      <c r="P23" s="372">
        <v>0</v>
      </c>
      <c r="Q23" s="372">
        <v>0</v>
      </c>
      <c r="R23" s="372">
        <v>0</v>
      </c>
      <c r="S23" s="372">
        <v>0</v>
      </c>
      <c r="T23" s="372">
        <v>0</v>
      </c>
      <c r="U23" s="372">
        <v>0</v>
      </c>
      <c r="V23" s="372">
        <v>0</v>
      </c>
      <c r="W23" s="372">
        <v>0</v>
      </c>
      <c r="X23" s="372">
        <v>0</v>
      </c>
      <c r="Y23" s="372">
        <v>0</v>
      </c>
      <c r="Z23" s="372">
        <v>0</v>
      </c>
      <c r="AA23" s="372">
        <v>0</v>
      </c>
      <c r="AB23" s="372">
        <v>0</v>
      </c>
      <c r="AC23" s="372">
        <v>0</v>
      </c>
      <c r="AD23" s="372">
        <v>0</v>
      </c>
      <c r="AE23" s="372">
        <v>0</v>
      </c>
      <c r="AF23" s="372">
        <v>0</v>
      </c>
      <c r="AG23" s="372">
        <v>0</v>
      </c>
      <c r="AH23" s="372">
        <v>0</v>
      </c>
      <c r="AI23" s="372"/>
    </row>
    <row r="24" spans="1:37" ht="15.5" thickBot="1">
      <c r="A24" s="90"/>
      <c r="B24" s="513" t="s">
        <v>428</v>
      </c>
      <c r="C24" s="514">
        <f t="shared" ref="C24:AI24" si="3">C5+C17</f>
        <v>656251.99051509786</v>
      </c>
      <c r="D24" s="514">
        <f t="shared" si="3"/>
        <v>633316.44452695712</v>
      </c>
      <c r="E24" s="514">
        <f t="shared" si="3"/>
        <v>652992.74390212458</v>
      </c>
      <c r="F24" s="514">
        <f t="shared" si="3"/>
        <v>727531.99127029546</v>
      </c>
      <c r="G24" s="514">
        <f t="shared" si="3"/>
        <v>871144.60853075539</v>
      </c>
      <c r="H24" s="514">
        <f t="shared" si="3"/>
        <v>1187476.4653811855</v>
      </c>
      <c r="I24" s="514">
        <f t="shared" si="3"/>
        <v>1381829.7182829506</v>
      </c>
      <c r="J24" s="514">
        <f t="shared" si="3"/>
        <v>1591430.6750343177</v>
      </c>
      <c r="K24" s="514">
        <f t="shared" si="3"/>
        <v>1807283.9076805173</v>
      </c>
      <c r="L24" s="514">
        <f t="shared" si="3"/>
        <v>2031975.1903293112</v>
      </c>
      <c r="M24" s="514">
        <f t="shared" si="3"/>
        <v>2178249.4890373847</v>
      </c>
      <c r="N24" s="514">
        <f t="shared" si="3"/>
        <v>2254600.7709387685</v>
      </c>
      <c r="O24" s="514">
        <f t="shared" si="3"/>
        <v>2408301.9604011336</v>
      </c>
      <c r="P24" s="514">
        <f t="shared" si="3"/>
        <v>2435683.4976929873</v>
      </c>
      <c r="Q24" s="514">
        <f t="shared" si="3"/>
        <v>2459995.1742250011</v>
      </c>
      <c r="R24" s="514">
        <f t="shared" si="3"/>
        <v>2495790.3789544688</v>
      </c>
      <c r="S24" s="514">
        <f t="shared" si="3"/>
        <v>2571637.0356282899</v>
      </c>
      <c r="T24" s="514">
        <f t="shared" si="3"/>
        <v>2657947.8960926654</v>
      </c>
      <c r="U24" s="514">
        <f t="shared" si="3"/>
        <v>2829996.8705084822</v>
      </c>
      <c r="V24" s="514">
        <f t="shared" si="3"/>
        <v>2889757.3864573464</v>
      </c>
      <c r="W24" s="514">
        <f t="shared" si="3"/>
        <v>2745218.7654011124</v>
      </c>
      <c r="X24" s="514">
        <f t="shared" si="3"/>
        <v>2969450.2142508617</v>
      </c>
      <c r="Y24" s="514">
        <f t="shared" si="3"/>
        <v>3186854.4050475592</v>
      </c>
      <c r="Z24" s="514">
        <f t="shared" si="3"/>
        <v>3634995.5572434878</v>
      </c>
      <c r="AA24" s="514">
        <f t="shared" si="3"/>
        <v>4022367.1955770208</v>
      </c>
      <c r="AB24" s="514">
        <f t="shared" si="3"/>
        <v>3905694.1429484664</v>
      </c>
      <c r="AC24" s="514">
        <f t="shared" si="3"/>
        <v>3921838.5184312835</v>
      </c>
      <c r="AD24" s="514">
        <f t="shared" si="3"/>
        <v>3425389.5318876239</v>
      </c>
      <c r="AE24" s="514">
        <f t="shared" si="3"/>
        <v>3796156.8247384666</v>
      </c>
      <c r="AF24" s="514">
        <f t="shared" si="3"/>
        <v>3634192.1007072809</v>
      </c>
      <c r="AG24" s="514">
        <f t="shared" si="3"/>
        <v>3934507.9101963327</v>
      </c>
      <c r="AH24" s="514">
        <f t="shared" si="3"/>
        <v>4102256.3243660647</v>
      </c>
      <c r="AI24" s="514">
        <f t="shared" si="3"/>
        <v>86354</v>
      </c>
      <c r="AJ24" s="990"/>
      <c r="AK24" s="990"/>
    </row>
    <row r="25" spans="1:37" ht="15">
      <c r="A25" s="90"/>
      <c r="B25" s="94"/>
      <c r="C25" s="20"/>
      <c r="D25" s="20"/>
      <c r="E25" s="20"/>
      <c r="F25" s="20"/>
      <c r="G25" s="20"/>
      <c r="H25" s="20"/>
      <c r="I25" s="20"/>
      <c r="J25" s="20"/>
      <c r="K25" s="20"/>
      <c r="L25" s="20"/>
      <c r="AG25" s="235"/>
    </row>
    <row r="26" spans="1:37" ht="15">
      <c r="A26" s="90"/>
      <c r="B26" s="94"/>
      <c r="C26" s="20"/>
      <c r="D26" s="20"/>
      <c r="E26" s="20"/>
      <c r="F26" s="20"/>
      <c r="G26" s="20"/>
      <c r="L26" s="158"/>
      <c r="M26" s="159" t="s">
        <v>912</v>
      </c>
    </row>
    <row r="27" spans="1:37" ht="15">
      <c r="A27" s="90"/>
      <c r="B27" s="90"/>
      <c r="C27" s="20"/>
      <c r="D27" s="20"/>
      <c r="E27" s="20"/>
      <c r="F27" s="20"/>
      <c r="G27" s="20"/>
      <c r="H27" s="20"/>
      <c r="I27" s="20"/>
      <c r="J27" s="20"/>
      <c r="K27" s="20"/>
      <c r="L27" t="s">
        <v>943</v>
      </c>
    </row>
    <row r="28" spans="1:37" ht="15">
      <c r="A28" s="90"/>
      <c r="B28" s="94"/>
      <c r="C28" s="95"/>
      <c r="D28" s="95"/>
      <c r="E28" s="95"/>
      <c r="F28" s="95"/>
      <c r="G28" s="95"/>
      <c r="H28" s="95"/>
      <c r="I28" s="95"/>
      <c r="J28" s="95"/>
      <c r="K28" s="95"/>
      <c r="L28" t="s">
        <v>913</v>
      </c>
    </row>
    <row r="29" spans="1:37" ht="15">
      <c r="A29" s="90"/>
      <c r="B29" s="94"/>
      <c r="C29" s="95"/>
      <c r="D29" s="95"/>
      <c r="E29" s="95"/>
      <c r="F29" s="95"/>
      <c r="G29" s="95"/>
      <c r="H29" s="95"/>
      <c r="I29" s="95"/>
      <c r="J29" s="95"/>
      <c r="K29" s="95"/>
      <c r="L29" s="95"/>
    </row>
    <row r="30" spans="1:37" ht="15">
      <c r="A30" s="90"/>
      <c r="B30" s="94"/>
      <c r="C30" s="96"/>
      <c r="D30" s="96"/>
      <c r="E30" s="96"/>
      <c r="F30" s="96"/>
      <c r="G30" s="96"/>
      <c r="H30" s="96"/>
      <c r="I30" s="96"/>
      <c r="J30" s="96"/>
      <c r="K30" s="96"/>
      <c r="L30" s="96"/>
    </row>
    <row r="42" spans="37:37" ht="15">
      <c r="AK42" s="100"/>
    </row>
  </sheetData>
  <mergeCells count="1">
    <mergeCell ref="B2:L2"/>
  </mergeCells>
  <phoneticPr fontId="43" type="noConversion"/>
  <conditionalFormatting sqref="B2">
    <cfRule type="cellIs" dxfId="5" priority="3" stopIfTrue="1" operator="equal">
      <formula>0</formula>
    </cfRule>
    <cfRule type="cellIs" dxfId="4" priority="4" stopIfTrue="1" operator="notEqual">
      <formula>0</formula>
    </cfRule>
  </conditionalFormatting>
  <pageMargins left="0" right="0" top="0" bottom="0" header="0.3" footer="0.3"/>
  <pageSetup scale="40" orientation="landscape" r:id="rId1"/>
  <headerFooter>
    <oddFooter>&amp;L&amp;F &amp;A&amp;R 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K63"/>
  <sheetViews>
    <sheetView zoomScaleNormal="100" workbookViewId="0"/>
  </sheetViews>
  <sheetFormatPr defaultColWidth="8.81640625" defaultRowHeight="14.5"/>
  <cols>
    <col min="1" max="1" width="5.7265625" customWidth="1"/>
    <col min="2" max="2" width="34.81640625" customWidth="1"/>
    <col min="3" max="3" width="6" customWidth="1"/>
    <col min="4" max="20" width="6" bestFit="1" customWidth="1"/>
    <col min="21" max="21" width="7.81640625" bestFit="1" customWidth="1"/>
    <col min="22" max="22" width="6.453125" customWidth="1"/>
    <col min="23" max="23" width="6" bestFit="1" customWidth="1"/>
    <col min="24" max="26" width="6" customWidth="1"/>
    <col min="27" max="27" width="7.453125" customWidth="1"/>
  </cols>
  <sheetData>
    <row r="1" spans="1:37" ht="21.5">
      <c r="B1" s="89" t="s">
        <v>429</v>
      </c>
      <c r="E1" s="1468"/>
      <c r="K1" s="235"/>
      <c r="P1" s="574" t="s">
        <v>430</v>
      </c>
      <c r="Q1" s="682" t="s">
        <v>431</v>
      </c>
      <c r="R1" s="682" t="s">
        <v>28</v>
      </c>
      <c r="S1" s="407">
        <v>25</v>
      </c>
    </row>
    <row r="2" spans="1:37" ht="16.5">
      <c r="A2" s="113"/>
      <c r="B2" s="234"/>
      <c r="C2" s="1468"/>
      <c r="D2" s="234"/>
      <c r="E2" s="1468"/>
      <c r="F2" s="1468"/>
      <c r="G2" s="1468"/>
      <c r="H2" s="1468"/>
      <c r="I2" s="1468"/>
      <c r="J2" s="1468"/>
      <c r="K2" s="1468"/>
      <c r="L2" s="1468"/>
      <c r="P2" s="575"/>
      <c r="Q2" s="683"/>
      <c r="R2" s="683" t="s">
        <v>30</v>
      </c>
      <c r="S2" s="407">
        <v>298</v>
      </c>
    </row>
    <row r="3" spans="1:37" ht="16" thickBot="1">
      <c r="B3" s="93" t="s">
        <v>216</v>
      </c>
      <c r="C3" s="345"/>
      <c r="E3" s="116"/>
      <c r="F3" s="116"/>
      <c r="G3" s="116"/>
      <c r="H3" s="116"/>
      <c r="I3" s="116"/>
      <c r="J3" s="116"/>
      <c r="K3" s="116"/>
      <c r="L3" s="116"/>
      <c r="M3" s="116"/>
      <c r="N3" s="116"/>
      <c r="O3" s="116"/>
      <c r="P3" s="116"/>
      <c r="Q3" s="116"/>
      <c r="R3" s="116"/>
      <c r="S3" s="116"/>
      <c r="T3" s="151"/>
      <c r="U3" s="151"/>
      <c r="V3" s="242"/>
      <c r="W3" s="242"/>
      <c r="X3" s="242"/>
      <c r="AC3" s="234"/>
      <c r="AE3" s="234"/>
      <c r="AF3" s="234"/>
      <c r="AG3" s="234"/>
      <c r="AI3" s="1056"/>
      <c r="AJ3" s="1056"/>
      <c r="AK3" s="1056"/>
    </row>
    <row r="4" spans="1:37" ht="15.5" thickBot="1">
      <c r="B4" s="114"/>
      <c r="C4" s="219">
        <v>1990</v>
      </c>
      <c r="D4" s="114">
        <v>1991</v>
      </c>
      <c r="E4" s="114">
        <v>1992</v>
      </c>
      <c r="F4" s="114">
        <v>1993</v>
      </c>
      <c r="G4" s="114">
        <v>1994</v>
      </c>
      <c r="H4" s="114">
        <v>1995</v>
      </c>
      <c r="I4" s="114">
        <v>1996</v>
      </c>
      <c r="J4" s="114">
        <v>1997</v>
      </c>
      <c r="K4" s="114">
        <v>1998</v>
      </c>
      <c r="L4" s="114">
        <v>1999</v>
      </c>
      <c r="M4" s="114">
        <v>2000</v>
      </c>
      <c r="N4" s="114">
        <v>2001</v>
      </c>
      <c r="O4" s="114">
        <v>2002</v>
      </c>
      <c r="P4" s="114">
        <v>2003</v>
      </c>
      <c r="Q4" s="114">
        <v>2004</v>
      </c>
      <c r="R4" s="114">
        <v>2005</v>
      </c>
      <c r="S4" s="114">
        <v>2006</v>
      </c>
      <c r="T4" s="114">
        <v>2007</v>
      </c>
      <c r="U4" s="114">
        <v>2008</v>
      </c>
      <c r="V4" s="114">
        <v>2009</v>
      </c>
      <c r="W4" s="114">
        <v>2010</v>
      </c>
      <c r="X4" s="114">
        <v>2011</v>
      </c>
      <c r="Y4" s="114">
        <v>2012</v>
      </c>
      <c r="Z4" s="114">
        <v>2013</v>
      </c>
      <c r="AA4" s="114">
        <v>2014</v>
      </c>
      <c r="AB4" s="114">
        <v>2015</v>
      </c>
      <c r="AC4" s="114">
        <v>2016</v>
      </c>
      <c r="AD4" s="114">
        <v>2017</v>
      </c>
      <c r="AE4" s="114">
        <v>2018</v>
      </c>
      <c r="AF4" s="114">
        <v>2019</v>
      </c>
      <c r="AG4" s="114">
        <v>2020</v>
      </c>
      <c r="AH4" s="114">
        <v>2021</v>
      </c>
      <c r="AI4" s="1209"/>
      <c r="AJ4" s="1209"/>
      <c r="AK4" s="1209"/>
    </row>
    <row r="5" spans="1:37" ht="15">
      <c r="B5" s="90" t="s">
        <v>432</v>
      </c>
      <c r="C5" s="1528">
        <v>0.16584415176951664</v>
      </c>
      <c r="D5" s="109">
        <v>0.15639499731683551</v>
      </c>
      <c r="E5" s="109">
        <v>0.15722238863324536</v>
      </c>
      <c r="F5" s="109">
        <v>0.15645259232263967</v>
      </c>
      <c r="G5" s="109">
        <v>0.15049203155448942</v>
      </c>
      <c r="H5" s="109">
        <v>0.14591163112188385</v>
      </c>
      <c r="I5" s="109">
        <v>0.14332022421750545</v>
      </c>
      <c r="J5" s="109">
        <v>0.14043998034364261</v>
      </c>
      <c r="K5" s="109">
        <v>0.13892196765413811</v>
      </c>
      <c r="L5" s="109">
        <v>0.13386074957941635</v>
      </c>
      <c r="M5" s="109">
        <v>0.1288606835375149</v>
      </c>
      <c r="N5" s="109">
        <v>0.11123543741617338</v>
      </c>
      <c r="O5" s="109">
        <v>0.11532741018574399</v>
      </c>
      <c r="P5" s="109">
        <v>0.11153895725696224</v>
      </c>
      <c r="Q5" s="109">
        <v>0.10474117344572399</v>
      </c>
      <c r="R5" s="109">
        <v>0.10325033824451486</v>
      </c>
      <c r="S5" s="109">
        <v>0.10359912717569583</v>
      </c>
      <c r="T5" s="109">
        <v>9.9074939677745222E-2</v>
      </c>
      <c r="U5" s="109">
        <v>0.10210980995632511</v>
      </c>
      <c r="V5" s="109">
        <v>9.8504895949645288E-2</v>
      </c>
      <c r="W5" s="109">
        <v>9.5181027020905917E-2</v>
      </c>
      <c r="X5" s="109">
        <v>8.9699043202820239E-2</v>
      </c>
      <c r="Y5" s="109">
        <v>8.9753311353577017E-2</v>
      </c>
      <c r="Z5" s="109">
        <v>8.7801362380162257E-2</v>
      </c>
      <c r="AA5" s="109">
        <v>8.5772505197019247E-2</v>
      </c>
      <c r="AB5" s="109">
        <v>8.5941626496175844E-2</v>
      </c>
      <c r="AC5" s="109">
        <v>8.5337184541761937E-2</v>
      </c>
      <c r="AD5" s="109">
        <v>8.3497588398252914E-2</v>
      </c>
      <c r="AE5" s="109">
        <v>8.4069198328076231E-2</v>
      </c>
      <c r="AF5" s="109">
        <v>8.3340209030714527E-2</v>
      </c>
      <c r="AG5" s="109">
        <v>7.4152760438344553E-2</v>
      </c>
      <c r="AH5" s="109">
        <v>8.0751780743635343E-2</v>
      </c>
      <c r="AI5" s="109"/>
      <c r="AJ5" s="626"/>
    </row>
    <row r="6" spans="1:37" ht="15">
      <c r="B6" s="90" t="s">
        <v>433</v>
      </c>
      <c r="C6" s="1528">
        <v>4.8168883118203804E-2</v>
      </c>
      <c r="D6" s="109">
        <v>4.6873551576321441E-2</v>
      </c>
      <c r="E6" s="109">
        <v>4.4754835213560093E-2</v>
      </c>
      <c r="F6" s="109">
        <v>4.5118860825047888E-2</v>
      </c>
      <c r="G6" s="109">
        <v>4.2778910242960669E-2</v>
      </c>
      <c r="H6" s="109">
        <v>4.0963061744877793E-2</v>
      </c>
      <c r="I6" s="109">
        <v>4.0235622109023206E-2</v>
      </c>
      <c r="J6" s="109">
        <v>4.2289189111857695E-2</v>
      </c>
      <c r="K6" s="109">
        <v>4.4821219052068539E-2</v>
      </c>
      <c r="L6" s="109">
        <v>4.4858068899243486E-2</v>
      </c>
      <c r="M6" s="109">
        <v>4.2609296723774809E-2</v>
      </c>
      <c r="N6" s="109">
        <v>4.0224670288613901E-2</v>
      </c>
      <c r="O6" s="109">
        <v>4.1542171954493744E-2</v>
      </c>
      <c r="P6" s="109">
        <v>4.1221524678083932E-2</v>
      </c>
      <c r="Q6" s="109">
        <v>3.7137794171839114E-2</v>
      </c>
      <c r="R6" s="109">
        <v>3.7374653218894049E-2</v>
      </c>
      <c r="S6" s="109">
        <v>3.6023236533896039E-2</v>
      </c>
      <c r="T6" s="109">
        <v>3.6257007467308727E-2</v>
      </c>
      <c r="U6" s="109">
        <v>4.0399983310447689E-2</v>
      </c>
      <c r="V6" s="109">
        <v>4.0131958484705105E-2</v>
      </c>
      <c r="W6" s="109">
        <v>4.182551247472234E-2</v>
      </c>
      <c r="X6" s="109">
        <v>3.8419930816452216E-2</v>
      </c>
      <c r="Y6" s="109">
        <v>3.6513110031883567E-2</v>
      </c>
      <c r="Z6" s="109">
        <v>3.5304833840822614E-2</v>
      </c>
      <c r="AA6" s="109">
        <v>3.5149140503107294E-2</v>
      </c>
      <c r="AB6" s="109">
        <v>3.8268137926494458E-2</v>
      </c>
      <c r="AC6" s="109">
        <v>3.5582908660596331E-2</v>
      </c>
      <c r="AD6" s="109">
        <v>3.1211187315819004E-2</v>
      </c>
      <c r="AE6" s="109">
        <v>3.08647118884052E-2</v>
      </c>
      <c r="AF6" s="109">
        <v>2.5923809993861298E-2</v>
      </c>
      <c r="AG6" s="109">
        <v>2.3376000713443052E-2</v>
      </c>
      <c r="AH6" s="109">
        <v>2.2810670246761863E-2</v>
      </c>
      <c r="AJ6" s="626"/>
    </row>
    <row r="7" spans="1:37" ht="15">
      <c r="B7" s="90" t="s">
        <v>434</v>
      </c>
      <c r="C7" s="1528">
        <v>0.23208773411825218</v>
      </c>
      <c r="D7" s="109">
        <v>0.19240144928956346</v>
      </c>
      <c r="E7" s="109">
        <v>0.1978199409445755</v>
      </c>
      <c r="F7" s="109">
        <v>0.21358996875798389</v>
      </c>
      <c r="G7" s="109">
        <v>0.18992346941334329</v>
      </c>
      <c r="H7" s="109">
        <v>0.19992907541460825</v>
      </c>
      <c r="I7" s="109">
        <v>0.19999346032556647</v>
      </c>
      <c r="J7" s="109">
        <v>0.19484389502226268</v>
      </c>
      <c r="K7" s="109">
        <v>0.17459887254282336</v>
      </c>
      <c r="L7" s="109">
        <v>0.17276788592446379</v>
      </c>
      <c r="M7" s="109">
        <v>0.18336411343930367</v>
      </c>
      <c r="N7" s="109">
        <v>0.19366049391018544</v>
      </c>
      <c r="O7" s="109">
        <v>0.1857858978905878</v>
      </c>
      <c r="P7" s="109">
        <v>0.18637781204075957</v>
      </c>
      <c r="Q7" s="109">
        <v>0.18969693882943869</v>
      </c>
      <c r="R7" s="109">
        <v>0.19899814322734183</v>
      </c>
      <c r="S7" s="109">
        <v>0.20670375803913091</v>
      </c>
      <c r="T7" s="109">
        <v>0.21244545324180178</v>
      </c>
      <c r="U7" s="109">
        <v>0.19360333564962476</v>
      </c>
      <c r="V7" s="109">
        <v>0.16980454388570684</v>
      </c>
      <c r="W7" s="109">
        <v>0.16270979957798476</v>
      </c>
      <c r="X7" s="109">
        <v>0.1715063070068541</v>
      </c>
      <c r="Y7" s="109">
        <v>0.16376101896986567</v>
      </c>
      <c r="Z7" s="109">
        <v>0.17820414097800727</v>
      </c>
      <c r="AA7" s="109">
        <v>0.16729094883042234</v>
      </c>
      <c r="AB7" s="109">
        <v>0.15878191650224963</v>
      </c>
      <c r="AC7" s="109">
        <v>0.1083423596741668</v>
      </c>
      <c r="AD7" s="109">
        <v>0.1100075163282286</v>
      </c>
      <c r="AE7" s="109">
        <v>0.11468957943340717</v>
      </c>
      <c r="AF7" s="109">
        <v>0.11347434178844797</v>
      </c>
      <c r="AG7" s="109">
        <v>9.5725496578982217E-2</v>
      </c>
      <c r="AH7" s="109">
        <v>7.6700732341984865E-2</v>
      </c>
      <c r="AJ7" s="626"/>
    </row>
    <row r="8" spans="1:37" ht="15">
      <c r="B8" s="90" t="s">
        <v>435</v>
      </c>
      <c r="C8" s="1528">
        <v>0</v>
      </c>
      <c r="D8" s="109">
        <v>0</v>
      </c>
      <c r="E8" s="109">
        <v>0</v>
      </c>
      <c r="F8" s="109">
        <v>0</v>
      </c>
      <c r="G8" s="109">
        <v>0</v>
      </c>
      <c r="H8" s="109">
        <v>0</v>
      </c>
      <c r="I8" s="109">
        <v>0</v>
      </c>
      <c r="J8" s="109">
        <v>0</v>
      </c>
      <c r="K8" s="109">
        <v>0</v>
      </c>
      <c r="L8" s="109">
        <v>0</v>
      </c>
      <c r="M8" s="109">
        <v>0</v>
      </c>
      <c r="N8" s="109">
        <v>0</v>
      </c>
      <c r="O8" s="109">
        <v>0</v>
      </c>
      <c r="P8" s="109">
        <v>0</v>
      </c>
      <c r="Q8" s="109">
        <v>0</v>
      </c>
      <c r="R8" s="109">
        <v>0</v>
      </c>
      <c r="S8" s="109">
        <v>0</v>
      </c>
      <c r="T8" s="109">
        <v>0</v>
      </c>
      <c r="U8" s="109">
        <v>0</v>
      </c>
      <c r="V8" s="109">
        <v>0</v>
      </c>
      <c r="W8" s="109">
        <v>0</v>
      </c>
      <c r="X8" s="109">
        <v>0</v>
      </c>
      <c r="Y8" s="109">
        <v>0</v>
      </c>
      <c r="Z8" s="109">
        <v>0</v>
      </c>
      <c r="AA8" s="109">
        <v>0</v>
      </c>
      <c r="AB8" s="109">
        <v>0</v>
      </c>
      <c r="AC8" s="109">
        <v>0</v>
      </c>
      <c r="AD8" s="109">
        <v>0</v>
      </c>
      <c r="AE8" s="109">
        <v>0</v>
      </c>
      <c r="AF8" s="109">
        <v>0</v>
      </c>
      <c r="AG8" s="109">
        <v>0</v>
      </c>
      <c r="AH8" s="109">
        <v>0</v>
      </c>
      <c r="AJ8" s="626"/>
    </row>
    <row r="9" spans="1:37" ht="15">
      <c r="B9" s="90" t="s">
        <v>436</v>
      </c>
      <c r="C9" s="1528">
        <v>0</v>
      </c>
      <c r="D9" s="109">
        <v>0</v>
      </c>
      <c r="E9" s="109">
        <v>0</v>
      </c>
      <c r="F9" s="109">
        <v>0</v>
      </c>
      <c r="G9" s="109">
        <v>0</v>
      </c>
      <c r="H9" s="109">
        <v>0</v>
      </c>
      <c r="I9" s="109">
        <v>0</v>
      </c>
      <c r="J9" s="109">
        <v>0</v>
      </c>
      <c r="K9" s="109">
        <v>0</v>
      </c>
      <c r="L9" s="109">
        <v>0</v>
      </c>
      <c r="M9" s="109">
        <v>0</v>
      </c>
      <c r="N9" s="109">
        <v>0</v>
      </c>
      <c r="O9" s="109">
        <v>5.6331277821936483E-2</v>
      </c>
      <c r="P9" s="109">
        <v>1.2560460281557079E-2</v>
      </c>
      <c r="Q9" s="109">
        <v>1.0550843844535668E-2</v>
      </c>
      <c r="R9" s="109">
        <v>2.5673349811199838E-2</v>
      </c>
      <c r="S9" s="109">
        <v>0.11726976803929379</v>
      </c>
      <c r="T9" s="109">
        <v>0.10425104652166971</v>
      </c>
      <c r="U9" s="109">
        <v>0</v>
      </c>
      <c r="V9" s="109">
        <v>0</v>
      </c>
      <c r="W9" s="109">
        <v>2.355564416737975E-2</v>
      </c>
      <c r="X9" s="109">
        <v>0</v>
      </c>
      <c r="Y9" s="109">
        <v>0</v>
      </c>
      <c r="Z9" s="109">
        <v>0</v>
      </c>
      <c r="AA9" s="109">
        <v>1.6258513985620383E-2</v>
      </c>
      <c r="AB9" s="109">
        <v>0</v>
      </c>
      <c r="AC9" s="109">
        <v>0</v>
      </c>
      <c r="AD9" s="109">
        <v>4.0707735578150425E-2</v>
      </c>
      <c r="AE9" s="109">
        <v>2.7227245250278653E-2</v>
      </c>
      <c r="AF9" s="109">
        <v>2.5356663185971528E-2</v>
      </c>
      <c r="AG9" s="109">
        <v>1.8290052134143392E-2</v>
      </c>
      <c r="AH9" s="109">
        <v>1.2797689831033953E-2</v>
      </c>
      <c r="AJ9" s="626"/>
    </row>
    <row r="10" spans="1:37" ht="15">
      <c r="B10" s="90" t="s">
        <v>437</v>
      </c>
      <c r="C10" s="1528">
        <v>2.6403725543560435E-3</v>
      </c>
      <c r="D10" s="109">
        <v>2.5486603163083254E-3</v>
      </c>
      <c r="E10" s="109">
        <v>2.6618489824306755E-3</v>
      </c>
      <c r="F10" s="109">
        <v>2.0780988841513203E-3</v>
      </c>
      <c r="G10" s="109">
        <v>2.1793950830082554E-3</v>
      </c>
      <c r="H10" s="109">
        <v>2.787119054099005E-3</v>
      </c>
      <c r="I10" s="109">
        <v>1.8001400707611361E-3</v>
      </c>
      <c r="J10" s="109">
        <v>1.9693941758142067E-3</v>
      </c>
      <c r="K10" s="109">
        <v>2.5539878435997467E-3</v>
      </c>
      <c r="L10" s="109">
        <v>3.8575289243702568E-3</v>
      </c>
      <c r="M10" s="109">
        <v>3.2551857026217913E-3</v>
      </c>
      <c r="N10" s="109">
        <v>3.2328204662977408E-3</v>
      </c>
      <c r="O10" s="109">
        <v>2.2284631528017179E-3</v>
      </c>
      <c r="P10" s="109">
        <v>2.0115939399437538E-3</v>
      </c>
      <c r="Q10" s="109">
        <v>2.9026441682542562E-3</v>
      </c>
      <c r="R10" s="109">
        <v>2.9861881520457227E-3</v>
      </c>
      <c r="S10" s="109">
        <v>2.6760472950497446E-3</v>
      </c>
      <c r="T10" s="109">
        <v>2.8427933109558805E-3</v>
      </c>
      <c r="U10" s="109">
        <v>2.1178158396080921E-3</v>
      </c>
      <c r="V10" s="109">
        <v>1.9815088451419758E-3</v>
      </c>
      <c r="W10" s="109">
        <v>1.7760930176298044E-3</v>
      </c>
      <c r="X10" s="109">
        <v>1.1739001481750281E-3</v>
      </c>
      <c r="Y10" s="109">
        <v>8.3594278629532193E-4</v>
      </c>
      <c r="Z10" s="109">
        <v>8.5555112038465024E-4</v>
      </c>
      <c r="AA10" s="109">
        <v>7.197071577610451E-4</v>
      </c>
      <c r="AB10" s="109">
        <v>7.1876379690949236E-4</v>
      </c>
      <c r="AC10" s="109">
        <v>6.2669364056971782E-4</v>
      </c>
      <c r="AD10" s="109">
        <v>8.8514758722803202E-4</v>
      </c>
      <c r="AE10" s="109">
        <v>6.9203140820576657E-4</v>
      </c>
      <c r="AF10" s="109">
        <v>6.355374924317766E-4</v>
      </c>
      <c r="AG10" s="109">
        <v>5.7904357665778674E-4</v>
      </c>
      <c r="AH10" s="109">
        <v>5.22549660883819E-4</v>
      </c>
      <c r="AJ10" s="626"/>
    </row>
    <row r="11" spans="1:37" ht="15">
      <c r="B11" s="90" t="s">
        <v>438</v>
      </c>
      <c r="C11" s="1528">
        <v>0</v>
      </c>
      <c r="D11" s="109">
        <v>0</v>
      </c>
      <c r="E11" s="109">
        <v>0</v>
      </c>
      <c r="F11" s="109">
        <v>0</v>
      </c>
      <c r="G11" s="109">
        <v>0</v>
      </c>
      <c r="H11" s="109">
        <v>0</v>
      </c>
      <c r="I11" s="109">
        <v>0</v>
      </c>
      <c r="J11" s="109">
        <v>0</v>
      </c>
      <c r="K11" s="109">
        <v>0</v>
      </c>
      <c r="L11" s="109">
        <v>0</v>
      </c>
      <c r="M11" s="109">
        <v>0</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09">
        <v>0</v>
      </c>
      <c r="AD11" s="109">
        <v>0</v>
      </c>
      <c r="AE11" s="109">
        <v>0</v>
      </c>
      <c r="AF11" s="109">
        <v>0</v>
      </c>
      <c r="AG11" s="109">
        <v>0</v>
      </c>
      <c r="AH11" s="109">
        <v>0</v>
      </c>
      <c r="AJ11" s="626"/>
    </row>
    <row r="12" spans="1:37" ht="15.5" thickBot="1">
      <c r="B12" s="424" t="s">
        <v>25</v>
      </c>
      <c r="C12" s="1529">
        <v>0.44874114156032868</v>
      </c>
      <c r="D12" s="425">
        <v>0.39821865849902877</v>
      </c>
      <c r="E12" s="425">
        <v>0.4024590137738116</v>
      </c>
      <c r="F12" s="425">
        <v>0.41723952078982274</v>
      </c>
      <c r="G12" s="425">
        <v>0.38537380629380158</v>
      </c>
      <c r="H12" s="425">
        <v>0.38959088733546887</v>
      </c>
      <c r="I12" s="425">
        <v>0.38534944672285626</v>
      </c>
      <c r="J12" s="425">
        <v>0.37954245865357716</v>
      </c>
      <c r="K12" s="425">
        <v>0.36089604709262973</v>
      </c>
      <c r="L12" s="425">
        <v>0.35534423332749387</v>
      </c>
      <c r="M12" s="425">
        <v>0.35808927940321517</v>
      </c>
      <c r="N12" s="425">
        <v>0.34835342208127046</v>
      </c>
      <c r="O12" s="425">
        <v>0.40121522100556378</v>
      </c>
      <c r="P12" s="425">
        <v>0.35371034819730662</v>
      </c>
      <c r="Q12" s="425">
        <v>0.34502939445979175</v>
      </c>
      <c r="R12" s="425">
        <v>0.36828267265399628</v>
      </c>
      <c r="S12" s="425">
        <v>0.4662719370830663</v>
      </c>
      <c r="T12" s="425">
        <v>0.45487124021948133</v>
      </c>
      <c r="U12" s="425">
        <v>0.33823094475600562</v>
      </c>
      <c r="V12" s="425">
        <v>0.31042290716519921</v>
      </c>
      <c r="W12" s="425">
        <v>0.32504807625862259</v>
      </c>
      <c r="X12" s="425">
        <v>0.3007991811743016</v>
      </c>
      <c r="Y12" s="425">
        <v>0.29086338314162158</v>
      </c>
      <c r="Z12" s="425">
        <v>0.3021658883193768</v>
      </c>
      <c r="AA12" s="425">
        <v>0.3051908156739303</v>
      </c>
      <c r="AB12" s="425">
        <v>0.28371044472182944</v>
      </c>
      <c r="AC12" s="425">
        <v>0.2298891465170948</v>
      </c>
      <c r="AD12" s="425">
        <v>0.26630917520767899</v>
      </c>
      <c r="AE12" s="425">
        <v>0.25754276630837303</v>
      </c>
      <c r="AF12" s="425">
        <v>0.24873056149142708</v>
      </c>
      <c r="AG12" s="425">
        <v>0.21212335344157099</v>
      </c>
      <c r="AH12" s="425">
        <v>0.19358342282429986</v>
      </c>
      <c r="AI12" s="1239"/>
      <c r="AJ12" s="626"/>
      <c r="AK12" s="1239"/>
    </row>
    <row r="13" spans="1:37" ht="15.5">
      <c r="B13" s="102"/>
      <c r="C13" s="115"/>
      <c r="D13" s="115"/>
      <c r="E13" s="115"/>
      <c r="F13" s="115"/>
      <c r="G13" s="115"/>
      <c r="H13" s="115"/>
      <c r="I13" s="115"/>
      <c r="J13" s="115"/>
      <c r="K13" s="115"/>
      <c r="L13" s="115"/>
      <c r="M13" s="115"/>
      <c r="N13" s="115"/>
      <c r="O13" s="115"/>
      <c r="P13" s="115"/>
      <c r="Q13" s="115"/>
      <c r="R13" s="115"/>
      <c r="S13" s="115"/>
      <c r="T13" s="115"/>
      <c r="U13" s="115"/>
      <c r="V13" s="115"/>
      <c r="W13" s="115"/>
      <c r="X13" s="115"/>
      <c r="AC13" s="234"/>
      <c r="AD13" s="234"/>
      <c r="AG13" s="235"/>
      <c r="AH13" s="235"/>
      <c r="AJ13" s="626"/>
    </row>
    <row r="14" spans="1:37" ht="15.5" thickBot="1">
      <c r="B14" s="93" t="s">
        <v>439</v>
      </c>
      <c r="C14" s="116"/>
      <c r="D14" s="234"/>
      <c r="E14" s="116"/>
      <c r="F14" s="116"/>
      <c r="G14" s="116"/>
      <c r="H14" s="116"/>
      <c r="I14" s="116"/>
      <c r="J14" s="116"/>
      <c r="K14" s="116"/>
      <c r="L14" s="116"/>
      <c r="M14" s="116"/>
      <c r="N14" s="116"/>
      <c r="O14" s="116"/>
      <c r="P14" s="116"/>
      <c r="Q14" s="116"/>
      <c r="R14" s="116"/>
      <c r="S14" s="116"/>
      <c r="T14" s="116"/>
      <c r="U14" s="116"/>
      <c r="V14" s="116"/>
      <c r="W14" s="116"/>
      <c r="X14" s="116"/>
      <c r="AC14" s="234"/>
      <c r="AD14" s="234"/>
      <c r="AE14" s="234"/>
      <c r="AF14" s="234"/>
      <c r="AG14" s="235"/>
      <c r="AH14" s="235"/>
      <c r="AJ14" s="626"/>
    </row>
    <row r="15" spans="1:37" ht="15.5" thickBot="1">
      <c r="B15" s="114"/>
      <c r="C15" s="219">
        <v>1990</v>
      </c>
      <c r="D15" s="114">
        <v>1991</v>
      </c>
      <c r="E15" s="114">
        <v>1992</v>
      </c>
      <c r="F15" s="114">
        <v>1993</v>
      </c>
      <c r="G15" s="114">
        <v>1994</v>
      </c>
      <c r="H15" s="114">
        <v>1995</v>
      </c>
      <c r="I15" s="114">
        <v>1996</v>
      </c>
      <c r="J15" s="114">
        <v>1997</v>
      </c>
      <c r="K15" s="114">
        <v>1998</v>
      </c>
      <c r="L15" s="114">
        <v>1999</v>
      </c>
      <c r="M15" s="114">
        <v>2000</v>
      </c>
      <c r="N15" s="114">
        <v>2001</v>
      </c>
      <c r="O15" s="114">
        <v>2002</v>
      </c>
      <c r="P15" s="114">
        <v>2003</v>
      </c>
      <c r="Q15" s="114">
        <v>2004</v>
      </c>
      <c r="R15" s="114">
        <v>2005</v>
      </c>
      <c r="S15" s="114">
        <v>2006</v>
      </c>
      <c r="T15" s="114">
        <v>2007</v>
      </c>
      <c r="U15" s="114">
        <v>2008</v>
      </c>
      <c r="V15" s="114">
        <v>2009</v>
      </c>
      <c r="W15" s="114">
        <v>2010</v>
      </c>
      <c r="X15" s="114">
        <v>2011</v>
      </c>
      <c r="Y15" s="114">
        <v>2012</v>
      </c>
      <c r="Z15" s="114">
        <v>2013</v>
      </c>
      <c r="AA15" s="114">
        <v>2014</v>
      </c>
      <c r="AB15" s="114">
        <v>2015</v>
      </c>
      <c r="AC15" s="114">
        <v>2016</v>
      </c>
      <c r="AD15" s="114">
        <v>2017</v>
      </c>
      <c r="AE15" s="114">
        <v>2018</v>
      </c>
      <c r="AF15" s="114">
        <v>2019</v>
      </c>
      <c r="AG15" s="114">
        <v>2020</v>
      </c>
      <c r="AH15" s="114">
        <v>2021</v>
      </c>
      <c r="AJ15" s="626"/>
    </row>
    <row r="16" spans="1:37" ht="15">
      <c r="B16" s="527" t="s">
        <v>440</v>
      </c>
      <c r="C16" s="530">
        <v>2.6403725543560435E-3</v>
      </c>
      <c r="D16" s="531">
        <v>2.5486603163083254E-3</v>
      </c>
      <c r="E16" s="531">
        <v>2.6618489824306755E-3</v>
      </c>
      <c r="F16" s="531">
        <v>2.0780988841513203E-3</v>
      </c>
      <c r="G16" s="531">
        <v>2.1793950830082554E-3</v>
      </c>
      <c r="H16" s="531">
        <v>2.787119054099005E-3</v>
      </c>
      <c r="I16" s="531">
        <v>1.8001400707611361E-3</v>
      </c>
      <c r="J16" s="531">
        <v>1.9693941758142067E-3</v>
      </c>
      <c r="K16" s="531">
        <v>2.5539878435997467E-3</v>
      </c>
      <c r="L16" s="531">
        <v>3.8575289243702568E-3</v>
      </c>
      <c r="M16" s="531">
        <v>3.2551857026217913E-3</v>
      </c>
      <c r="N16" s="531">
        <v>3.2328204662977408E-3</v>
      </c>
      <c r="O16" s="531">
        <v>5.8559740974738199E-2</v>
      </c>
      <c r="P16" s="531">
        <v>1.4572054221500833E-2</v>
      </c>
      <c r="Q16" s="531">
        <v>1.3453488012789925E-2</v>
      </c>
      <c r="R16" s="531">
        <v>2.8659537963245562E-2</v>
      </c>
      <c r="S16" s="531">
        <v>0.11994581533434354</v>
      </c>
      <c r="T16" s="531">
        <v>0.10709383983262559</v>
      </c>
      <c r="U16" s="531">
        <v>2.1178158396080921E-3</v>
      </c>
      <c r="V16" s="531">
        <v>1.9815088451419758E-3</v>
      </c>
      <c r="W16" s="531">
        <v>2.5331737185009553E-2</v>
      </c>
      <c r="X16" s="531">
        <v>1.1739001481750281E-3</v>
      </c>
      <c r="Y16" s="531">
        <v>8.3594278629532193E-4</v>
      </c>
      <c r="Z16" s="531">
        <v>8.5555112038465024E-4</v>
      </c>
      <c r="AA16" s="531">
        <v>1.6978221143381426E-2</v>
      </c>
      <c r="AB16" s="531">
        <v>7.1876379690949236E-4</v>
      </c>
      <c r="AC16" s="531">
        <v>6.2669364056971782E-4</v>
      </c>
      <c r="AD16" s="531">
        <v>4.1592883165378458E-2</v>
      </c>
      <c r="AE16" s="531">
        <v>2.791927665848442E-2</v>
      </c>
      <c r="AF16" s="531">
        <v>2.5992200678403306E-2</v>
      </c>
      <c r="AG16" s="531">
        <v>1.8869095710801177E-2</v>
      </c>
      <c r="AH16" s="531">
        <v>1.3320239491917771E-2</v>
      </c>
      <c r="AI16" s="1239"/>
      <c r="AJ16" s="626"/>
      <c r="AK16" s="1239"/>
    </row>
    <row r="17" spans="2:37" ht="15">
      <c r="B17" s="94" t="s">
        <v>436</v>
      </c>
      <c r="C17" s="1528">
        <v>0</v>
      </c>
      <c r="D17" s="109">
        <v>0</v>
      </c>
      <c r="E17" s="109">
        <v>0</v>
      </c>
      <c r="F17" s="109">
        <v>0</v>
      </c>
      <c r="G17" s="109">
        <v>0</v>
      </c>
      <c r="H17" s="109">
        <v>0</v>
      </c>
      <c r="I17" s="109">
        <v>0</v>
      </c>
      <c r="J17" s="109">
        <v>0</v>
      </c>
      <c r="K17" s="109">
        <v>0</v>
      </c>
      <c r="L17" s="109">
        <v>0</v>
      </c>
      <c r="M17" s="109">
        <v>0</v>
      </c>
      <c r="N17" s="109">
        <v>0</v>
      </c>
      <c r="O17" s="109">
        <v>5.6331277821936483E-2</v>
      </c>
      <c r="P17" s="109">
        <v>1.2560460281557079E-2</v>
      </c>
      <c r="Q17" s="109">
        <v>1.0550843844535668E-2</v>
      </c>
      <c r="R17" s="109">
        <v>2.5673349811199838E-2</v>
      </c>
      <c r="S17" s="109">
        <v>0.11726976803929379</v>
      </c>
      <c r="T17" s="109">
        <v>0.10425104652166971</v>
      </c>
      <c r="U17" s="109">
        <v>0</v>
      </c>
      <c r="V17" s="109">
        <v>0</v>
      </c>
      <c r="W17" s="109">
        <v>2.355564416737975E-2</v>
      </c>
      <c r="X17" s="109">
        <v>0</v>
      </c>
      <c r="Y17" s="109">
        <v>0</v>
      </c>
      <c r="Z17" s="109">
        <v>0</v>
      </c>
      <c r="AA17" s="109">
        <v>1.6258513985620383E-2</v>
      </c>
      <c r="AB17" s="109">
        <v>0</v>
      </c>
      <c r="AC17" s="109">
        <v>0</v>
      </c>
      <c r="AD17" s="109">
        <v>4.0707735578150425E-2</v>
      </c>
      <c r="AE17" s="109">
        <v>2.7227245250278653E-2</v>
      </c>
      <c r="AF17" s="109">
        <v>2.5356663185971528E-2</v>
      </c>
      <c r="AG17" s="109">
        <v>1.8290052134143392E-2</v>
      </c>
      <c r="AH17" s="109">
        <v>1.2797689831033953E-2</v>
      </c>
      <c r="AJ17" s="626"/>
    </row>
    <row r="18" spans="2:37" ht="15">
      <c r="B18" s="94" t="s">
        <v>437</v>
      </c>
      <c r="C18" s="1528">
        <v>2.6403725543560435E-3</v>
      </c>
      <c r="D18" s="109">
        <v>2.5486603163083254E-3</v>
      </c>
      <c r="E18" s="109">
        <v>2.6618489824306755E-3</v>
      </c>
      <c r="F18" s="109">
        <v>2.0780988841513203E-3</v>
      </c>
      <c r="G18" s="109">
        <v>2.1793950830082554E-3</v>
      </c>
      <c r="H18" s="109">
        <v>2.787119054099005E-3</v>
      </c>
      <c r="I18" s="109">
        <v>1.8001400707611361E-3</v>
      </c>
      <c r="J18" s="109">
        <v>1.9693941758142067E-3</v>
      </c>
      <c r="K18" s="109">
        <v>2.5539878435997467E-3</v>
      </c>
      <c r="L18" s="109">
        <v>3.8575289243702568E-3</v>
      </c>
      <c r="M18" s="109">
        <v>3.2551857026217913E-3</v>
      </c>
      <c r="N18" s="109">
        <v>3.2328204662977408E-3</v>
      </c>
      <c r="O18" s="109">
        <v>2.2284631528017179E-3</v>
      </c>
      <c r="P18" s="109">
        <v>2.0115939399437538E-3</v>
      </c>
      <c r="Q18" s="109">
        <v>2.9026441682542562E-3</v>
      </c>
      <c r="R18" s="109">
        <v>2.9861881520457227E-3</v>
      </c>
      <c r="S18" s="109">
        <v>2.6760472950497446E-3</v>
      </c>
      <c r="T18" s="109">
        <v>2.8427933109558805E-3</v>
      </c>
      <c r="U18" s="109">
        <v>2.1178158396080921E-3</v>
      </c>
      <c r="V18" s="109">
        <v>1.9815088451419758E-3</v>
      </c>
      <c r="W18" s="109">
        <v>1.7760930176298044E-3</v>
      </c>
      <c r="X18" s="109">
        <v>1.1739001481750281E-3</v>
      </c>
      <c r="Y18" s="109">
        <v>8.3594278629532193E-4</v>
      </c>
      <c r="Z18" s="109">
        <v>8.5555112038465024E-4</v>
      </c>
      <c r="AA18" s="109">
        <v>7.197071577610451E-4</v>
      </c>
      <c r="AB18" s="109">
        <v>7.1876379690949236E-4</v>
      </c>
      <c r="AC18" s="109">
        <v>6.2669364056971782E-4</v>
      </c>
      <c r="AD18" s="109">
        <v>8.8514758722803202E-4</v>
      </c>
      <c r="AE18" s="109">
        <v>6.9203140820576657E-4</v>
      </c>
      <c r="AF18" s="109">
        <v>6.355374924317766E-4</v>
      </c>
      <c r="AG18" s="109">
        <v>5.7904357665778674E-4</v>
      </c>
      <c r="AH18" s="109">
        <v>5.22549660883819E-4</v>
      </c>
      <c r="AJ18" s="626"/>
    </row>
    <row r="19" spans="2:37" ht="15">
      <c r="B19" s="527" t="s">
        <v>441</v>
      </c>
      <c r="C19" s="528">
        <v>7.7459129258656036E-3</v>
      </c>
      <c r="D19" s="529">
        <v>7.3584666098992528E-3</v>
      </c>
      <c r="E19" s="529">
        <v>7.3019165647939567E-3</v>
      </c>
      <c r="F19" s="529">
        <v>7.2962565316153586E-3</v>
      </c>
      <c r="G19" s="529">
        <v>6.9927665711846977E-3</v>
      </c>
      <c r="H19" s="529">
        <v>6.7833539306504965E-3</v>
      </c>
      <c r="I19" s="529">
        <v>6.66070961875767E-3</v>
      </c>
      <c r="J19" s="529">
        <v>6.6071914366690881E-3</v>
      </c>
      <c r="K19" s="529">
        <v>6.6510190003247448E-3</v>
      </c>
      <c r="L19" s="529">
        <v>6.4836076147543505E-3</v>
      </c>
      <c r="M19" s="529">
        <v>6.2237513427770529E-3</v>
      </c>
      <c r="N19" s="529">
        <v>5.4865054292642275E-3</v>
      </c>
      <c r="O19" s="529">
        <v>5.6922270605745959E-3</v>
      </c>
      <c r="P19" s="529">
        <v>5.5221511385450308E-3</v>
      </c>
      <c r="Q19" s="529">
        <v>5.1534452615452355E-3</v>
      </c>
      <c r="R19" s="529">
        <v>5.1266602954569366E-3</v>
      </c>
      <c r="S19" s="529">
        <v>5.0969369538956246E-3</v>
      </c>
      <c r="T19" s="529">
        <v>4.9615245443146031E-3</v>
      </c>
      <c r="U19" s="529">
        <v>5.0882154410982032E-3</v>
      </c>
      <c r="V19" s="529">
        <v>4.9390762262150256E-3</v>
      </c>
      <c r="W19" s="529">
        <v>4.88364538735359E-3</v>
      </c>
      <c r="X19" s="529">
        <v>4.5109973095264237E-3</v>
      </c>
      <c r="Y19" s="529">
        <v>4.4660679137409664E-3</v>
      </c>
      <c r="Z19" s="529">
        <v>4.3665083398214547E-3</v>
      </c>
      <c r="AA19" s="529">
        <v>4.2666333020397644E-3</v>
      </c>
      <c r="AB19" s="529">
        <v>4.3858652648735407E-3</v>
      </c>
      <c r="AC19" s="529">
        <v>4.2605166567211304E-3</v>
      </c>
      <c r="AD19" s="529">
        <v>4.0275828922213264E-3</v>
      </c>
      <c r="AE19" s="529">
        <v>4.0137517253500173E-3</v>
      </c>
      <c r="AF19" s="529">
        <v>3.9810206853535769E-3</v>
      </c>
      <c r="AG19" s="529">
        <v>3.5466139453335698E-3</v>
      </c>
      <c r="AH19" s="529">
        <v>3.8202351665392229E-3</v>
      </c>
      <c r="AI19" s="1239"/>
      <c r="AJ19" s="626"/>
      <c r="AK19" s="1239"/>
    </row>
    <row r="20" spans="2:37" ht="15">
      <c r="B20" s="94" t="s">
        <v>432</v>
      </c>
      <c r="C20" s="1528">
        <v>6.6337660707806653E-3</v>
      </c>
      <c r="D20" s="109">
        <v>6.2557998926734207E-3</v>
      </c>
      <c r="E20" s="109">
        <v>6.2888955453298144E-3</v>
      </c>
      <c r="F20" s="109">
        <v>6.2581036929055863E-3</v>
      </c>
      <c r="G20" s="109">
        <v>6.0196812621795773E-3</v>
      </c>
      <c r="H20" s="109">
        <v>5.8364652448753543E-3</v>
      </c>
      <c r="I20" s="109">
        <v>5.732808968700218E-3</v>
      </c>
      <c r="J20" s="109">
        <v>5.6175992137457043E-3</v>
      </c>
      <c r="K20" s="109">
        <v>5.5568787061655248E-3</v>
      </c>
      <c r="L20" s="109">
        <v>5.3544299831766538E-3</v>
      </c>
      <c r="M20" s="109">
        <v>5.1544273415005957E-3</v>
      </c>
      <c r="N20" s="109">
        <v>4.4494174966469352E-3</v>
      </c>
      <c r="O20" s="109">
        <v>4.6130964074297598E-3</v>
      </c>
      <c r="P20" s="109">
        <v>4.4615582902784896E-3</v>
      </c>
      <c r="Q20" s="109">
        <v>4.1896469378289595E-3</v>
      </c>
      <c r="R20" s="109">
        <v>4.1300135297805945E-3</v>
      </c>
      <c r="S20" s="109">
        <v>4.1439650870278332E-3</v>
      </c>
      <c r="T20" s="109">
        <v>3.9629975871098089E-3</v>
      </c>
      <c r="U20" s="109">
        <v>4.0843923982530044E-3</v>
      </c>
      <c r="V20" s="109">
        <v>3.9401958379858115E-3</v>
      </c>
      <c r="W20" s="109">
        <v>3.8072410808362368E-3</v>
      </c>
      <c r="X20" s="109">
        <v>3.5879617281128098E-3</v>
      </c>
      <c r="Y20" s="109">
        <v>3.5901324541430806E-3</v>
      </c>
      <c r="Z20" s="109">
        <v>3.5120544952064901E-3</v>
      </c>
      <c r="AA20" s="109">
        <v>3.4309002078807696E-3</v>
      </c>
      <c r="AB20" s="109">
        <v>3.4376650598470339E-3</v>
      </c>
      <c r="AC20" s="109">
        <v>3.4134873816704775E-3</v>
      </c>
      <c r="AD20" s="109">
        <v>3.3399035359301167E-3</v>
      </c>
      <c r="AE20" s="109">
        <v>3.3627679331230493E-3</v>
      </c>
      <c r="AF20" s="109">
        <v>3.333608361228581E-3</v>
      </c>
      <c r="AG20" s="109">
        <v>2.966110417533782E-3</v>
      </c>
      <c r="AH20" s="109">
        <v>3.2300712297454138E-3</v>
      </c>
      <c r="AJ20" s="626"/>
    </row>
    <row r="21" spans="2:37" ht="15">
      <c r="B21" s="94" t="s">
        <v>433</v>
      </c>
      <c r="C21" s="1528">
        <v>1.1121468550849387E-3</v>
      </c>
      <c r="D21" s="109">
        <v>1.1026667172258321E-3</v>
      </c>
      <c r="E21" s="109">
        <v>1.0130210194641426E-3</v>
      </c>
      <c r="F21" s="109">
        <v>1.0381528387097721E-3</v>
      </c>
      <c r="G21" s="109">
        <v>9.7308530900511994E-4</v>
      </c>
      <c r="H21" s="109">
        <v>9.468886857751423E-4</v>
      </c>
      <c r="I21" s="109">
        <v>9.2790065005745194E-4</v>
      </c>
      <c r="J21" s="109">
        <v>9.895922229233836E-4</v>
      </c>
      <c r="K21" s="109">
        <v>1.0941402941592195E-3</v>
      </c>
      <c r="L21" s="109">
        <v>1.1291776315776969E-3</v>
      </c>
      <c r="M21" s="109">
        <v>1.069324001276457E-3</v>
      </c>
      <c r="N21" s="109">
        <v>1.0370879326172923E-3</v>
      </c>
      <c r="O21" s="109">
        <v>1.0791306531448362E-3</v>
      </c>
      <c r="P21" s="109">
        <v>1.0605928482665416E-3</v>
      </c>
      <c r="Q21" s="109">
        <v>9.6379832371627598E-4</v>
      </c>
      <c r="R21" s="109">
        <v>9.9664676567634254E-4</v>
      </c>
      <c r="S21" s="109">
        <v>9.5297186686779168E-4</v>
      </c>
      <c r="T21" s="109">
        <v>9.9852695720479396E-4</v>
      </c>
      <c r="U21" s="109">
        <v>1.0038230428451986E-3</v>
      </c>
      <c r="V21" s="109">
        <v>9.9888038822921392E-4</v>
      </c>
      <c r="W21" s="109">
        <v>1.0764043065173529E-3</v>
      </c>
      <c r="X21" s="109">
        <v>9.2303558141361365E-4</v>
      </c>
      <c r="Y21" s="109">
        <v>8.7593545959788557E-4</v>
      </c>
      <c r="Z21" s="109">
        <v>8.5445384461496491E-4</v>
      </c>
      <c r="AA21" s="109">
        <v>8.357330941589948E-4</v>
      </c>
      <c r="AB21" s="109">
        <v>9.4820020502650723E-4</v>
      </c>
      <c r="AC21" s="109">
        <v>8.4702927505065251E-4</v>
      </c>
      <c r="AD21" s="109">
        <v>6.876793562912096E-4</v>
      </c>
      <c r="AE21" s="109">
        <v>6.5098379222696822E-4</v>
      </c>
      <c r="AF21" s="109">
        <v>6.4741232412499593E-4</v>
      </c>
      <c r="AG21" s="109">
        <v>5.8050352779978772E-4</v>
      </c>
      <c r="AH21" s="109">
        <v>5.9016393679380919E-4</v>
      </c>
      <c r="AJ21" s="626"/>
    </row>
    <row r="22" spans="2:37" ht="15">
      <c r="B22" s="94" t="s">
        <v>435</v>
      </c>
      <c r="C22" s="1528">
        <v>0</v>
      </c>
      <c r="D22" s="109">
        <v>0</v>
      </c>
      <c r="E22" s="109">
        <v>0</v>
      </c>
      <c r="F22" s="109">
        <v>0</v>
      </c>
      <c r="G22" s="109">
        <v>0</v>
      </c>
      <c r="H22" s="109">
        <v>0</v>
      </c>
      <c r="I22" s="109">
        <v>0</v>
      </c>
      <c r="J22" s="109">
        <v>0</v>
      </c>
      <c r="K22" s="109">
        <v>0</v>
      </c>
      <c r="L22" s="109">
        <v>0</v>
      </c>
      <c r="M22" s="109">
        <v>0</v>
      </c>
      <c r="N22" s="109">
        <v>0</v>
      </c>
      <c r="O22" s="109">
        <v>0</v>
      </c>
      <c r="P22" s="109">
        <v>0</v>
      </c>
      <c r="Q22" s="109">
        <v>0</v>
      </c>
      <c r="R22" s="109">
        <v>0</v>
      </c>
      <c r="S22" s="109">
        <v>0</v>
      </c>
      <c r="T22" s="109">
        <v>0</v>
      </c>
      <c r="U22" s="109">
        <v>0</v>
      </c>
      <c r="V22" s="109">
        <v>0</v>
      </c>
      <c r="W22" s="109">
        <v>0</v>
      </c>
      <c r="X22" s="109">
        <v>0</v>
      </c>
      <c r="Y22" s="109">
        <v>0</v>
      </c>
      <c r="Z22" s="109">
        <v>0</v>
      </c>
      <c r="AA22" s="109">
        <v>0</v>
      </c>
      <c r="AB22" s="109">
        <v>0</v>
      </c>
      <c r="AC22" s="109">
        <v>0</v>
      </c>
      <c r="AD22" s="109">
        <v>0</v>
      </c>
      <c r="AE22" s="109">
        <v>0</v>
      </c>
      <c r="AF22" s="109">
        <v>0</v>
      </c>
      <c r="AG22" s="109">
        <v>0</v>
      </c>
      <c r="AH22" s="109">
        <v>0</v>
      </c>
      <c r="AJ22" s="626"/>
    </row>
    <row r="23" spans="2:37" ht="15">
      <c r="B23" s="94" t="s">
        <v>438</v>
      </c>
      <c r="C23" s="1528">
        <v>0</v>
      </c>
      <c r="D23" s="109">
        <v>0</v>
      </c>
      <c r="E23" s="109">
        <v>0</v>
      </c>
      <c r="F23" s="109">
        <v>0</v>
      </c>
      <c r="G23" s="109">
        <v>0</v>
      </c>
      <c r="H23" s="109">
        <v>0</v>
      </c>
      <c r="I23" s="109">
        <v>0</v>
      </c>
      <c r="J23" s="109">
        <v>0</v>
      </c>
      <c r="K23" s="109">
        <v>0</v>
      </c>
      <c r="L23" s="109">
        <v>0</v>
      </c>
      <c r="M23" s="109">
        <v>0</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09">
        <v>0</v>
      </c>
      <c r="AD23" s="109">
        <v>0</v>
      </c>
      <c r="AE23" s="109">
        <v>0</v>
      </c>
      <c r="AF23" s="109">
        <v>0</v>
      </c>
      <c r="AG23" s="109">
        <v>0</v>
      </c>
      <c r="AH23" s="109">
        <v>0</v>
      </c>
      <c r="AJ23" s="626"/>
    </row>
    <row r="24" spans="2:37" ht="15">
      <c r="B24" s="527" t="s">
        <v>442</v>
      </c>
      <c r="C24" s="528">
        <v>8.4715753644071311E-4</v>
      </c>
      <c r="D24" s="529">
        <v>7.1043064743368822E-4</v>
      </c>
      <c r="E24" s="529">
        <v>7.2902433111252357E-4</v>
      </c>
      <c r="F24" s="529">
        <v>7.8105707589022644E-4</v>
      </c>
      <c r="G24" s="529">
        <v>6.9924579507106024E-4</v>
      </c>
      <c r="H24" s="529">
        <v>7.2892590609096469E-4</v>
      </c>
      <c r="I24" s="529">
        <v>7.2829384625219254E-4</v>
      </c>
      <c r="J24" s="529">
        <v>7.1272912268803958E-4</v>
      </c>
      <c r="K24" s="529">
        <v>6.445187390634611E-4</v>
      </c>
      <c r="L24" s="529">
        <v>6.3555877192706322E-4</v>
      </c>
      <c r="M24" s="529">
        <v>6.6859164473545996E-4</v>
      </c>
      <c r="N24" s="529">
        <v>6.9784552309854711E-4</v>
      </c>
      <c r="O24" s="529">
        <v>6.7231477690087461E-4</v>
      </c>
      <c r="P24" s="529">
        <v>6.7478025339657698E-4</v>
      </c>
      <c r="Q24" s="529">
        <v>6.8033481512876136E-4</v>
      </c>
      <c r="R24" s="529">
        <v>7.0958599766552787E-4</v>
      </c>
      <c r="S24" s="529">
        <v>7.3457281174943673E-4</v>
      </c>
      <c r="T24" s="529">
        <v>7.50802975768425E-4</v>
      </c>
      <c r="U24" s="529">
        <v>7.0103269425819627E-4</v>
      </c>
      <c r="V24" s="529">
        <v>6.2068621699557587E-4</v>
      </c>
      <c r="W24" s="529">
        <v>5.9605773285158811E-4</v>
      </c>
      <c r="X24" s="529">
        <v>6.2701459157035559E-4</v>
      </c>
      <c r="Y24" s="529">
        <v>5.9857631715369824E-4</v>
      </c>
      <c r="Z24" s="529">
        <v>6.4479070034716699E-4</v>
      </c>
      <c r="AA24" s="529">
        <v>6.092173220790428E-4</v>
      </c>
      <c r="AB24" s="529">
        <v>5.8169479631906516E-4</v>
      </c>
      <c r="AC24" s="529">
        <v>4.1191119616945242E-4</v>
      </c>
      <c r="AD24" s="529">
        <v>4.1619704609653478E-4</v>
      </c>
      <c r="AE24" s="529">
        <v>4.3382448495348375E-4</v>
      </c>
      <c r="AF24" s="529">
        <v>4.1346591838652472E-4</v>
      </c>
      <c r="AG24" s="529">
        <v>3.5096949361553887E-4</v>
      </c>
      <c r="AH24" s="529">
        <v>2.8442048378826007E-4</v>
      </c>
      <c r="AI24" s="1239"/>
      <c r="AJ24" s="626"/>
      <c r="AK24" s="1239"/>
    </row>
    <row r="25" spans="2:37" ht="15">
      <c r="B25" s="94" t="s">
        <v>433</v>
      </c>
      <c r="C25" s="1528">
        <v>6.8339636715034684E-5</v>
      </c>
      <c r="D25" s="109">
        <v>6.478820015327395E-5</v>
      </c>
      <c r="E25" s="109">
        <v>6.5199025929384315E-5</v>
      </c>
      <c r="F25" s="109">
        <v>6.4312214286253635E-5</v>
      </c>
      <c r="G25" s="109">
        <v>6.1918716502794188E-5</v>
      </c>
      <c r="H25" s="109">
        <v>5.8022968458051134E-5</v>
      </c>
      <c r="I25" s="109">
        <v>5.7174851871097004E-5</v>
      </c>
      <c r="J25" s="109">
        <v>5.889054878782922E-5</v>
      </c>
      <c r="K25" s="109">
        <v>5.8616482208349167E-5</v>
      </c>
      <c r="L25" s="109">
        <v>5.5800765469131089E-5</v>
      </c>
      <c r="M25" s="109">
        <v>5.327582782504493E-5</v>
      </c>
      <c r="N25" s="109">
        <v>4.7978093869736888E-5</v>
      </c>
      <c r="O25" s="109">
        <v>4.8872166529774632E-5</v>
      </c>
      <c r="P25" s="109">
        <v>4.93513539309409E-5</v>
      </c>
      <c r="Q25" s="109">
        <v>4.3767906305141662E-5</v>
      </c>
      <c r="R25" s="109">
        <v>4.1806993546931162E-5</v>
      </c>
      <c r="S25" s="109">
        <v>4.0936039806044456E-5</v>
      </c>
      <c r="T25" s="109">
        <v>3.789877025902309E-5</v>
      </c>
      <c r="U25" s="109">
        <v>5.1357071272878268E-5</v>
      </c>
      <c r="V25" s="109">
        <v>5.0872311338841471E-5</v>
      </c>
      <c r="W25" s="109">
        <v>5.0051693999290333E-5</v>
      </c>
      <c r="X25" s="109">
        <v>5.149007141312709E-5</v>
      </c>
      <c r="Y25" s="109">
        <v>4.9042696449451091E-5</v>
      </c>
      <c r="Z25" s="109">
        <v>4.6790227266605665E-5</v>
      </c>
      <c r="AA25" s="109">
        <v>4.7838299158162494E-5</v>
      </c>
      <c r="AB25" s="109">
        <v>4.8869573157153631E-5</v>
      </c>
      <c r="AC25" s="109">
        <v>4.8346230819899395E-5</v>
      </c>
      <c r="AD25" s="109">
        <v>4.7044306740062955E-5</v>
      </c>
      <c r="AE25" s="109">
        <v>4.8960124438694618E-5</v>
      </c>
      <c r="AF25" s="109">
        <v>3.2679536546095297E-5</v>
      </c>
      <c r="AG25" s="109">
        <v>2.9742995028350199E-5</v>
      </c>
      <c r="AH25" s="109">
        <v>2.7035475929250445E-5</v>
      </c>
      <c r="AJ25" s="626"/>
    </row>
    <row r="26" spans="2:37" ht="15">
      <c r="B26" s="94" t="s">
        <v>434</v>
      </c>
      <c r="C26" s="1528">
        <v>7.7881789972567841E-4</v>
      </c>
      <c r="D26" s="109">
        <v>6.4564244728041429E-4</v>
      </c>
      <c r="E26" s="109">
        <v>6.6382530518313923E-4</v>
      </c>
      <c r="F26" s="109">
        <v>7.167448616039728E-4</v>
      </c>
      <c r="G26" s="109">
        <v>6.3732707856826607E-4</v>
      </c>
      <c r="H26" s="109">
        <v>6.7090293763291361E-4</v>
      </c>
      <c r="I26" s="109">
        <v>6.7111899438109554E-4</v>
      </c>
      <c r="J26" s="109">
        <v>6.5383857390021035E-4</v>
      </c>
      <c r="K26" s="109">
        <v>5.8590225685511196E-4</v>
      </c>
      <c r="L26" s="109">
        <v>5.7975800645793216E-4</v>
      </c>
      <c r="M26" s="109">
        <v>6.1531581691041503E-4</v>
      </c>
      <c r="N26" s="109">
        <v>6.498674292288102E-4</v>
      </c>
      <c r="O26" s="109">
        <v>6.234426103711E-4</v>
      </c>
      <c r="P26" s="109">
        <v>6.2542889946563612E-4</v>
      </c>
      <c r="Q26" s="109">
        <v>6.3656690882361974E-4</v>
      </c>
      <c r="R26" s="109">
        <v>6.677790041185967E-4</v>
      </c>
      <c r="S26" s="109">
        <v>6.9363677194339232E-4</v>
      </c>
      <c r="T26" s="109">
        <v>7.1290420550940191E-4</v>
      </c>
      <c r="U26" s="109">
        <v>6.4967562298531801E-4</v>
      </c>
      <c r="V26" s="109">
        <v>5.6981390565673435E-4</v>
      </c>
      <c r="W26" s="109">
        <v>5.4600603885229782E-4</v>
      </c>
      <c r="X26" s="109">
        <v>5.7552452015722849E-4</v>
      </c>
      <c r="Y26" s="109">
        <v>5.4953362070424717E-4</v>
      </c>
      <c r="Z26" s="109">
        <v>5.9800047308056128E-4</v>
      </c>
      <c r="AA26" s="109">
        <v>5.6137902292088034E-4</v>
      </c>
      <c r="AB26" s="109">
        <v>5.3282522316191148E-4</v>
      </c>
      <c r="AC26" s="109">
        <v>3.6356496534955304E-4</v>
      </c>
      <c r="AD26" s="109">
        <v>3.691527393564718E-4</v>
      </c>
      <c r="AE26" s="109">
        <v>3.8486436051478914E-4</v>
      </c>
      <c r="AF26" s="109">
        <v>3.8078638184042943E-4</v>
      </c>
      <c r="AG26" s="109">
        <v>3.2122649858718866E-4</v>
      </c>
      <c r="AH26" s="109">
        <v>2.5738500785900962E-4</v>
      </c>
      <c r="AJ26" s="626"/>
    </row>
    <row r="27" spans="2:37" ht="15.5" thickBot="1">
      <c r="B27" s="516" t="s">
        <v>438</v>
      </c>
      <c r="C27" s="1530">
        <v>0</v>
      </c>
      <c r="D27" s="230">
        <v>0</v>
      </c>
      <c r="E27" s="230">
        <v>0</v>
      </c>
      <c r="F27" s="230">
        <v>0</v>
      </c>
      <c r="G27" s="230">
        <v>0</v>
      </c>
      <c r="H27" s="230">
        <v>0</v>
      </c>
      <c r="I27" s="230">
        <v>0</v>
      </c>
      <c r="J27" s="230">
        <v>0</v>
      </c>
      <c r="K27" s="230">
        <v>0</v>
      </c>
      <c r="L27" s="230">
        <v>0</v>
      </c>
      <c r="M27" s="230">
        <v>0</v>
      </c>
      <c r="N27" s="230">
        <v>0</v>
      </c>
      <c r="O27" s="230">
        <v>0</v>
      </c>
      <c r="P27" s="230">
        <v>0</v>
      </c>
      <c r="Q27" s="230">
        <v>0</v>
      </c>
      <c r="R27" s="230">
        <v>0</v>
      </c>
      <c r="S27" s="230">
        <v>0</v>
      </c>
      <c r="T27" s="230">
        <v>0</v>
      </c>
      <c r="U27" s="230">
        <v>0</v>
      </c>
      <c r="V27" s="230">
        <v>0</v>
      </c>
      <c r="W27" s="230">
        <v>0</v>
      </c>
      <c r="X27" s="230">
        <v>0</v>
      </c>
      <c r="Y27" s="230">
        <v>0</v>
      </c>
      <c r="Z27" s="230">
        <v>0</v>
      </c>
      <c r="AA27" s="230">
        <v>0</v>
      </c>
      <c r="AB27" s="230">
        <v>0</v>
      </c>
      <c r="AC27" s="230">
        <v>0</v>
      </c>
      <c r="AD27" s="230">
        <v>0</v>
      </c>
      <c r="AE27" s="230">
        <v>0</v>
      </c>
      <c r="AF27" s="230">
        <v>0</v>
      </c>
      <c r="AG27" s="230">
        <v>0</v>
      </c>
      <c r="AH27" s="230">
        <v>0</v>
      </c>
      <c r="AJ27" s="626"/>
    </row>
    <row r="28" spans="2:37" ht="15.5">
      <c r="B28" s="102"/>
      <c r="C28" s="115"/>
      <c r="D28" s="115"/>
      <c r="E28" s="115"/>
      <c r="F28" s="115"/>
      <c r="G28" s="115"/>
      <c r="H28" s="115"/>
      <c r="I28" s="115"/>
      <c r="J28" s="115"/>
      <c r="K28" s="115"/>
      <c r="L28" s="115"/>
      <c r="M28" s="115"/>
      <c r="N28" s="115"/>
      <c r="O28" s="115"/>
      <c r="P28" s="115"/>
      <c r="Q28" s="115"/>
      <c r="R28" s="115"/>
      <c r="S28" s="115"/>
      <c r="T28" s="115"/>
      <c r="U28" s="115"/>
      <c r="V28" s="115"/>
      <c r="W28" s="115"/>
      <c r="X28" s="115"/>
      <c r="AC28" s="234"/>
      <c r="AG28" s="235"/>
      <c r="AH28" s="235"/>
      <c r="AJ28" s="626"/>
    </row>
    <row r="29" spans="2:37" ht="15.5" thickBot="1">
      <c r="B29" s="93" t="s">
        <v>443</v>
      </c>
      <c r="C29" s="116"/>
      <c r="D29" s="234"/>
      <c r="E29" s="116"/>
      <c r="F29" s="116"/>
      <c r="G29" s="116"/>
      <c r="H29" s="116"/>
      <c r="I29" s="116"/>
      <c r="J29" s="116"/>
      <c r="K29" s="116"/>
      <c r="L29" s="116"/>
      <c r="M29" s="116"/>
      <c r="N29" s="116"/>
      <c r="O29" s="116"/>
      <c r="P29" s="116"/>
      <c r="Q29" s="116"/>
      <c r="R29" s="116"/>
      <c r="S29" s="116"/>
      <c r="T29" s="116"/>
      <c r="U29" s="116"/>
      <c r="V29" s="116"/>
      <c r="W29" s="116"/>
      <c r="X29" s="116"/>
      <c r="AC29" s="235"/>
      <c r="AG29" s="235"/>
      <c r="AH29" s="235"/>
      <c r="AJ29" s="626"/>
    </row>
    <row r="30" spans="2:37" ht="15.5" thickBot="1">
      <c r="B30" s="114"/>
      <c r="C30" s="219">
        <v>1990</v>
      </c>
      <c r="D30" s="114">
        <v>1991</v>
      </c>
      <c r="E30" s="114">
        <v>1992</v>
      </c>
      <c r="F30" s="114">
        <v>1993</v>
      </c>
      <c r="G30" s="114">
        <v>1994</v>
      </c>
      <c r="H30" s="114">
        <v>1995</v>
      </c>
      <c r="I30" s="114">
        <v>1996</v>
      </c>
      <c r="J30" s="114">
        <v>1997</v>
      </c>
      <c r="K30" s="114">
        <v>1998</v>
      </c>
      <c r="L30" s="114">
        <v>1999</v>
      </c>
      <c r="M30" s="114">
        <v>2000</v>
      </c>
      <c r="N30" s="114">
        <v>2001</v>
      </c>
      <c r="O30" s="114">
        <v>2002</v>
      </c>
      <c r="P30" s="114">
        <v>2003</v>
      </c>
      <c r="Q30" s="114">
        <v>2004</v>
      </c>
      <c r="R30" s="114">
        <v>2005</v>
      </c>
      <c r="S30" s="114">
        <v>2006</v>
      </c>
      <c r="T30" s="114">
        <v>2007</v>
      </c>
      <c r="U30" s="114">
        <v>2008</v>
      </c>
      <c r="V30" s="114">
        <v>2009</v>
      </c>
      <c r="W30" s="114">
        <v>2010</v>
      </c>
      <c r="X30" s="114">
        <v>2011</v>
      </c>
      <c r="Y30" s="114">
        <v>2012</v>
      </c>
      <c r="Z30" s="114">
        <v>2013</v>
      </c>
      <c r="AA30" s="114">
        <v>2014</v>
      </c>
      <c r="AB30" s="114">
        <v>2015</v>
      </c>
      <c r="AC30" s="114">
        <v>2016</v>
      </c>
      <c r="AD30" s="114">
        <v>2017</v>
      </c>
      <c r="AE30" s="114">
        <v>2018</v>
      </c>
      <c r="AF30" s="114">
        <v>2019</v>
      </c>
      <c r="AG30" s="114">
        <v>2020</v>
      </c>
      <c r="AH30" s="114">
        <v>2021</v>
      </c>
      <c r="AJ30" s="626"/>
    </row>
    <row r="31" spans="2:37" ht="15">
      <c r="B31" s="4" t="s">
        <v>444</v>
      </c>
      <c r="C31" s="1531">
        <v>613.43714610897803</v>
      </c>
      <c r="D31" s="422">
        <v>536.84439862402724</v>
      </c>
      <c r="E31" s="422">
        <v>540.73337338098224</v>
      </c>
      <c r="F31" s="422">
        <v>586.41932771938423</v>
      </c>
      <c r="G31" s="422">
        <v>530.25189241137127</v>
      </c>
      <c r="H31" s="422">
        <v>547.28706509301765</v>
      </c>
      <c r="I31" s="422">
        <v>548.05187739480459</v>
      </c>
      <c r="J31" s="422">
        <v>530.85283741733599</v>
      </c>
      <c r="K31" s="422">
        <v>466.95094109522415</v>
      </c>
      <c r="L31" s="422">
        <v>469.02787715084798</v>
      </c>
      <c r="M31" s="422">
        <v>500.77954100609833</v>
      </c>
      <c r="N31" s="422">
        <v>518.41513500809378</v>
      </c>
      <c r="O31" s="422">
        <v>510.66513338543933</v>
      </c>
      <c r="P31" s="422">
        <v>512.4491354820484</v>
      </c>
      <c r="Q31" s="422">
        <v>503.98500509972581</v>
      </c>
      <c r="R31" s="422">
        <v>535.41879303338612</v>
      </c>
      <c r="S31" s="422">
        <v>553.81362026994782</v>
      </c>
      <c r="T31" s="422">
        <v>574.28308402378957</v>
      </c>
      <c r="U31" s="422">
        <v>515.28962574572961</v>
      </c>
      <c r="V31" s="422">
        <v>450.73914494705787</v>
      </c>
      <c r="W31" s="422">
        <v>435.06903810784428</v>
      </c>
      <c r="X31" s="422">
        <v>465.7644177274089</v>
      </c>
      <c r="Y31" s="422">
        <v>459.03913329296915</v>
      </c>
      <c r="Z31" s="422">
        <v>482.30374835381917</v>
      </c>
      <c r="AA31" s="422">
        <v>448.6888031085648</v>
      </c>
      <c r="AB31" s="422">
        <v>415.62844783074462</v>
      </c>
      <c r="AC31" s="422">
        <v>290.17798473321591</v>
      </c>
      <c r="AD31" s="422">
        <v>293.15506482112966</v>
      </c>
      <c r="AE31" s="422">
        <v>304.42013529383541</v>
      </c>
      <c r="AF31" s="422">
        <v>302.49999345745965</v>
      </c>
      <c r="AG31" s="422">
        <v>254.27769551351415</v>
      </c>
      <c r="AH31" s="422">
        <v>208.93483350508467</v>
      </c>
      <c r="AJ31" s="626"/>
    </row>
    <row r="32" spans="2:37" ht="15">
      <c r="B32" s="94" t="s">
        <v>445</v>
      </c>
      <c r="C32" s="1532">
        <v>332.77874498765703</v>
      </c>
      <c r="D32" s="110">
        <v>324.92136746371887</v>
      </c>
      <c r="E32" s="110">
        <v>335.18831274613467</v>
      </c>
      <c r="F32" s="110">
        <v>379.83090822257441</v>
      </c>
      <c r="G32" s="110">
        <v>347.41637004649692</v>
      </c>
      <c r="H32" s="110">
        <v>377.23128182543724</v>
      </c>
      <c r="I32" s="110">
        <v>390.04690480592956</v>
      </c>
      <c r="J32" s="110">
        <v>368.71850626421588</v>
      </c>
      <c r="K32" s="110">
        <v>308.4975871956828</v>
      </c>
      <c r="L32" s="110">
        <v>326.4755725700897</v>
      </c>
      <c r="M32" s="110">
        <v>359.21912971936905</v>
      </c>
      <c r="N32" s="110">
        <v>383.31262719126727</v>
      </c>
      <c r="O32" s="110">
        <v>371.05641344000412</v>
      </c>
      <c r="P32" s="110">
        <v>381.54368016788749</v>
      </c>
      <c r="Q32" s="110">
        <v>377.18536007140932</v>
      </c>
      <c r="R32" s="110">
        <v>413.44760668694312</v>
      </c>
      <c r="S32" s="110">
        <v>426.4900185226997</v>
      </c>
      <c r="T32" s="110">
        <v>446.17555940772871</v>
      </c>
      <c r="U32" s="110">
        <v>382.60126509055823</v>
      </c>
      <c r="V32" s="110">
        <v>319.58451382461851</v>
      </c>
      <c r="W32" s="110">
        <v>300.14608767069944</v>
      </c>
      <c r="X32" s="110">
        <v>340.3314507308383</v>
      </c>
      <c r="Y32" s="110">
        <v>333.25978901268712</v>
      </c>
      <c r="Z32" s="110">
        <v>343.54987164395533</v>
      </c>
      <c r="AA32" s="110">
        <v>317.43388774564266</v>
      </c>
      <c r="AB32" s="110">
        <v>287.91580555755337</v>
      </c>
      <c r="AC32" s="110">
        <v>172.25003893752304</v>
      </c>
      <c r="AD32" s="110">
        <v>177.49964610549199</v>
      </c>
      <c r="AE32" s="110">
        <v>184.16565211076559</v>
      </c>
      <c r="AF32" s="110">
        <v>194.35903171546482</v>
      </c>
      <c r="AG32" s="110">
        <v>171.14404701094222</v>
      </c>
      <c r="AH32" s="110">
        <v>111.0655782501143</v>
      </c>
      <c r="AJ32" s="626"/>
    </row>
    <row r="33" spans="2:37" ht="15">
      <c r="B33" s="94" t="s">
        <v>446</v>
      </c>
      <c r="C33" s="1532">
        <v>0</v>
      </c>
      <c r="D33" s="110">
        <v>0</v>
      </c>
      <c r="E33" s="110">
        <v>0</v>
      </c>
      <c r="F33" s="110">
        <v>0</v>
      </c>
      <c r="G33" s="110">
        <v>0</v>
      </c>
      <c r="H33" s="110">
        <v>0</v>
      </c>
      <c r="I33" s="110">
        <v>0</v>
      </c>
      <c r="J33" s="110">
        <v>0</v>
      </c>
      <c r="K33" s="110">
        <v>0</v>
      </c>
      <c r="L33" s="110">
        <v>0</v>
      </c>
      <c r="M33" s="110">
        <v>0</v>
      </c>
      <c r="N33" s="110">
        <v>0</v>
      </c>
      <c r="O33" s="110">
        <v>0</v>
      </c>
      <c r="P33" s="110">
        <v>0</v>
      </c>
      <c r="Q33" s="110">
        <v>0</v>
      </c>
      <c r="R33" s="110">
        <v>0</v>
      </c>
      <c r="S33" s="110">
        <v>0</v>
      </c>
      <c r="T33" s="110">
        <v>0</v>
      </c>
      <c r="U33" s="110">
        <v>0</v>
      </c>
      <c r="V33" s="110">
        <v>0</v>
      </c>
      <c r="W33" s="110">
        <v>0</v>
      </c>
      <c r="X33" s="110">
        <v>0</v>
      </c>
      <c r="Y33" s="110">
        <v>0</v>
      </c>
      <c r="Z33" s="110">
        <v>0</v>
      </c>
      <c r="AA33" s="110">
        <v>0</v>
      </c>
      <c r="AB33" s="110">
        <v>0</v>
      </c>
      <c r="AC33" s="110">
        <v>0</v>
      </c>
      <c r="AD33" s="110">
        <v>0</v>
      </c>
      <c r="AE33" s="110">
        <v>0</v>
      </c>
      <c r="AF33" s="110">
        <v>0</v>
      </c>
      <c r="AG33" s="110">
        <v>0</v>
      </c>
      <c r="AH33" s="110">
        <v>0</v>
      </c>
      <c r="AJ33" s="626"/>
    </row>
    <row r="34" spans="2:37" ht="15">
      <c r="B34" s="94" t="s">
        <v>447</v>
      </c>
      <c r="C34" s="1532">
        <v>58.647571753888684</v>
      </c>
      <c r="D34" s="110">
        <v>57.092493228982384</v>
      </c>
      <c r="E34" s="110">
        <v>55.993327054069717</v>
      </c>
      <c r="F34" s="110">
        <v>57.101462261488969</v>
      </c>
      <c r="G34" s="110">
        <v>46.21384867021191</v>
      </c>
      <c r="H34" s="110">
        <v>35.786441342926018</v>
      </c>
      <c r="I34" s="110">
        <v>21.907106172108563</v>
      </c>
      <c r="J34" s="110">
        <v>26.197807404705898</v>
      </c>
      <c r="K34" s="110">
        <v>21.175315315556102</v>
      </c>
      <c r="L34" s="110">
        <v>21.726954371144359</v>
      </c>
      <c r="M34" s="110">
        <v>24.694323688828884</v>
      </c>
      <c r="N34" s="110">
        <v>26.805454606221993</v>
      </c>
      <c r="O34" s="110">
        <v>26.779492014013396</v>
      </c>
      <c r="P34" s="110">
        <v>20.968920984630028</v>
      </c>
      <c r="Q34" s="110">
        <v>14.256154165888725</v>
      </c>
      <c r="R34" s="110">
        <v>14.402316229570372</v>
      </c>
      <c r="S34" s="110">
        <v>11.473147734469288</v>
      </c>
      <c r="T34" s="110">
        <v>15.101218666028217</v>
      </c>
      <c r="U34" s="110">
        <v>11.345517958711975</v>
      </c>
      <c r="V34" s="110">
        <v>7.6562947966567698</v>
      </c>
      <c r="W34" s="110">
        <v>10.697441779062174</v>
      </c>
      <c r="X34" s="110">
        <v>12.472406962566286</v>
      </c>
      <c r="Y34" s="110">
        <v>13.55371445003359</v>
      </c>
      <c r="Z34" s="110">
        <v>18.595378865212634</v>
      </c>
      <c r="AA34" s="110">
        <v>11.509716225160036</v>
      </c>
      <c r="AB34" s="110">
        <v>11.059326212658705</v>
      </c>
      <c r="AC34" s="110">
        <v>9.0888332430151397</v>
      </c>
      <c r="AD34" s="110">
        <v>11.707288239947562</v>
      </c>
      <c r="AE34" s="110">
        <v>11.539608103124733</v>
      </c>
      <c r="AF34" s="110">
        <v>10.255421940290406</v>
      </c>
      <c r="AG34" s="110">
        <v>3.950832897441956</v>
      </c>
      <c r="AH34" s="110">
        <v>5.6350133502530841</v>
      </c>
      <c r="AJ34" s="626"/>
    </row>
    <row r="35" spans="2:37" ht="15">
      <c r="B35" s="94" t="s">
        <v>448</v>
      </c>
      <c r="C35" s="1532">
        <v>0</v>
      </c>
      <c r="D35" s="110">
        <v>0</v>
      </c>
      <c r="E35" s="110">
        <v>0</v>
      </c>
      <c r="F35" s="110">
        <v>0</v>
      </c>
      <c r="G35" s="110">
        <v>0</v>
      </c>
      <c r="H35" s="110">
        <v>0</v>
      </c>
      <c r="I35" s="110">
        <v>0</v>
      </c>
      <c r="J35" s="110">
        <v>0</v>
      </c>
      <c r="K35" s="110">
        <v>0</v>
      </c>
      <c r="L35" s="110">
        <v>0</v>
      </c>
      <c r="M35" s="110">
        <v>0</v>
      </c>
      <c r="N35" s="110">
        <v>0</v>
      </c>
      <c r="O35" s="110">
        <v>0</v>
      </c>
      <c r="P35" s="110">
        <v>0</v>
      </c>
      <c r="Q35" s="110">
        <v>0</v>
      </c>
      <c r="R35" s="110">
        <v>0</v>
      </c>
      <c r="S35" s="110">
        <v>0</v>
      </c>
      <c r="T35" s="110">
        <v>0</v>
      </c>
      <c r="U35" s="110">
        <v>0</v>
      </c>
      <c r="V35" s="110">
        <v>0</v>
      </c>
      <c r="W35" s="110">
        <v>0</v>
      </c>
      <c r="X35" s="110">
        <v>0</v>
      </c>
      <c r="Y35" s="110">
        <v>0</v>
      </c>
      <c r="Z35" s="110">
        <v>0</v>
      </c>
      <c r="AA35" s="110">
        <v>0</v>
      </c>
      <c r="AB35" s="110">
        <v>0</v>
      </c>
      <c r="AC35" s="110">
        <v>0</v>
      </c>
      <c r="AD35" s="110">
        <v>0</v>
      </c>
      <c r="AE35" s="110">
        <v>0</v>
      </c>
      <c r="AF35" s="110">
        <v>0</v>
      </c>
      <c r="AG35" s="110">
        <v>0</v>
      </c>
      <c r="AH35" s="110">
        <v>0</v>
      </c>
      <c r="AJ35" s="626"/>
    </row>
    <row r="36" spans="2:37" ht="15">
      <c r="B36" s="94" t="s">
        <v>449</v>
      </c>
      <c r="C36" s="1532">
        <v>222.01082936743228</v>
      </c>
      <c r="D36" s="110">
        <v>154.83053793132592</v>
      </c>
      <c r="E36" s="110">
        <v>149.55173358077789</v>
      </c>
      <c r="F36" s="110">
        <v>149.4869572353208</v>
      </c>
      <c r="G36" s="110">
        <v>136.62167369466243</v>
      </c>
      <c r="H36" s="110">
        <v>134.26934192465436</v>
      </c>
      <c r="I36" s="110">
        <v>136.09786641676644</v>
      </c>
      <c r="J36" s="110">
        <v>135.93652374841423</v>
      </c>
      <c r="K36" s="110">
        <v>137.27803858398525</v>
      </c>
      <c r="L36" s="110">
        <v>120.82535020961393</v>
      </c>
      <c r="M36" s="110">
        <v>116.8660875979004</v>
      </c>
      <c r="N36" s="110">
        <v>108.29705321060452</v>
      </c>
      <c r="O36" s="110">
        <v>112.82922793142184</v>
      </c>
      <c r="P36" s="110">
        <v>109.93653432953094</v>
      </c>
      <c r="Q36" s="110">
        <v>112.54349086242775</v>
      </c>
      <c r="R36" s="110">
        <v>107.5688701168726</v>
      </c>
      <c r="S36" s="110">
        <v>115.85045401277884</v>
      </c>
      <c r="T36" s="110">
        <v>113.00630595003258</v>
      </c>
      <c r="U36" s="110">
        <v>121.34284269645943</v>
      </c>
      <c r="V36" s="110">
        <v>123.4983363257826</v>
      </c>
      <c r="W36" s="110">
        <v>124.22550865808266</v>
      </c>
      <c r="X36" s="110">
        <v>112.9605600340043</v>
      </c>
      <c r="Y36" s="110">
        <v>112.22562983024845</v>
      </c>
      <c r="Z36" s="110">
        <v>120.15849784465122</v>
      </c>
      <c r="AA36" s="110">
        <v>119.74519913776206</v>
      </c>
      <c r="AB36" s="110">
        <v>116.65331606053253</v>
      </c>
      <c r="AC36" s="110">
        <v>108.83911255267775</v>
      </c>
      <c r="AD36" s="110">
        <v>103.94813047569012</v>
      </c>
      <c r="AE36" s="110">
        <v>108.71487507994507</v>
      </c>
      <c r="AF36" s="110">
        <v>97.885539801704425</v>
      </c>
      <c r="AG36" s="110">
        <v>79.182815605129974</v>
      </c>
      <c r="AH36" s="110">
        <v>92.234241904717294</v>
      </c>
      <c r="AJ36" s="626"/>
    </row>
    <row r="37" spans="2:37" ht="15">
      <c r="B37" s="4" t="s">
        <v>450</v>
      </c>
      <c r="C37" s="1531">
        <v>165.38075361670045</v>
      </c>
      <c r="D37" s="422">
        <v>108.79804865638711</v>
      </c>
      <c r="E37" s="422">
        <v>123.09193180215699</v>
      </c>
      <c r="F37" s="422">
        <v>130.32553388458865</v>
      </c>
      <c r="G37" s="422">
        <v>107.07518615689477</v>
      </c>
      <c r="H37" s="422">
        <v>123.61587253989595</v>
      </c>
      <c r="I37" s="422">
        <v>123.06711698629084</v>
      </c>
      <c r="J37" s="422">
        <v>122.98573648287442</v>
      </c>
      <c r="K37" s="422">
        <v>118.95131575988786</v>
      </c>
      <c r="L37" s="422">
        <v>110.7301293070842</v>
      </c>
      <c r="M37" s="422">
        <v>114.53627590431674</v>
      </c>
      <c r="N37" s="422">
        <v>131.45229422071648</v>
      </c>
      <c r="O37" s="422">
        <v>112.77747698566066</v>
      </c>
      <c r="P37" s="422">
        <v>112.97976398358773</v>
      </c>
      <c r="Q37" s="422">
        <v>132.58190372389402</v>
      </c>
      <c r="R37" s="422">
        <v>132.36021108521066</v>
      </c>
      <c r="S37" s="422">
        <v>139.82315167344453</v>
      </c>
      <c r="T37" s="422">
        <v>138.62112148561238</v>
      </c>
      <c r="U37" s="422">
        <v>134.38599723958839</v>
      </c>
      <c r="V37" s="422">
        <v>119.07476070967657</v>
      </c>
      <c r="W37" s="422">
        <v>110.93700074445351</v>
      </c>
      <c r="X37" s="422">
        <v>109.76010242981961</v>
      </c>
      <c r="Y37" s="422">
        <v>90.49448741127803</v>
      </c>
      <c r="Z37" s="422">
        <v>115.69672472674205</v>
      </c>
      <c r="AA37" s="422">
        <v>112.69021981231543</v>
      </c>
      <c r="AB37" s="422">
        <v>117.19677533116686</v>
      </c>
      <c r="AC37" s="422">
        <v>73.386980616337141</v>
      </c>
      <c r="AD37" s="422">
        <v>75.997674535342156</v>
      </c>
      <c r="AE37" s="422">
        <v>80.44422522095374</v>
      </c>
      <c r="AF37" s="422">
        <v>78.286388382969776</v>
      </c>
      <c r="AG37" s="422">
        <v>66.948803073674526</v>
      </c>
      <c r="AH37" s="422">
        <v>48.450174353924915</v>
      </c>
      <c r="AJ37" s="626"/>
    </row>
    <row r="38" spans="2:37" ht="15">
      <c r="B38" s="94" t="s">
        <v>445</v>
      </c>
      <c r="C38" s="1532">
        <v>43.575213023339138</v>
      </c>
      <c r="D38" s="110">
        <v>27.395001506290779</v>
      </c>
      <c r="E38" s="110">
        <v>32.054378898298047</v>
      </c>
      <c r="F38" s="110">
        <v>34.342295508024684</v>
      </c>
      <c r="G38" s="110">
        <v>27.763220352694777</v>
      </c>
      <c r="H38" s="110">
        <v>33.255341069171415</v>
      </c>
      <c r="I38" s="110">
        <v>33.358909211621928</v>
      </c>
      <c r="J38" s="110">
        <v>33.194134541903466</v>
      </c>
      <c r="K38" s="110">
        <v>31.399810143929578</v>
      </c>
      <c r="L38" s="110">
        <v>30.02566116105432</v>
      </c>
      <c r="M38" s="110">
        <v>32.065204563091207</v>
      </c>
      <c r="N38" s="110">
        <v>37.605178904403097</v>
      </c>
      <c r="O38" s="110">
        <v>31.50483809459682</v>
      </c>
      <c r="P38" s="110">
        <v>31.898196657281591</v>
      </c>
      <c r="Q38" s="110">
        <v>38.093522115855968</v>
      </c>
      <c r="R38" s="110">
        <v>38.609353509720712</v>
      </c>
      <c r="S38" s="110">
        <v>40.949558622619513</v>
      </c>
      <c r="T38" s="110">
        <v>40.588548248836055</v>
      </c>
      <c r="U38" s="110">
        <v>38.727932504479014</v>
      </c>
      <c r="V38" s="110">
        <v>33.748499268658897</v>
      </c>
      <c r="W38" s="110">
        <v>31.228594395309095</v>
      </c>
      <c r="X38" s="110">
        <v>31.174370165478923</v>
      </c>
      <c r="Y38" s="110">
        <v>25.13989872018653</v>
      </c>
      <c r="Z38" s="110">
        <v>33.083052538675567</v>
      </c>
      <c r="AA38" s="110">
        <v>32.442409686868984</v>
      </c>
      <c r="AB38" s="110">
        <v>33.537800882771919</v>
      </c>
      <c r="AC38" s="110">
        <v>19.627170205643139</v>
      </c>
      <c r="AD38" s="110">
        <v>20.641835206739245</v>
      </c>
      <c r="AE38" s="110">
        <v>21.710323588907908</v>
      </c>
      <c r="AF38" s="110">
        <v>21.391370199737835</v>
      </c>
      <c r="AG38" s="110">
        <v>18.580687776668331</v>
      </c>
      <c r="AH38" s="110">
        <v>12.380781771042644</v>
      </c>
      <c r="AJ38" s="626"/>
    </row>
    <row r="39" spans="2:37" ht="15">
      <c r="B39" s="94" t="s">
        <v>449</v>
      </c>
      <c r="C39" s="1532">
        <v>15.797249440329434</v>
      </c>
      <c r="D39" s="110">
        <v>12.203359315180101</v>
      </c>
      <c r="E39" s="110">
        <v>12.297807003119239</v>
      </c>
      <c r="F39" s="110">
        <v>12.44479136089503</v>
      </c>
      <c r="G39" s="110">
        <v>10.868248859946954</v>
      </c>
      <c r="H39" s="110">
        <v>10.83472829111918</v>
      </c>
      <c r="I39" s="110">
        <v>10.429077370920064</v>
      </c>
      <c r="J39" s="110">
        <v>10.625204911167067</v>
      </c>
      <c r="K39" s="110">
        <v>11.280982306220803</v>
      </c>
      <c r="L39" s="110">
        <v>9.3684233849068708</v>
      </c>
      <c r="M39" s="110">
        <v>8.2569958898558564</v>
      </c>
      <c r="N39" s="110">
        <v>8.3317225082694293</v>
      </c>
      <c r="O39" s="110">
        <v>8.2260330107620518</v>
      </c>
      <c r="P39" s="110">
        <v>7.7611357542434964</v>
      </c>
      <c r="Q39" s="110">
        <v>8.1669780587899528</v>
      </c>
      <c r="R39" s="110">
        <v>7.3289879828913369</v>
      </c>
      <c r="S39" s="110">
        <v>7.5095834846651544</v>
      </c>
      <c r="T39" s="110">
        <v>7.4581229822642596</v>
      </c>
      <c r="U39" s="110">
        <v>8.1133332486629079</v>
      </c>
      <c r="V39" s="110">
        <v>7.9963338977338587</v>
      </c>
      <c r="W39" s="110">
        <v>7.7530141243847996</v>
      </c>
      <c r="X39" s="110">
        <v>7.276281798099955</v>
      </c>
      <c r="Y39" s="110">
        <v>6.8005367415537474</v>
      </c>
      <c r="Z39" s="110">
        <v>7.3547694456287083</v>
      </c>
      <c r="AA39" s="110">
        <v>6.8514579149261836</v>
      </c>
      <c r="AB39" s="110">
        <v>7.4128946460992475</v>
      </c>
      <c r="AC39" s="110">
        <v>6.5972538369652787</v>
      </c>
      <c r="AD39" s="110">
        <v>6.381516611351759</v>
      </c>
      <c r="AE39" s="110">
        <v>6.9530984599507732</v>
      </c>
      <c r="AF39" s="110">
        <v>6.3916519139019776</v>
      </c>
      <c r="AG39" s="110">
        <v>5.0571120063792776</v>
      </c>
      <c r="AH39" s="110">
        <v>5.5172143675251188</v>
      </c>
      <c r="AJ39" s="626"/>
    </row>
    <row r="40" spans="2:37" ht="15">
      <c r="B40" s="94" t="s">
        <v>451</v>
      </c>
      <c r="C40" s="1532">
        <v>106.00829115303188</v>
      </c>
      <c r="D40" s="110">
        <v>69.199687834916233</v>
      </c>
      <c r="E40" s="110">
        <v>78.739745900739706</v>
      </c>
      <c r="F40" s="110">
        <v>83.53844701566895</v>
      </c>
      <c r="G40" s="110">
        <v>68.44371694425304</v>
      </c>
      <c r="H40" s="110">
        <v>79.525803179605347</v>
      </c>
      <c r="I40" s="110">
        <v>79.279130403748852</v>
      </c>
      <c r="J40" s="110">
        <v>79.166397029803889</v>
      </c>
      <c r="K40" s="110">
        <v>76.270523309737484</v>
      </c>
      <c r="L40" s="110">
        <v>71.336044761123006</v>
      </c>
      <c r="M40" s="110">
        <v>74.214075451369681</v>
      </c>
      <c r="N40" s="110">
        <v>85.515392808043956</v>
      </c>
      <c r="O40" s="110">
        <v>73.046605880301783</v>
      </c>
      <c r="P40" s="110">
        <v>73.320431572062645</v>
      </c>
      <c r="Q40" s="110">
        <v>86.321403549248103</v>
      </c>
      <c r="R40" s="110">
        <v>86.421869592598625</v>
      </c>
      <c r="S40" s="110">
        <v>91.364009566159851</v>
      </c>
      <c r="T40" s="110">
        <v>90.574450254512058</v>
      </c>
      <c r="U40" s="110">
        <v>87.544731486446466</v>
      </c>
      <c r="V40" s="110">
        <v>77.329927543283816</v>
      </c>
      <c r="W40" s="110">
        <v>71.95539222475962</v>
      </c>
      <c r="X40" s="110">
        <v>71.309450466240733</v>
      </c>
      <c r="Y40" s="110">
        <v>58.554051949537751</v>
      </c>
      <c r="Z40" s="110">
        <v>75.258902742437769</v>
      </c>
      <c r="AA40" s="110">
        <v>73.396352210520263</v>
      </c>
      <c r="AB40" s="110">
        <v>76.246079802295696</v>
      </c>
      <c r="AC40" s="110">
        <v>47.162556573728722</v>
      </c>
      <c r="AD40" s="110">
        <v>48.974322717251148</v>
      </c>
      <c r="AE40" s="110">
        <v>51.780803172095062</v>
      </c>
      <c r="AF40" s="110">
        <v>50.503366269329966</v>
      </c>
      <c r="AG40" s="110">
        <v>43.311003290626914</v>
      </c>
      <c r="AH40" s="110">
        <v>30.552178215357152</v>
      </c>
      <c r="AJ40" s="626"/>
    </row>
    <row r="41" spans="2:37" ht="15">
      <c r="B41" s="423" t="s">
        <v>452</v>
      </c>
      <c r="C41" s="1532">
        <v>88.236385532661274</v>
      </c>
      <c r="D41" s="110">
        <v>55.470908605338622</v>
      </c>
      <c r="E41" s="110">
        <v>64.904713022230567</v>
      </c>
      <c r="F41" s="110">
        <v>69.538056734662035</v>
      </c>
      <c r="G41" s="110">
        <v>56.216936976812725</v>
      </c>
      <c r="H41" s="110">
        <v>67.336733852096273</v>
      </c>
      <c r="I41" s="110">
        <v>67.546418361463779</v>
      </c>
      <c r="J41" s="110">
        <v>67.213041504740943</v>
      </c>
      <c r="K41" s="110">
        <v>63.57941821523908</v>
      </c>
      <c r="L41" s="110">
        <v>60.796568453102772</v>
      </c>
      <c r="M41" s="110">
        <v>64.924955075281844</v>
      </c>
      <c r="N41" s="110">
        <v>76.142204986240856</v>
      </c>
      <c r="O41" s="110">
        <v>63.792318743194478</v>
      </c>
      <c r="P41" s="110">
        <v>64.589153848538714</v>
      </c>
      <c r="Q41" s="110">
        <v>77.13355323310941</v>
      </c>
      <c r="R41" s="110">
        <v>78.176758111845871</v>
      </c>
      <c r="S41" s="110">
        <v>82.915728145911558</v>
      </c>
      <c r="T41" s="110">
        <v>82.184061899464766</v>
      </c>
      <c r="U41" s="110">
        <v>78.41723158170069</v>
      </c>
      <c r="V41" s="110">
        <v>68.334051908333223</v>
      </c>
      <c r="W41" s="110">
        <v>63.233251334826726</v>
      </c>
      <c r="X41" s="110">
        <v>63.123633443378289</v>
      </c>
      <c r="Y41" s="110">
        <v>50.903448115289791</v>
      </c>
      <c r="Z41" s="110">
        <v>66.98478711610548</v>
      </c>
      <c r="AA41" s="110">
        <v>65.688462056228303</v>
      </c>
      <c r="AB41" s="110">
        <v>67.906573325434039</v>
      </c>
      <c r="AC41" s="110">
        <v>39.740646007142786</v>
      </c>
      <c r="AD41" s="110">
        <v>41.795116529480424</v>
      </c>
      <c r="AE41" s="110">
        <v>43.958567404650445</v>
      </c>
      <c r="AF41" s="110">
        <v>43.312757866190239</v>
      </c>
      <c r="AG41" s="110">
        <v>37.621752283450228</v>
      </c>
      <c r="AH41" s="110">
        <v>24.454138984242647</v>
      </c>
      <c r="AJ41" s="626"/>
    </row>
    <row r="42" spans="2:37" ht="15">
      <c r="B42" s="423" t="s">
        <v>453</v>
      </c>
      <c r="C42" s="1532">
        <v>17.77190562037061</v>
      </c>
      <c r="D42" s="110">
        <v>13.728779229577608</v>
      </c>
      <c r="E42" s="110">
        <v>13.835032878509143</v>
      </c>
      <c r="F42" s="110">
        <v>14.000390281006915</v>
      </c>
      <c r="G42" s="110">
        <v>12.226779967440317</v>
      </c>
      <c r="H42" s="110">
        <v>12.189069327509078</v>
      </c>
      <c r="I42" s="110">
        <v>11.732712042285069</v>
      </c>
      <c r="J42" s="110">
        <v>11.953355525062952</v>
      </c>
      <c r="K42" s="110">
        <v>12.691105094498401</v>
      </c>
      <c r="L42" s="110">
        <v>10.539476308020232</v>
      </c>
      <c r="M42" s="110">
        <v>9.2891203760878334</v>
      </c>
      <c r="N42" s="110">
        <v>9.3731878218031035</v>
      </c>
      <c r="O42" s="110">
        <v>9.2542871371073101</v>
      </c>
      <c r="P42" s="110">
        <v>8.7312777235239309</v>
      </c>
      <c r="Q42" s="110">
        <v>9.1878503161386949</v>
      </c>
      <c r="R42" s="110">
        <v>8.2451114807527563</v>
      </c>
      <c r="S42" s="110">
        <v>8.4482814202482981</v>
      </c>
      <c r="T42" s="110">
        <v>8.3903883550472909</v>
      </c>
      <c r="U42" s="110">
        <v>9.1274999047457701</v>
      </c>
      <c r="V42" s="110">
        <v>8.995875634950588</v>
      </c>
      <c r="W42" s="110">
        <v>8.7221408899328967</v>
      </c>
      <c r="X42" s="110">
        <v>8.1858170228624463</v>
      </c>
      <c r="Y42" s="110">
        <v>7.6506038342479634</v>
      </c>
      <c r="Z42" s="110">
        <v>8.2741156263322946</v>
      </c>
      <c r="AA42" s="110">
        <v>7.7078901542919569</v>
      </c>
      <c r="AB42" s="110">
        <v>8.3395064768616525</v>
      </c>
      <c r="AC42" s="110">
        <v>7.4219105665859386</v>
      </c>
      <c r="AD42" s="110">
        <v>7.1792061877707249</v>
      </c>
      <c r="AE42" s="110">
        <v>7.8222357674446164</v>
      </c>
      <c r="AF42" s="110">
        <v>7.1906084031397262</v>
      </c>
      <c r="AG42" s="110">
        <v>5.6892510071766855</v>
      </c>
      <c r="AH42" s="110">
        <v>6.0980392311145062</v>
      </c>
      <c r="AJ42" s="626"/>
    </row>
    <row r="43" spans="2:37" ht="15.5" thickBot="1">
      <c r="B43" s="424" t="s">
        <v>25</v>
      </c>
      <c r="C43" s="1533">
        <v>778.81789972567844</v>
      </c>
      <c r="D43" s="515">
        <v>645.64244728041433</v>
      </c>
      <c r="E43" s="515">
        <v>663.82530518313922</v>
      </c>
      <c r="F43" s="515">
        <v>716.74486160397282</v>
      </c>
      <c r="G43" s="515">
        <v>637.32707856826607</v>
      </c>
      <c r="H43" s="515">
        <v>670.90293763291356</v>
      </c>
      <c r="I43" s="515">
        <v>671.11899438109549</v>
      </c>
      <c r="J43" s="515">
        <v>653.83857390021035</v>
      </c>
      <c r="K43" s="515">
        <v>585.902256855112</v>
      </c>
      <c r="L43" s="515">
        <v>579.7580064579322</v>
      </c>
      <c r="M43" s="515">
        <v>615.31581691041504</v>
      </c>
      <c r="N43" s="515">
        <v>649.86742922881024</v>
      </c>
      <c r="O43" s="515">
        <v>623.44261037110005</v>
      </c>
      <c r="P43" s="515">
        <v>625.42889946563616</v>
      </c>
      <c r="Q43" s="515">
        <v>636.56690882361977</v>
      </c>
      <c r="R43" s="515">
        <v>667.77900411859673</v>
      </c>
      <c r="S43" s="515">
        <v>693.63677194339232</v>
      </c>
      <c r="T43" s="515">
        <v>712.90420550940189</v>
      </c>
      <c r="U43" s="515">
        <v>649.675622985318</v>
      </c>
      <c r="V43" s="515">
        <v>569.81390565673439</v>
      </c>
      <c r="W43" s="515">
        <v>546.00603885229782</v>
      </c>
      <c r="X43" s="515">
        <v>575.52452015722849</v>
      </c>
      <c r="Y43" s="515">
        <v>549.53362070424714</v>
      </c>
      <c r="Z43" s="515">
        <v>598.00047308056128</v>
      </c>
      <c r="AA43" s="515">
        <v>561.37902292088029</v>
      </c>
      <c r="AB43" s="515">
        <v>532.82522316191148</v>
      </c>
      <c r="AC43" s="515">
        <v>363.56496534955306</v>
      </c>
      <c r="AD43" s="515">
        <v>369.15273935647178</v>
      </c>
      <c r="AE43" s="515">
        <v>384.86436051478915</v>
      </c>
      <c r="AF43" s="515">
        <v>380.78638184042944</v>
      </c>
      <c r="AG43" s="515">
        <v>321.22649858718864</v>
      </c>
      <c r="AH43" s="515">
        <v>257.38500785900959</v>
      </c>
      <c r="AI43" s="422"/>
      <c r="AJ43" s="626"/>
      <c r="AK43" s="422"/>
    </row>
    <row r="44" spans="2:37" ht="15.5">
      <c r="B44" s="102"/>
      <c r="C44" s="234"/>
      <c r="AC44" s="235"/>
      <c r="AG44" s="235"/>
      <c r="AH44" s="235"/>
      <c r="AJ44" s="626"/>
    </row>
    <row r="45" spans="2:37" ht="15.5" thickBot="1">
      <c r="B45" s="93" t="s">
        <v>454</v>
      </c>
      <c r="C45" s="234"/>
      <c r="AC45" s="235"/>
      <c r="AG45" s="235"/>
      <c r="AH45" s="235"/>
      <c r="AJ45" s="626"/>
    </row>
    <row r="46" spans="2:37" ht="15.5" thickBot="1">
      <c r="B46" s="114"/>
      <c r="C46" s="219">
        <v>1990</v>
      </c>
      <c r="D46" s="114">
        <v>1991</v>
      </c>
      <c r="E46" s="114">
        <v>1992</v>
      </c>
      <c r="F46" s="114">
        <v>1993</v>
      </c>
      <c r="G46" s="114">
        <v>1994</v>
      </c>
      <c r="H46" s="114">
        <v>1995</v>
      </c>
      <c r="I46" s="114">
        <v>1996</v>
      </c>
      <c r="J46" s="114">
        <v>1997</v>
      </c>
      <c r="K46" s="114">
        <v>1998</v>
      </c>
      <c r="L46" s="114">
        <v>1999</v>
      </c>
      <c r="M46" s="114">
        <v>2000</v>
      </c>
      <c r="N46" s="114">
        <v>2001</v>
      </c>
      <c r="O46" s="114">
        <v>2002</v>
      </c>
      <c r="P46" s="114">
        <v>2003</v>
      </c>
      <c r="Q46" s="114">
        <v>2004</v>
      </c>
      <c r="R46" s="114">
        <v>2005</v>
      </c>
      <c r="S46" s="114">
        <v>2006</v>
      </c>
      <c r="T46" s="114">
        <v>2007</v>
      </c>
      <c r="U46" s="114">
        <v>2008</v>
      </c>
      <c r="V46" s="114">
        <v>2009</v>
      </c>
      <c r="W46" s="114">
        <v>2010</v>
      </c>
      <c r="X46" s="114">
        <v>2011</v>
      </c>
      <c r="Y46" s="114">
        <v>2012</v>
      </c>
      <c r="Z46" s="114">
        <v>2013</v>
      </c>
      <c r="AA46" s="114">
        <v>2014</v>
      </c>
      <c r="AB46" s="114">
        <v>2015</v>
      </c>
      <c r="AC46" s="114">
        <v>2016</v>
      </c>
      <c r="AD46" s="114">
        <v>2017</v>
      </c>
      <c r="AE46" s="114">
        <v>2018</v>
      </c>
      <c r="AF46" s="114">
        <v>2019</v>
      </c>
      <c r="AG46" s="114">
        <v>2020</v>
      </c>
      <c r="AH46" s="114">
        <v>2021</v>
      </c>
      <c r="AJ46" s="626"/>
    </row>
    <row r="47" spans="2:37" ht="15">
      <c r="B47" s="527" t="s">
        <v>441</v>
      </c>
      <c r="C47" s="530">
        <f t="shared" ref="C47:AG47" si="0">C19*$S$1</f>
        <v>0.19364782314664009</v>
      </c>
      <c r="D47" s="529">
        <f t="shared" si="0"/>
        <v>0.18396166524748131</v>
      </c>
      <c r="E47" s="529">
        <f t="shared" si="0"/>
        <v>0.18254791411984891</v>
      </c>
      <c r="F47" s="529">
        <f t="shared" si="0"/>
        <v>0.18240641329038396</v>
      </c>
      <c r="G47" s="529">
        <f t="shared" si="0"/>
        <v>0.17481916427961744</v>
      </c>
      <c r="H47" s="529">
        <f t="shared" si="0"/>
        <v>0.16958384826626241</v>
      </c>
      <c r="I47" s="529">
        <f t="shared" si="0"/>
        <v>0.16651774046894174</v>
      </c>
      <c r="J47" s="529">
        <f t="shared" si="0"/>
        <v>0.16517978591672722</v>
      </c>
      <c r="K47" s="529">
        <f t="shared" si="0"/>
        <v>0.16627547500811862</v>
      </c>
      <c r="L47" s="529">
        <f t="shared" si="0"/>
        <v>0.16209019036885877</v>
      </c>
      <c r="M47" s="529">
        <f t="shared" si="0"/>
        <v>0.15559378356942632</v>
      </c>
      <c r="N47" s="529">
        <f t="shared" si="0"/>
        <v>0.1371626357316057</v>
      </c>
      <c r="O47" s="529">
        <f t="shared" si="0"/>
        <v>0.1423056765143649</v>
      </c>
      <c r="P47" s="529">
        <f t="shared" si="0"/>
        <v>0.13805377846362576</v>
      </c>
      <c r="Q47" s="529">
        <f t="shared" si="0"/>
        <v>0.12883613153863088</v>
      </c>
      <c r="R47" s="529">
        <f t="shared" si="0"/>
        <v>0.12816650738642341</v>
      </c>
      <c r="S47" s="529">
        <f t="shared" si="0"/>
        <v>0.12742342384739061</v>
      </c>
      <c r="T47" s="529">
        <f t="shared" si="0"/>
        <v>0.12403811360786508</v>
      </c>
      <c r="U47" s="529">
        <f t="shared" si="0"/>
        <v>0.12720538602745507</v>
      </c>
      <c r="V47" s="529">
        <f t="shared" si="0"/>
        <v>0.12347690565537564</v>
      </c>
      <c r="W47" s="529">
        <f t="shared" si="0"/>
        <v>0.12209113468383975</v>
      </c>
      <c r="X47" s="529">
        <f t="shared" si="0"/>
        <v>0.1127749327381606</v>
      </c>
      <c r="Y47" s="529">
        <f t="shared" si="0"/>
        <v>0.11165169784352416</v>
      </c>
      <c r="Z47" s="529">
        <f t="shared" si="0"/>
        <v>0.10916270849553637</v>
      </c>
      <c r="AA47" s="529">
        <f t="shared" si="0"/>
        <v>0.10666583255099411</v>
      </c>
      <c r="AB47" s="529">
        <f t="shared" si="0"/>
        <v>0.10964663162183852</v>
      </c>
      <c r="AC47" s="529">
        <f t="shared" si="0"/>
        <v>0.10651291641802826</v>
      </c>
      <c r="AD47" s="529">
        <f t="shared" si="0"/>
        <v>0.10068957230553316</v>
      </c>
      <c r="AE47" s="529">
        <f t="shared" si="0"/>
        <v>0.10034379313375043</v>
      </c>
      <c r="AF47" s="529">
        <f t="shared" si="0"/>
        <v>9.952551713383942E-2</v>
      </c>
      <c r="AG47" s="529">
        <f t="shared" si="0"/>
        <v>8.8665348633339247E-2</v>
      </c>
      <c r="AH47" s="529">
        <f t="shared" ref="AH47" si="1">AH19*$S$1</f>
        <v>9.5505879163480578E-2</v>
      </c>
      <c r="AI47" s="1239"/>
      <c r="AJ47" s="626"/>
      <c r="AK47" s="1239"/>
    </row>
    <row r="48" spans="2:37" ht="15">
      <c r="B48" s="527" t="s">
        <v>442</v>
      </c>
      <c r="C48" s="528">
        <f t="shared" ref="C48:AG48" si="2">C24*$S$2</f>
        <v>0.25245294585933248</v>
      </c>
      <c r="D48" s="529">
        <f t="shared" si="2"/>
        <v>0.21170833293523908</v>
      </c>
      <c r="E48" s="529">
        <f t="shared" si="2"/>
        <v>0.21724925067153203</v>
      </c>
      <c r="F48" s="529">
        <f t="shared" si="2"/>
        <v>0.23275500861528747</v>
      </c>
      <c r="G48" s="529">
        <f t="shared" si="2"/>
        <v>0.20837524693117596</v>
      </c>
      <c r="H48" s="529">
        <f t="shared" si="2"/>
        <v>0.21721992001510748</v>
      </c>
      <c r="I48" s="529">
        <f t="shared" si="2"/>
        <v>0.21703156618315336</v>
      </c>
      <c r="J48" s="529">
        <f t="shared" si="2"/>
        <v>0.21239327856103579</v>
      </c>
      <c r="K48" s="529">
        <f t="shared" si="2"/>
        <v>0.19206658424091141</v>
      </c>
      <c r="L48" s="529">
        <f t="shared" si="2"/>
        <v>0.18939651403426483</v>
      </c>
      <c r="M48" s="529">
        <f t="shared" si="2"/>
        <v>0.19924031013116708</v>
      </c>
      <c r="N48" s="529">
        <f t="shared" si="2"/>
        <v>0.20795796588336704</v>
      </c>
      <c r="O48" s="529">
        <f t="shared" si="2"/>
        <v>0.20034980351646065</v>
      </c>
      <c r="P48" s="529">
        <f t="shared" si="2"/>
        <v>0.20108451551217993</v>
      </c>
      <c r="Q48" s="529">
        <f t="shared" si="2"/>
        <v>0.20273977490837089</v>
      </c>
      <c r="R48" s="529">
        <f t="shared" si="2"/>
        <v>0.21145662730432729</v>
      </c>
      <c r="S48" s="529">
        <f t="shared" si="2"/>
        <v>0.21890269790133215</v>
      </c>
      <c r="T48" s="529">
        <f t="shared" si="2"/>
        <v>0.22373928677899066</v>
      </c>
      <c r="U48" s="529">
        <f t="shared" si="2"/>
        <v>0.20890774288894248</v>
      </c>
      <c r="V48" s="529">
        <f t="shared" si="2"/>
        <v>0.18496449266468162</v>
      </c>
      <c r="W48" s="529">
        <f t="shared" si="2"/>
        <v>0.17762520438977325</v>
      </c>
      <c r="X48" s="529">
        <f t="shared" si="2"/>
        <v>0.18685034828796596</v>
      </c>
      <c r="Y48" s="529">
        <f t="shared" si="2"/>
        <v>0.17837574251180208</v>
      </c>
      <c r="Z48" s="529">
        <f t="shared" si="2"/>
        <v>0.19214762870345575</v>
      </c>
      <c r="AA48" s="529">
        <f t="shared" si="2"/>
        <v>0.18154676197955474</v>
      </c>
      <c r="AB48" s="529">
        <f t="shared" si="2"/>
        <v>0.17334504930308142</v>
      </c>
      <c r="AC48" s="529">
        <f t="shared" si="2"/>
        <v>0.12274953645849682</v>
      </c>
      <c r="AD48" s="529">
        <f t="shared" si="2"/>
        <v>0.12402671973676736</v>
      </c>
      <c r="AE48" s="529">
        <f t="shared" si="2"/>
        <v>0.12927969651613816</v>
      </c>
      <c r="AF48" s="529">
        <f t="shared" si="2"/>
        <v>0.12321284367918436</v>
      </c>
      <c r="AG48" s="529">
        <f t="shared" si="2"/>
        <v>0.10458890909743059</v>
      </c>
      <c r="AH48" s="529">
        <f t="shared" ref="AH48" si="3">AH24*$S$2</f>
        <v>8.4757304168901496E-2</v>
      </c>
      <c r="AI48" s="1239"/>
      <c r="AJ48" s="626"/>
      <c r="AK48" s="1239"/>
    </row>
    <row r="49" spans="2:37">
      <c r="AC49" s="235"/>
      <c r="AF49" s="235"/>
      <c r="AG49" s="235"/>
      <c r="AH49" s="235"/>
      <c r="AJ49" s="626"/>
    </row>
    <row r="50" spans="2:37" ht="21.5">
      <c r="B50" s="89" t="s">
        <v>455</v>
      </c>
      <c r="AC50" s="235"/>
      <c r="AF50" s="235"/>
      <c r="AG50" s="235"/>
      <c r="AH50" s="235"/>
      <c r="AJ50" s="626"/>
    </row>
    <row r="51" spans="2:37" ht="15.5" thickBot="1">
      <c r="B51" s="93" t="s">
        <v>454</v>
      </c>
      <c r="AC51" s="235"/>
      <c r="AF51" s="235"/>
      <c r="AG51" s="235"/>
      <c r="AH51" s="235"/>
      <c r="AJ51" s="626"/>
    </row>
    <row r="52" spans="2:37" ht="15.5" thickBot="1">
      <c r="B52" s="114"/>
      <c r="C52" s="219">
        <v>1990</v>
      </c>
      <c r="D52" s="114">
        <v>1991</v>
      </c>
      <c r="E52" s="114">
        <v>1992</v>
      </c>
      <c r="F52" s="114">
        <v>1993</v>
      </c>
      <c r="G52" s="114">
        <v>1994</v>
      </c>
      <c r="H52" s="114">
        <v>1995</v>
      </c>
      <c r="I52" s="114">
        <v>1996</v>
      </c>
      <c r="J52" s="114">
        <v>1997</v>
      </c>
      <c r="K52" s="114">
        <v>1998</v>
      </c>
      <c r="L52" s="114">
        <v>1999</v>
      </c>
      <c r="M52" s="114">
        <v>2000</v>
      </c>
      <c r="N52" s="114">
        <v>2001</v>
      </c>
      <c r="O52" s="114">
        <v>2002</v>
      </c>
      <c r="P52" s="114">
        <v>2003</v>
      </c>
      <c r="Q52" s="114">
        <v>2004</v>
      </c>
      <c r="R52" s="114">
        <v>2005</v>
      </c>
      <c r="S52" s="114">
        <v>2006</v>
      </c>
      <c r="T52" s="114">
        <v>2007</v>
      </c>
      <c r="U52" s="114">
        <v>2008</v>
      </c>
      <c r="V52" s="114">
        <v>2009</v>
      </c>
      <c r="W52" s="114">
        <v>2010</v>
      </c>
      <c r="X52" s="114">
        <v>2011</v>
      </c>
      <c r="Y52" s="114">
        <v>2012</v>
      </c>
      <c r="Z52" s="114">
        <v>2013</v>
      </c>
      <c r="AA52" s="114">
        <v>2014</v>
      </c>
      <c r="AB52" s="114">
        <v>2015</v>
      </c>
      <c r="AC52" s="114">
        <v>2016</v>
      </c>
      <c r="AD52" s="114">
        <v>2017</v>
      </c>
      <c r="AE52" s="114">
        <v>2018</v>
      </c>
      <c r="AF52" s="114">
        <v>2019</v>
      </c>
      <c r="AG52" s="114">
        <v>2020</v>
      </c>
      <c r="AH52" s="114">
        <v>2021</v>
      </c>
      <c r="AJ52" s="626"/>
    </row>
    <row r="53" spans="2:37" ht="15">
      <c r="B53" s="527" t="s">
        <v>441</v>
      </c>
      <c r="C53" s="530">
        <f t="shared" ref="C53:AC53" si="4">C47</f>
        <v>0.19364782314664009</v>
      </c>
      <c r="D53" s="529">
        <f t="shared" si="4"/>
        <v>0.18396166524748131</v>
      </c>
      <c r="E53" s="529">
        <f t="shared" si="4"/>
        <v>0.18254791411984891</v>
      </c>
      <c r="F53" s="529">
        <f t="shared" si="4"/>
        <v>0.18240641329038396</v>
      </c>
      <c r="G53" s="529">
        <f t="shared" si="4"/>
        <v>0.17481916427961744</v>
      </c>
      <c r="H53" s="529">
        <f t="shared" si="4"/>
        <v>0.16958384826626241</v>
      </c>
      <c r="I53" s="529">
        <f t="shared" si="4"/>
        <v>0.16651774046894174</v>
      </c>
      <c r="J53" s="529">
        <f t="shared" si="4"/>
        <v>0.16517978591672722</v>
      </c>
      <c r="K53" s="529">
        <f t="shared" si="4"/>
        <v>0.16627547500811862</v>
      </c>
      <c r="L53" s="529">
        <f t="shared" si="4"/>
        <v>0.16209019036885877</v>
      </c>
      <c r="M53" s="529">
        <f t="shared" si="4"/>
        <v>0.15559378356942632</v>
      </c>
      <c r="N53" s="529">
        <f t="shared" si="4"/>
        <v>0.1371626357316057</v>
      </c>
      <c r="O53" s="529">
        <f t="shared" si="4"/>
        <v>0.1423056765143649</v>
      </c>
      <c r="P53" s="529">
        <f t="shared" si="4"/>
        <v>0.13805377846362576</v>
      </c>
      <c r="Q53" s="529">
        <f t="shared" si="4"/>
        <v>0.12883613153863088</v>
      </c>
      <c r="R53" s="529">
        <f t="shared" si="4"/>
        <v>0.12816650738642341</v>
      </c>
      <c r="S53" s="529">
        <f t="shared" si="4"/>
        <v>0.12742342384739061</v>
      </c>
      <c r="T53" s="529">
        <f t="shared" si="4"/>
        <v>0.12403811360786508</v>
      </c>
      <c r="U53" s="529">
        <f t="shared" si="4"/>
        <v>0.12720538602745507</v>
      </c>
      <c r="V53" s="529">
        <f t="shared" si="4"/>
        <v>0.12347690565537564</v>
      </c>
      <c r="W53" s="529">
        <f t="shared" si="4"/>
        <v>0.12209113468383975</v>
      </c>
      <c r="X53" s="529">
        <f t="shared" si="4"/>
        <v>0.1127749327381606</v>
      </c>
      <c r="Y53" s="529">
        <f t="shared" si="4"/>
        <v>0.11165169784352416</v>
      </c>
      <c r="Z53" s="529">
        <f t="shared" si="4"/>
        <v>0.10916270849553637</v>
      </c>
      <c r="AA53" s="529">
        <f t="shared" si="4"/>
        <v>0.10666583255099411</v>
      </c>
      <c r="AB53" s="529">
        <f t="shared" si="4"/>
        <v>0.10964663162183852</v>
      </c>
      <c r="AC53" s="529">
        <f t="shared" si="4"/>
        <v>0.10651291641802826</v>
      </c>
      <c r="AD53" s="529">
        <f t="shared" ref="AD53:AF53" si="5">AD47</f>
        <v>0.10068957230553316</v>
      </c>
      <c r="AE53" s="529">
        <f t="shared" si="5"/>
        <v>0.10034379313375043</v>
      </c>
      <c r="AF53" s="529">
        <f t="shared" si="5"/>
        <v>9.952551713383942E-2</v>
      </c>
      <c r="AG53" s="529">
        <f t="shared" ref="AG53:AH53" si="6">AG47</f>
        <v>8.8665348633339247E-2</v>
      </c>
      <c r="AH53" s="529">
        <f t="shared" si="6"/>
        <v>9.5505879163480578E-2</v>
      </c>
      <c r="AI53" s="1239"/>
      <c r="AJ53" s="626"/>
      <c r="AK53" s="1239"/>
    </row>
    <row r="54" spans="2:37" ht="15">
      <c r="B54" s="527" t="s">
        <v>442</v>
      </c>
      <c r="C54" s="528">
        <f>C48</f>
        <v>0.25245294585933248</v>
      </c>
      <c r="D54" s="529">
        <f>D48</f>
        <v>0.21170833293523908</v>
      </c>
      <c r="E54" s="529">
        <f t="shared" ref="E54:AC54" si="7">E48</f>
        <v>0.21724925067153203</v>
      </c>
      <c r="F54" s="529">
        <f t="shared" si="7"/>
        <v>0.23275500861528747</v>
      </c>
      <c r="G54" s="529">
        <f t="shared" si="7"/>
        <v>0.20837524693117596</v>
      </c>
      <c r="H54" s="529">
        <f t="shared" si="7"/>
        <v>0.21721992001510748</v>
      </c>
      <c r="I54" s="529">
        <f t="shared" si="7"/>
        <v>0.21703156618315336</v>
      </c>
      <c r="J54" s="529">
        <f t="shared" si="7"/>
        <v>0.21239327856103579</v>
      </c>
      <c r="K54" s="529">
        <f t="shared" si="7"/>
        <v>0.19206658424091141</v>
      </c>
      <c r="L54" s="529">
        <f t="shared" si="7"/>
        <v>0.18939651403426483</v>
      </c>
      <c r="M54" s="529">
        <f t="shared" si="7"/>
        <v>0.19924031013116708</v>
      </c>
      <c r="N54" s="529">
        <f t="shared" si="7"/>
        <v>0.20795796588336704</v>
      </c>
      <c r="O54" s="529">
        <f t="shared" si="7"/>
        <v>0.20034980351646065</v>
      </c>
      <c r="P54" s="529">
        <f t="shared" si="7"/>
        <v>0.20108451551217993</v>
      </c>
      <c r="Q54" s="529">
        <f t="shared" si="7"/>
        <v>0.20273977490837089</v>
      </c>
      <c r="R54" s="529">
        <f t="shared" si="7"/>
        <v>0.21145662730432729</v>
      </c>
      <c r="S54" s="529">
        <f t="shared" si="7"/>
        <v>0.21890269790133215</v>
      </c>
      <c r="T54" s="529">
        <f t="shared" si="7"/>
        <v>0.22373928677899066</v>
      </c>
      <c r="U54" s="529">
        <f t="shared" si="7"/>
        <v>0.20890774288894248</v>
      </c>
      <c r="V54" s="529">
        <f t="shared" si="7"/>
        <v>0.18496449266468162</v>
      </c>
      <c r="W54" s="529">
        <f t="shared" si="7"/>
        <v>0.17762520438977325</v>
      </c>
      <c r="X54" s="529">
        <f t="shared" si="7"/>
        <v>0.18685034828796596</v>
      </c>
      <c r="Y54" s="529">
        <f t="shared" si="7"/>
        <v>0.17837574251180208</v>
      </c>
      <c r="Z54" s="529">
        <f t="shared" si="7"/>
        <v>0.19214762870345575</v>
      </c>
      <c r="AA54" s="529">
        <f t="shared" si="7"/>
        <v>0.18154676197955474</v>
      </c>
      <c r="AB54" s="529">
        <f t="shared" si="7"/>
        <v>0.17334504930308142</v>
      </c>
      <c r="AC54" s="529">
        <f t="shared" si="7"/>
        <v>0.12274953645849682</v>
      </c>
      <c r="AD54" s="529">
        <f t="shared" ref="AD54:AF54" si="8">AD48</f>
        <v>0.12402671973676736</v>
      </c>
      <c r="AE54" s="529">
        <f t="shared" si="8"/>
        <v>0.12927969651613816</v>
      </c>
      <c r="AF54" s="529">
        <f t="shared" si="8"/>
        <v>0.12321284367918436</v>
      </c>
      <c r="AG54" s="529">
        <f t="shared" ref="AG54:AH54" si="9">AG48</f>
        <v>0.10458890909743059</v>
      </c>
      <c r="AH54" s="529">
        <f t="shared" si="9"/>
        <v>8.4757304168901496E-2</v>
      </c>
      <c r="AI54" s="1239"/>
      <c r="AJ54" s="626"/>
      <c r="AK54" s="1239"/>
    </row>
    <row r="55" spans="2:37" ht="15">
      <c r="B55" s="527" t="s">
        <v>440</v>
      </c>
      <c r="C55" s="528"/>
      <c r="D55" s="529">
        <f t="shared" ref="D55:AC55" si="10">D16</f>
        <v>2.5486603163083254E-3</v>
      </c>
      <c r="E55" s="529">
        <f t="shared" si="10"/>
        <v>2.6618489824306755E-3</v>
      </c>
      <c r="F55" s="529">
        <f t="shared" si="10"/>
        <v>2.0780988841513203E-3</v>
      </c>
      <c r="G55" s="529">
        <f t="shared" si="10"/>
        <v>2.1793950830082554E-3</v>
      </c>
      <c r="H55" s="529">
        <f t="shared" si="10"/>
        <v>2.787119054099005E-3</v>
      </c>
      <c r="I55" s="529">
        <f t="shared" si="10"/>
        <v>1.8001400707611361E-3</v>
      </c>
      <c r="J55" s="529">
        <f t="shared" si="10"/>
        <v>1.9693941758142067E-3</v>
      </c>
      <c r="K55" s="529">
        <f t="shared" si="10"/>
        <v>2.5539878435997467E-3</v>
      </c>
      <c r="L55" s="529">
        <f t="shared" si="10"/>
        <v>3.8575289243702568E-3</v>
      </c>
      <c r="M55" s="529">
        <f t="shared" si="10"/>
        <v>3.2551857026217913E-3</v>
      </c>
      <c r="N55" s="529">
        <f t="shared" si="10"/>
        <v>3.2328204662977408E-3</v>
      </c>
      <c r="O55" s="529">
        <f t="shared" si="10"/>
        <v>5.8559740974738199E-2</v>
      </c>
      <c r="P55" s="529">
        <f t="shared" si="10"/>
        <v>1.4572054221500833E-2</v>
      </c>
      <c r="Q55" s="529">
        <f t="shared" si="10"/>
        <v>1.3453488012789925E-2</v>
      </c>
      <c r="R55" s="529">
        <f t="shared" si="10"/>
        <v>2.8659537963245562E-2</v>
      </c>
      <c r="S55" s="529">
        <f t="shared" si="10"/>
        <v>0.11994581533434354</v>
      </c>
      <c r="T55" s="529">
        <f t="shared" si="10"/>
        <v>0.10709383983262559</v>
      </c>
      <c r="U55" s="529">
        <f t="shared" si="10"/>
        <v>2.1178158396080921E-3</v>
      </c>
      <c r="V55" s="529">
        <f t="shared" si="10"/>
        <v>1.9815088451419758E-3</v>
      </c>
      <c r="W55" s="529">
        <f t="shared" si="10"/>
        <v>2.5331737185009553E-2</v>
      </c>
      <c r="X55" s="529">
        <f t="shared" si="10"/>
        <v>1.1739001481750281E-3</v>
      </c>
      <c r="Y55" s="529">
        <f t="shared" si="10"/>
        <v>8.3594278629532193E-4</v>
      </c>
      <c r="Z55" s="529">
        <f t="shared" si="10"/>
        <v>8.5555112038465024E-4</v>
      </c>
      <c r="AA55" s="529">
        <f t="shared" si="10"/>
        <v>1.6978221143381426E-2</v>
      </c>
      <c r="AB55" s="529">
        <f t="shared" si="10"/>
        <v>7.1876379690949236E-4</v>
      </c>
      <c r="AC55" s="529">
        <f t="shared" si="10"/>
        <v>6.2669364056971782E-4</v>
      </c>
      <c r="AD55" s="529">
        <f t="shared" ref="AD55:AF55" si="11">AD16</f>
        <v>4.1592883165378458E-2</v>
      </c>
      <c r="AE55" s="529">
        <f t="shared" si="11"/>
        <v>2.791927665848442E-2</v>
      </c>
      <c r="AF55" s="529">
        <f t="shared" si="11"/>
        <v>2.5992200678403306E-2</v>
      </c>
      <c r="AG55" s="529">
        <f t="shared" ref="AG55:AH55" si="12">AG16</f>
        <v>1.8869095710801177E-2</v>
      </c>
      <c r="AH55" s="529">
        <f t="shared" si="12"/>
        <v>1.3320239491917771E-2</v>
      </c>
      <c r="AI55" s="1239"/>
      <c r="AJ55" s="626"/>
      <c r="AK55" s="1239"/>
    </row>
    <row r="56" spans="2:37" ht="15.5" thickBot="1">
      <c r="B56" s="424" t="s">
        <v>456</v>
      </c>
      <c r="C56" s="811">
        <f>C53+C54+C55</f>
        <v>0.44610076900597256</v>
      </c>
      <c r="D56" s="812">
        <f>D53+D54+D55</f>
        <v>0.39821865849902877</v>
      </c>
      <c r="E56" s="812">
        <f t="shared" ref="E56:Y56" si="13">E53+E54+E55</f>
        <v>0.4024590137738116</v>
      </c>
      <c r="F56" s="812">
        <f t="shared" si="13"/>
        <v>0.41723952078982274</v>
      </c>
      <c r="G56" s="812">
        <f t="shared" si="13"/>
        <v>0.38537380629380164</v>
      </c>
      <c r="H56" s="812">
        <f t="shared" si="13"/>
        <v>0.38959088733546887</v>
      </c>
      <c r="I56" s="812">
        <f t="shared" si="13"/>
        <v>0.3853494467228562</v>
      </c>
      <c r="J56" s="812">
        <f t="shared" si="13"/>
        <v>0.37954245865357722</v>
      </c>
      <c r="K56" s="812">
        <f t="shared" si="13"/>
        <v>0.36089604709262979</v>
      </c>
      <c r="L56" s="812">
        <f t="shared" si="13"/>
        <v>0.35534423332749382</v>
      </c>
      <c r="M56" s="812">
        <f t="shared" si="13"/>
        <v>0.35808927940321517</v>
      </c>
      <c r="N56" s="812">
        <f t="shared" si="13"/>
        <v>0.34835342208127046</v>
      </c>
      <c r="O56" s="812">
        <f t="shared" si="13"/>
        <v>0.40121522100556378</v>
      </c>
      <c r="P56" s="812">
        <f t="shared" si="13"/>
        <v>0.35371034819730651</v>
      </c>
      <c r="Q56" s="812">
        <f t="shared" si="13"/>
        <v>0.34502939445979169</v>
      </c>
      <c r="R56" s="812">
        <f t="shared" si="13"/>
        <v>0.36828267265399622</v>
      </c>
      <c r="S56" s="812">
        <f t="shared" si="13"/>
        <v>0.46627193708306636</v>
      </c>
      <c r="T56" s="812">
        <f t="shared" si="13"/>
        <v>0.45487124021948133</v>
      </c>
      <c r="U56" s="812">
        <f t="shared" si="13"/>
        <v>0.33823094475600562</v>
      </c>
      <c r="V56" s="812">
        <f t="shared" si="13"/>
        <v>0.31042290716519921</v>
      </c>
      <c r="W56" s="812">
        <f t="shared" si="13"/>
        <v>0.32504807625862253</v>
      </c>
      <c r="X56" s="812">
        <f t="shared" si="13"/>
        <v>0.3007991811743016</v>
      </c>
      <c r="Y56" s="812">
        <f t="shared" si="13"/>
        <v>0.29086338314162158</v>
      </c>
      <c r="Z56" s="812">
        <f>Z53+Z54+Z55</f>
        <v>0.3021658883193768</v>
      </c>
      <c r="AA56" s="812">
        <f>AA53+AA54+AA55</f>
        <v>0.3051908156739303</v>
      </c>
      <c r="AB56" s="812">
        <f>AB53+AB54+AB55</f>
        <v>0.28371044472182944</v>
      </c>
      <c r="AC56" s="812">
        <f>AC53+AC54+AC55</f>
        <v>0.2298891465170948</v>
      </c>
      <c r="AD56" s="812">
        <f>AD53+AD54+AD55</f>
        <v>0.26630917520767899</v>
      </c>
      <c r="AE56" s="812">
        <f t="shared" ref="AE56:AF56" si="14">AE53+AE54+AE55</f>
        <v>0.25754276630837303</v>
      </c>
      <c r="AF56" s="812">
        <f t="shared" si="14"/>
        <v>0.24873056149142708</v>
      </c>
      <c r="AG56" s="812">
        <f t="shared" ref="AG56:AH56" si="15">AG53+AG54+AG55</f>
        <v>0.21212335344157099</v>
      </c>
      <c r="AH56" s="812">
        <f t="shared" si="15"/>
        <v>0.19358342282429983</v>
      </c>
      <c r="AI56" s="1240"/>
      <c r="AJ56" s="626"/>
      <c r="AK56" s="1240"/>
    </row>
    <row r="58" spans="2:37">
      <c r="AC58" s="235"/>
    </row>
    <row r="59" spans="2:37">
      <c r="AC59" s="235"/>
    </row>
    <row r="60" spans="2:37">
      <c r="AC60" s="235"/>
    </row>
    <row r="61" spans="2:37">
      <c r="AC61" s="235"/>
    </row>
    <row r="62" spans="2:37">
      <c r="AC62" s="235"/>
    </row>
    <row r="63" spans="2:37">
      <c r="AC63" s="235"/>
    </row>
  </sheetData>
  <phoneticPr fontId="43" type="noConversion"/>
  <pageMargins left="0" right="0" top="0.5" bottom="0.5" header="0.3" footer="0.3"/>
  <pageSetup scale="57" orientation="landscape" r:id="rId1"/>
  <headerFooter>
    <oddFooter>&amp;L&amp;F &amp;A&amp;R Page &amp;P of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81"/>
  <sheetViews>
    <sheetView zoomScaleNormal="100" zoomScaleSheetLayoutView="100" workbookViewId="0"/>
  </sheetViews>
  <sheetFormatPr defaultColWidth="8.81640625" defaultRowHeight="14.5"/>
  <cols>
    <col min="1" max="1" width="3.54296875" customWidth="1"/>
    <col min="2" max="2" width="44.453125" customWidth="1"/>
    <col min="3" max="3" width="11.1796875" customWidth="1"/>
    <col min="4" max="4" width="12.453125" customWidth="1"/>
    <col min="5" max="5" width="11.1796875" customWidth="1"/>
    <col min="6" max="6" width="12.453125" customWidth="1"/>
    <col min="7" max="13" width="11.1796875" customWidth="1"/>
    <col min="14" max="21" width="11.1796875" bestFit="1" customWidth="1"/>
    <col min="22" max="22" width="11.1796875" customWidth="1"/>
    <col min="23" max="27" width="10.453125" customWidth="1"/>
    <col min="28" max="28" width="11.1796875" customWidth="1"/>
    <col min="29" max="29" width="11.453125" customWidth="1"/>
    <col min="30" max="30" width="11.1796875" customWidth="1"/>
    <col min="31" max="31" width="9.7265625" customWidth="1"/>
    <col min="32" max="33" width="10.1796875" customWidth="1"/>
    <col min="34" max="34" width="11" customWidth="1"/>
    <col min="35" max="35" width="10.54296875" customWidth="1"/>
  </cols>
  <sheetData>
    <row r="1" spans="2:35" ht="21.5">
      <c r="B1" s="89" t="s">
        <v>457</v>
      </c>
      <c r="I1" s="276"/>
    </row>
    <row r="2" spans="2:35">
      <c r="B2" s="117"/>
      <c r="C2" s="117">
        <v>2006</v>
      </c>
    </row>
    <row r="3" spans="2:35" ht="115.5" customHeight="1">
      <c r="B3" s="1749" t="s">
        <v>944</v>
      </c>
      <c r="C3" s="1750"/>
      <c r="D3" s="1750"/>
      <c r="E3" s="1750"/>
      <c r="F3" s="1750"/>
      <c r="G3" s="1750"/>
      <c r="H3" s="1750"/>
      <c r="I3" s="1750"/>
      <c r="J3" s="1750"/>
      <c r="K3" s="1750"/>
      <c r="L3" s="1750"/>
      <c r="M3" s="1751"/>
      <c r="Q3" s="409"/>
      <c r="R3" s="90"/>
      <c r="S3" s="90"/>
      <c r="T3" s="90"/>
      <c r="U3" s="90"/>
      <c r="V3" s="90"/>
      <c r="W3" s="90"/>
      <c r="X3" s="90"/>
      <c r="Y3" s="90"/>
      <c r="Z3" s="90"/>
      <c r="AA3" s="90"/>
      <c r="AB3" s="90"/>
    </row>
    <row r="4" spans="2:35" ht="15.5" thickBot="1">
      <c r="B4" s="90"/>
      <c r="C4" s="90"/>
      <c r="D4" s="90"/>
      <c r="E4" s="90"/>
      <c r="F4" s="90"/>
      <c r="G4" s="90"/>
      <c r="H4" s="90"/>
      <c r="I4" s="90"/>
      <c r="J4" s="90"/>
      <c r="K4" s="90"/>
      <c r="L4" s="90"/>
      <c r="M4" s="90"/>
      <c r="N4" s="90"/>
    </row>
    <row r="5" spans="2:35" ht="15.5" thickBot="1">
      <c r="B5" s="114" t="s">
        <v>458</v>
      </c>
      <c r="C5" s="730"/>
      <c r="D5" s="381"/>
      <c r="E5" s="151"/>
      <c r="V5" s="242"/>
      <c r="W5" s="242"/>
      <c r="X5" s="242"/>
      <c r="Y5" s="242"/>
      <c r="AI5" s="1639"/>
    </row>
    <row r="6" spans="2:35" ht="15">
      <c r="B6" s="726"/>
      <c r="C6" s="709">
        <v>1990</v>
      </c>
      <c r="D6" s="747">
        <v>1991</v>
      </c>
      <c r="E6" s="232">
        <v>1992</v>
      </c>
      <c r="F6" s="232">
        <v>1993</v>
      </c>
      <c r="G6" s="232">
        <v>1994</v>
      </c>
      <c r="H6" s="232">
        <v>1995</v>
      </c>
      <c r="I6" s="232">
        <v>1996</v>
      </c>
      <c r="J6" s="232">
        <v>1997</v>
      </c>
      <c r="K6" s="232">
        <v>1998</v>
      </c>
      <c r="L6" s="232">
        <v>1999</v>
      </c>
      <c r="M6" s="232">
        <v>2000</v>
      </c>
      <c r="N6" s="232">
        <v>2001</v>
      </c>
      <c r="O6" s="232">
        <v>2002</v>
      </c>
      <c r="P6" s="232">
        <v>2003</v>
      </c>
      <c r="Q6" s="232">
        <v>2004</v>
      </c>
      <c r="R6" s="232">
        <v>2005</v>
      </c>
      <c r="S6" s="232">
        <v>2006</v>
      </c>
      <c r="T6" s="232">
        <v>2007</v>
      </c>
      <c r="U6" s="232">
        <v>2008</v>
      </c>
      <c r="V6" s="232">
        <v>2009</v>
      </c>
      <c r="W6" s="232">
        <v>2010</v>
      </c>
      <c r="X6" s="232">
        <v>2011</v>
      </c>
      <c r="Y6" s="232">
        <v>2012</v>
      </c>
      <c r="Z6" s="232">
        <v>2013</v>
      </c>
      <c r="AA6" s="232">
        <v>2014</v>
      </c>
      <c r="AB6" s="232">
        <v>2015</v>
      </c>
      <c r="AC6" s="232">
        <v>2016</v>
      </c>
      <c r="AD6" s="232">
        <v>2017</v>
      </c>
      <c r="AE6" s="232">
        <v>2018</v>
      </c>
      <c r="AF6" s="232">
        <v>2019</v>
      </c>
      <c r="AG6" s="232">
        <v>2020</v>
      </c>
      <c r="AH6" s="232">
        <v>2021</v>
      </c>
      <c r="AI6" s="232">
        <v>2022</v>
      </c>
    </row>
    <row r="7" spans="2:35" ht="15">
      <c r="B7" s="720" t="s">
        <v>28</v>
      </c>
      <c r="C7" s="604">
        <f>C33+(C25+C44+C54)/1000000</f>
        <v>2.2647701482409808</v>
      </c>
      <c r="D7" s="604">
        <f>D33+(D25+D44+D54)/1000000</f>
        <v>2.3313400992577114</v>
      </c>
      <c r="E7" s="604">
        <f t="shared" ref="E7:AH7" si="0">E33+(E25+E44+E54)/1000000</f>
        <v>2.2316550204287027</v>
      </c>
      <c r="F7" s="604">
        <f t="shared" si="0"/>
        <v>2.1131696727538238</v>
      </c>
      <c r="G7" s="604">
        <f t="shared" si="0"/>
        <v>2.0974164625829776</v>
      </c>
      <c r="H7" s="604">
        <f t="shared" si="0"/>
        <v>2.1083419496823184</v>
      </c>
      <c r="I7" s="604">
        <f t="shared" si="0"/>
        <v>1.7260068090520726</v>
      </c>
      <c r="J7" s="604">
        <f t="shared" si="0"/>
        <v>1.2589241370394437</v>
      </c>
      <c r="K7" s="604">
        <f t="shared" si="0"/>
        <v>1.1732698710018765</v>
      </c>
      <c r="L7" s="604">
        <f t="shared" si="0"/>
        <v>1.179814259844187</v>
      </c>
      <c r="M7" s="604">
        <f t="shared" si="0"/>
        <v>0.80647943882113504</v>
      </c>
      <c r="N7" s="604">
        <f t="shared" si="0"/>
        <v>0.46192911422562655</v>
      </c>
      <c r="O7" s="604">
        <f t="shared" si="0"/>
        <v>0.84073789711672464</v>
      </c>
      <c r="P7" s="604">
        <f t="shared" si="0"/>
        <v>1.3253859894060702</v>
      </c>
      <c r="Q7" s="604">
        <f t="shared" si="0"/>
        <v>1.0849700014273238</v>
      </c>
      <c r="R7" s="604">
        <f t="shared" si="0"/>
        <v>1.0871774268273726</v>
      </c>
      <c r="S7" s="604">
        <f t="shared" si="0"/>
        <v>0.96828587505634645</v>
      </c>
      <c r="T7" s="604">
        <f t="shared" si="0"/>
        <v>0.87645810690390069</v>
      </c>
      <c r="U7" s="604">
        <f t="shared" si="0"/>
        <v>0.88742683672184519</v>
      </c>
      <c r="V7" s="604">
        <f t="shared" si="0"/>
        <v>0.9184009643922284</v>
      </c>
      <c r="W7" s="604">
        <f t="shared" si="0"/>
        <v>0.47317104999999998</v>
      </c>
      <c r="X7" s="604">
        <f t="shared" si="0"/>
        <v>0.48435712380952384</v>
      </c>
      <c r="Y7" s="604">
        <f t="shared" si="0"/>
        <v>0.53110907857142853</v>
      </c>
      <c r="Z7" s="604">
        <f t="shared" si="0"/>
        <v>0.43345062317999999</v>
      </c>
      <c r="AA7" s="604">
        <f t="shared" si="0"/>
        <v>0.3783009</v>
      </c>
      <c r="AB7" s="604">
        <f t="shared" si="0"/>
        <v>0.3861443</v>
      </c>
      <c r="AC7" s="604">
        <f t="shared" si="0"/>
        <v>0.3515915</v>
      </c>
      <c r="AD7" s="604">
        <f t="shared" si="0"/>
        <v>0.33512924999999999</v>
      </c>
      <c r="AE7" s="604">
        <f t="shared" si="0"/>
        <v>0.32948774999999997</v>
      </c>
      <c r="AF7" s="604">
        <f t="shared" si="0"/>
        <v>0.32865024999999998</v>
      </c>
      <c r="AG7" s="604">
        <f t="shared" si="0"/>
        <v>0.29533765000000001</v>
      </c>
      <c r="AH7" s="604">
        <f t="shared" si="0"/>
        <v>0.20176844999999999</v>
      </c>
      <c r="AI7" s="604">
        <f t="shared" ref="AI7" si="1">AI33+(AI25+AI44+AI54)/1000000</f>
        <v>0.18820234999999999</v>
      </c>
    </row>
    <row r="8" spans="2:35" ht="15">
      <c r="B8" s="726" t="s">
        <v>459</v>
      </c>
      <c r="C8" s="604">
        <f t="shared" ref="C8" si="2">(C39+C52)/1000000</f>
        <v>0.99946876474132851</v>
      </c>
      <c r="D8" s="604">
        <f t="shared" ref="D8:Z8" si="3">(D39+D52)/1000000</f>
        <v>1.1474422812500469</v>
      </c>
      <c r="E8" s="604">
        <f t="shared" si="3"/>
        <v>1.1944750427232942</v>
      </c>
      <c r="F8" s="604">
        <f t="shared" si="3"/>
        <v>1.3146714205918852</v>
      </c>
      <c r="G8" s="604">
        <f t="shared" si="3"/>
        <v>1.3752637164381702</v>
      </c>
      <c r="H8" s="604">
        <f t="shared" si="3"/>
        <v>1.3534499022994995</v>
      </c>
      <c r="I8" s="604">
        <f t="shared" si="3"/>
        <v>1.5364100114097889</v>
      </c>
      <c r="J8" s="604">
        <f t="shared" si="3"/>
        <v>1.5474419470367446</v>
      </c>
      <c r="K8" s="604">
        <f t="shared" si="3"/>
        <v>1.5210300775163097</v>
      </c>
      <c r="L8" s="604">
        <f t="shared" si="3"/>
        <v>1.5378639012024646</v>
      </c>
      <c r="M8" s="604">
        <f t="shared" si="3"/>
        <v>1.670050623047131</v>
      </c>
      <c r="N8" s="604">
        <f t="shared" si="3"/>
        <v>1.7663264921363289</v>
      </c>
      <c r="O8" s="604">
        <f t="shared" si="3"/>
        <v>1.7510915564481899</v>
      </c>
      <c r="P8" s="604">
        <f t="shared" si="3"/>
        <v>1.7806052558545533</v>
      </c>
      <c r="Q8" s="604">
        <f t="shared" si="3"/>
        <v>1.8184253357615712</v>
      </c>
      <c r="R8" s="604">
        <f t="shared" si="3"/>
        <v>1.9416067867894873</v>
      </c>
      <c r="S8" s="604">
        <f>(S39+S52)/1000000</f>
        <v>1.9715804455998018</v>
      </c>
      <c r="T8" s="604">
        <f>(T39+T52)/1000000</f>
        <v>1.8946649893674625</v>
      </c>
      <c r="U8" s="604">
        <f>(U39+U52)/1000000</f>
        <v>2.1962697739351671</v>
      </c>
      <c r="V8" s="604">
        <f>(V39+V52)/1000000</f>
        <v>2.1420992425744099</v>
      </c>
      <c r="W8" s="604">
        <f t="shared" si="3"/>
        <v>2.3897903999999999</v>
      </c>
      <c r="X8" s="604">
        <f t="shared" si="3"/>
        <v>1.0922455</v>
      </c>
      <c r="Y8" s="604">
        <f t="shared" si="3"/>
        <v>1.090794</v>
      </c>
      <c r="Z8" s="604">
        <f t="shared" si="3"/>
        <v>1.1414306999999999</v>
      </c>
      <c r="AA8" s="604">
        <f t="shared" ref="AA8:AF8" si="4">(AA39+AA52)/1000000</f>
        <v>1.1765118999999999</v>
      </c>
      <c r="AB8" s="604">
        <f t="shared" si="4"/>
        <v>1.1808476999999999</v>
      </c>
      <c r="AC8" s="604">
        <f t="shared" si="4"/>
        <v>1.2011053999999999</v>
      </c>
      <c r="AD8" s="604">
        <f t="shared" si="4"/>
        <v>1.1327828</v>
      </c>
      <c r="AE8" s="604">
        <f t="shared" si="4"/>
        <v>1.1407152</v>
      </c>
      <c r="AF8" s="604">
        <f t="shared" si="4"/>
        <v>1.0424337000000001</v>
      </c>
      <c r="AG8" s="604">
        <f t="shared" ref="AG8:AH8" si="5">(AG39+AG52)/1000000</f>
        <v>1.1220368999999999</v>
      </c>
      <c r="AH8" s="604">
        <f t="shared" si="5"/>
        <v>1.1877340999999999</v>
      </c>
      <c r="AI8" s="604">
        <f t="shared" ref="AI8" si="6">(AI39+AI52)/1000000</f>
        <v>1.2259970999999998</v>
      </c>
    </row>
    <row r="9" spans="2:35" ht="15">
      <c r="B9" s="727" t="s">
        <v>30</v>
      </c>
      <c r="C9" s="605">
        <f>C32+(C43+C53)/1000000</f>
        <v>3.465244985383395E-2</v>
      </c>
      <c r="D9" s="605">
        <f>D32+(D43+D53)/1000000</f>
        <v>3.6144808868822285E-2</v>
      </c>
      <c r="E9" s="605">
        <f t="shared" ref="E9:AH9" si="7">E32+(E43+E53)/1000000</f>
        <v>3.7771278767894483E-2</v>
      </c>
      <c r="F9" s="605">
        <f t="shared" si="7"/>
        <v>3.9419408956427454E-2</v>
      </c>
      <c r="G9" s="605">
        <f t="shared" si="7"/>
        <v>4.1312569576892742E-2</v>
      </c>
      <c r="H9" s="605">
        <f t="shared" si="7"/>
        <v>4.024399123526072E-2</v>
      </c>
      <c r="I9" s="605">
        <f t="shared" si="7"/>
        <v>4.2620989020182104E-2</v>
      </c>
      <c r="J9" s="605">
        <f t="shared" si="7"/>
        <v>4.1919449143899203E-2</v>
      </c>
      <c r="K9" s="605">
        <f t="shared" si="7"/>
        <v>4.1329036183925846E-2</v>
      </c>
      <c r="L9" s="605">
        <f t="shared" si="7"/>
        <v>4.0311398591554568E-2</v>
      </c>
      <c r="M9" s="605">
        <f t="shared" si="7"/>
        <v>4.1941939836784313E-2</v>
      </c>
      <c r="N9" s="605">
        <f t="shared" si="7"/>
        <v>4.2811402907994504E-2</v>
      </c>
      <c r="O9" s="605">
        <f t="shared" si="7"/>
        <v>4.1720288702001507E-2</v>
      </c>
      <c r="P9" s="605">
        <f t="shared" si="7"/>
        <v>4.2271927442762099E-2</v>
      </c>
      <c r="Q9" s="605">
        <f t="shared" si="7"/>
        <v>4.1792026895389342E-2</v>
      </c>
      <c r="R9" s="605">
        <f t="shared" si="7"/>
        <v>4.2174322873752307E-2</v>
      </c>
      <c r="S9" s="605">
        <f t="shared" si="7"/>
        <v>4.2691297854721387E-2</v>
      </c>
      <c r="T9" s="605">
        <f t="shared" si="7"/>
        <v>4.0850236392377316E-2</v>
      </c>
      <c r="U9" s="605">
        <f t="shared" si="7"/>
        <v>4.4341591778851767E-2</v>
      </c>
      <c r="V9" s="605">
        <f t="shared" si="7"/>
        <v>4.3766977796234979E-2</v>
      </c>
      <c r="W9" s="605">
        <f t="shared" si="7"/>
        <v>3.8015739999999999E-2</v>
      </c>
      <c r="X9" s="605">
        <f t="shared" si="7"/>
        <v>3.6673599999999994E-2</v>
      </c>
      <c r="Y9" s="605">
        <f t="shared" si="7"/>
        <v>3.6751600000000002E-2</v>
      </c>
      <c r="Z9" s="605">
        <f t="shared" si="7"/>
        <v>4.0115343380000001E-2</v>
      </c>
      <c r="AA9" s="605">
        <f t="shared" si="7"/>
        <v>4.0194846000000006E-2</v>
      </c>
      <c r="AB9" s="605">
        <f t="shared" si="7"/>
        <v>3.9467108000000001E-2</v>
      </c>
      <c r="AC9" s="605">
        <f t="shared" si="7"/>
        <v>3.914304200000001E-2</v>
      </c>
      <c r="AD9" s="605">
        <f t="shared" si="7"/>
        <v>3.9009698000000002E-2</v>
      </c>
      <c r="AE9" s="605">
        <f t="shared" si="7"/>
        <v>3.9282847999999995E-2</v>
      </c>
      <c r="AF9" s="605">
        <f t="shared" si="7"/>
        <v>3.8390575999999989E-2</v>
      </c>
      <c r="AG9" s="605">
        <f t="shared" si="7"/>
        <v>3.6159799999999999E-2</v>
      </c>
      <c r="AH9" s="605">
        <f t="shared" si="7"/>
        <v>3.8601295999999993E-2</v>
      </c>
      <c r="AI9" s="605">
        <f t="shared" ref="AI9" si="8">AI32+(AI43+AI53)/1000000</f>
        <v>3.7607141999999996E-2</v>
      </c>
    </row>
    <row r="10" spans="2:35" ht="15.5" thickBot="1">
      <c r="B10" s="728" t="s">
        <v>460</v>
      </c>
      <c r="C10" s="1101">
        <f>C7+C8+C9</f>
        <v>3.2988913628361431</v>
      </c>
      <c r="D10" s="426">
        <f>D7+D8+D9</f>
        <v>3.5149271893765808</v>
      </c>
      <c r="E10" s="426">
        <f t="shared" ref="E10:Z10" si="9">E7+E8+E9</f>
        <v>3.4639013419198914</v>
      </c>
      <c r="F10" s="426">
        <f t="shared" si="9"/>
        <v>3.4672605023021363</v>
      </c>
      <c r="G10" s="426">
        <f t="shared" si="9"/>
        <v>3.5139927485980404</v>
      </c>
      <c r="H10" s="426">
        <f t="shared" si="9"/>
        <v>3.5020358432170786</v>
      </c>
      <c r="I10" s="426">
        <f t="shared" si="9"/>
        <v>3.3050378094820436</v>
      </c>
      <c r="J10" s="426">
        <f t="shared" si="9"/>
        <v>2.8482855332200874</v>
      </c>
      <c r="K10" s="426">
        <f t="shared" si="9"/>
        <v>2.735628984702112</v>
      </c>
      <c r="L10" s="426">
        <f t="shared" si="9"/>
        <v>2.7579895596382062</v>
      </c>
      <c r="M10" s="426">
        <f t="shared" si="9"/>
        <v>2.5184720017050504</v>
      </c>
      <c r="N10" s="426">
        <f t="shared" si="9"/>
        <v>2.2710670092699496</v>
      </c>
      <c r="O10" s="426">
        <f t="shared" si="9"/>
        <v>2.6335497422669163</v>
      </c>
      <c r="P10" s="426">
        <f t="shared" si="9"/>
        <v>3.1482631727033858</v>
      </c>
      <c r="Q10" s="426">
        <f t="shared" si="9"/>
        <v>2.9451873640842847</v>
      </c>
      <c r="R10" s="426">
        <f t="shared" si="9"/>
        <v>3.0709585364906125</v>
      </c>
      <c r="S10" s="426">
        <f t="shared" si="9"/>
        <v>2.9825576185108695</v>
      </c>
      <c r="T10" s="426">
        <f t="shared" si="9"/>
        <v>2.8119733326637406</v>
      </c>
      <c r="U10" s="426">
        <f t="shared" si="9"/>
        <v>3.1280382024358642</v>
      </c>
      <c r="V10" s="426">
        <f t="shared" si="9"/>
        <v>3.1042671847628731</v>
      </c>
      <c r="W10" s="426">
        <f t="shared" si="9"/>
        <v>2.9009771899999999</v>
      </c>
      <c r="X10" s="426">
        <f t="shared" si="9"/>
        <v>1.613276223809524</v>
      </c>
      <c r="Y10" s="426">
        <f t="shared" si="9"/>
        <v>1.6586546785714287</v>
      </c>
      <c r="Z10" s="426">
        <f t="shared" si="9"/>
        <v>1.6149966665599997</v>
      </c>
      <c r="AA10" s="426">
        <f t="shared" ref="AA10:AF10" si="10">AA7+AA8+AA9</f>
        <v>1.595007646</v>
      </c>
      <c r="AB10" s="426">
        <f t="shared" si="10"/>
        <v>1.6064591079999999</v>
      </c>
      <c r="AC10" s="426">
        <f t="shared" si="10"/>
        <v>1.591839942</v>
      </c>
      <c r="AD10" s="426">
        <f t="shared" si="10"/>
        <v>1.5069217480000001</v>
      </c>
      <c r="AE10" s="426">
        <f t="shared" si="10"/>
        <v>1.509485798</v>
      </c>
      <c r="AF10" s="426">
        <f t="shared" si="10"/>
        <v>1.4094745260000001</v>
      </c>
      <c r="AG10" s="426">
        <f t="shared" ref="AG10:AH10" si="11">AG7+AG8+AG9</f>
        <v>1.45353435</v>
      </c>
      <c r="AH10" s="426">
        <f t="shared" si="11"/>
        <v>1.428103846</v>
      </c>
      <c r="AI10" s="426">
        <f t="shared" ref="AI10" si="12">AI7+AI8+AI9</f>
        <v>1.4518065919999998</v>
      </c>
    </row>
    <row r="11" spans="2:35" ht="15.5" thickBot="1">
      <c r="B11" s="729" t="s">
        <v>461</v>
      </c>
      <c r="C11" s="1102">
        <f>C10-C46-C56</f>
        <v>2.2601835020631844</v>
      </c>
      <c r="D11" s="441">
        <f t="shared" ref="D11:Z11" si="13">D10-D46-D56</f>
        <v>2.3269894666793722</v>
      </c>
      <c r="E11" s="441">
        <f t="shared" si="13"/>
        <v>2.2262192096728057</v>
      </c>
      <c r="F11" s="441">
        <f t="shared" si="13"/>
        <v>2.1085588571841871</v>
      </c>
      <c r="G11" s="441">
        <f t="shared" si="13"/>
        <v>2.092473840348851</v>
      </c>
      <c r="H11" s="441">
        <f t="shared" si="13"/>
        <v>2.103652464643941</v>
      </c>
      <c r="I11" s="441">
        <f t="shared" si="13"/>
        <v>1.7209673343795984</v>
      </c>
      <c r="J11" s="441">
        <f t="shared" si="13"/>
        <v>1.2539532356920566</v>
      </c>
      <c r="K11" s="441">
        <f t="shared" si="13"/>
        <v>1.1706352062367347</v>
      </c>
      <c r="L11" s="441">
        <f t="shared" si="13"/>
        <v>1.1778919344362082</v>
      </c>
      <c r="M11" s="441">
        <f t="shared" si="13"/>
        <v>0.80462307594293703</v>
      </c>
      <c r="N11" s="441">
        <f t="shared" si="13"/>
        <v>0.45974826949538999</v>
      </c>
      <c r="O11" s="441">
        <f t="shared" si="13"/>
        <v>0.83890015757074898</v>
      </c>
      <c r="P11" s="441">
        <f t="shared" si="13"/>
        <v>1.3235380540079069</v>
      </c>
      <c r="Q11" s="441">
        <f t="shared" si="13"/>
        <v>1.0831422990584423</v>
      </c>
      <c r="R11" s="441">
        <f t="shared" si="13"/>
        <v>1.0853203981811246</v>
      </c>
      <c r="S11" s="441">
        <f>S10-S46-S56</f>
        <v>0.96545902691332885</v>
      </c>
      <c r="T11" s="441">
        <f>T10-T46-T56</f>
        <v>0.87350457030170925</v>
      </c>
      <c r="U11" s="441">
        <f>U10-U46-U56</f>
        <v>0.88437843911608716</v>
      </c>
      <c r="V11" s="441">
        <f>V10-V46-V56</f>
        <v>0.91520769912085576</v>
      </c>
      <c r="W11" s="441">
        <f t="shared" si="13"/>
        <v>0.45184079999999971</v>
      </c>
      <c r="X11" s="441">
        <f t="shared" si="13"/>
        <v>0.46137242380952381</v>
      </c>
      <c r="Y11" s="441">
        <f t="shared" si="13"/>
        <v>0.50790487857142874</v>
      </c>
      <c r="Z11" s="441">
        <f t="shared" si="13"/>
        <v>0.40840533255999983</v>
      </c>
      <c r="AA11" s="441">
        <f t="shared" ref="AA11:AF11" si="14">AA10-AA46-AA56</f>
        <v>0.35318320000000009</v>
      </c>
      <c r="AB11" s="441">
        <f t="shared" si="14"/>
        <v>0.36106089999999991</v>
      </c>
      <c r="AC11" s="441">
        <f t="shared" si="14"/>
        <v>0.32675480000000001</v>
      </c>
      <c r="AD11" s="441">
        <f t="shared" si="14"/>
        <v>0.31036939999999985</v>
      </c>
      <c r="AE11" s="441">
        <f t="shared" si="14"/>
        <v>0.30455500000000008</v>
      </c>
      <c r="AF11" s="441">
        <f t="shared" si="14"/>
        <v>0.30426600000000009</v>
      </c>
      <c r="AG11" s="441">
        <f t="shared" ref="AG11:AH11" si="15">AG10-AG46-AG56</f>
        <v>0.27239219999999997</v>
      </c>
      <c r="AH11" s="441">
        <f t="shared" si="15"/>
        <v>0.17726269999999988</v>
      </c>
      <c r="AI11" s="441">
        <f t="shared" ref="AI11" si="16">AI10-AI46-AI56</f>
        <v>0.16432079999999999</v>
      </c>
    </row>
    <row r="13" spans="2:35" ht="15" thickBot="1"/>
    <row r="14" spans="2:35" ht="15.5" thickBot="1">
      <c r="B14" s="440" t="s">
        <v>462</v>
      </c>
      <c r="D14" s="234"/>
      <c r="W14" s="626"/>
      <c r="X14" s="626"/>
      <c r="Y14" s="626"/>
      <c r="Z14" s="626"/>
      <c r="AA14" s="626"/>
      <c r="AB14" s="626"/>
      <c r="AC14" s="626"/>
      <c r="AD14" s="626"/>
      <c r="AE14" s="626"/>
      <c r="AF14" s="626"/>
      <c r="AG14" s="626"/>
    </row>
    <row r="15" spans="2:35" ht="15.5" thickBot="1">
      <c r="B15" s="440" t="s">
        <v>463</v>
      </c>
      <c r="C15" s="345"/>
      <c r="E15" s="234"/>
    </row>
    <row r="16" spans="2:35" ht="15">
      <c r="B16" s="717"/>
      <c r="C16" s="709">
        <v>1990</v>
      </c>
      <c r="D16" s="232">
        <v>1991</v>
      </c>
      <c r="E16" s="232">
        <v>1992</v>
      </c>
      <c r="F16" s="232">
        <v>1993</v>
      </c>
      <c r="G16" s="232">
        <v>1994</v>
      </c>
      <c r="H16" s="232">
        <v>1995</v>
      </c>
      <c r="I16" s="232">
        <v>1996</v>
      </c>
      <c r="J16" s="232">
        <v>1997</v>
      </c>
      <c r="K16" s="232">
        <v>1998</v>
      </c>
      <c r="L16" s="231">
        <v>1999</v>
      </c>
      <c r="M16" s="231">
        <v>2000</v>
      </c>
      <c r="N16" s="231">
        <v>2001</v>
      </c>
      <c r="O16" s="231">
        <v>2002</v>
      </c>
      <c r="P16" s="231">
        <v>2003</v>
      </c>
      <c r="Q16" s="231">
        <v>2004</v>
      </c>
      <c r="R16" s="231">
        <v>2005</v>
      </c>
      <c r="S16" s="231">
        <v>2006</v>
      </c>
      <c r="T16" s="231">
        <v>2007</v>
      </c>
      <c r="U16" s="231">
        <v>2008</v>
      </c>
      <c r="V16" s="231">
        <v>2009</v>
      </c>
      <c r="W16" s="231">
        <v>2010</v>
      </c>
      <c r="X16" s="231">
        <v>2011</v>
      </c>
      <c r="Y16" s="231">
        <v>2012</v>
      </c>
      <c r="Z16" s="231">
        <v>2013</v>
      </c>
      <c r="AA16" s="231">
        <v>2014</v>
      </c>
      <c r="AB16" s="231">
        <v>2015</v>
      </c>
      <c r="AC16" s="231">
        <v>2016</v>
      </c>
      <c r="AD16" s="231">
        <v>2017</v>
      </c>
      <c r="AE16" s="231">
        <v>2018</v>
      </c>
      <c r="AF16" s="231">
        <v>2019</v>
      </c>
      <c r="AG16" s="231">
        <v>2020</v>
      </c>
      <c r="AH16" s="231">
        <v>2021</v>
      </c>
      <c r="AI16" s="231">
        <v>2022</v>
      </c>
    </row>
    <row r="17" spans="1:35" s="265" customFormat="1" ht="15.75" customHeight="1">
      <c r="B17" s="718" t="s">
        <v>464</v>
      </c>
      <c r="C17" s="710">
        <v>2702884.8493324271</v>
      </c>
      <c r="D17" s="427">
        <v>2777113.6989059681</v>
      </c>
      <c r="E17" s="427">
        <v>2793151.37067645</v>
      </c>
      <c r="F17" s="427">
        <v>2752777.5623213495</v>
      </c>
      <c r="G17" s="427">
        <v>2734905.3213931988</v>
      </c>
      <c r="H17" s="427">
        <v>2783394.6698507275</v>
      </c>
      <c r="I17" s="427">
        <v>2820104.5489855856</v>
      </c>
      <c r="J17" s="427">
        <v>2873969.2245111745</v>
      </c>
      <c r="K17" s="427">
        <v>2913519.3847074825</v>
      </c>
      <c r="L17" s="427">
        <v>2930600.2731830887</v>
      </c>
      <c r="M17" s="427">
        <v>2933065.7519365968</v>
      </c>
      <c r="N17" s="427">
        <v>2920326.761171462</v>
      </c>
      <c r="O17" s="427">
        <v>2905181.9278569492</v>
      </c>
      <c r="P17" s="427">
        <v>2895279.4847857053</v>
      </c>
      <c r="Q17" s="427">
        <v>2881116.7692259829</v>
      </c>
      <c r="R17" s="427">
        <v>2868090.4507908681</v>
      </c>
      <c r="S17" s="427">
        <v>2875912.3202607781</v>
      </c>
      <c r="T17" s="427">
        <v>2884008.5589462798</v>
      </c>
      <c r="U17" s="427">
        <v>2881328.0956932711</v>
      </c>
      <c r="V17" s="427">
        <v>2869455.6292376188</v>
      </c>
      <c r="W17" s="264"/>
      <c r="X17" s="266"/>
      <c r="Y17" s="266"/>
      <c r="Z17" s="266"/>
      <c r="AA17" s="266"/>
      <c r="AB17" s="266"/>
      <c r="AC17" s="266"/>
      <c r="AD17" s="266"/>
      <c r="AE17" s="266"/>
      <c r="AF17" s="266"/>
      <c r="AG17" s="266"/>
      <c r="AH17" s="266"/>
      <c r="AI17" s="266"/>
    </row>
    <row r="18" spans="1:35" ht="15">
      <c r="A18" s="115"/>
      <c r="B18" s="719" t="s">
        <v>465</v>
      </c>
      <c r="C18" s="711">
        <v>2702884.8493324271</v>
      </c>
      <c r="D18" s="118">
        <v>2777113.6989059681</v>
      </c>
      <c r="E18" s="118">
        <v>2793151.37067645</v>
      </c>
      <c r="F18" s="118">
        <v>2752777.5623213495</v>
      </c>
      <c r="G18" s="118">
        <v>2734905.3213931988</v>
      </c>
      <c r="H18" s="118">
        <v>2783394.6698507275</v>
      </c>
      <c r="I18" s="118">
        <v>2820104.5489855856</v>
      </c>
      <c r="J18" s="118">
        <v>2873969.2245111745</v>
      </c>
      <c r="K18" s="118">
        <v>2913519.3847074825</v>
      </c>
      <c r="L18" s="118">
        <v>2930600.2731830887</v>
      </c>
      <c r="M18" s="118">
        <v>2933065.7519365968</v>
      </c>
      <c r="N18" s="118">
        <v>2920326.761171462</v>
      </c>
      <c r="O18" s="118">
        <v>2905181.9278569492</v>
      </c>
      <c r="P18" s="118">
        <v>2895279.4847857053</v>
      </c>
      <c r="Q18" s="118">
        <v>2881116.7692259829</v>
      </c>
      <c r="R18" s="118">
        <v>2868090.4507908681</v>
      </c>
      <c r="S18" s="118">
        <v>2875912.3202607781</v>
      </c>
      <c r="T18" s="118">
        <v>2884008.5589462798</v>
      </c>
      <c r="U18" s="118">
        <v>2881328.0956932711</v>
      </c>
      <c r="V18" s="118">
        <v>2869455.6292376188</v>
      </c>
      <c r="W18" s="118">
        <v>449850</v>
      </c>
      <c r="X18" s="118">
        <v>460384.52380952385</v>
      </c>
      <c r="Y18" s="118">
        <v>506594.17857142852</v>
      </c>
      <c r="Z18" s="118">
        <v>406890</v>
      </c>
      <c r="AA18" s="118">
        <v>350804</v>
      </c>
      <c r="AB18" s="118">
        <v>360936</v>
      </c>
      <c r="AC18" s="118">
        <v>326596.8</v>
      </c>
      <c r="AD18" s="118">
        <v>310218</v>
      </c>
      <c r="AE18" s="118">
        <v>304408</v>
      </c>
      <c r="AF18" s="118">
        <v>304132</v>
      </c>
      <c r="AG18" s="118">
        <v>272247</v>
      </c>
      <c r="AH18" s="118">
        <v>177118</v>
      </c>
      <c r="AI18" s="118">
        <v>164185</v>
      </c>
    </row>
    <row r="19" spans="1:35" ht="15">
      <c r="A19" s="115"/>
      <c r="B19" s="719" t="s">
        <v>466</v>
      </c>
      <c r="C19" s="711">
        <v>0</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736"/>
      <c r="X19" s="734"/>
      <c r="Y19" s="734"/>
      <c r="Z19" s="734"/>
      <c r="AA19" s="734"/>
      <c r="AB19" s="734"/>
      <c r="AC19" s="734"/>
      <c r="AD19" s="734"/>
      <c r="AE19" s="734"/>
      <c r="AF19" s="734"/>
      <c r="AG19" s="734"/>
      <c r="AH19" s="734"/>
      <c r="AI19" s="734"/>
    </row>
    <row r="20" spans="1:35" ht="15">
      <c r="A20" s="115"/>
      <c r="B20" s="720" t="s">
        <v>467</v>
      </c>
      <c r="C20" s="712">
        <v>-191569.84704000002</v>
      </c>
      <c r="D20" s="428">
        <v>-191569.84704000002</v>
      </c>
      <c r="E20" s="428">
        <v>-319574.47103999992</v>
      </c>
      <c r="F20" s="428">
        <v>-409934.38767225284</v>
      </c>
      <c r="G20" s="428">
        <v>-409934.38767225284</v>
      </c>
      <c r="H20" s="428">
        <v>-446003.04246857134</v>
      </c>
      <c r="I20" s="428">
        <v>-907918.62189714285</v>
      </c>
      <c r="J20" s="428">
        <v>-1480687.85152</v>
      </c>
      <c r="K20" s="428">
        <v>-1612813.5999999999</v>
      </c>
      <c r="L20" s="428">
        <v>-1621831.4571428571</v>
      </c>
      <c r="M20" s="428">
        <v>-2039040.112</v>
      </c>
      <c r="N20" s="428">
        <v>-2409495.3506210283</v>
      </c>
      <c r="O20" s="428">
        <v>-1973070.6416672282</v>
      </c>
      <c r="P20" s="428">
        <v>-1424681.6469991426</v>
      </c>
      <c r="Q20" s="428">
        <v>-1677625.3258277145</v>
      </c>
      <c r="R20" s="428">
        <v>-1662178.8972562859</v>
      </c>
      <c r="S20" s="428">
        <v>-1803180.0681348569</v>
      </c>
      <c r="T20" s="428">
        <v>-1913447.9252777144</v>
      </c>
      <c r="U20" s="428">
        <v>-1898685.3855642853</v>
      </c>
      <c r="V20" s="428">
        <v>-1852558.1857700003</v>
      </c>
      <c r="W20" s="264" t="s">
        <v>468</v>
      </c>
      <c r="X20" s="263"/>
      <c r="Y20" s="263"/>
      <c r="Z20" s="263"/>
      <c r="AA20" s="263"/>
      <c r="AB20" s="263"/>
      <c r="AC20" s="263"/>
      <c r="AD20" s="263"/>
      <c r="AE20" s="263"/>
      <c r="AF20" s="263"/>
      <c r="AG20" s="263"/>
      <c r="AH20" s="263"/>
      <c r="AI20" s="263"/>
    </row>
    <row r="21" spans="1:35" ht="15" customHeight="1">
      <c r="A21" s="119"/>
      <c r="B21" s="719" t="s">
        <v>469</v>
      </c>
      <c r="C21" s="711">
        <v>-191569.84704000002</v>
      </c>
      <c r="D21" s="118">
        <v>-191569.84704000002</v>
      </c>
      <c r="E21" s="118">
        <v>-319574.47103999992</v>
      </c>
      <c r="F21" s="118">
        <v>-319574.47103999992</v>
      </c>
      <c r="G21" s="118">
        <v>-319574.47103999992</v>
      </c>
      <c r="H21" s="118">
        <v>-319574.47103999992</v>
      </c>
      <c r="I21" s="118">
        <v>-466311.47904000001</v>
      </c>
      <c r="J21" s="118">
        <v>-531312.85152000014</v>
      </c>
      <c r="K21" s="118">
        <v>-663438.6</v>
      </c>
      <c r="L21" s="118">
        <v>-663438.6</v>
      </c>
      <c r="M21" s="118">
        <v>-688415.11199999996</v>
      </c>
      <c r="N21" s="118">
        <v>-986548.92204959982</v>
      </c>
      <c r="O21" s="118">
        <v>-550124.2130957999</v>
      </c>
      <c r="P21" s="118">
        <v>-113699.50414200001</v>
      </c>
      <c r="Q21" s="118">
        <v>-145214.611542</v>
      </c>
      <c r="R21" s="118">
        <v>-145214.611542</v>
      </c>
      <c r="S21" s="118">
        <v>-296662.21099200001</v>
      </c>
      <c r="T21" s="118">
        <v>-296662.21099200001</v>
      </c>
      <c r="U21" s="118">
        <v>-200471.09985</v>
      </c>
      <c r="V21" s="118">
        <v>-225683.18577000001</v>
      </c>
      <c r="W21" s="261" t="s">
        <v>470</v>
      </c>
      <c r="X21" s="261"/>
      <c r="Y21" s="261"/>
      <c r="Z21" s="261"/>
      <c r="AA21" s="261"/>
      <c r="AB21" s="1770" t="s">
        <v>901</v>
      </c>
      <c r="AC21" s="1771"/>
      <c r="AD21" s="1771"/>
      <c r="AE21" s="1771"/>
      <c r="AF21" s="1771"/>
      <c r="AG21" s="1771"/>
      <c r="AH21" s="1771"/>
      <c r="AI21" s="1771"/>
    </row>
    <row r="22" spans="1:35" ht="15">
      <c r="A22" s="115"/>
      <c r="B22" s="721" t="s">
        <v>471</v>
      </c>
      <c r="C22" s="713">
        <v>0</v>
      </c>
      <c r="D22" s="120">
        <v>0</v>
      </c>
      <c r="E22" s="120">
        <v>0</v>
      </c>
      <c r="F22" s="120">
        <v>-90359.916632252949</v>
      </c>
      <c r="G22" s="120">
        <v>-90359.916632252949</v>
      </c>
      <c r="H22" s="120">
        <v>-126428.57142857142</v>
      </c>
      <c r="I22" s="120">
        <v>-441607.14285714284</v>
      </c>
      <c r="J22" s="120">
        <v>-949374.99999999977</v>
      </c>
      <c r="K22" s="120">
        <v>-949374.99999999977</v>
      </c>
      <c r="L22" s="120">
        <v>-958392.85714285704</v>
      </c>
      <c r="M22" s="120">
        <v>-1350625</v>
      </c>
      <c r="N22" s="120">
        <v>-1422946.4285714284</v>
      </c>
      <c r="O22" s="120">
        <v>-1422946.4285714284</v>
      </c>
      <c r="P22" s="120">
        <v>-1310982.1428571427</v>
      </c>
      <c r="Q22" s="120">
        <v>-1532410.7142857143</v>
      </c>
      <c r="R22" s="120">
        <v>-1516964.2857142857</v>
      </c>
      <c r="S22" s="120">
        <v>-1506517.8571428568</v>
      </c>
      <c r="T22" s="120">
        <v>-1616785.7142857143</v>
      </c>
      <c r="U22" s="120">
        <v>-1698214.2857142854</v>
      </c>
      <c r="V22" s="120">
        <v>-1626875.0000000002</v>
      </c>
      <c r="W22" s="261" t="s">
        <v>472</v>
      </c>
      <c r="X22" s="261"/>
      <c r="Y22" s="261"/>
      <c r="Z22" s="261"/>
      <c r="AA22" s="261"/>
      <c r="AB22" s="1770"/>
      <c r="AC22" s="1771"/>
      <c r="AD22" s="1771"/>
      <c r="AE22" s="1771"/>
      <c r="AF22" s="1771"/>
      <c r="AG22" s="1771"/>
      <c r="AH22" s="1771"/>
      <c r="AI22" s="1771"/>
    </row>
    <row r="23" spans="1:35" ht="15">
      <c r="A23" s="115"/>
      <c r="B23" s="722" t="s">
        <v>473</v>
      </c>
      <c r="C23" s="714">
        <v>251131.50022924267</v>
      </c>
      <c r="D23" s="429">
        <v>258554.38518659677</v>
      </c>
      <c r="E23" s="429">
        <v>247357.68996364498</v>
      </c>
      <c r="F23" s="429">
        <v>234284.3174649096</v>
      </c>
      <c r="G23" s="429">
        <v>232497.09337209453</v>
      </c>
      <c r="H23" s="429">
        <v>233739.16273821559</v>
      </c>
      <c r="I23" s="429">
        <v>191218.59270884423</v>
      </c>
      <c r="J23" s="429">
        <v>139328.13729911743</v>
      </c>
      <c r="K23" s="429">
        <v>130070.57847074824</v>
      </c>
      <c r="L23" s="429">
        <v>130876.88160402313</v>
      </c>
      <c r="M23" s="429">
        <v>89402.563993659671</v>
      </c>
      <c r="N23" s="429">
        <v>51083.141055043357</v>
      </c>
      <c r="O23" s="429">
        <v>93211.12861897207</v>
      </c>
      <c r="P23" s="429">
        <v>147059.78377865624</v>
      </c>
      <c r="Q23" s="429">
        <v>120349.14433982682</v>
      </c>
      <c r="R23" s="429">
        <v>120591.15535345821</v>
      </c>
      <c r="S23" s="429">
        <v>107273.22521259209</v>
      </c>
      <c r="T23" s="429">
        <v>97056.063366856528</v>
      </c>
      <c r="U23" s="429">
        <v>98264.271012898564</v>
      </c>
      <c r="V23" s="429">
        <v>101689.74434676181</v>
      </c>
      <c r="W23" s="654" t="s">
        <v>474</v>
      </c>
      <c r="X23" s="267"/>
      <c r="Y23" s="267"/>
      <c r="Z23" s="267"/>
      <c r="AA23" s="267"/>
      <c r="AB23" s="1519">
        <f>AB25*0.111</f>
        <v>40063.896000000001</v>
      </c>
      <c r="AC23" s="1520">
        <f t="shared" ref="AC23:AH23" si="17">AC25*0.111</f>
        <v>36252.2448</v>
      </c>
      <c r="AD23" s="1520">
        <f t="shared" si="17"/>
        <v>34434.198000000004</v>
      </c>
      <c r="AE23" s="1520">
        <f t="shared" si="17"/>
        <v>33789.288</v>
      </c>
      <c r="AF23" s="1520">
        <f t="shared" si="17"/>
        <v>33758.652000000002</v>
      </c>
      <c r="AG23" s="1520">
        <f t="shared" si="17"/>
        <v>30219.417000000001</v>
      </c>
      <c r="AH23" s="1520">
        <f t="shared" si="17"/>
        <v>19660.098000000002</v>
      </c>
      <c r="AI23" s="1520">
        <f t="shared" ref="AI23" si="18">AI25*0.111</f>
        <v>18224.535</v>
      </c>
    </row>
    <row r="24" spans="1:35" ht="15.75" customHeight="1">
      <c r="A24" s="115"/>
      <c r="B24" s="722" t="s">
        <v>475</v>
      </c>
      <c r="C24" s="715">
        <v>0</v>
      </c>
      <c r="D24" s="430">
        <v>0</v>
      </c>
      <c r="E24" s="430">
        <v>0</v>
      </c>
      <c r="F24" s="430">
        <v>0</v>
      </c>
      <c r="G24" s="430">
        <v>0</v>
      </c>
      <c r="H24" s="430">
        <v>0</v>
      </c>
      <c r="I24" s="430">
        <v>0</v>
      </c>
      <c r="J24" s="430">
        <v>0</v>
      </c>
      <c r="K24" s="430">
        <v>0</v>
      </c>
      <c r="L24" s="430">
        <v>0</v>
      </c>
      <c r="M24" s="430">
        <v>0</v>
      </c>
      <c r="N24" s="430">
        <v>0</v>
      </c>
      <c r="O24" s="430">
        <v>0</v>
      </c>
      <c r="P24" s="430">
        <v>0</v>
      </c>
      <c r="Q24" s="430">
        <v>0</v>
      </c>
      <c r="R24" s="430">
        <v>0</v>
      </c>
      <c r="S24" s="430">
        <v>0</v>
      </c>
      <c r="T24" s="430">
        <v>0</v>
      </c>
      <c r="U24" s="430">
        <v>0</v>
      </c>
      <c r="V24" s="430">
        <v>0</v>
      </c>
      <c r="W24" s="737"/>
      <c r="X24" s="735"/>
      <c r="Y24" s="735"/>
      <c r="Z24" s="735"/>
      <c r="AA24" s="735"/>
      <c r="AB24" s="735"/>
      <c r="AC24" s="735"/>
      <c r="AD24" s="735"/>
      <c r="AE24" s="735"/>
      <c r="AF24" s="735"/>
      <c r="AG24" s="735"/>
      <c r="AH24" s="735"/>
      <c r="AI24" s="735"/>
    </row>
    <row r="25" spans="1:35" ht="15.5" thickBot="1">
      <c r="A25" s="115"/>
      <c r="B25" s="723" t="s">
        <v>476</v>
      </c>
      <c r="C25" s="716">
        <v>2260183.5020631845</v>
      </c>
      <c r="D25" s="439">
        <v>2326989.4666793714</v>
      </c>
      <c r="E25" s="439">
        <v>2226219.2096728054</v>
      </c>
      <c r="F25" s="439">
        <v>2108558.857184187</v>
      </c>
      <c r="G25" s="439">
        <v>2092473.8403488514</v>
      </c>
      <c r="H25" s="439">
        <v>2103652.4646439408</v>
      </c>
      <c r="I25" s="439">
        <v>1720967.3343795985</v>
      </c>
      <c r="J25" s="439">
        <v>1253953.2356920571</v>
      </c>
      <c r="K25" s="439">
        <v>1170635.2062367345</v>
      </c>
      <c r="L25" s="439">
        <v>1177891.9344362086</v>
      </c>
      <c r="M25" s="439">
        <v>804623.07594293717</v>
      </c>
      <c r="N25" s="439">
        <v>459748.2694953903</v>
      </c>
      <c r="O25" s="439">
        <v>838900.15757074894</v>
      </c>
      <c r="P25" s="439">
        <v>1323538.0540079065</v>
      </c>
      <c r="Q25" s="439">
        <v>1083142.2990584415</v>
      </c>
      <c r="R25" s="439">
        <v>1085320.3981811241</v>
      </c>
      <c r="S25" s="439">
        <v>965459.02691332914</v>
      </c>
      <c r="T25" s="439">
        <v>873504.57030170888</v>
      </c>
      <c r="U25" s="439">
        <v>884378.43911608728</v>
      </c>
      <c r="V25" s="439">
        <v>915207.69912085659</v>
      </c>
      <c r="W25" s="439">
        <f t="shared" ref="W25:AB25" si="19">W18</f>
        <v>449850</v>
      </c>
      <c r="X25" s="439">
        <f t="shared" si="19"/>
        <v>460384.52380952385</v>
      </c>
      <c r="Y25" s="439">
        <f t="shared" si="19"/>
        <v>506594.17857142852</v>
      </c>
      <c r="Z25" s="439">
        <f t="shared" si="19"/>
        <v>406890</v>
      </c>
      <c r="AA25" s="439">
        <f t="shared" si="19"/>
        <v>350804</v>
      </c>
      <c r="AB25" s="439">
        <f t="shared" si="19"/>
        <v>360936</v>
      </c>
      <c r="AC25" s="439">
        <f t="shared" ref="AC25:AH25" si="20">AC18</f>
        <v>326596.8</v>
      </c>
      <c r="AD25" s="439">
        <f t="shared" si="20"/>
        <v>310218</v>
      </c>
      <c r="AE25" s="439">
        <f t="shared" si="20"/>
        <v>304408</v>
      </c>
      <c r="AF25" s="439">
        <f t="shared" si="20"/>
        <v>304132</v>
      </c>
      <c r="AG25" s="439">
        <f t="shared" si="20"/>
        <v>272247</v>
      </c>
      <c r="AH25" s="439">
        <f t="shared" si="20"/>
        <v>177118</v>
      </c>
      <c r="AI25" s="439">
        <f t="shared" ref="AI25" si="21">AI18</f>
        <v>164185</v>
      </c>
    </row>
    <row r="26" spans="1:35">
      <c r="A26" s="115"/>
      <c r="B26" s="115"/>
      <c r="C26" s="1372"/>
      <c r="D26" s="115"/>
      <c r="E26" s="115"/>
      <c r="F26" s="115"/>
      <c r="G26" s="115"/>
      <c r="H26" s="115"/>
      <c r="I26" s="115"/>
      <c r="J26" s="115"/>
      <c r="K26" s="115"/>
      <c r="L26" s="115"/>
      <c r="M26" s="115"/>
      <c r="N26" s="115"/>
      <c r="O26" s="115"/>
      <c r="P26" s="115"/>
      <c r="Q26" s="115"/>
      <c r="R26" s="115"/>
      <c r="S26" s="115"/>
      <c r="T26" s="115"/>
      <c r="U26" s="115"/>
      <c r="V26" s="1372"/>
      <c r="W26" s="115"/>
      <c r="X26" s="115"/>
      <c r="Y26" s="115"/>
      <c r="Z26" s="115"/>
      <c r="AA26" s="115"/>
      <c r="AB26" s="115"/>
      <c r="AC26" s="115"/>
      <c r="AD26" s="115"/>
    </row>
    <row r="27" spans="1:35" ht="15.5" thickBot="1">
      <c r="A27" s="115"/>
      <c r="B27" s="518" t="s">
        <v>477</v>
      </c>
      <c r="C27" s="1373"/>
      <c r="D27" s="1373"/>
      <c r="E27" s="1373"/>
      <c r="F27" s="1373"/>
      <c r="G27" s="1373"/>
      <c r="H27" s="1373"/>
      <c r="I27" s="1373"/>
      <c r="J27" s="1373"/>
      <c r="K27" s="1373"/>
      <c r="L27" s="1372"/>
      <c r="M27" s="1372"/>
      <c r="N27" s="1372"/>
      <c r="O27" s="1372"/>
      <c r="P27" s="1372"/>
      <c r="Q27" s="1372"/>
      <c r="R27" s="1372"/>
      <c r="S27" s="1372"/>
      <c r="T27" s="1372"/>
      <c r="U27" s="1372"/>
      <c r="V27" s="1372"/>
      <c r="W27" s="653" t="s">
        <v>478</v>
      </c>
      <c r="X27" s="1372"/>
      <c r="Y27" s="1372"/>
      <c r="Z27" s="256"/>
      <c r="AA27" s="256"/>
      <c r="AB27" s="1515" t="s">
        <v>902</v>
      </c>
      <c r="AC27" s="1516"/>
      <c r="AD27" s="1516"/>
      <c r="AE27" s="1516"/>
      <c r="AF27" s="1516"/>
      <c r="AG27" s="1516"/>
      <c r="AH27" s="1516"/>
      <c r="AI27" s="1516"/>
    </row>
    <row r="28" spans="1:35" ht="15">
      <c r="B28" s="121" t="s">
        <v>479</v>
      </c>
      <c r="C28" s="702">
        <v>1990</v>
      </c>
      <c r="D28" s="233">
        <v>1991</v>
      </c>
      <c r="E28" s="233">
        <v>1992</v>
      </c>
      <c r="F28" s="233">
        <v>1993</v>
      </c>
      <c r="G28" s="233">
        <v>1994</v>
      </c>
      <c r="H28" s="233">
        <v>1995</v>
      </c>
      <c r="I28" s="233">
        <v>1996</v>
      </c>
      <c r="J28" s="233">
        <v>1997</v>
      </c>
      <c r="K28" s="233">
        <v>1998</v>
      </c>
      <c r="L28" s="232">
        <v>1999</v>
      </c>
      <c r="M28" s="232">
        <v>2000</v>
      </c>
      <c r="N28" s="232">
        <v>2001</v>
      </c>
      <c r="O28" s="232">
        <v>2002</v>
      </c>
      <c r="P28" s="232">
        <v>2003</v>
      </c>
      <c r="Q28" s="232">
        <v>2004</v>
      </c>
      <c r="R28" s="232">
        <v>2005</v>
      </c>
      <c r="S28" s="232">
        <v>2006</v>
      </c>
      <c r="T28" s="232">
        <v>2007</v>
      </c>
      <c r="U28" s="232">
        <v>2008</v>
      </c>
      <c r="V28" s="232">
        <v>2009</v>
      </c>
      <c r="W28" s="232">
        <v>2010</v>
      </c>
      <c r="X28" s="232">
        <v>2011</v>
      </c>
      <c r="Y28" s="232">
        <v>2012</v>
      </c>
      <c r="Z28" s="232">
        <v>2013</v>
      </c>
      <c r="AA28" s="232">
        <v>2014</v>
      </c>
      <c r="AB28" s="232">
        <v>2015</v>
      </c>
      <c r="AC28" s="232">
        <v>2016</v>
      </c>
      <c r="AD28" s="232">
        <v>2017</v>
      </c>
      <c r="AE28" s="232">
        <v>2018</v>
      </c>
      <c r="AF28" s="232">
        <v>2019</v>
      </c>
      <c r="AG28" s="232">
        <v>2020</v>
      </c>
      <c r="AH28" s="232">
        <v>2021</v>
      </c>
      <c r="AI28" s="232">
        <v>2022</v>
      </c>
    </row>
    <row r="29" spans="1:35" ht="15">
      <c r="B29" s="4" t="s">
        <v>480</v>
      </c>
      <c r="C29" s="1506">
        <f t="shared" ref="C29:V29" si="22">SUM(C30:C31)</f>
        <v>0.25113150022924269</v>
      </c>
      <c r="D29" s="432">
        <f t="shared" si="22"/>
        <v>0.25855438518659679</v>
      </c>
      <c r="E29" s="432">
        <f t="shared" si="22"/>
        <v>0.24735768996364499</v>
      </c>
      <c r="F29" s="432">
        <f t="shared" si="22"/>
        <v>0.2342843174649096</v>
      </c>
      <c r="G29" s="432">
        <f t="shared" si="22"/>
        <v>0.23249709337209454</v>
      </c>
      <c r="H29" s="432">
        <f t="shared" si="22"/>
        <v>0.23373916273821557</v>
      </c>
      <c r="I29" s="432">
        <f t="shared" si="22"/>
        <v>0.19121859270884423</v>
      </c>
      <c r="J29" s="432">
        <f t="shared" si="22"/>
        <v>0.13932813729911742</v>
      </c>
      <c r="K29" s="432">
        <f t="shared" si="22"/>
        <v>0.13007057847074824</v>
      </c>
      <c r="L29" s="432">
        <f t="shared" si="22"/>
        <v>0.13087688160402314</v>
      </c>
      <c r="M29" s="432">
        <f t="shared" si="22"/>
        <v>8.9402563993659673E-2</v>
      </c>
      <c r="N29" s="432">
        <f t="shared" si="22"/>
        <v>5.1083141055043357E-2</v>
      </c>
      <c r="O29" s="432">
        <f t="shared" si="22"/>
        <v>9.3211128618972072E-2</v>
      </c>
      <c r="P29" s="432">
        <f t="shared" si="22"/>
        <v>0.14705978377865625</v>
      </c>
      <c r="Q29" s="432">
        <f t="shared" si="22"/>
        <v>0.12034914433982681</v>
      </c>
      <c r="R29" s="432">
        <f t="shared" si="22"/>
        <v>0.1205911553534582</v>
      </c>
      <c r="S29" s="432">
        <f t="shared" si="22"/>
        <v>0.1072732252125921</v>
      </c>
      <c r="T29" s="432">
        <f t="shared" si="22"/>
        <v>9.7056063366856529E-2</v>
      </c>
      <c r="U29" s="432">
        <f t="shared" si="22"/>
        <v>9.8264271012898557E-2</v>
      </c>
      <c r="V29" s="432">
        <f t="shared" si="22"/>
        <v>0.10168974434676181</v>
      </c>
      <c r="W29" s="432">
        <f>SUM(W30:W31)</f>
        <v>0.22451710000000002</v>
      </c>
      <c r="X29" s="432">
        <f>SUM(X30:X31)</f>
        <v>0.16276789999999999</v>
      </c>
      <c r="Y29" s="432">
        <f>SUM(Y30:Y31)</f>
        <v>0.15315260000000003</v>
      </c>
      <c r="Z29" s="432">
        <f>SUM(Z30:Z31)</f>
        <v>0.17616390670999998</v>
      </c>
      <c r="AA29" s="432">
        <f>SUM(AA30:AA31)</f>
        <v>0.158051</v>
      </c>
      <c r="AB29" s="824">
        <f t="shared" ref="AB29:AD29" si="23">SUM(AB30:AB31)</f>
        <v>6.4381696000000002E-2</v>
      </c>
      <c r="AC29" s="824">
        <f t="shared" si="23"/>
        <v>6.7062344800000007E-2</v>
      </c>
      <c r="AD29" s="824">
        <f t="shared" si="23"/>
        <v>6.3933198000000011E-2</v>
      </c>
      <c r="AE29" s="824">
        <f t="shared" ref="AE29:AF29" si="24">SUM(AE30:AE31)</f>
        <v>6.2446288000000003E-2</v>
      </c>
      <c r="AF29" s="824">
        <f t="shared" si="24"/>
        <v>5.9906652000000005E-2</v>
      </c>
      <c r="AG29" s="824">
        <f t="shared" ref="AG29:AI29" si="25">SUM(AG30:AG31)</f>
        <v>5.8453516999999997E-2</v>
      </c>
      <c r="AH29" s="824">
        <f t="shared" si="25"/>
        <v>4.7805897999999999E-2</v>
      </c>
      <c r="AI29" s="824">
        <f t="shared" si="25"/>
        <v>4.4648035000000003E-2</v>
      </c>
    </row>
    <row r="30" spans="1:35" ht="15">
      <c r="A30" s="115"/>
      <c r="B30" s="94" t="s">
        <v>481</v>
      </c>
      <c r="C30" s="1505">
        <f>C23/1000000</f>
        <v>0.25113150022924269</v>
      </c>
      <c r="D30" s="1504">
        <f>D23/1000000</f>
        <v>0.25855438518659679</v>
      </c>
      <c r="E30" s="1504">
        <f>E23/1000000</f>
        <v>0.24735768996364499</v>
      </c>
      <c r="F30" s="1504">
        <f t="shared" ref="F30:V30" si="26">F23/1000000</f>
        <v>0.2342843174649096</v>
      </c>
      <c r="G30" s="1504">
        <f t="shared" si="26"/>
        <v>0.23249709337209454</v>
      </c>
      <c r="H30" s="1504">
        <f t="shared" si="26"/>
        <v>0.23373916273821557</v>
      </c>
      <c r="I30" s="1504">
        <f t="shared" si="26"/>
        <v>0.19121859270884423</v>
      </c>
      <c r="J30" s="1504">
        <f t="shared" si="26"/>
        <v>0.13932813729911742</v>
      </c>
      <c r="K30" s="1504">
        <f t="shared" si="26"/>
        <v>0.13007057847074824</v>
      </c>
      <c r="L30" s="1504">
        <f t="shared" si="26"/>
        <v>0.13087688160402314</v>
      </c>
      <c r="M30" s="1504">
        <f t="shared" si="26"/>
        <v>8.9402563993659673E-2</v>
      </c>
      <c r="N30" s="1504">
        <f t="shared" si="26"/>
        <v>5.1083141055043357E-2</v>
      </c>
      <c r="O30" s="1504">
        <f t="shared" si="26"/>
        <v>9.3211128618972072E-2</v>
      </c>
      <c r="P30" s="1504">
        <f t="shared" si="26"/>
        <v>0.14705978377865625</v>
      </c>
      <c r="Q30" s="1504">
        <f t="shared" si="26"/>
        <v>0.12034914433982681</v>
      </c>
      <c r="R30" s="1504">
        <f t="shared" si="26"/>
        <v>0.1205911553534582</v>
      </c>
      <c r="S30" s="1504">
        <f t="shared" si="26"/>
        <v>0.1072732252125921</v>
      </c>
      <c r="T30" s="1504">
        <f t="shared" si="26"/>
        <v>9.7056063366856529E-2</v>
      </c>
      <c r="U30" s="1504">
        <f t="shared" si="26"/>
        <v>9.8264271012898557E-2</v>
      </c>
      <c r="V30" s="1504">
        <f t="shared" si="26"/>
        <v>0.10168974434676181</v>
      </c>
      <c r="W30" s="433">
        <f>99247.6/1000000</f>
        <v>9.9247600000000005E-2</v>
      </c>
      <c r="X30" s="433">
        <f>48098/1000000</f>
        <v>4.8098000000000002E-2</v>
      </c>
      <c r="Y30" s="433">
        <f>48571/1000000</f>
        <v>4.8571000000000003E-2</v>
      </c>
      <c r="Z30" s="433">
        <f>64255.3718/1000000</f>
        <v>6.4255371800000002E-2</v>
      </c>
      <c r="AA30" s="433">
        <f>68777.6/1000000</f>
        <v>6.8777600000000008E-2</v>
      </c>
      <c r="AB30" s="1517">
        <f>AB23/1000000</f>
        <v>4.0063896000000002E-2</v>
      </c>
      <c r="AC30" s="1517">
        <f t="shared" ref="AC30:AI30" si="27">AC23/1000000</f>
        <v>3.62522448E-2</v>
      </c>
      <c r="AD30" s="1517">
        <f t="shared" si="27"/>
        <v>3.4434198000000006E-2</v>
      </c>
      <c r="AE30" s="1517">
        <f t="shared" si="27"/>
        <v>3.3789288000000001E-2</v>
      </c>
      <c r="AF30" s="1517">
        <f t="shared" si="27"/>
        <v>3.3758652E-2</v>
      </c>
      <c r="AG30" s="1517">
        <f t="shared" si="27"/>
        <v>3.0219417000000002E-2</v>
      </c>
      <c r="AH30" s="1517">
        <f t="shared" si="27"/>
        <v>1.9660098000000001E-2</v>
      </c>
      <c r="AI30" s="1517">
        <f t="shared" si="27"/>
        <v>1.8224535E-2</v>
      </c>
    </row>
    <row r="31" spans="1:35" ht="15">
      <c r="A31" s="115"/>
      <c r="B31" s="434" t="s">
        <v>482</v>
      </c>
      <c r="C31" s="708"/>
      <c r="D31" s="260"/>
      <c r="E31" s="260"/>
      <c r="F31" s="260"/>
      <c r="G31" s="260"/>
      <c r="H31" s="260"/>
      <c r="I31" s="260"/>
      <c r="J31" s="260"/>
      <c r="K31" s="260"/>
      <c r="L31" s="260"/>
      <c r="M31" s="260"/>
      <c r="N31" s="260"/>
      <c r="O31" s="260"/>
      <c r="P31" s="260"/>
      <c r="Q31" s="260"/>
      <c r="R31" s="435"/>
      <c r="S31" s="435"/>
      <c r="T31" s="435"/>
      <c r="U31" s="435"/>
      <c r="V31" s="435"/>
      <c r="W31" s="435">
        <f>125269.5/1000000</f>
        <v>0.12526950000000001</v>
      </c>
      <c r="X31" s="435">
        <f>114669.9/1000000</f>
        <v>0.11466989999999999</v>
      </c>
      <c r="Y31" s="435">
        <f>104581.6/1000000</f>
        <v>0.10458160000000001</v>
      </c>
      <c r="Z31" s="435">
        <f>111908.53491/1000000</f>
        <v>0.11190853491</v>
      </c>
      <c r="AA31" s="435">
        <f>89273.4/1000000</f>
        <v>8.9273399999999989E-2</v>
      </c>
      <c r="AB31" s="825">
        <f>24317.8/1000000</f>
        <v>2.4317800000000001E-2</v>
      </c>
      <c r="AC31" s="825">
        <f>30810.1/1000000</f>
        <v>3.08101E-2</v>
      </c>
      <c r="AD31" s="825">
        <f>29499/1000000</f>
        <v>2.9499000000000001E-2</v>
      </c>
      <c r="AE31" s="825">
        <f>28657/1000000</f>
        <v>2.8656999999999998E-2</v>
      </c>
      <c r="AF31" s="1100">
        <f>26148/1000000</f>
        <v>2.6148000000000001E-2</v>
      </c>
      <c r="AG31" s="1100">
        <v>2.8234099999999998E-2</v>
      </c>
      <c r="AH31" s="1100">
        <v>2.8145799999999999E-2</v>
      </c>
      <c r="AI31" s="1100">
        <v>2.6423499999999999E-2</v>
      </c>
    </row>
    <row r="32" spans="1:35" ht="15">
      <c r="A32" s="115"/>
      <c r="B32" s="121" t="s">
        <v>483</v>
      </c>
      <c r="C32" s="704"/>
      <c r="D32" s="436"/>
      <c r="E32" s="436"/>
      <c r="F32" s="436"/>
      <c r="G32" s="436"/>
      <c r="H32" s="436"/>
      <c r="I32" s="436"/>
      <c r="J32" s="436"/>
      <c r="K32" s="436"/>
      <c r="L32" s="436"/>
      <c r="M32" s="436"/>
      <c r="N32" s="436"/>
      <c r="O32" s="436"/>
      <c r="P32" s="436"/>
      <c r="Q32" s="436"/>
      <c r="R32" s="437"/>
      <c r="S32" s="437"/>
      <c r="T32" s="437"/>
      <c r="U32" s="437"/>
      <c r="V32" s="437"/>
      <c r="W32" s="1510">
        <f>1844.5/1000000</f>
        <v>1.8445E-3</v>
      </c>
      <c r="X32" s="1510">
        <f>287.8/1000000</f>
        <v>2.878E-4</v>
      </c>
      <c r="Y32" s="1510">
        <f>365.8/1000000</f>
        <v>3.658E-4</v>
      </c>
      <c r="Z32" s="1510">
        <f>367.20938/1000000</f>
        <v>3.6720938000000001E-4</v>
      </c>
      <c r="AA32" s="1510">
        <f>329.3/1000000</f>
        <v>3.2930000000000004E-4</v>
      </c>
      <c r="AB32" s="1508">
        <f>87.6/1000000</f>
        <v>8.7599999999999988E-5</v>
      </c>
      <c r="AC32" s="1508">
        <f>111.3/1000000</f>
        <v>1.1129999999999999E-4</v>
      </c>
      <c r="AD32" s="1508">
        <f>106.4/1000000</f>
        <v>1.0640000000000001E-4</v>
      </c>
      <c r="AE32" s="1508">
        <f>103/1000000</f>
        <v>1.03E-4</v>
      </c>
      <c r="AF32" s="1509">
        <f>94/1000000</f>
        <v>9.3999999999999994E-5</v>
      </c>
      <c r="AG32" s="1509">
        <v>1.0180000000000001E-4</v>
      </c>
      <c r="AH32" s="1509">
        <v>1.015E-4</v>
      </c>
      <c r="AI32" s="1509">
        <v>9.5199999999999997E-5</v>
      </c>
    </row>
    <row r="33" spans="1:35" ht="15">
      <c r="A33" s="115"/>
      <c r="B33" s="121" t="s">
        <v>484</v>
      </c>
      <c r="C33" s="704"/>
      <c r="D33" s="436"/>
      <c r="E33" s="436"/>
      <c r="F33" s="436"/>
      <c r="G33" s="436"/>
      <c r="H33" s="436"/>
      <c r="I33" s="436"/>
      <c r="J33" s="436"/>
      <c r="K33" s="436"/>
      <c r="L33" s="436"/>
      <c r="M33" s="436"/>
      <c r="N33" s="436"/>
      <c r="O33" s="436"/>
      <c r="P33" s="436"/>
      <c r="Q33" s="436"/>
      <c r="R33" s="437"/>
      <c r="S33" s="437"/>
      <c r="T33" s="437"/>
      <c r="U33" s="437"/>
      <c r="V33" s="437"/>
      <c r="W33" s="1510">
        <f>146.3/1000000</f>
        <v>1.4630000000000001E-4</v>
      </c>
      <c r="X33" s="1510">
        <f>700.1/1000000</f>
        <v>7.0010000000000005E-4</v>
      </c>
      <c r="Y33" s="1510">
        <f>944.9/1000000</f>
        <v>9.4489999999999993E-4</v>
      </c>
      <c r="Z33" s="1510">
        <f>1148.12318/1000000</f>
        <v>1.14812318E-3</v>
      </c>
      <c r="AA33" s="1510">
        <f>2049.9/1000000</f>
        <v>2.0498999999999999E-3</v>
      </c>
      <c r="AB33" s="1508">
        <f>37.3/1000000</f>
        <v>3.7299999999999999E-5</v>
      </c>
      <c r="AC33" s="1508">
        <f>46.7/1000000</f>
        <v>4.6700000000000003E-5</v>
      </c>
      <c r="AD33" s="1508">
        <f>45/1000000</f>
        <v>4.5000000000000003E-5</v>
      </c>
      <c r="AE33" s="1508">
        <f>44/1000000</f>
        <v>4.3999999999999999E-5</v>
      </c>
      <c r="AF33" s="1509">
        <f>40/1000000</f>
        <v>4.0000000000000003E-5</v>
      </c>
      <c r="AG33" s="1509">
        <v>4.3400000000000005E-5</v>
      </c>
      <c r="AH33" s="1509">
        <v>4.32E-5</v>
      </c>
      <c r="AI33" s="1509">
        <v>4.0599999999999998E-5</v>
      </c>
    </row>
    <row r="34" spans="1:35">
      <c r="A34" s="115"/>
      <c r="B34" s="115"/>
      <c r="C34" s="255"/>
      <c r="D34" s="255"/>
      <c r="E34" s="255"/>
      <c r="F34" s="255"/>
      <c r="G34" s="255"/>
      <c r="H34" s="255"/>
      <c r="I34" s="255"/>
      <c r="J34" s="1518"/>
      <c r="K34" s="1518"/>
      <c r="L34" s="1518"/>
      <c r="M34" s="1518"/>
      <c r="N34" s="1518"/>
      <c r="O34" s="1518"/>
      <c r="P34" s="1518"/>
      <c r="Q34" s="1518"/>
      <c r="R34" s="1518"/>
      <c r="S34" s="1518"/>
      <c r="T34" s="1518"/>
      <c r="U34" s="1518"/>
      <c r="V34" s="1518"/>
      <c r="W34" s="115"/>
      <c r="X34" s="115"/>
      <c r="Y34" s="115"/>
      <c r="Z34" s="115"/>
      <c r="AA34" s="115"/>
      <c r="AB34" s="115"/>
      <c r="AC34" s="115"/>
      <c r="AD34" s="115"/>
    </row>
    <row r="35" spans="1:35" ht="15" thickBot="1">
      <c r="A35" s="115"/>
      <c r="B35" s="115"/>
      <c r="C35" s="345"/>
      <c r="D35" s="234"/>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row>
    <row r="36" spans="1:35" ht="16.5" thickBot="1">
      <c r="A36" s="115"/>
      <c r="B36" s="1774" t="s">
        <v>485</v>
      </c>
      <c r="C36" s="1775"/>
      <c r="D36" s="1776"/>
      <c r="E36" s="115"/>
      <c r="F36" s="115"/>
      <c r="G36" s="115"/>
      <c r="H36" s="115"/>
      <c r="I36" s="115"/>
      <c r="J36" s="115"/>
      <c r="K36" s="115"/>
      <c r="L36" s="115"/>
      <c r="M36" s="115"/>
      <c r="N36" s="115"/>
      <c r="O36" s="115"/>
      <c r="P36" s="115"/>
      <c r="Q36" s="115"/>
      <c r="R36" s="115"/>
      <c r="S36" s="115"/>
      <c r="T36" s="115"/>
      <c r="U36" s="115"/>
      <c r="V36" s="115"/>
      <c r="W36" s="115"/>
      <c r="X36" s="650"/>
      <c r="Y36" s="115"/>
      <c r="Z36" s="115"/>
      <c r="AA36" s="115"/>
      <c r="AB36" s="115"/>
      <c r="AC36" s="115"/>
      <c r="AD36" s="115"/>
    </row>
    <row r="37" spans="1:35" ht="16.5" thickBot="1">
      <c r="A37" s="115"/>
      <c r="B37" s="93" t="s">
        <v>486</v>
      </c>
      <c r="C37" s="594"/>
      <c r="D37" s="256" t="s">
        <v>487</v>
      </c>
      <c r="E37" s="234"/>
      <c r="F37" s="1374"/>
      <c r="G37" s="1374"/>
      <c r="H37" s="1374"/>
      <c r="I37" s="1374"/>
      <c r="J37" s="1374"/>
      <c r="K37" s="1374"/>
      <c r="L37" s="1374"/>
      <c r="M37" s="1374"/>
      <c r="N37" s="1374"/>
      <c r="O37" s="1374"/>
      <c r="P37" s="1374"/>
      <c r="Q37" s="1374"/>
      <c r="R37" s="1374"/>
      <c r="S37" s="115"/>
      <c r="T37" s="115"/>
      <c r="U37" s="115"/>
      <c r="V37" s="115"/>
      <c r="W37" s="594"/>
      <c r="X37" s="650"/>
      <c r="Y37" s="115"/>
      <c r="Z37" s="115"/>
      <c r="AA37" s="115"/>
      <c r="AB37" s="115"/>
      <c r="AC37" s="115"/>
      <c r="AD37" s="115"/>
      <c r="AE37" s="115"/>
      <c r="AF37" s="115"/>
      <c r="AG37" s="115"/>
      <c r="AH37" s="115"/>
    </row>
    <row r="38" spans="1:35" ht="15">
      <c r="A38" s="115"/>
      <c r="B38" s="121" t="s">
        <v>479</v>
      </c>
      <c r="C38" s="702">
        <v>1990</v>
      </c>
      <c r="D38" s="233">
        <v>1991</v>
      </c>
      <c r="E38" s="233">
        <v>1992</v>
      </c>
      <c r="F38" s="233">
        <v>1993</v>
      </c>
      <c r="G38" s="233">
        <v>1994</v>
      </c>
      <c r="H38" s="233">
        <v>1995</v>
      </c>
      <c r="I38" s="233">
        <v>1996</v>
      </c>
      <c r="J38" s="233">
        <v>1997</v>
      </c>
      <c r="K38" s="233">
        <v>1998</v>
      </c>
      <c r="L38" s="232">
        <v>1999</v>
      </c>
      <c r="M38" s="232">
        <v>2000</v>
      </c>
      <c r="N38" s="232">
        <v>2001</v>
      </c>
      <c r="O38" s="232">
        <v>2002</v>
      </c>
      <c r="P38" s="232">
        <v>2003</v>
      </c>
      <c r="Q38" s="232">
        <v>2004</v>
      </c>
      <c r="R38" s="232">
        <v>2005</v>
      </c>
      <c r="S38" s="232">
        <v>2006</v>
      </c>
      <c r="T38" s="232">
        <v>2007</v>
      </c>
      <c r="U38" s="232">
        <v>2008</v>
      </c>
      <c r="V38" s="232">
        <v>2009</v>
      </c>
      <c r="W38" s="232">
        <v>2010</v>
      </c>
      <c r="X38" s="232">
        <v>2011</v>
      </c>
      <c r="Y38" s="232">
        <v>2012</v>
      </c>
      <c r="Z38" s="232">
        <v>2013</v>
      </c>
      <c r="AA38" s="232">
        <v>2014</v>
      </c>
      <c r="AB38" s="232">
        <v>2015</v>
      </c>
      <c r="AC38" s="232">
        <v>2016</v>
      </c>
      <c r="AD38" s="232">
        <v>2017</v>
      </c>
      <c r="AE38" s="232">
        <v>2018</v>
      </c>
      <c r="AF38" s="232">
        <v>2019</v>
      </c>
      <c r="AG38" s="232">
        <v>2020</v>
      </c>
      <c r="AH38" s="232">
        <v>2021</v>
      </c>
      <c r="AI38" s="232">
        <v>2022</v>
      </c>
    </row>
    <row r="39" spans="1:35" ht="15">
      <c r="A39" s="115"/>
      <c r="B39" s="4" t="s">
        <v>459</v>
      </c>
      <c r="C39" s="703">
        <v>892475.56301483978</v>
      </c>
      <c r="D39" s="431">
        <v>1044856.9327209947</v>
      </c>
      <c r="E39" s="431">
        <v>1054377.6902462656</v>
      </c>
      <c r="F39" s="431">
        <v>1204161.0415171448</v>
      </c>
      <c r="G39" s="431">
        <v>1252483.1832742891</v>
      </c>
      <c r="H39" s="431">
        <v>1235119.6553614729</v>
      </c>
      <c r="I39" s="431">
        <v>1405208.7838494706</v>
      </c>
      <c r="J39" s="431">
        <v>1414627.7495964726</v>
      </c>
      <c r="K39" s="431">
        <v>1474533.5043123586</v>
      </c>
      <c r="L39" s="431">
        <v>1516638.9476480701</v>
      </c>
      <c r="M39" s="431">
        <v>1652505.2240651883</v>
      </c>
      <c r="N39" s="431">
        <v>1736562.9939097434</v>
      </c>
      <c r="O39" s="431">
        <v>1733188.0880992687</v>
      </c>
      <c r="P39" s="431">
        <v>1762652.4666561859</v>
      </c>
      <c r="Q39" s="431">
        <v>1800645.1695362648</v>
      </c>
      <c r="R39" s="431">
        <v>1923537.5455854835</v>
      </c>
      <c r="S39" s="431">
        <v>1914554.2589884407</v>
      </c>
      <c r="T39" s="431">
        <v>1829930.1824896708</v>
      </c>
      <c r="U39" s="431">
        <v>2132447.3289620155</v>
      </c>
      <c r="V39" s="431">
        <v>2071562.8781302946</v>
      </c>
      <c r="W39" s="431">
        <v>2368931.5</v>
      </c>
      <c r="X39" s="431">
        <v>1070152.5</v>
      </c>
      <c r="Y39" s="431">
        <v>1066015</v>
      </c>
      <c r="Z39" s="431">
        <v>1115786.8999999999</v>
      </c>
      <c r="AA39" s="431">
        <v>1150062.2</v>
      </c>
      <c r="AB39" s="431">
        <v>1155359.5</v>
      </c>
      <c r="AC39" s="431">
        <v>1171561.3999999999</v>
      </c>
      <c r="AD39" s="431">
        <v>1106227.6000000001</v>
      </c>
      <c r="AE39" s="431">
        <v>1101225.8</v>
      </c>
      <c r="AF39" s="1095">
        <v>1024260.4</v>
      </c>
      <c r="AG39" s="1095">
        <v>1106098.3999999999</v>
      </c>
      <c r="AH39" s="1095">
        <v>1160617.2</v>
      </c>
      <c r="AI39" s="1095">
        <v>1219560.8999999999</v>
      </c>
    </row>
    <row r="40" spans="1:35" ht="15">
      <c r="A40" s="115"/>
      <c r="B40" s="94" t="s">
        <v>488</v>
      </c>
      <c r="C40" s="707">
        <v>602822.79997096665</v>
      </c>
      <c r="D40" s="123">
        <v>702332.11501463328</v>
      </c>
      <c r="E40" s="123">
        <v>704512.44192148512</v>
      </c>
      <c r="F40" s="123">
        <v>807047.39706109243</v>
      </c>
      <c r="G40" s="123">
        <v>829743.03503516747</v>
      </c>
      <c r="H40" s="123">
        <v>823603.30618791434</v>
      </c>
      <c r="I40" s="123">
        <v>937168.1938034991</v>
      </c>
      <c r="J40" s="123">
        <v>954337.01598626934</v>
      </c>
      <c r="K40" s="123">
        <v>995338.52015985863</v>
      </c>
      <c r="L40" s="123">
        <v>1038398.4857090039</v>
      </c>
      <c r="M40" s="123">
        <v>1154246.3657812977</v>
      </c>
      <c r="N40" s="123">
        <v>1176357.1100614106</v>
      </c>
      <c r="O40" s="123">
        <v>1173526.2883761099</v>
      </c>
      <c r="P40" s="123">
        <v>1184815.2107819277</v>
      </c>
      <c r="Q40" s="123">
        <v>1235047.5701806704</v>
      </c>
      <c r="R40" s="123">
        <v>1332042.4692639038</v>
      </c>
      <c r="S40" s="123">
        <v>1310195.2557032367</v>
      </c>
      <c r="T40" s="123">
        <v>1226328.5532730974</v>
      </c>
      <c r="U40" s="123">
        <v>1435224.0654822916</v>
      </c>
      <c r="V40" s="123">
        <v>1343115.8698328671</v>
      </c>
      <c r="W40" s="651" t="s">
        <v>489</v>
      </c>
      <c r="X40" s="609"/>
      <c r="Y40" s="609"/>
      <c r="Z40" s="609"/>
      <c r="AA40" s="609"/>
      <c r="AB40" s="609"/>
      <c r="AC40" s="609"/>
      <c r="AD40" s="609"/>
      <c r="AE40" s="609"/>
      <c r="AF40" s="1097"/>
      <c r="AG40" s="1097"/>
      <c r="AH40" s="1097"/>
      <c r="AI40" s="1097"/>
    </row>
    <row r="41" spans="1:35" ht="15">
      <c r="A41" s="115"/>
      <c r="B41" s="94" t="s">
        <v>490</v>
      </c>
      <c r="C41" s="707">
        <v>128461.31340306383</v>
      </c>
      <c r="D41" s="123">
        <v>148539.44170118895</v>
      </c>
      <c r="E41" s="123">
        <v>144399.20391281351</v>
      </c>
      <c r="F41" s="123">
        <v>160985.96028252269</v>
      </c>
      <c r="G41" s="123">
        <v>165332.48650843953</v>
      </c>
      <c r="H41" s="123">
        <v>146847.55438386428</v>
      </c>
      <c r="I41" s="123">
        <v>164801.2221837992</v>
      </c>
      <c r="J41" s="123">
        <v>159651.19792145971</v>
      </c>
      <c r="K41" s="123">
        <v>163827.34500940173</v>
      </c>
      <c r="L41" s="123">
        <v>159936.15448454008</v>
      </c>
      <c r="M41" s="123">
        <v>166744.05356431194</v>
      </c>
      <c r="N41" s="123">
        <v>190791.55931626959</v>
      </c>
      <c r="O41" s="123">
        <v>187886.24505124721</v>
      </c>
      <c r="P41" s="123">
        <v>192229.45127922422</v>
      </c>
      <c r="Q41" s="123">
        <v>190242.2263290046</v>
      </c>
      <c r="R41" s="123">
        <v>195781.47960080751</v>
      </c>
      <c r="S41" s="123">
        <v>194606.71672818129</v>
      </c>
      <c r="T41" s="123">
        <v>199516.75737439352</v>
      </c>
      <c r="U41" s="123">
        <v>225606.27663887755</v>
      </c>
      <c r="V41" s="123">
        <v>232647.70366344007</v>
      </c>
      <c r="W41" s="609"/>
      <c r="X41" s="609"/>
      <c r="Y41" s="609"/>
      <c r="Z41" s="609"/>
      <c r="AA41" s="609"/>
      <c r="AB41" s="609"/>
      <c r="AC41" s="609"/>
      <c r="AD41" s="609"/>
      <c r="AE41" s="609"/>
      <c r="AF41" s="1097"/>
      <c r="AG41" s="1097"/>
      <c r="AH41" s="1097"/>
      <c r="AI41" s="1097"/>
    </row>
    <row r="42" spans="1:35" ht="15">
      <c r="A42" s="115"/>
      <c r="B42" s="434" t="s">
        <v>491</v>
      </c>
      <c r="C42" s="708">
        <v>161191.44964080927</v>
      </c>
      <c r="D42" s="260">
        <v>193985.37600517261</v>
      </c>
      <c r="E42" s="260">
        <v>205466.0444119671</v>
      </c>
      <c r="F42" s="260">
        <v>236127.68417352968</v>
      </c>
      <c r="G42" s="260">
        <v>257407.66173068219</v>
      </c>
      <c r="H42" s="260">
        <v>264668.79478969408</v>
      </c>
      <c r="I42" s="260">
        <v>303239.36786217213</v>
      </c>
      <c r="J42" s="260">
        <v>300639.53568874352</v>
      </c>
      <c r="K42" s="260">
        <v>315367.63914309838</v>
      </c>
      <c r="L42" s="260">
        <v>318304.3074545259</v>
      </c>
      <c r="M42" s="260">
        <v>331514.80471957871</v>
      </c>
      <c r="N42" s="260">
        <v>369414.32453206321</v>
      </c>
      <c r="O42" s="260">
        <v>371775.55467191181</v>
      </c>
      <c r="P42" s="260">
        <v>385607.80459503399</v>
      </c>
      <c r="Q42" s="260">
        <v>375355.37302658992</v>
      </c>
      <c r="R42" s="260">
        <v>395713.59672077216</v>
      </c>
      <c r="S42" s="260">
        <v>409752.28655702283</v>
      </c>
      <c r="T42" s="260">
        <v>404084.8718421798</v>
      </c>
      <c r="U42" s="260">
        <v>471616.98684084631</v>
      </c>
      <c r="V42" s="260">
        <v>495799.30463398754</v>
      </c>
      <c r="W42" s="610"/>
      <c r="X42" s="610"/>
      <c r="Y42" s="610"/>
      <c r="Z42" s="610"/>
      <c r="AA42" s="610"/>
      <c r="AB42" s="610"/>
      <c r="AC42" s="610"/>
      <c r="AD42" s="610"/>
      <c r="AE42" s="610"/>
      <c r="AF42" s="1098"/>
      <c r="AG42" s="1098"/>
      <c r="AH42" s="1098"/>
      <c r="AI42" s="1098"/>
    </row>
    <row r="43" spans="1:35" ht="15">
      <c r="A43" s="115"/>
      <c r="B43" s="121" t="s">
        <v>30</v>
      </c>
      <c r="C43" s="704">
        <v>32451.739944500885</v>
      </c>
      <c r="D43" s="436">
        <v>34127.989640651154</v>
      </c>
      <c r="E43" s="436">
        <v>35092.02583393747</v>
      </c>
      <c r="F43" s="436">
        <v>37305.98388355002</v>
      </c>
      <c r="G43" s="436">
        <v>39026.704682839831</v>
      </c>
      <c r="H43" s="436">
        <v>38097.785792275856</v>
      </c>
      <c r="I43" s="436">
        <v>40301.092404419112</v>
      </c>
      <c r="J43" s="436">
        <v>39628.497382801972</v>
      </c>
      <c r="K43" s="436">
        <v>40527.002904957444</v>
      </c>
      <c r="L43" s="436">
        <v>39945.283028144906</v>
      </c>
      <c r="M43" s="436">
        <v>41653.39241733466</v>
      </c>
      <c r="N43" s="436">
        <v>42333.043340422555</v>
      </c>
      <c r="O43" s="436">
        <v>41438.930860370543</v>
      </c>
      <c r="P43" s="436">
        <v>41995.914530877497</v>
      </c>
      <c r="Q43" s="436">
        <v>41518.667953811317</v>
      </c>
      <c r="R43" s="436">
        <v>41890.359866921062</v>
      </c>
      <c r="S43" s="436">
        <v>41795.118714118267</v>
      </c>
      <c r="T43" s="436">
        <v>39832.915769664971</v>
      </c>
      <c r="U43" s="436">
        <v>43338.603919375957</v>
      </c>
      <c r="V43" s="436">
        <v>42658.479899446138</v>
      </c>
      <c r="W43" s="436">
        <v>35280.22</v>
      </c>
      <c r="X43" s="436">
        <v>35491.799999999996</v>
      </c>
      <c r="Y43" s="436">
        <v>35491.800000000003</v>
      </c>
      <c r="Z43" s="436">
        <v>38854.134000000005</v>
      </c>
      <c r="AA43" s="436">
        <v>39023.398000000008</v>
      </c>
      <c r="AB43" s="436">
        <v>38522.758000000002</v>
      </c>
      <c r="AC43" s="436">
        <v>38146.384000000005</v>
      </c>
      <c r="AD43" s="436">
        <v>38010.198000000004</v>
      </c>
      <c r="AE43" s="436">
        <v>38286.443999999996</v>
      </c>
      <c r="AF43" s="1096">
        <v>37474.393999999993</v>
      </c>
      <c r="AG43" s="1096">
        <v>35348.462</v>
      </c>
      <c r="AH43" s="1096">
        <v>37831.695999999996</v>
      </c>
      <c r="AI43" s="1096">
        <v>37310.196000000004</v>
      </c>
    </row>
    <row r="44" spans="1:35" ht="15">
      <c r="A44" s="115"/>
      <c r="B44" s="121" t="s">
        <v>28</v>
      </c>
      <c r="C44" s="704">
        <v>1088.984561896003</v>
      </c>
      <c r="D44" s="436">
        <v>1145.2345516997029</v>
      </c>
      <c r="E44" s="436">
        <v>1177.5847595281032</v>
      </c>
      <c r="F44" s="436">
        <v>1251.8786538104034</v>
      </c>
      <c r="G44" s="436">
        <v>1309.6209625114036</v>
      </c>
      <c r="H44" s="436">
        <v>1278.4491876602635</v>
      </c>
      <c r="I44" s="436">
        <v>1352.3856511550036</v>
      </c>
      <c r="J44" s="436">
        <v>1329.8153484161737</v>
      </c>
      <c r="K44" s="436">
        <v>1359.9665404348136</v>
      </c>
      <c r="L44" s="436">
        <v>1340.4457391994936</v>
      </c>
      <c r="M44" s="436">
        <v>1397.7648462192838</v>
      </c>
      <c r="N44" s="436">
        <v>1420.5719241752538</v>
      </c>
      <c r="O44" s="436">
        <v>1390.5681496768639</v>
      </c>
      <c r="P44" s="436">
        <v>1409.2588768750836</v>
      </c>
      <c r="Q44" s="436">
        <v>1393.2438910674937</v>
      </c>
      <c r="R44" s="436">
        <v>1405.7167740577538</v>
      </c>
      <c r="S44" s="436">
        <v>1402.5207622187336</v>
      </c>
      <c r="T44" s="436">
        <v>1336.6750258276836</v>
      </c>
      <c r="U44" s="436">
        <v>1454.3155677642937</v>
      </c>
      <c r="V44" s="436">
        <v>1431.4926140753739</v>
      </c>
      <c r="W44" s="436">
        <v>22605</v>
      </c>
      <c r="X44" s="436">
        <v>22695</v>
      </c>
      <c r="Y44" s="436">
        <v>23007.5</v>
      </c>
      <c r="Z44" s="436">
        <v>24841.25</v>
      </c>
      <c r="AA44" s="436">
        <v>24908.499999999996</v>
      </c>
      <c r="AB44" s="436">
        <v>24623.25</v>
      </c>
      <c r="AC44" s="436">
        <v>24382</v>
      </c>
      <c r="AD44" s="436">
        <v>24295.25</v>
      </c>
      <c r="AE44" s="436">
        <v>24464.75</v>
      </c>
      <c r="AF44" s="1096">
        <v>23952.749999999996</v>
      </c>
      <c r="AG44" s="1096">
        <v>22593.75</v>
      </c>
      <c r="AH44" s="1096">
        <v>24180.249999999996</v>
      </c>
      <c r="AI44" s="1096">
        <v>23847.750000000004</v>
      </c>
    </row>
    <row r="45" spans="1:35" ht="15.5" thickBot="1">
      <c r="A45" s="115"/>
      <c r="B45" s="249" t="s">
        <v>492</v>
      </c>
      <c r="C45" s="705">
        <v>926016.28752123669</v>
      </c>
      <c r="D45" s="438">
        <v>1080130.1569133457</v>
      </c>
      <c r="E45" s="438">
        <v>1090647.300839731</v>
      </c>
      <c r="F45" s="438">
        <v>1242718.9040545053</v>
      </c>
      <c r="G45" s="438">
        <v>1292819.5089196402</v>
      </c>
      <c r="H45" s="438">
        <v>1274495.890341409</v>
      </c>
      <c r="I45" s="438">
        <v>1446862.2619050446</v>
      </c>
      <c r="J45" s="438">
        <v>1455586.0623276909</v>
      </c>
      <c r="K45" s="438">
        <v>1516420.4737577508</v>
      </c>
      <c r="L45" s="438">
        <v>1557924.6764154145</v>
      </c>
      <c r="M45" s="438">
        <v>1695556.3813287423</v>
      </c>
      <c r="N45" s="438">
        <v>1780316.6091743412</v>
      </c>
      <c r="O45" s="438">
        <v>1776017.5871093161</v>
      </c>
      <c r="P45" s="438">
        <v>1806057.6400639382</v>
      </c>
      <c r="Q45" s="438">
        <v>1843557.0813811438</v>
      </c>
      <c r="R45" s="438">
        <v>1966833.6222264622</v>
      </c>
      <c r="S45" s="438">
        <v>1957751.898464778</v>
      </c>
      <c r="T45" s="438">
        <v>1871099.7732851633</v>
      </c>
      <c r="U45" s="438">
        <v>2177240.2484491556</v>
      </c>
      <c r="V45" s="438">
        <v>2115652.8506438164</v>
      </c>
      <c r="W45" s="652">
        <f t="shared" ref="W45:AC45" si="28">W39+W44+W43</f>
        <v>2426816.7200000002</v>
      </c>
      <c r="X45" s="652">
        <f t="shared" si="28"/>
        <v>1128339.3</v>
      </c>
      <c r="Y45" s="652">
        <f t="shared" si="28"/>
        <v>1124514.3</v>
      </c>
      <c r="Z45" s="652">
        <f t="shared" si="28"/>
        <v>1179482.284</v>
      </c>
      <c r="AA45" s="652">
        <f t="shared" si="28"/>
        <v>1213994.098</v>
      </c>
      <c r="AB45" s="652">
        <f t="shared" si="28"/>
        <v>1218505.5079999999</v>
      </c>
      <c r="AC45" s="652">
        <f t="shared" si="28"/>
        <v>1234089.784</v>
      </c>
      <c r="AD45" s="652">
        <f t="shared" ref="AD45:AI45" si="29">AD39+AD44+AD43</f>
        <v>1168533.0480000002</v>
      </c>
      <c r="AE45" s="652">
        <f t="shared" si="29"/>
        <v>1163976.9939999999</v>
      </c>
      <c r="AF45" s="652">
        <f t="shared" si="29"/>
        <v>1085687.544</v>
      </c>
      <c r="AG45" s="652">
        <f t="shared" si="29"/>
        <v>1164040.612</v>
      </c>
      <c r="AH45" s="652">
        <f t="shared" si="29"/>
        <v>1222629.1459999999</v>
      </c>
      <c r="AI45" s="652">
        <f t="shared" si="29"/>
        <v>1280718.8459999999</v>
      </c>
    </row>
    <row r="46" spans="1:35" ht="15.5" thickBot="1">
      <c r="A46" s="115"/>
      <c r="B46" s="706" t="s">
        <v>493</v>
      </c>
      <c r="C46" s="517">
        <f t="shared" ref="C46:R46" si="30">C45/1000000</f>
        <v>0.92601628752123666</v>
      </c>
      <c r="D46" s="517">
        <f t="shared" si="30"/>
        <v>1.0801301569133457</v>
      </c>
      <c r="E46" s="517">
        <f t="shared" si="30"/>
        <v>1.090647300839731</v>
      </c>
      <c r="F46" s="517">
        <f t="shared" si="30"/>
        <v>1.2427189040545052</v>
      </c>
      <c r="G46" s="517">
        <f t="shared" si="30"/>
        <v>1.2928195089196401</v>
      </c>
      <c r="H46" s="517">
        <f t="shared" si="30"/>
        <v>1.274495890341409</v>
      </c>
      <c r="I46" s="517">
        <f t="shared" si="30"/>
        <v>1.4468622619050446</v>
      </c>
      <c r="J46" s="517">
        <f t="shared" si="30"/>
        <v>1.4555860623276908</v>
      </c>
      <c r="K46" s="517">
        <f t="shared" si="30"/>
        <v>1.5164204737577509</v>
      </c>
      <c r="L46" s="517">
        <f t="shared" si="30"/>
        <v>1.5579246764154147</v>
      </c>
      <c r="M46" s="517">
        <f t="shared" si="30"/>
        <v>1.6955563813287422</v>
      </c>
      <c r="N46" s="517">
        <f t="shared" si="30"/>
        <v>1.7803166091743412</v>
      </c>
      <c r="O46" s="517">
        <f t="shared" si="30"/>
        <v>1.7760175871093162</v>
      </c>
      <c r="P46" s="517">
        <f t="shared" si="30"/>
        <v>1.8060576400639383</v>
      </c>
      <c r="Q46" s="517">
        <f t="shared" si="30"/>
        <v>1.8435570813811437</v>
      </c>
      <c r="R46" s="517">
        <f t="shared" si="30"/>
        <v>1.9668336222264622</v>
      </c>
      <c r="S46" s="517">
        <f>S45/1000000</f>
        <v>1.9577518984647779</v>
      </c>
      <c r="T46" s="517">
        <f>T45/1000000</f>
        <v>1.8710997732851633</v>
      </c>
      <c r="U46" s="517">
        <f>U45/1000000</f>
        <v>2.1772402484491558</v>
      </c>
      <c r="V46" s="517">
        <f>V45/1000000</f>
        <v>2.1156528506438166</v>
      </c>
      <c r="W46" s="517">
        <f t="shared" ref="W46:AB46" si="31">W45/1000000</f>
        <v>2.4268167200000001</v>
      </c>
      <c r="X46" s="517">
        <f t="shared" si="31"/>
        <v>1.1283393000000002</v>
      </c>
      <c r="Y46" s="517">
        <f t="shared" si="31"/>
        <v>1.1245143</v>
      </c>
      <c r="Z46" s="517">
        <f t="shared" si="31"/>
        <v>1.1794822839999999</v>
      </c>
      <c r="AA46" s="517">
        <f t="shared" si="31"/>
        <v>1.2139940979999999</v>
      </c>
      <c r="AB46" s="517">
        <f t="shared" si="31"/>
        <v>1.218505508</v>
      </c>
      <c r="AC46" s="517">
        <f t="shared" ref="AC46:AH46" si="32">AC45/1000000</f>
        <v>1.234089784</v>
      </c>
      <c r="AD46" s="517">
        <f t="shared" si="32"/>
        <v>1.1685330480000002</v>
      </c>
      <c r="AE46" s="517">
        <f t="shared" si="32"/>
        <v>1.163976994</v>
      </c>
      <c r="AF46" s="517">
        <f t="shared" si="32"/>
        <v>1.085687544</v>
      </c>
      <c r="AG46" s="517">
        <f t="shared" si="32"/>
        <v>1.164040612</v>
      </c>
      <c r="AH46" s="517">
        <f t="shared" si="32"/>
        <v>1.2226291460000001</v>
      </c>
      <c r="AI46" s="517">
        <f t="shared" ref="AI46" si="33">AI45/1000000</f>
        <v>1.2807188459999999</v>
      </c>
    </row>
    <row r="47" spans="1:35">
      <c r="U47" s="341"/>
    </row>
    <row r="48" spans="1:35" ht="15" thickBot="1">
      <c r="B48" s="115"/>
      <c r="C48" s="115"/>
      <c r="D48" s="234"/>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row>
    <row r="49" spans="2:35" ht="15.5" thickBot="1">
      <c r="B49" s="1777" t="s">
        <v>494</v>
      </c>
      <c r="C49" s="1778"/>
      <c r="D49" s="1779"/>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row>
    <row r="50" spans="2:35" ht="16.5" thickBot="1">
      <c r="B50" s="93" t="s">
        <v>486</v>
      </c>
      <c r="C50" s="594"/>
      <c r="D50" s="256" t="s">
        <v>495</v>
      </c>
      <c r="E50" s="234"/>
      <c r="F50" s="1374"/>
      <c r="G50" s="1374"/>
      <c r="H50" s="1374"/>
      <c r="I50" s="1374"/>
      <c r="J50" s="1374"/>
      <c r="K50" s="1374"/>
      <c r="L50" s="1374"/>
      <c r="M50" s="1374"/>
      <c r="N50" s="1374"/>
      <c r="O50" s="1374"/>
      <c r="P50" s="1374"/>
      <c r="Q50" s="1374"/>
      <c r="R50" s="1374"/>
      <c r="S50" s="115"/>
      <c r="T50" s="115"/>
      <c r="U50" s="115"/>
      <c r="V50" s="115"/>
      <c r="W50" s="431" t="s">
        <v>496</v>
      </c>
      <c r="X50" s="650"/>
      <c r="Y50" s="115"/>
      <c r="Z50" s="115"/>
      <c r="AA50" s="115"/>
      <c r="AB50" s="115"/>
    </row>
    <row r="51" spans="2:35" ht="15">
      <c r="B51" s="121" t="s">
        <v>479</v>
      </c>
      <c r="C51" s="702">
        <v>1990</v>
      </c>
      <c r="D51" s="233">
        <v>1991</v>
      </c>
      <c r="E51" s="233">
        <v>1992</v>
      </c>
      <c r="F51" s="233">
        <v>1993</v>
      </c>
      <c r="G51" s="233">
        <v>1994</v>
      </c>
      <c r="H51" s="233">
        <v>1995</v>
      </c>
      <c r="I51" s="233">
        <v>1996</v>
      </c>
      <c r="J51" s="233">
        <v>1997</v>
      </c>
      <c r="K51" s="233">
        <v>1998</v>
      </c>
      <c r="L51" s="232">
        <v>1999</v>
      </c>
      <c r="M51" s="232">
        <v>2000</v>
      </c>
      <c r="N51" s="232">
        <v>2001</v>
      </c>
      <c r="O51" s="232">
        <v>2002</v>
      </c>
      <c r="P51" s="232">
        <v>2003</v>
      </c>
      <c r="Q51" s="232">
        <v>2004</v>
      </c>
      <c r="R51" s="232">
        <v>2005</v>
      </c>
      <c r="S51" s="232">
        <v>2006</v>
      </c>
      <c r="T51" s="232">
        <v>2007</v>
      </c>
      <c r="U51" s="232">
        <v>2008</v>
      </c>
      <c r="V51" s="232">
        <v>2009</v>
      </c>
      <c r="W51" s="232">
        <v>2010</v>
      </c>
      <c r="X51" s="232">
        <v>2011</v>
      </c>
      <c r="Y51" s="232">
        <v>2012</v>
      </c>
      <c r="Z51" s="232">
        <v>2013</v>
      </c>
      <c r="AA51" s="232">
        <v>2014</v>
      </c>
      <c r="AB51" s="232">
        <v>2015</v>
      </c>
      <c r="AC51" s="232">
        <v>2016</v>
      </c>
      <c r="AD51" s="232">
        <v>2017</v>
      </c>
      <c r="AE51" s="232">
        <v>2018</v>
      </c>
      <c r="AF51" s="232">
        <v>2019</v>
      </c>
      <c r="AG51" s="232">
        <v>2020</v>
      </c>
      <c r="AH51" s="232">
        <v>2021</v>
      </c>
      <c r="AI51" s="232">
        <v>2022</v>
      </c>
    </row>
    <row r="52" spans="2:35" ht="15">
      <c r="B52" s="4" t="s">
        <v>459</v>
      </c>
      <c r="C52" s="431">
        <f>C72*1000000</f>
        <v>106993.20172648883</v>
      </c>
      <c r="D52" s="431">
        <f>D72*1000000</f>
        <v>102585.34852905216</v>
      </c>
      <c r="E52" s="431">
        <f t="shared" ref="E52:V52" si="34">E72*1000000</f>
        <v>140097.35247702856</v>
      </c>
      <c r="F52" s="431">
        <f t="shared" si="34"/>
        <v>110510.37907474041</v>
      </c>
      <c r="G52" s="431">
        <f t="shared" si="34"/>
        <v>122780.53316388125</v>
      </c>
      <c r="H52" s="431">
        <f t="shared" si="34"/>
        <v>118330.24693802651</v>
      </c>
      <c r="I52" s="431">
        <f t="shared" si="34"/>
        <v>131201.22756031834</v>
      </c>
      <c r="J52" s="431">
        <f t="shared" si="34"/>
        <v>132814.19744027208</v>
      </c>
      <c r="K52" s="431">
        <f t="shared" si="34"/>
        <v>46496.573203951026</v>
      </c>
      <c r="L52" s="431">
        <f t="shared" si="34"/>
        <v>21224.95355439456</v>
      </c>
      <c r="M52" s="431">
        <f t="shared" si="34"/>
        <v>17545.398981942853</v>
      </c>
      <c r="N52" s="431">
        <f t="shared" si="34"/>
        <v>29763.498226585507</v>
      </c>
      <c r="O52" s="431">
        <f t="shared" si="34"/>
        <v>17903.46834892128</v>
      </c>
      <c r="P52" s="431">
        <f t="shared" si="34"/>
        <v>17952.78919836734</v>
      </c>
      <c r="Q52" s="431">
        <f t="shared" si="34"/>
        <v>17780.166225306119</v>
      </c>
      <c r="R52" s="431">
        <f t="shared" si="34"/>
        <v>18069.241204003887</v>
      </c>
      <c r="S52" s="431">
        <f t="shared" si="34"/>
        <v>57026.186611361045</v>
      </c>
      <c r="T52" s="431">
        <f t="shared" si="34"/>
        <v>64734.80687779154</v>
      </c>
      <c r="U52" s="431">
        <f t="shared" si="34"/>
        <v>63822.44497315184</v>
      </c>
      <c r="V52" s="431">
        <f t="shared" si="34"/>
        <v>70536.364444115519</v>
      </c>
      <c r="W52" s="431">
        <v>20858.900000000001</v>
      </c>
      <c r="X52" s="431">
        <v>22093</v>
      </c>
      <c r="Y52" s="431">
        <v>24779</v>
      </c>
      <c r="Z52" s="431">
        <v>25643.8</v>
      </c>
      <c r="AA52" s="431">
        <v>26449.7</v>
      </c>
      <c r="AB52" s="431">
        <v>25488.2</v>
      </c>
      <c r="AC52" s="431">
        <v>29544</v>
      </c>
      <c r="AD52" s="431">
        <v>26555.200000000001</v>
      </c>
      <c r="AE52" s="431">
        <v>39489.4</v>
      </c>
      <c r="AF52" s="1095">
        <v>18173.300000000003</v>
      </c>
      <c r="AG52" s="1095">
        <v>15938.5</v>
      </c>
      <c r="AH52" s="1095">
        <v>27116.9</v>
      </c>
      <c r="AI52" s="1095">
        <v>6436.2</v>
      </c>
    </row>
    <row r="53" spans="2:35" ht="15">
      <c r="B53" s="4" t="s">
        <v>30</v>
      </c>
      <c r="C53" s="431">
        <f>(C76+'Biogenic Combustion'!C168)*1000000</f>
        <v>2200.7099093330617</v>
      </c>
      <c r="D53" s="431">
        <f>(D76+'Biogenic Combustion'!D168)*1000000</f>
        <v>2016.8192281711335</v>
      </c>
      <c r="E53" s="431">
        <f>(E76+'Biogenic Combustion'!E168)*1000000</f>
        <v>2679.2529339570083</v>
      </c>
      <c r="F53" s="431">
        <f>(F76+'Biogenic Combustion'!F168)*1000000</f>
        <v>2113.4250728774323</v>
      </c>
      <c r="G53" s="431">
        <f>(G76+'Biogenic Combustion'!G168)*1000000</f>
        <v>2285.8648940529083</v>
      </c>
      <c r="H53" s="431">
        <f>(H76+'Biogenic Combustion'!H168)*1000000</f>
        <v>2146.2054429848667</v>
      </c>
      <c r="I53" s="431">
        <f>(I76+'Biogenic Combustion'!I168)*1000000</f>
        <v>2319.8966157629889</v>
      </c>
      <c r="J53" s="431">
        <f>(J76+'Biogenic Combustion'!J168)*1000000</f>
        <v>2290.9517610972348</v>
      </c>
      <c r="K53" s="431">
        <f>(K76+'Biogenic Combustion'!K168)*1000000</f>
        <v>802.03327896840153</v>
      </c>
      <c r="L53" s="431">
        <f>(L76+'Biogenic Combustion'!L168)*1000000</f>
        <v>366.11556340966138</v>
      </c>
      <c r="M53" s="431">
        <f>(M76+'Biogenic Combustion'!M168)*1000000</f>
        <v>288.54741944964576</v>
      </c>
      <c r="N53" s="431">
        <f>(N76+'Biogenic Combustion'!N168)*1000000</f>
        <v>478.35956757194867</v>
      </c>
      <c r="O53" s="431">
        <f>(O76+'Biogenic Combustion'!O168)*1000000</f>
        <v>281.35784163096298</v>
      </c>
      <c r="P53" s="431">
        <f>(P76+'Biogenic Combustion'!P168)*1000000</f>
        <v>276.0129118846047</v>
      </c>
      <c r="Q53" s="431">
        <f>(Q76+'Biogenic Combustion'!Q168)*1000000</f>
        <v>273.35894157802193</v>
      </c>
      <c r="R53" s="431">
        <f>(R76+'Biogenic Combustion'!R168)*1000000</f>
        <v>283.96300683124969</v>
      </c>
      <c r="S53" s="431">
        <f>(S76+'Biogenic Combustion'!S168)*1000000</f>
        <v>896.17914060311819</v>
      </c>
      <c r="T53" s="431">
        <f>(T76+'Biogenic Combustion'!T168)*1000000</f>
        <v>1017.3206227123447</v>
      </c>
      <c r="U53" s="431">
        <f>(U76+'Biogenic Combustion'!U168)*1000000</f>
        <v>1002.9878594758088</v>
      </c>
      <c r="V53" s="431">
        <f>(V76+'Biogenic Combustion'!V168)*1000000</f>
        <v>1108.4978967888369</v>
      </c>
      <c r="W53" s="431">
        <v>891.0200000000001</v>
      </c>
      <c r="X53" s="431">
        <v>894</v>
      </c>
      <c r="Y53" s="431">
        <v>894</v>
      </c>
      <c r="Z53" s="431">
        <v>894</v>
      </c>
      <c r="AA53" s="431">
        <v>842.14800000000002</v>
      </c>
      <c r="AB53" s="431">
        <v>856.75</v>
      </c>
      <c r="AC53" s="431">
        <v>885.35800000000006</v>
      </c>
      <c r="AD53" s="431">
        <v>893.1</v>
      </c>
      <c r="AE53" s="431">
        <v>893.40400000000011</v>
      </c>
      <c r="AF53" s="1095">
        <v>822.18200000000002</v>
      </c>
      <c r="AG53" s="1095">
        <v>709.5379999999999</v>
      </c>
      <c r="AH53" s="1095">
        <v>668.1</v>
      </c>
      <c r="AI53" s="1095">
        <v>201.74600000000001</v>
      </c>
    </row>
    <row r="54" spans="2:35" ht="15">
      <c r="B54" s="121" t="s">
        <v>28</v>
      </c>
      <c r="C54" s="436">
        <f>(C80+'Biogenic Combustion'!C172)*1000000</f>
        <v>3497.6616159000132</v>
      </c>
      <c r="D54" s="436">
        <f>(D80+'Biogenic Combustion'!D172)*1000000</f>
        <v>3205.3980266399885</v>
      </c>
      <c r="E54" s="436">
        <f>(E80+'Biogenic Combustion'!E172)*1000000</f>
        <v>4258.2259963690058</v>
      </c>
      <c r="F54" s="436">
        <f>(F80+'Biogenic Combustion'!F172)*1000000</f>
        <v>3358.9369158265335</v>
      </c>
      <c r="G54" s="436">
        <f>(G80+'Biogenic Combustion'!G172)*1000000</f>
        <v>3633.0012716147567</v>
      </c>
      <c r="H54" s="436">
        <f>(H80+'Biogenic Combustion'!H172)*1000000</f>
        <v>3411.0358507172818</v>
      </c>
      <c r="I54" s="436">
        <f>(I80+'Biogenic Combustion'!I172)*1000000</f>
        <v>3687.0890213193111</v>
      </c>
      <c r="J54" s="436">
        <f>(J80+'Biogenic Combustion'!J172)*1000000</f>
        <v>3641.0859989705395</v>
      </c>
      <c r="K54" s="436">
        <f>(K80+'Biogenic Combustion'!K172)*1000000</f>
        <v>1274.6982247071128</v>
      </c>
      <c r="L54" s="436">
        <f>(L80+'Biogenic Combustion'!L172)*1000000</f>
        <v>581.87966877908866</v>
      </c>
      <c r="M54" s="436">
        <f>(M80+'Biogenic Combustion'!M172)*1000000</f>
        <v>458.59803197863704</v>
      </c>
      <c r="N54" s="436">
        <f>(N80+'Biogenic Combustion'!N172)*1000000</f>
        <v>760.27280606101704</v>
      </c>
      <c r="O54" s="436">
        <f>(O80+'Biogenic Combustion'!O172)*1000000</f>
        <v>447.17139629881058</v>
      </c>
      <c r="P54" s="436">
        <f>(P80+'Biogenic Combustion'!P172)*1000000</f>
        <v>438.67652128859851</v>
      </c>
      <c r="Q54" s="436">
        <f>(Q80+'Biogenic Combustion'!Q172)*1000000</f>
        <v>434.45847781466966</v>
      </c>
      <c r="R54" s="436">
        <f>(R80+'Biogenic Combustion'!R172)*1000000</f>
        <v>451.31187219046632</v>
      </c>
      <c r="S54" s="436">
        <f>(S80+'Biogenic Combustion'!S172)*1000000</f>
        <v>1424.3273807985563</v>
      </c>
      <c r="T54" s="436">
        <f>(T80+'Biogenic Combustion'!T172)*1000000</f>
        <v>1616.8615763641533</v>
      </c>
      <c r="U54" s="436">
        <f>(U80+'Biogenic Combustion'!U172)*1000000</f>
        <v>1594.0820379935521</v>
      </c>
      <c r="V54" s="436">
        <f>(V80+'Biogenic Combustion'!V172)*1000000</f>
        <v>1761.772657296392</v>
      </c>
      <c r="W54" s="436">
        <v>569.75</v>
      </c>
      <c r="X54" s="436">
        <v>577.5</v>
      </c>
      <c r="Y54" s="436">
        <v>562.5</v>
      </c>
      <c r="Z54" s="436">
        <v>571.25</v>
      </c>
      <c r="AA54" s="436">
        <v>538.5</v>
      </c>
      <c r="AB54" s="436">
        <v>547.75</v>
      </c>
      <c r="AC54" s="436">
        <v>566</v>
      </c>
      <c r="AD54" s="436">
        <v>571</v>
      </c>
      <c r="AE54" s="436">
        <v>571</v>
      </c>
      <c r="AF54" s="1096">
        <v>525.5</v>
      </c>
      <c r="AG54" s="1096">
        <v>453.5</v>
      </c>
      <c r="AH54" s="1095">
        <v>427</v>
      </c>
      <c r="AI54" s="1095">
        <v>129</v>
      </c>
    </row>
    <row r="55" spans="2:35" ht="15.5" thickBot="1">
      <c r="B55" s="249" t="s">
        <v>492</v>
      </c>
      <c r="C55" s="438">
        <f t="shared" ref="C55" si="35">C52+C53+C54</f>
        <v>112691.5732517219</v>
      </c>
      <c r="D55" s="438">
        <f t="shared" ref="D55:V55" si="36">D52+D53+D54</f>
        <v>107807.56578386329</v>
      </c>
      <c r="E55" s="438">
        <f t="shared" si="36"/>
        <v>147034.83140735456</v>
      </c>
      <c r="F55" s="438">
        <f t="shared" si="36"/>
        <v>115982.74106344438</v>
      </c>
      <c r="G55" s="438">
        <f t="shared" si="36"/>
        <v>128699.39932954892</v>
      </c>
      <c r="H55" s="438">
        <f t="shared" si="36"/>
        <v>123887.48823172865</v>
      </c>
      <c r="I55" s="438">
        <f t="shared" si="36"/>
        <v>137208.21319740065</v>
      </c>
      <c r="J55" s="438">
        <f t="shared" si="36"/>
        <v>138746.23520033987</v>
      </c>
      <c r="K55" s="438">
        <f t="shared" si="36"/>
        <v>48573.304707626543</v>
      </c>
      <c r="L55" s="438">
        <f t="shared" si="36"/>
        <v>22172.948786583311</v>
      </c>
      <c r="M55" s="438">
        <f t="shared" si="36"/>
        <v>18292.544433371135</v>
      </c>
      <c r="N55" s="438">
        <f t="shared" si="36"/>
        <v>31002.130600218472</v>
      </c>
      <c r="O55" s="438">
        <f t="shared" si="36"/>
        <v>18631.997586851056</v>
      </c>
      <c r="P55" s="438">
        <f t="shared" si="36"/>
        <v>18667.478631540544</v>
      </c>
      <c r="Q55" s="438">
        <f t="shared" si="36"/>
        <v>18487.983644698812</v>
      </c>
      <c r="R55" s="438">
        <f t="shared" si="36"/>
        <v>18804.516083025603</v>
      </c>
      <c r="S55" s="438">
        <f t="shared" si="36"/>
        <v>59346.693132762717</v>
      </c>
      <c r="T55" s="438">
        <f t="shared" si="36"/>
        <v>67368.989076868049</v>
      </c>
      <c r="U55" s="438">
        <f t="shared" si="36"/>
        <v>66419.514870621206</v>
      </c>
      <c r="V55" s="438">
        <f t="shared" si="36"/>
        <v>73406.634998200738</v>
      </c>
      <c r="W55" s="438">
        <f t="shared" ref="W55:AB55" si="37">W52+W54+W53</f>
        <v>22319.670000000002</v>
      </c>
      <c r="X55" s="438">
        <f t="shared" si="37"/>
        <v>23564.5</v>
      </c>
      <c r="Y55" s="438">
        <f t="shared" si="37"/>
        <v>26235.5</v>
      </c>
      <c r="Z55" s="438">
        <f t="shared" si="37"/>
        <v>27109.05</v>
      </c>
      <c r="AA55" s="438">
        <f t="shared" si="37"/>
        <v>27830.348000000002</v>
      </c>
      <c r="AB55" s="438">
        <f t="shared" si="37"/>
        <v>26892.7</v>
      </c>
      <c r="AC55" s="438">
        <f t="shared" ref="AC55:AI55" si="38">AC52+AC54+AC53</f>
        <v>30995.358</v>
      </c>
      <c r="AD55" s="438">
        <f t="shared" si="38"/>
        <v>28019.3</v>
      </c>
      <c r="AE55" s="438">
        <f t="shared" si="38"/>
        <v>40953.804000000004</v>
      </c>
      <c r="AF55" s="438">
        <f t="shared" si="38"/>
        <v>19520.982000000004</v>
      </c>
      <c r="AG55" s="438">
        <f t="shared" si="38"/>
        <v>17101.538</v>
      </c>
      <c r="AH55" s="438">
        <f t="shared" si="38"/>
        <v>28212</v>
      </c>
      <c r="AI55" s="438">
        <f t="shared" si="38"/>
        <v>6766.9459999999999</v>
      </c>
    </row>
    <row r="56" spans="2:35" ht="15.5" thickBot="1">
      <c r="B56" s="701" t="s">
        <v>497</v>
      </c>
      <c r="C56" s="593">
        <f t="shared" ref="C56:V56" si="39">C55/1000000</f>
        <v>0.1126915732517219</v>
      </c>
      <c r="D56" s="593">
        <f t="shared" si="39"/>
        <v>0.10780756578386329</v>
      </c>
      <c r="E56" s="592">
        <f t="shared" si="39"/>
        <v>0.14703483140735457</v>
      </c>
      <c r="F56" s="592">
        <f t="shared" si="39"/>
        <v>0.11598274106344438</v>
      </c>
      <c r="G56" s="592">
        <f t="shared" si="39"/>
        <v>0.12869939932954891</v>
      </c>
      <c r="H56" s="592">
        <f t="shared" si="39"/>
        <v>0.12388748823172865</v>
      </c>
      <c r="I56" s="592">
        <f t="shared" si="39"/>
        <v>0.13720821319740065</v>
      </c>
      <c r="J56" s="592">
        <f t="shared" si="39"/>
        <v>0.13874623520033988</v>
      </c>
      <c r="K56" s="592">
        <f t="shared" si="39"/>
        <v>4.8573304707626545E-2</v>
      </c>
      <c r="L56" s="592">
        <f t="shared" si="39"/>
        <v>2.217294878658331E-2</v>
      </c>
      <c r="M56" s="592">
        <f t="shared" si="39"/>
        <v>1.8292544433371135E-2</v>
      </c>
      <c r="N56" s="592">
        <f t="shared" si="39"/>
        <v>3.1002130600218471E-2</v>
      </c>
      <c r="O56" s="592">
        <f t="shared" si="39"/>
        <v>1.8631997586851055E-2</v>
      </c>
      <c r="P56" s="592">
        <f t="shared" si="39"/>
        <v>1.8667478631540543E-2</v>
      </c>
      <c r="Q56" s="592">
        <f t="shared" si="39"/>
        <v>1.8487983644698811E-2</v>
      </c>
      <c r="R56" s="592">
        <f t="shared" si="39"/>
        <v>1.8804516083025604E-2</v>
      </c>
      <c r="S56" s="592">
        <f t="shared" si="39"/>
        <v>5.9346693132762716E-2</v>
      </c>
      <c r="T56" s="592">
        <f t="shared" si="39"/>
        <v>6.7368989076868044E-2</v>
      </c>
      <c r="U56" s="592">
        <f t="shared" si="39"/>
        <v>6.6419514870621199E-2</v>
      </c>
      <c r="V56" s="592">
        <f t="shared" si="39"/>
        <v>7.3406634998200743E-2</v>
      </c>
      <c r="W56" s="592">
        <f t="shared" ref="W56:AB56" si="40">W55/1000000</f>
        <v>2.2319670000000003E-2</v>
      </c>
      <c r="X56" s="592">
        <f t="shared" si="40"/>
        <v>2.3564499999999999E-2</v>
      </c>
      <c r="Y56" s="592">
        <f t="shared" si="40"/>
        <v>2.6235499999999998E-2</v>
      </c>
      <c r="Z56" s="592">
        <f t="shared" si="40"/>
        <v>2.7109049999999999E-2</v>
      </c>
      <c r="AA56" s="592">
        <f t="shared" si="40"/>
        <v>2.7830348000000001E-2</v>
      </c>
      <c r="AB56" s="592">
        <f t="shared" si="40"/>
        <v>2.6892700000000002E-2</v>
      </c>
      <c r="AC56" s="592">
        <f t="shared" ref="AC56:AH56" si="41">AC55/1000000</f>
        <v>3.0995358000000001E-2</v>
      </c>
      <c r="AD56" s="592">
        <f t="shared" si="41"/>
        <v>2.80193E-2</v>
      </c>
      <c r="AE56" s="592">
        <f t="shared" si="41"/>
        <v>4.0953804000000003E-2</v>
      </c>
      <c r="AF56" s="592">
        <f t="shared" si="41"/>
        <v>1.9520982000000003E-2</v>
      </c>
      <c r="AG56" s="592">
        <f t="shared" si="41"/>
        <v>1.7101537999999999E-2</v>
      </c>
      <c r="AH56" s="592">
        <f t="shared" si="41"/>
        <v>2.8212000000000001E-2</v>
      </c>
      <c r="AI56" s="592">
        <f t="shared" ref="AI56" si="42">AI55/1000000</f>
        <v>6.7669460000000002E-3</v>
      </c>
    </row>
    <row r="57" spans="2:35" ht="15.5" thickBot="1">
      <c r="B57" s="219" t="s">
        <v>498</v>
      </c>
      <c r="C57" s="410">
        <f t="shared" ref="C57:Y57" si="43">C52/1000000</f>
        <v>0.10699320172648882</v>
      </c>
      <c r="D57" s="410">
        <f t="shared" si="43"/>
        <v>0.10258534852905217</v>
      </c>
      <c r="E57" s="410">
        <f t="shared" si="43"/>
        <v>0.14009735247702856</v>
      </c>
      <c r="F57" s="410">
        <f t="shared" si="43"/>
        <v>0.11051037907474041</v>
      </c>
      <c r="G57" s="410">
        <f t="shared" si="43"/>
        <v>0.12278053316388125</v>
      </c>
      <c r="H57" s="410">
        <f t="shared" si="43"/>
        <v>0.1183302469380265</v>
      </c>
      <c r="I57" s="410">
        <f t="shared" si="43"/>
        <v>0.13120122756031835</v>
      </c>
      <c r="J57" s="410">
        <f t="shared" si="43"/>
        <v>0.13281419744027209</v>
      </c>
      <c r="K57" s="410">
        <f t="shared" si="43"/>
        <v>4.6496573203951029E-2</v>
      </c>
      <c r="L57" s="410">
        <f t="shared" si="43"/>
        <v>2.1224953554394559E-2</v>
      </c>
      <c r="M57" s="410">
        <f t="shared" si="43"/>
        <v>1.7545398981942854E-2</v>
      </c>
      <c r="N57" s="410">
        <f t="shared" si="43"/>
        <v>2.9763498226585507E-2</v>
      </c>
      <c r="O57" s="410">
        <f t="shared" si="43"/>
        <v>1.790346834892128E-2</v>
      </c>
      <c r="P57" s="410">
        <f t="shared" si="43"/>
        <v>1.795278919836734E-2</v>
      </c>
      <c r="Q57" s="410">
        <f t="shared" si="43"/>
        <v>1.7780166225306118E-2</v>
      </c>
      <c r="R57" s="410">
        <f t="shared" si="43"/>
        <v>1.8069241204003886E-2</v>
      </c>
      <c r="S57" s="410">
        <f t="shared" si="43"/>
        <v>5.7026186611361045E-2</v>
      </c>
      <c r="T57" s="410">
        <f t="shared" si="43"/>
        <v>6.473480687779154E-2</v>
      </c>
      <c r="U57" s="410">
        <f t="shared" si="43"/>
        <v>6.3822444973151843E-2</v>
      </c>
      <c r="V57" s="410">
        <f t="shared" si="43"/>
        <v>7.0536364444115512E-2</v>
      </c>
      <c r="W57" s="410">
        <f t="shared" si="43"/>
        <v>2.0858900000000003E-2</v>
      </c>
      <c r="X57" s="410">
        <f t="shared" si="43"/>
        <v>2.2093000000000002E-2</v>
      </c>
      <c r="Y57" s="410">
        <f t="shared" si="43"/>
        <v>2.4778999999999999E-2</v>
      </c>
      <c r="Z57" s="410">
        <f t="shared" ref="Z57:AE57" si="44">Z52/1000000</f>
        <v>2.5643799999999998E-2</v>
      </c>
      <c r="AA57" s="410">
        <f t="shared" si="44"/>
        <v>2.64497E-2</v>
      </c>
      <c r="AB57" s="410">
        <f t="shared" si="44"/>
        <v>2.5488199999999999E-2</v>
      </c>
      <c r="AC57" s="410">
        <f t="shared" si="44"/>
        <v>2.9544000000000001E-2</v>
      </c>
      <c r="AD57" s="410">
        <f t="shared" si="44"/>
        <v>2.6555200000000001E-2</v>
      </c>
      <c r="AE57" s="410">
        <f t="shared" si="44"/>
        <v>3.9489400000000001E-2</v>
      </c>
      <c r="AF57" s="410">
        <f t="shared" ref="AF57:AG57" si="45">AF52/1000000</f>
        <v>1.8173300000000003E-2</v>
      </c>
      <c r="AG57" s="410">
        <f t="shared" si="45"/>
        <v>1.5938500000000001E-2</v>
      </c>
      <c r="AH57" s="410">
        <f t="shared" ref="AH57:AI57" si="46">AH52/1000000</f>
        <v>2.7116900000000003E-2</v>
      </c>
      <c r="AI57" s="410">
        <f t="shared" si="46"/>
        <v>6.4361999999999996E-3</v>
      </c>
    </row>
    <row r="58" spans="2:35" ht="15">
      <c r="B58" s="124"/>
      <c r="C58" s="119"/>
      <c r="D58" s="119"/>
      <c r="E58" s="119"/>
      <c r="F58" s="119"/>
      <c r="G58" s="119"/>
      <c r="H58" s="119"/>
      <c r="I58" s="119"/>
      <c r="J58" s="119"/>
      <c r="K58" s="119"/>
      <c r="L58" s="119"/>
      <c r="M58" s="119"/>
      <c r="N58" s="119"/>
      <c r="O58" s="119"/>
      <c r="P58" s="119"/>
      <c r="Q58" s="119"/>
      <c r="R58" s="119"/>
      <c r="S58" s="411"/>
      <c r="T58" s="115"/>
      <c r="U58" s="115"/>
      <c r="V58" s="115"/>
      <c r="W58" s="115"/>
      <c r="X58" s="115"/>
      <c r="Y58" s="115"/>
      <c r="Z58" s="256"/>
      <c r="AA58" s="115"/>
      <c r="AB58" s="115"/>
    </row>
    <row r="60" spans="2:35">
      <c r="B60" s="536" t="s">
        <v>499</v>
      </c>
      <c r="C60" s="639"/>
      <c r="D60" s="639"/>
      <c r="E60" s="639"/>
      <c r="F60" s="639"/>
      <c r="G60" s="639"/>
      <c r="H60" s="639"/>
      <c r="I60" s="639"/>
      <c r="J60" s="639"/>
      <c r="K60" s="639"/>
      <c r="L60" s="763" t="s">
        <v>500</v>
      </c>
      <c r="M60" s="639" t="s">
        <v>501</v>
      </c>
      <c r="N60" s="639"/>
      <c r="O60" s="639"/>
      <c r="P60" s="639"/>
      <c r="Q60" s="639"/>
      <c r="R60" s="639"/>
      <c r="S60" s="639"/>
      <c r="T60" s="639"/>
      <c r="U60" s="639"/>
      <c r="V60" s="639"/>
    </row>
    <row r="61" spans="2:35" ht="15" thickBot="1">
      <c r="B61" s="536" t="s">
        <v>502</v>
      </c>
      <c r="C61" s="640"/>
      <c r="D61" s="235"/>
      <c r="E61" s="235"/>
      <c r="F61" s="235"/>
      <c r="G61" s="235"/>
      <c r="H61" s="235" t="s">
        <v>503</v>
      </c>
      <c r="I61" s="235"/>
      <c r="J61" s="235"/>
      <c r="K61" s="235"/>
      <c r="L61" s="235"/>
      <c r="M61" s="639" t="s">
        <v>504</v>
      </c>
      <c r="N61" s="235"/>
      <c r="O61" s="235"/>
      <c r="P61" s="235"/>
      <c r="Q61" s="235"/>
      <c r="R61" s="235"/>
      <c r="S61" s="235"/>
      <c r="T61" s="235"/>
      <c r="U61" s="235"/>
      <c r="V61" s="235"/>
    </row>
    <row r="62" spans="2:35" ht="15" thickBot="1">
      <c r="B62" s="521" t="s">
        <v>505</v>
      </c>
      <c r="C62" s="725"/>
      <c r="D62" s="1780" t="s">
        <v>459</v>
      </c>
      <c r="E62" s="1780"/>
      <c r="F62" s="1780"/>
      <c r="G62" s="1780" t="s">
        <v>28</v>
      </c>
      <c r="H62" s="1780"/>
      <c r="I62" s="1780"/>
      <c r="J62" s="1780" t="s">
        <v>30</v>
      </c>
      <c r="K62" s="1780"/>
      <c r="L62" s="1780"/>
      <c r="M62" s="640" t="s">
        <v>506</v>
      </c>
      <c r="N62" s="235"/>
      <c r="O62" s="235"/>
      <c r="P62" s="235"/>
      <c r="Q62" s="235"/>
      <c r="R62" s="235"/>
      <c r="S62" s="235"/>
      <c r="T62" s="235"/>
      <c r="U62" s="235"/>
      <c r="V62" s="235"/>
    </row>
    <row r="63" spans="2:35" ht="78.5">
      <c r="B63" s="524" t="s">
        <v>507</v>
      </c>
      <c r="C63" s="328" t="s">
        <v>508</v>
      </c>
      <c r="D63" s="316" t="s">
        <v>509</v>
      </c>
      <c r="E63" s="316"/>
      <c r="F63" s="316" t="s">
        <v>510</v>
      </c>
      <c r="G63" s="407"/>
      <c r="H63" s="312"/>
      <c r="I63" s="312" t="s">
        <v>511</v>
      </c>
      <c r="J63" s="312"/>
      <c r="K63" s="312"/>
      <c r="L63" s="312" t="s">
        <v>512</v>
      </c>
      <c r="M63" s="235"/>
      <c r="N63" s="235" t="s">
        <v>513</v>
      </c>
      <c r="O63" s="235"/>
      <c r="P63" s="235"/>
      <c r="Q63" s="235"/>
      <c r="R63" s="235"/>
      <c r="S63" s="235"/>
      <c r="T63" s="235"/>
      <c r="U63" s="235"/>
      <c r="V63" s="235"/>
    </row>
    <row r="64" spans="2:35">
      <c r="B64" s="1772" t="s">
        <v>514</v>
      </c>
      <c r="C64" s="764" t="s">
        <v>500</v>
      </c>
      <c r="D64" s="724">
        <v>105.51</v>
      </c>
      <c r="E64" s="724"/>
      <c r="F64" s="724">
        <f>D64*2.20462</f>
        <v>232.60945619999998</v>
      </c>
      <c r="G64" s="765"/>
      <c r="H64" s="766"/>
      <c r="I64" s="724">
        <v>6.6290999779789792E-2</v>
      </c>
      <c r="J64" s="646"/>
      <c r="K64" s="766"/>
      <c r="L64" s="766">
        <v>8.838799970638642E-3</v>
      </c>
      <c r="M64" s="235"/>
      <c r="N64" s="235"/>
      <c r="O64" s="235"/>
      <c r="P64" s="235"/>
      <c r="Q64" s="235"/>
      <c r="R64" s="235"/>
      <c r="S64" s="235"/>
      <c r="T64" s="235"/>
      <c r="U64" s="235"/>
      <c r="V64" s="235"/>
    </row>
    <row r="65" spans="2:22">
      <c r="B65" s="1773"/>
      <c r="C65" s="767">
        <v>1990</v>
      </c>
      <c r="D65" s="768">
        <v>1991</v>
      </c>
      <c r="E65" s="768">
        <v>1992</v>
      </c>
      <c r="F65" s="768">
        <v>1993</v>
      </c>
      <c r="G65" s="768">
        <v>1994</v>
      </c>
      <c r="H65" s="768">
        <v>1995</v>
      </c>
      <c r="I65" s="768">
        <v>1996</v>
      </c>
      <c r="J65" s="768">
        <v>1997</v>
      </c>
      <c r="K65" s="768">
        <v>1998</v>
      </c>
      <c r="L65" s="768">
        <v>1999</v>
      </c>
      <c r="M65" s="767">
        <v>2000</v>
      </c>
      <c r="N65" s="767">
        <v>2001</v>
      </c>
      <c r="O65" s="767">
        <v>2002</v>
      </c>
      <c r="P65" s="767">
        <v>2003</v>
      </c>
      <c r="Q65" s="767">
        <v>2004</v>
      </c>
      <c r="R65" s="769">
        <v>2005</v>
      </c>
      <c r="S65" s="769">
        <v>2006</v>
      </c>
      <c r="T65" s="769">
        <v>2007</v>
      </c>
      <c r="U65" s="769">
        <v>2008</v>
      </c>
      <c r="V65" s="769">
        <v>2009</v>
      </c>
    </row>
    <row r="66" spans="2:22" ht="27" thickBot="1">
      <c r="B66" s="316" t="s">
        <v>515</v>
      </c>
      <c r="C66" s="641">
        <v>2983.0360000000001</v>
      </c>
      <c r="D66" s="641">
        <v>2778.424</v>
      </c>
      <c r="E66" s="641">
        <v>3689</v>
      </c>
      <c r="F66" s="641">
        <v>2909.9250000000002</v>
      </c>
      <c r="G66" s="641">
        <v>3145.64</v>
      </c>
      <c r="H66" s="641">
        <v>2951.8440000000001</v>
      </c>
      <c r="I66" s="641">
        <v>3189</v>
      </c>
      <c r="J66" s="641">
        <v>3147.5</v>
      </c>
      <c r="K66" s="641">
        <v>1101.9000000000001</v>
      </c>
      <c r="L66" s="792">
        <v>503</v>
      </c>
      <c r="M66" s="792">
        <v>396</v>
      </c>
      <c r="N66" s="641">
        <v>374</v>
      </c>
      <c r="O66" s="641">
        <v>216</v>
      </c>
      <c r="P66" s="641">
        <v>208</v>
      </c>
      <c r="Q66" s="642">
        <v>206</v>
      </c>
      <c r="R66" s="332">
        <v>218</v>
      </c>
      <c r="S66" s="332">
        <v>688</v>
      </c>
      <c r="T66" s="332">
        <v>781</v>
      </c>
      <c r="U66" s="332">
        <v>770</v>
      </c>
      <c r="V66" s="332">
        <v>851</v>
      </c>
    </row>
    <row r="67" spans="2:22">
      <c r="B67" s="315" t="s">
        <v>516</v>
      </c>
      <c r="C67" s="757"/>
      <c r="D67" s="757"/>
      <c r="E67" s="757"/>
      <c r="F67" s="757"/>
      <c r="G67" s="757"/>
      <c r="H67" s="757"/>
      <c r="I67" s="757"/>
      <c r="J67" s="757"/>
      <c r="K67" s="757"/>
      <c r="L67" s="757"/>
      <c r="M67" s="757"/>
      <c r="N67" s="770">
        <v>0.56999999999999995</v>
      </c>
      <c r="O67" s="770">
        <v>0.56000000000000005</v>
      </c>
      <c r="P67" s="770">
        <v>0.55000000000000004</v>
      </c>
      <c r="Q67" s="771">
        <v>0.55000000000000004</v>
      </c>
      <c r="R67" s="772">
        <v>0.56000000000000005</v>
      </c>
      <c r="S67" s="772">
        <v>0.55999859804891117</v>
      </c>
      <c r="T67" s="772">
        <v>0.55999807031985471</v>
      </c>
      <c r="U67" s="772">
        <v>0.56000040241560933</v>
      </c>
      <c r="V67" s="772">
        <v>0.55999994897619132</v>
      </c>
    </row>
    <row r="68" spans="2:22">
      <c r="B68" s="315" t="s">
        <v>517</v>
      </c>
      <c r="C68" s="770">
        <v>0.34</v>
      </c>
      <c r="D68" s="770">
        <v>0.35</v>
      </c>
      <c r="E68" s="770">
        <v>0.36</v>
      </c>
      <c r="F68" s="770">
        <v>0.36</v>
      </c>
      <c r="G68" s="770">
        <v>0.37</v>
      </c>
      <c r="H68" s="770">
        <v>0.38</v>
      </c>
      <c r="I68" s="770">
        <v>0.39</v>
      </c>
      <c r="J68" s="770">
        <v>0.4</v>
      </c>
      <c r="K68" s="770">
        <v>0.4</v>
      </c>
      <c r="L68" s="770">
        <v>0.4</v>
      </c>
      <c r="M68" s="770">
        <v>0.42</v>
      </c>
      <c r="N68" s="770">
        <v>0.43</v>
      </c>
      <c r="O68" s="770">
        <v>0.44</v>
      </c>
      <c r="P68" s="770">
        <v>0.45</v>
      </c>
      <c r="Q68" s="771">
        <v>0.45</v>
      </c>
      <c r="R68" s="772">
        <v>0.44</v>
      </c>
      <c r="S68" s="772">
        <v>0.44000140195108878</v>
      </c>
      <c r="T68" s="772">
        <v>0.44000192968014534</v>
      </c>
      <c r="U68" s="772">
        <v>0.43999959758439061</v>
      </c>
      <c r="V68" s="772">
        <v>0.44000005102380868</v>
      </c>
    </row>
    <row r="69" spans="2:22">
      <c r="B69" s="315" t="s">
        <v>518</v>
      </c>
      <c r="C69" s="757"/>
      <c r="D69" s="757"/>
      <c r="E69" s="757"/>
      <c r="F69" s="757"/>
      <c r="G69" s="757"/>
      <c r="H69" s="757"/>
      <c r="I69" s="757"/>
      <c r="J69" s="757"/>
      <c r="K69" s="757"/>
      <c r="L69" s="757"/>
      <c r="M69" s="757"/>
      <c r="N69" s="751">
        <f>N66/N67</f>
        <v>656.14035087719299</v>
      </c>
      <c r="O69" s="751">
        <f t="shared" ref="O69:V69" si="47">O66/O67</f>
        <v>385.71428571428567</v>
      </c>
      <c r="P69" s="751">
        <f t="shared" si="47"/>
        <v>378.18181818181813</v>
      </c>
      <c r="Q69" s="751">
        <f t="shared" si="47"/>
        <v>374.5454545454545</v>
      </c>
      <c r="R69" s="751">
        <f t="shared" si="47"/>
        <v>389.28571428571422</v>
      </c>
      <c r="S69" s="751">
        <f t="shared" si="47"/>
        <v>1228.5745042881499</v>
      </c>
      <c r="T69" s="751">
        <f t="shared" si="47"/>
        <v>1394.64766289983</v>
      </c>
      <c r="U69" s="751">
        <f t="shared" si="47"/>
        <v>1374.9990119266693</v>
      </c>
      <c r="V69" s="751">
        <f t="shared" si="47"/>
        <v>1519.642995603524</v>
      </c>
    </row>
    <row r="70" spans="2:22">
      <c r="B70" s="315" t="s">
        <v>519</v>
      </c>
      <c r="C70" s="751">
        <f t="shared" ref="C70:M70" si="48">C66*C68</f>
        <v>1014.23224</v>
      </c>
      <c r="D70" s="751">
        <f t="shared" si="48"/>
        <v>972.44839999999988</v>
      </c>
      <c r="E70" s="751">
        <f t="shared" si="48"/>
        <v>1328.04</v>
      </c>
      <c r="F70" s="751">
        <f t="shared" si="48"/>
        <v>1047.5730000000001</v>
      </c>
      <c r="G70" s="751">
        <f t="shared" si="48"/>
        <v>1163.8868</v>
      </c>
      <c r="H70" s="751">
        <f t="shared" si="48"/>
        <v>1121.70072</v>
      </c>
      <c r="I70" s="751">
        <f t="shared" si="48"/>
        <v>1243.71</v>
      </c>
      <c r="J70" s="751">
        <f t="shared" si="48"/>
        <v>1259</v>
      </c>
      <c r="K70" s="751">
        <f t="shared" si="48"/>
        <v>440.76000000000005</v>
      </c>
      <c r="L70" s="751">
        <f t="shared" si="48"/>
        <v>201.20000000000002</v>
      </c>
      <c r="M70" s="751">
        <f t="shared" si="48"/>
        <v>166.32</v>
      </c>
      <c r="N70" s="751">
        <f>N69*N68</f>
        <v>282.14035087719299</v>
      </c>
      <c r="O70" s="751">
        <f t="shared" ref="O70:V70" si="49">O69*O68</f>
        <v>169.71428571428569</v>
      </c>
      <c r="P70" s="751">
        <f t="shared" si="49"/>
        <v>170.18181818181816</v>
      </c>
      <c r="Q70" s="751">
        <f t="shared" si="49"/>
        <v>168.54545454545453</v>
      </c>
      <c r="R70" s="751">
        <f t="shared" si="49"/>
        <v>171.28571428571425</v>
      </c>
      <c r="S70" s="751">
        <f t="shared" si="49"/>
        <v>540.57450428814991</v>
      </c>
      <c r="T70" s="751">
        <f t="shared" si="49"/>
        <v>613.64766289983004</v>
      </c>
      <c r="U70" s="751">
        <f t="shared" si="49"/>
        <v>604.99901192666914</v>
      </c>
      <c r="V70" s="751">
        <f t="shared" si="49"/>
        <v>668.64299560352401</v>
      </c>
    </row>
    <row r="71" spans="2:22" ht="15" customHeight="1">
      <c r="B71" s="315" t="s">
        <v>520</v>
      </c>
      <c r="C71" s="366">
        <f t="shared" ref="C71:J71" si="50">C70*1000*$F$64</f>
        <v>235920009.80690786</v>
      </c>
      <c r="D71" s="366">
        <f t="shared" si="50"/>
        <v>226200693.50656003</v>
      </c>
      <c r="E71" s="366">
        <f t="shared" si="50"/>
        <v>308914662.21184796</v>
      </c>
      <c r="F71" s="366">
        <f t="shared" si="50"/>
        <v>243675385.8598026</v>
      </c>
      <c r="G71" s="366">
        <f t="shared" si="50"/>
        <v>270731075.62635815</v>
      </c>
      <c r="H71" s="366">
        <f t="shared" si="50"/>
        <v>260918194.49834844</v>
      </c>
      <c r="I71" s="366">
        <f t="shared" si="50"/>
        <v>289298706.77050197</v>
      </c>
      <c r="J71" s="366">
        <f t="shared" si="50"/>
        <v>292855305.35579997</v>
      </c>
      <c r="K71" s="366">
        <f>K70*1000*$F$64</f>
        <v>102524943.91471201</v>
      </c>
      <c r="L71" s="366">
        <f>L70*1000*$F$64</f>
        <v>46801022.587440006</v>
      </c>
      <c r="M71" s="366">
        <f>M70*1000*$F$64</f>
        <v>38687604.755183995</v>
      </c>
      <c r="N71" s="366">
        <f>N70*1000*$F$64</f>
        <v>65628513.589621045</v>
      </c>
      <c r="O71" s="366">
        <f t="shared" ref="O71:U71" si="51">O70*1000*$F$64</f>
        <v>39477147.709371418</v>
      </c>
      <c r="P71" s="366">
        <f t="shared" si="51"/>
        <v>39585900.182399988</v>
      </c>
      <c r="Q71" s="366">
        <f t="shared" si="51"/>
        <v>39205266.526799992</v>
      </c>
      <c r="R71" s="366">
        <f t="shared" si="51"/>
        <v>39842676.854828566</v>
      </c>
      <c r="S71" s="366">
        <f t="shared" si="51"/>
        <v>125742741.4780511</v>
      </c>
      <c r="T71" s="366">
        <f t="shared" si="51"/>
        <v>142740249.16553035</v>
      </c>
      <c r="U71" s="366">
        <f t="shared" si="51"/>
        <v>140728491.16579983</v>
      </c>
      <c r="V71" s="366">
        <f>V70*1000*$F$64</f>
        <v>155532683.59927469</v>
      </c>
    </row>
    <row r="72" spans="2:22">
      <c r="B72" s="449" t="s">
        <v>317</v>
      </c>
      <c r="C72" s="647">
        <f t="shared" ref="C72:V72" si="52">C71/(2205*1000000)</f>
        <v>0.10699320172648882</v>
      </c>
      <c r="D72" s="647">
        <f t="shared" si="52"/>
        <v>0.10258534852905217</v>
      </c>
      <c r="E72" s="647">
        <f t="shared" si="52"/>
        <v>0.14009735247702856</v>
      </c>
      <c r="F72" s="647">
        <f t="shared" si="52"/>
        <v>0.11051037907474041</v>
      </c>
      <c r="G72" s="647">
        <f t="shared" si="52"/>
        <v>0.12278053316388125</v>
      </c>
      <c r="H72" s="647">
        <f t="shared" si="52"/>
        <v>0.1183302469380265</v>
      </c>
      <c r="I72" s="647">
        <f t="shared" si="52"/>
        <v>0.13120122756031835</v>
      </c>
      <c r="J72" s="647">
        <f t="shared" si="52"/>
        <v>0.13281419744027209</v>
      </c>
      <c r="K72" s="647">
        <f t="shared" si="52"/>
        <v>4.6496573203951029E-2</v>
      </c>
      <c r="L72" s="647">
        <f t="shared" si="52"/>
        <v>2.1224953554394559E-2</v>
      </c>
      <c r="M72" s="647">
        <f t="shared" si="52"/>
        <v>1.7545398981942854E-2</v>
      </c>
      <c r="N72" s="647">
        <f t="shared" si="52"/>
        <v>2.9763498226585507E-2</v>
      </c>
      <c r="O72" s="647">
        <f t="shared" si="52"/>
        <v>1.790346834892128E-2</v>
      </c>
      <c r="P72" s="647">
        <f t="shared" si="52"/>
        <v>1.795278919836734E-2</v>
      </c>
      <c r="Q72" s="647">
        <f t="shared" si="52"/>
        <v>1.7780166225306118E-2</v>
      </c>
      <c r="R72" s="647">
        <f t="shared" si="52"/>
        <v>1.8069241204003886E-2</v>
      </c>
      <c r="S72" s="647">
        <f t="shared" si="52"/>
        <v>5.7026186611361045E-2</v>
      </c>
      <c r="T72" s="647">
        <f t="shared" si="52"/>
        <v>6.473480687779154E-2</v>
      </c>
      <c r="U72" s="647">
        <f t="shared" si="52"/>
        <v>6.3822444973151843E-2</v>
      </c>
      <c r="V72" s="647">
        <f t="shared" si="52"/>
        <v>7.0536364444115512E-2</v>
      </c>
    </row>
    <row r="73" spans="2:22">
      <c r="B73" s="773" t="s">
        <v>28</v>
      </c>
      <c r="C73" s="774"/>
      <c r="D73" s="774"/>
      <c r="E73" s="774"/>
      <c r="F73" s="774"/>
      <c r="G73" s="774"/>
      <c r="H73" s="774"/>
      <c r="I73" s="774"/>
      <c r="J73" s="774"/>
      <c r="K73" s="774"/>
      <c r="L73" s="774"/>
      <c r="M73" s="774"/>
      <c r="N73" s="774"/>
      <c r="O73" s="774"/>
      <c r="P73" s="774"/>
      <c r="Q73" s="774"/>
      <c r="R73" s="774"/>
      <c r="S73" s="774"/>
      <c r="T73" s="774"/>
      <c r="U73" s="774"/>
      <c r="V73" s="774"/>
    </row>
    <row r="74" spans="2:22">
      <c r="B74" s="312" t="s">
        <v>521</v>
      </c>
      <c r="C74" s="775">
        <f t="shared" ref="C74:M74" si="53">C70*1000*$I$64</f>
        <v>67234.469198495703</v>
      </c>
      <c r="D74" s="775">
        <f t="shared" si="53"/>
        <v>64464.576670256931</v>
      </c>
      <c r="E74" s="775">
        <f t="shared" si="53"/>
        <v>88037.099347552037</v>
      </c>
      <c r="F74" s="775">
        <f t="shared" si="53"/>
        <v>69444.661512313745</v>
      </c>
      <c r="G74" s="775">
        <f t="shared" si="53"/>
        <v>77155.219602500249</v>
      </c>
      <c r="H74" s="775">
        <f t="shared" si="53"/>
        <v>74358.662182510045</v>
      </c>
      <c r="I74" s="775">
        <f t="shared" si="53"/>
        <v>82446.779336122359</v>
      </c>
      <c r="J74" s="775">
        <f t="shared" si="53"/>
        <v>83460.368722755346</v>
      </c>
      <c r="K74" s="775">
        <f t="shared" si="53"/>
        <v>29218.421062940153</v>
      </c>
      <c r="L74" s="775">
        <f t="shared" si="53"/>
        <v>13337.749155693708</v>
      </c>
      <c r="M74" s="775">
        <f t="shared" si="53"/>
        <v>11025.519083374638</v>
      </c>
      <c r="N74" s="775">
        <f>N70*1000*$I$64</f>
        <v>18703.365937869814</v>
      </c>
      <c r="O74" s="775">
        <f t="shared" ref="O74:V74" si="54">O70*1000*$I$64</f>
        <v>11250.529676912895</v>
      </c>
      <c r="P74" s="775">
        <f t="shared" si="54"/>
        <v>11281.522871615132</v>
      </c>
      <c r="Q74" s="775">
        <f t="shared" si="54"/>
        <v>11173.046690157296</v>
      </c>
      <c r="R74" s="775">
        <f t="shared" si="54"/>
        <v>11354.701247995421</v>
      </c>
      <c r="S74" s="775">
        <f t="shared" si="54"/>
        <v>35835.224344725721</v>
      </c>
      <c r="T74" s="775">
        <f t="shared" si="54"/>
        <v>40679.317086161151</v>
      </c>
      <c r="U74" s="775">
        <f t="shared" si="54"/>
        <v>40105.989366403868</v>
      </c>
      <c r="V74" s="775">
        <f t="shared" si="54"/>
        <v>44325.012674311198</v>
      </c>
    </row>
    <row r="75" spans="2:22">
      <c r="B75" s="312" t="s">
        <v>522</v>
      </c>
      <c r="C75" s="600">
        <f t="shared" ref="C75:V75" si="55">C74*25</f>
        <v>1680861.7299623925</v>
      </c>
      <c r="D75" s="600">
        <f t="shared" si="55"/>
        <v>1611614.4167564232</v>
      </c>
      <c r="E75" s="600">
        <f t="shared" si="55"/>
        <v>2200927.4836888011</v>
      </c>
      <c r="F75" s="600">
        <f t="shared" si="55"/>
        <v>1736116.5378078436</v>
      </c>
      <c r="G75" s="600">
        <f t="shared" si="55"/>
        <v>1928880.4900625062</v>
      </c>
      <c r="H75" s="600">
        <f t="shared" si="55"/>
        <v>1858966.5545627512</v>
      </c>
      <c r="I75" s="600">
        <f t="shared" si="55"/>
        <v>2061169.483403059</v>
      </c>
      <c r="J75" s="600">
        <f t="shared" si="55"/>
        <v>2086509.2180688838</v>
      </c>
      <c r="K75" s="600">
        <f t="shared" si="55"/>
        <v>730460.52657350386</v>
      </c>
      <c r="L75" s="600">
        <f t="shared" si="55"/>
        <v>333443.72889234271</v>
      </c>
      <c r="M75" s="600">
        <f t="shared" si="55"/>
        <v>275637.97708436596</v>
      </c>
      <c r="N75" s="600">
        <f t="shared" si="55"/>
        <v>467584.14844674536</v>
      </c>
      <c r="O75" s="600">
        <f t="shared" si="55"/>
        <v>281263.24192282237</v>
      </c>
      <c r="P75" s="600">
        <f t="shared" si="55"/>
        <v>282038.07179037831</v>
      </c>
      <c r="Q75" s="600">
        <f t="shared" si="55"/>
        <v>279326.16725393239</v>
      </c>
      <c r="R75" s="600">
        <f t="shared" si="55"/>
        <v>283867.53119988553</v>
      </c>
      <c r="S75" s="600">
        <f t="shared" si="55"/>
        <v>895880.60861814301</v>
      </c>
      <c r="T75" s="600">
        <f t="shared" si="55"/>
        <v>1016982.9271540288</v>
      </c>
      <c r="U75" s="600">
        <f t="shared" si="55"/>
        <v>1002649.7341600967</v>
      </c>
      <c r="V75" s="600">
        <f t="shared" si="55"/>
        <v>1108125.3168577799</v>
      </c>
    </row>
    <row r="76" spans="2:22">
      <c r="B76" s="322" t="s">
        <v>523</v>
      </c>
      <c r="C76" s="601">
        <f t="shared" ref="C76:V76" si="56">C75/(2205*1000000)</f>
        <v>7.6229556914394212E-4</v>
      </c>
      <c r="D76" s="326">
        <f>D75/(2205*1000000)</f>
        <v>7.308908919530264E-4</v>
      </c>
      <c r="E76" s="326">
        <f t="shared" si="56"/>
        <v>9.981530538271206E-4</v>
      </c>
      <c r="F76" s="326">
        <f t="shared" si="56"/>
        <v>7.8735443891512179E-4</v>
      </c>
      <c r="G76" s="326">
        <f t="shared" si="56"/>
        <v>8.7477573245465135E-4</v>
      </c>
      <c r="H76" s="326">
        <f t="shared" si="56"/>
        <v>8.430687322280051E-4</v>
      </c>
      <c r="I76" s="326">
        <f t="shared" si="56"/>
        <v>9.3477074077236231E-4</v>
      </c>
      <c r="J76" s="326">
        <f t="shared" si="56"/>
        <v>9.462626839314666E-4</v>
      </c>
      <c r="K76" s="326">
        <f t="shared" si="56"/>
        <v>3.3127461522607885E-4</v>
      </c>
      <c r="L76" s="326">
        <f t="shared" si="56"/>
        <v>1.5122164575616449E-4</v>
      </c>
      <c r="M76" s="326">
        <f t="shared" si="56"/>
        <v>1.2500588529903219E-4</v>
      </c>
      <c r="N76" s="326">
        <f t="shared" si="56"/>
        <v>2.120563031504514E-4</v>
      </c>
      <c r="O76" s="326">
        <f t="shared" si="56"/>
        <v>1.2755702581533895E-4</v>
      </c>
      <c r="P76" s="326">
        <f t="shared" si="56"/>
        <v>1.2790842258067044E-4</v>
      </c>
      <c r="Q76" s="326">
        <f t="shared" si="56"/>
        <v>1.2667853390201016E-4</v>
      </c>
      <c r="R76" s="326">
        <f t="shared" si="56"/>
        <v>1.287381093877032E-4</v>
      </c>
      <c r="S76" s="326">
        <f t="shared" si="56"/>
        <v>4.0629506059779727E-4</v>
      </c>
      <c r="T76" s="326">
        <f t="shared" si="56"/>
        <v>4.6121674700862984E-4</v>
      </c>
      <c r="U76" s="326">
        <f t="shared" si="56"/>
        <v>4.5471643272566745E-4</v>
      </c>
      <c r="V76" s="326">
        <f t="shared" si="56"/>
        <v>5.0255116410783665E-4</v>
      </c>
    </row>
    <row r="77" spans="2:22">
      <c r="B77" s="597" t="s">
        <v>30</v>
      </c>
      <c r="C77" s="598"/>
      <c r="D77" s="598"/>
      <c r="E77" s="598"/>
      <c r="F77" s="598"/>
      <c r="G77" s="598"/>
      <c r="H77" s="598"/>
      <c r="I77" s="598"/>
      <c r="J77" s="598"/>
      <c r="K77" s="598"/>
      <c r="L77" s="598"/>
      <c r="M77" s="598"/>
      <c r="N77" s="598"/>
      <c r="O77" s="598"/>
      <c r="P77" s="598"/>
      <c r="Q77" s="598"/>
      <c r="R77" s="598"/>
      <c r="S77" s="598"/>
      <c r="T77" s="598"/>
      <c r="U77" s="598"/>
      <c r="V77" s="598"/>
    </row>
    <row r="78" spans="2:22">
      <c r="B78" s="312" t="s">
        <v>524</v>
      </c>
      <c r="C78" s="599">
        <f>C70*1000*$L$64</f>
        <v>8964.5958931327641</v>
      </c>
      <c r="D78" s="599">
        <f t="shared" ref="D78:M78" si="57">D70*1000*$L$64</f>
        <v>8595.276889367593</v>
      </c>
      <c r="E78" s="599">
        <f t="shared" si="57"/>
        <v>11738.279913006942</v>
      </c>
      <c r="F78" s="599">
        <f t="shared" si="57"/>
        <v>9259.2882016418353</v>
      </c>
      <c r="G78" s="599">
        <f t="shared" si="57"/>
        <v>10287.362613666703</v>
      </c>
      <c r="H78" s="599">
        <f t="shared" si="57"/>
        <v>9914.4882910013439</v>
      </c>
      <c r="I78" s="599">
        <f t="shared" si="57"/>
        <v>10992.903911482985</v>
      </c>
      <c r="J78" s="599">
        <f t="shared" si="57"/>
        <v>11128.049163034051</v>
      </c>
      <c r="K78" s="599">
        <f t="shared" si="57"/>
        <v>3895.7894750586884</v>
      </c>
      <c r="L78" s="599">
        <f t="shared" si="57"/>
        <v>1778.3665540924951</v>
      </c>
      <c r="M78" s="599">
        <f t="shared" si="57"/>
        <v>1470.069211116619</v>
      </c>
      <c r="N78" s="599">
        <f>N70*1000*$L$64</f>
        <v>2493.7821250493093</v>
      </c>
      <c r="O78" s="599">
        <f t="shared" ref="O78:V78" si="58">O70*1000*$L$64</f>
        <v>1500.0706235883863</v>
      </c>
      <c r="P78" s="599">
        <f t="shared" si="58"/>
        <v>1504.2030495486849</v>
      </c>
      <c r="Q78" s="599">
        <f t="shared" si="58"/>
        <v>1489.7395586876401</v>
      </c>
      <c r="R78" s="599">
        <f t="shared" si="58"/>
        <v>1513.9601663993901</v>
      </c>
      <c r="S78" s="599">
        <f t="shared" si="58"/>
        <v>4778.0299126300979</v>
      </c>
      <c r="T78" s="599">
        <f t="shared" si="58"/>
        <v>5423.9089448214891</v>
      </c>
      <c r="U78" s="599">
        <f t="shared" si="58"/>
        <v>5347.4652488538504</v>
      </c>
      <c r="V78" s="599">
        <f t="shared" si="58"/>
        <v>5910.001689908162</v>
      </c>
    </row>
    <row r="79" spans="2:22">
      <c r="B79" s="312" t="s">
        <v>522</v>
      </c>
      <c r="C79" s="600">
        <f>C78*298</f>
        <v>2671449.5761535638</v>
      </c>
      <c r="D79" s="600">
        <f t="shared" ref="D79:V79" si="59">D78*298</f>
        <v>2561392.5130315428</v>
      </c>
      <c r="E79" s="600">
        <f t="shared" si="59"/>
        <v>3498007.4140760684</v>
      </c>
      <c r="F79" s="600">
        <f t="shared" si="59"/>
        <v>2759267.8840892669</v>
      </c>
      <c r="G79" s="600">
        <f t="shared" si="59"/>
        <v>3065634.0588726774</v>
      </c>
      <c r="H79" s="600">
        <f t="shared" si="59"/>
        <v>2954517.5107184006</v>
      </c>
      <c r="I79" s="600">
        <f t="shared" si="59"/>
        <v>3275885.3656219295</v>
      </c>
      <c r="J79" s="600">
        <f t="shared" si="59"/>
        <v>3316158.6505841473</v>
      </c>
      <c r="K79" s="600">
        <f t="shared" si="59"/>
        <v>1160945.2635674891</v>
      </c>
      <c r="L79" s="600">
        <f t="shared" si="59"/>
        <v>529953.23311956355</v>
      </c>
      <c r="M79" s="600">
        <f t="shared" si="59"/>
        <v>438080.62491275248</v>
      </c>
      <c r="N79" s="600">
        <f t="shared" si="59"/>
        <v>743147.07326469419</v>
      </c>
      <c r="O79" s="600">
        <f t="shared" si="59"/>
        <v>447021.04582933913</v>
      </c>
      <c r="P79" s="600">
        <f t="shared" si="59"/>
        <v>448252.50876550813</v>
      </c>
      <c r="Q79" s="600">
        <f t="shared" si="59"/>
        <v>443942.38848891674</v>
      </c>
      <c r="R79" s="600">
        <f t="shared" si="59"/>
        <v>451160.12958701828</v>
      </c>
      <c r="S79" s="600">
        <f t="shared" si="59"/>
        <v>1423852.9139637691</v>
      </c>
      <c r="T79" s="600">
        <f t="shared" si="59"/>
        <v>1616324.8655568038</v>
      </c>
      <c r="U79" s="600">
        <f t="shared" si="59"/>
        <v>1593544.6441584474</v>
      </c>
      <c r="V79" s="600">
        <f t="shared" si="59"/>
        <v>1761180.5035926322</v>
      </c>
    </row>
    <row r="80" spans="2:22">
      <c r="B80" s="322" t="s">
        <v>525</v>
      </c>
      <c r="C80" s="602">
        <f t="shared" ref="C80:V80" si="60">C79/(2205*1000000)</f>
        <v>1.2115417578927726E-3</v>
      </c>
      <c r="D80" s="313">
        <f t="shared" si="60"/>
        <v>1.1616292576106769E-3</v>
      </c>
      <c r="E80" s="313">
        <f t="shared" si="60"/>
        <v>1.5863979202159042E-3</v>
      </c>
      <c r="F80" s="313">
        <f t="shared" si="60"/>
        <v>1.2513686549157673E-3</v>
      </c>
      <c r="G80" s="313">
        <f t="shared" si="60"/>
        <v>1.3903102307812596E-3</v>
      </c>
      <c r="H80" s="313">
        <f t="shared" si="60"/>
        <v>1.3399172384210433E-3</v>
      </c>
      <c r="I80" s="313">
        <f t="shared" si="60"/>
        <v>1.4856622973342085E-3</v>
      </c>
      <c r="J80" s="313">
        <f t="shared" si="60"/>
        <v>1.5039268256617448E-3</v>
      </c>
      <c r="K80" s="313">
        <f t="shared" si="60"/>
        <v>5.2650578846598144E-4</v>
      </c>
      <c r="L80" s="313">
        <f t="shared" si="60"/>
        <v>2.4034160232179754E-4</v>
      </c>
      <c r="M80" s="313">
        <f t="shared" si="60"/>
        <v>1.9867602036859522E-4</v>
      </c>
      <c r="N80" s="313">
        <f t="shared" si="60"/>
        <v>3.3702815114045086E-4</v>
      </c>
      <c r="O80" s="313">
        <f t="shared" si="60"/>
        <v>2.0273063302917875E-4</v>
      </c>
      <c r="P80" s="313">
        <f t="shared" si="60"/>
        <v>2.0328911962154563E-4</v>
      </c>
      <c r="Q80" s="313">
        <f t="shared" si="60"/>
        <v>2.0133441654826155E-4</v>
      </c>
      <c r="R80" s="313">
        <f t="shared" si="60"/>
        <v>2.0460776852018969E-4</v>
      </c>
      <c r="S80" s="313">
        <f t="shared" si="60"/>
        <v>6.4573828297676602E-4</v>
      </c>
      <c r="T80" s="313">
        <f t="shared" si="60"/>
        <v>7.3302714991238267E-4</v>
      </c>
      <c r="U80" s="313">
        <f t="shared" si="60"/>
        <v>7.2269598374532758E-4</v>
      </c>
      <c r="V80" s="313">
        <f t="shared" si="60"/>
        <v>7.9872131682205542E-4</v>
      </c>
    </row>
    <row r="81" spans="2:22">
      <c r="B81" s="359"/>
      <c r="C81" s="360"/>
      <c r="D81" s="360"/>
      <c r="E81" s="360"/>
      <c r="F81" s="360"/>
      <c r="G81" s="360"/>
      <c r="H81" s="360"/>
      <c r="I81" s="360"/>
      <c r="J81" s="360"/>
      <c r="K81" s="360"/>
      <c r="L81" s="360"/>
      <c r="M81" s="360"/>
      <c r="N81" s="360"/>
      <c r="O81" s="360"/>
      <c r="P81" s="360"/>
      <c r="Q81" s="360"/>
      <c r="R81" s="360"/>
      <c r="S81" s="360"/>
      <c r="T81" s="360"/>
      <c r="U81" s="360"/>
      <c r="V81" s="360"/>
    </row>
  </sheetData>
  <mergeCells count="8">
    <mergeCell ref="AB21:AI22"/>
    <mergeCell ref="B64:B65"/>
    <mergeCell ref="B36:D36"/>
    <mergeCell ref="B49:D49"/>
    <mergeCell ref="B3:M3"/>
    <mergeCell ref="D62:F62"/>
    <mergeCell ref="G62:I62"/>
    <mergeCell ref="J62:L62"/>
  </mergeCells>
  <phoneticPr fontId="43" type="noConversion"/>
  <conditionalFormatting sqref="B3 Q3 B4:N4">
    <cfRule type="cellIs" dxfId="3" priority="5" stopIfTrue="1" operator="equal">
      <formula>0</formula>
    </cfRule>
    <cfRule type="cellIs" dxfId="2" priority="6" stopIfTrue="1" operator="notEqual">
      <formula>0</formula>
    </cfRule>
  </conditionalFormatting>
  <hyperlinks>
    <hyperlink ref="B11" location="Process!C40" display="Total CO2e Landfills (without MSW Combustion)" xr:uid="{00000000-0004-0000-0C00-000000000000}"/>
    <hyperlink ref="B46" location="Process!C33" display="MMTCO2e from Solid Waste (to Electricity Sector)" xr:uid="{00000000-0004-0000-0C00-000001000000}"/>
    <hyperlink ref="B56" location="Process!C26" display="MMTCO2e from Solid Waste (to Industrial Sector)" xr:uid="{00000000-0004-0000-0C00-000002000000}"/>
  </hyperlinks>
  <pageMargins left="0" right="0" top="0" bottom="0" header="0.3" footer="0.3"/>
  <pageSetup scale="36" orientation="landscape" r:id="rId1"/>
  <headerFooter>
    <oddFooter>&amp;L&amp;F &amp;A&amp;R Page &amp;P of &amp;N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AM87"/>
  <sheetViews>
    <sheetView zoomScaleNormal="100" zoomScaleSheetLayoutView="100" workbookViewId="0"/>
  </sheetViews>
  <sheetFormatPr defaultColWidth="8.81640625" defaultRowHeight="14.5"/>
  <cols>
    <col min="1" max="1" width="5.453125" customWidth="1"/>
    <col min="2" max="2" width="32.453125" customWidth="1"/>
    <col min="3" max="3" width="7.54296875" customWidth="1"/>
    <col min="4" max="4" width="8.453125" customWidth="1"/>
    <col min="5" max="5" width="6.54296875" customWidth="1"/>
    <col min="6" max="6" width="8.7265625" customWidth="1"/>
    <col min="7" max="8" width="5.453125" bestFit="1" customWidth="1"/>
    <col min="9" max="10" width="9.453125" customWidth="1"/>
    <col min="11" max="11" width="6.81640625" customWidth="1"/>
    <col min="12" max="12" width="7.54296875" customWidth="1"/>
    <col min="13" max="22" width="10.1796875" customWidth="1"/>
    <col min="23" max="23" width="12.1796875" bestFit="1" customWidth="1"/>
    <col min="24" max="24" width="13.81640625" bestFit="1" customWidth="1"/>
    <col min="25" max="32" width="10.1796875" bestFit="1" customWidth="1"/>
    <col min="33" max="33" width="9.7265625" customWidth="1"/>
    <col min="34" max="34" width="10.1796875" bestFit="1" customWidth="1"/>
    <col min="35" max="35" width="9.81640625" customWidth="1"/>
    <col min="36" max="36" width="11.26953125" customWidth="1"/>
    <col min="37" max="38" width="8.81640625" hidden="1" customWidth="1"/>
  </cols>
  <sheetData>
    <row r="1" spans="1:38" ht="21.5">
      <c r="B1" s="89" t="s">
        <v>526</v>
      </c>
      <c r="C1" s="125"/>
      <c r="D1" s="126"/>
      <c r="E1" s="126"/>
      <c r="F1" s="126"/>
      <c r="G1" s="215"/>
      <c r="H1" s="126"/>
      <c r="I1" s="126"/>
      <c r="J1" s="235"/>
      <c r="K1" s="126"/>
      <c r="L1" s="125"/>
      <c r="M1" s="126"/>
      <c r="N1" s="126"/>
      <c r="O1" s="126"/>
      <c r="P1" s="126"/>
      <c r="Q1" s="126"/>
      <c r="R1" s="126"/>
      <c r="S1" s="126"/>
      <c r="T1" s="126"/>
      <c r="U1" s="126"/>
    </row>
    <row r="2" spans="1:38">
      <c r="F2" s="234"/>
    </row>
    <row r="3" spans="1:38" ht="43.5" customHeight="1">
      <c r="B3" s="1781" t="s">
        <v>948</v>
      </c>
      <c r="C3" s="1782"/>
      <c r="D3" s="1782"/>
      <c r="E3" s="1782"/>
      <c r="F3" s="1782"/>
      <c r="G3" s="1782"/>
      <c r="H3" s="1782"/>
      <c r="I3" s="1782"/>
      <c r="J3" s="1782"/>
      <c r="K3" s="1782"/>
      <c r="L3" s="1782"/>
      <c r="M3" s="1782"/>
      <c r="N3" s="1782"/>
      <c r="O3" s="1782"/>
      <c r="P3" s="1782"/>
      <c r="Q3" s="1782"/>
      <c r="R3" s="1782"/>
      <c r="S3" s="1782"/>
      <c r="T3" s="1782"/>
      <c r="U3" s="1782"/>
      <c r="V3" s="1782"/>
      <c r="W3" s="1782"/>
      <c r="X3" s="1782"/>
      <c r="Y3" s="1782"/>
      <c r="Z3" s="1783"/>
    </row>
    <row r="4" spans="1:38">
      <c r="D4" s="234"/>
      <c r="V4" s="241"/>
      <c r="W4" s="241"/>
      <c r="X4" s="241"/>
      <c r="Y4" s="241"/>
      <c r="AB4" s="785"/>
      <c r="AC4" s="785"/>
    </row>
    <row r="5" spans="1:38" ht="15" thickBot="1">
      <c r="C5" s="345"/>
      <c r="D5" s="234"/>
      <c r="V5" s="242"/>
      <c r="W5" s="242"/>
      <c r="X5" s="242"/>
      <c r="Y5" s="242"/>
      <c r="AB5" s="785"/>
      <c r="AC5" s="785"/>
      <c r="AJ5" s="1644" t="s">
        <v>0</v>
      </c>
    </row>
    <row r="6" spans="1:38" ht="16" thickBot="1">
      <c r="A6" s="102"/>
      <c r="B6" s="93" t="s">
        <v>2</v>
      </c>
      <c r="C6" s="219">
        <v>1990</v>
      </c>
      <c r="D6" s="114">
        <v>1991</v>
      </c>
      <c r="E6" s="114">
        <v>1992</v>
      </c>
      <c r="F6" s="114">
        <v>1993</v>
      </c>
      <c r="G6" s="114">
        <v>1994</v>
      </c>
      <c r="H6" s="114">
        <v>1995</v>
      </c>
      <c r="I6" s="114">
        <v>1996</v>
      </c>
      <c r="J6" s="114">
        <v>1997</v>
      </c>
      <c r="K6" s="114">
        <v>1998</v>
      </c>
      <c r="L6" s="114">
        <v>1999</v>
      </c>
      <c r="M6" s="114">
        <v>2000</v>
      </c>
      <c r="N6" s="114">
        <v>2001</v>
      </c>
      <c r="O6" s="114">
        <v>2002</v>
      </c>
      <c r="P6" s="114">
        <v>2003</v>
      </c>
      <c r="Q6" s="114">
        <v>2004</v>
      </c>
      <c r="R6" s="114">
        <v>2005</v>
      </c>
      <c r="S6" s="114">
        <v>2006</v>
      </c>
      <c r="T6" s="114">
        <v>2007</v>
      </c>
      <c r="U6" s="114">
        <v>2008</v>
      </c>
      <c r="V6" s="114">
        <v>2009</v>
      </c>
      <c r="W6" s="114">
        <v>2010</v>
      </c>
      <c r="X6" s="114">
        <v>2011</v>
      </c>
      <c r="Y6" s="114">
        <v>2012</v>
      </c>
      <c r="Z6" s="114">
        <v>2013</v>
      </c>
      <c r="AA6" s="114">
        <v>2014</v>
      </c>
      <c r="AB6" s="114">
        <v>2015</v>
      </c>
      <c r="AC6" s="114">
        <v>2016</v>
      </c>
      <c r="AD6" s="114">
        <v>2017</v>
      </c>
      <c r="AE6" s="114">
        <v>2018</v>
      </c>
      <c r="AF6" s="114">
        <v>2019</v>
      </c>
      <c r="AG6" s="114">
        <v>2020</v>
      </c>
      <c r="AH6" s="114">
        <v>2021</v>
      </c>
      <c r="AI6" s="114">
        <v>2022</v>
      </c>
      <c r="AJ6" s="114">
        <v>2023</v>
      </c>
      <c r="AK6" s="114">
        <v>2024</v>
      </c>
      <c r="AL6" s="114">
        <v>2025</v>
      </c>
    </row>
    <row r="7" spans="1:38" ht="15.5">
      <c r="A7" s="102"/>
      <c r="B7" s="1091" t="s">
        <v>945</v>
      </c>
      <c r="C7" s="20">
        <v>0.48032331311249982</v>
      </c>
      <c r="D7" s="823">
        <v>0.50544791718299997</v>
      </c>
      <c r="E7" s="823">
        <v>0.5050116176085</v>
      </c>
      <c r="F7" s="823">
        <v>0.50647858856099992</v>
      </c>
      <c r="G7" s="823">
        <v>0.50820322735799994</v>
      </c>
      <c r="H7" s="823">
        <v>0.51081386268375006</v>
      </c>
      <c r="I7" s="823">
        <v>0.51275673552824996</v>
      </c>
      <c r="J7" s="823">
        <v>0.51529153662899985</v>
      </c>
      <c r="K7" s="823">
        <v>0.51772926992174984</v>
      </c>
      <c r="L7" s="823">
        <v>0.52032128373224995</v>
      </c>
      <c r="M7" s="1108" t="s">
        <v>928</v>
      </c>
      <c r="N7" s="1108"/>
      <c r="O7" s="1108"/>
      <c r="P7" s="1108"/>
      <c r="Q7" s="1108"/>
      <c r="R7" s="1108"/>
      <c r="S7" s="1108"/>
      <c r="T7" s="1108"/>
      <c r="U7" s="1108"/>
      <c r="V7" s="1108"/>
      <c r="W7" s="1108"/>
      <c r="X7" s="1108"/>
      <c r="Y7" s="1108"/>
      <c r="Z7" s="1108"/>
      <c r="AA7" s="1108"/>
      <c r="AB7" s="1108"/>
      <c r="AC7" s="1109"/>
      <c r="AD7" s="1109"/>
      <c r="AE7" s="1109"/>
      <c r="AF7" s="1109"/>
      <c r="AG7" s="1109"/>
      <c r="AH7" s="1109"/>
      <c r="AI7" s="1109"/>
      <c r="AJ7" s="1109"/>
      <c r="AK7" s="1109"/>
      <c r="AL7" s="1109"/>
    </row>
    <row r="8" spans="1:38" ht="15.5">
      <c r="A8" s="102"/>
      <c r="B8" s="1092" t="s">
        <v>946</v>
      </c>
      <c r="C8" s="20">
        <v>5.5959130406399975E-3</v>
      </c>
      <c r="D8" s="823">
        <v>5.1482830924799976E-3</v>
      </c>
      <c r="E8" s="823">
        <v>5.1438391257599986E-3</v>
      </c>
      <c r="F8" s="823">
        <v>5.1587810841599987E-3</v>
      </c>
      <c r="G8" s="823">
        <v>5.176347540479998E-3</v>
      </c>
      <c r="H8" s="823">
        <v>5.2029383903999995E-3</v>
      </c>
      <c r="I8" s="823">
        <v>5.222727688319999E-3</v>
      </c>
      <c r="J8" s="823">
        <v>5.2485461222399991E-3</v>
      </c>
      <c r="K8" s="823">
        <v>5.2733758636799993E-3</v>
      </c>
      <c r="L8" s="823">
        <v>5.2997770425599984E-3</v>
      </c>
      <c r="M8" s="1108" t="s">
        <v>927</v>
      </c>
      <c r="N8" s="1108"/>
      <c r="O8" s="1108"/>
      <c r="P8" s="1108"/>
      <c r="Q8" s="1108"/>
      <c r="R8" s="1108"/>
      <c r="S8" s="1108"/>
      <c r="T8" s="1108"/>
      <c r="U8" s="1108"/>
      <c r="V8" s="1108"/>
      <c r="W8" s="1108"/>
      <c r="X8" s="1108"/>
      <c r="Y8" s="1108"/>
      <c r="Z8" s="1108"/>
      <c r="AA8" s="1108" t="s">
        <v>527</v>
      </c>
      <c r="AB8" s="1108"/>
      <c r="AC8" s="1109"/>
      <c r="AD8" s="1109"/>
      <c r="AE8" s="1109"/>
      <c r="AF8" s="1109"/>
      <c r="AG8" s="1109"/>
      <c r="AH8" s="1109"/>
      <c r="AI8" s="1109"/>
      <c r="AJ8" s="1109"/>
      <c r="AK8" s="1109"/>
      <c r="AL8" s="1109"/>
    </row>
    <row r="9" spans="1:38" ht="16" thickBot="1">
      <c r="A9" s="102"/>
      <c r="B9" s="1093" t="s">
        <v>947</v>
      </c>
      <c r="C9" s="185">
        <v>0.1756314972604176</v>
      </c>
      <c r="D9" s="829">
        <v>0.13348640011618557</v>
      </c>
      <c r="E9" s="829">
        <v>0.1311707553952832</v>
      </c>
      <c r="F9" s="829">
        <v>0.12934497172734719</v>
      </c>
      <c r="G9" s="829">
        <v>0.1275710851351296</v>
      </c>
      <c r="H9" s="829">
        <v>0.12600071520884798</v>
      </c>
      <c r="I9" s="829">
        <v>0.1274374571103904</v>
      </c>
      <c r="J9" s="829">
        <v>0.12902967469735677</v>
      </c>
      <c r="K9" s="829">
        <v>0.1306068718770656</v>
      </c>
      <c r="L9" s="829">
        <v>0.13223238153245118</v>
      </c>
      <c r="M9" s="1125"/>
      <c r="N9" s="1125"/>
      <c r="O9" s="1125"/>
      <c r="P9" s="1125"/>
      <c r="Q9" s="1125"/>
      <c r="R9" s="1125"/>
      <c r="S9" s="1125"/>
      <c r="T9" s="1125"/>
      <c r="U9" s="1125"/>
      <c r="V9" s="1125"/>
      <c r="W9" s="1125"/>
      <c r="X9" s="1125"/>
      <c r="Y9" s="1125"/>
      <c r="Z9" s="1125"/>
      <c r="AA9" s="1125"/>
      <c r="AB9" s="1125"/>
      <c r="AC9" s="1126"/>
      <c r="AD9" s="1126"/>
      <c r="AE9" s="1126"/>
      <c r="AF9" s="1126"/>
      <c r="AG9" s="1126"/>
      <c r="AH9" s="1126"/>
      <c r="AI9" s="1126"/>
      <c r="AJ9" s="1126"/>
      <c r="AK9" s="1126"/>
      <c r="AL9" s="1126"/>
    </row>
    <row r="10" spans="1:38" ht="15.5">
      <c r="A10" s="102"/>
      <c r="B10" s="1106" t="s">
        <v>528</v>
      </c>
      <c r="C10" s="1108"/>
      <c r="D10" s="1130" t="s">
        <v>928</v>
      </c>
      <c r="E10" s="1108"/>
      <c r="F10" s="1108"/>
      <c r="G10" s="1108"/>
      <c r="H10" s="1108"/>
      <c r="I10" s="1108"/>
      <c r="J10" s="1108"/>
      <c r="K10" s="1108"/>
      <c r="L10" s="1108"/>
      <c r="M10" s="20">
        <f t="shared" ref="M10:S10" si="0">M31*$P$40/1000000</f>
        <v>0.25908636806718749</v>
      </c>
      <c r="N10" s="20">
        <f t="shared" si="0"/>
        <v>0.2609059959515625</v>
      </c>
      <c r="O10" s="20">
        <f t="shared" si="0"/>
        <v>0.26195552128593758</v>
      </c>
      <c r="P10" s="20">
        <f t="shared" si="0"/>
        <v>0.26229744974999997</v>
      </c>
      <c r="Q10" s="20">
        <f t="shared" si="0"/>
        <v>0.26213350977187505</v>
      </c>
      <c r="R10" s="20">
        <f t="shared" si="0"/>
        <v>0.2620084576921875</v>
      </c>
      <c r="S10" s="20">
        <f t="shared" si="0"/>
        <v>0.26331378802968752</v>
      </c>
      <c r="T10" s="20">
        <f t="shared" ref="T10:V10" si="1">T31*$P$40/1000000</f>
        <v>0.26465250902343757</v>
      </c>
      <c r="U10" s="20">
        <f t="shared" si="1"/>
        <v>0.26645723327343751</v>
      </c>
      <c r="V10" s="20">
        <f t="shared" si="1"/>
        <v>0.26849292313593748</v>
      </c>
      <c r="W10" s="20">
        <f t="shared" ref="W10:AL10" si="2">W31*$P$40/1000000</f>
        <v>0.26662149901406257</v>
      </c>
      <c r="X10" s="20">
        <f t="shared" si="2"/>
        <v>0.26815382066156257</v>
      </c>
      <c r="Y10" s="20">
        <f t="shared" si="2"/>
        <v>0.26968614230906257</v>
      </c>
      <c r="Z10" s="20">
        <f t="shared" si="2"/>
        <v>0.27121846395656257</v>
      </c>
      <c r="AA10" s="20">
        <f t="shared" si="2"/>
        <v>0.27275078560406263</v>
      </c>
      <c r="AB10" s="20">
        <f t="shared" si="2"/>
        <v>0.27428310725156257</v>
      </c>
      <c r="AC10" s="20">
        <f t="shared" si="2"/>
        <v>0.27581542889906263</v>
      </c>
      <c r="AD10" s="20">
        <f t="shared" si="2"/>
        <v>0.27734775054656258</v>
      </c>
      <c r="AE10" s="20">
        <f t="shared" si="2"/>
        <v>0.27888007219406269</v>
      </c>
      <c r="AF10" s="20">
        <f t="shared" si="2"/>
        <v>0.28041239384156269</v>
      </c>
      <c r="AG10" s="20">
        <f t="shared" si="2"/>
        <v>0.28626041708906252</v>
      </c>
      <c r="AH10" s="20">
        <f t="shared" si="2"/>
        <v>0.28442010328593753</v>
      </c>
      <c r="AI10" s="20">
        <f t="shared" si="2"/>
        <v>0.28430816314687501</v>
      </c>
      <c r="AJ10" s="1144">
        <f t="shared" si="2"/>
        <v>0.28509915521718754</v>
      </c>
      <c r="AK10" s="20">
        <f t="shared" si="2"/>
        <v>0</v>
      </c>
      <c r="AL10" s="20">
        <f t="shared" si="2"/>
        <v>0</v>
      </c>
    </row>
    <row r="11" spans="1:38" ht="15.5">
      <c r="A11" s="102"/>
      <c r="B11" s="1106" t="s">
        <v>529</v>
      </c>
      <c r="C11" s="1108"/>
      <c r="D11" s="1108" t="s">
        <v>530</v>
      </c>
      <c r="E11" s="1108"/>
      <c r="F11" s="1108"/>
      <c r="G11" s="1108"/>
      <c r="H11" s="1108"/>
      <c r="I11" s="1108"/>
      <c r="J11" s="1108"/>
      <c r="K11" s="1108"/>
      <c r="L11" s="1108"/>
      <c r="M11" s="20">
        <f t="shared" ref="M11:S11" si="3">M32*$P$40/1000000</f>
        <v>3.6212657137199997E-2</v>
      </c>
      <c r="N11" s="20">
        <f t="shared" si="3"/>
        <v>3.6466987618520699E-2</v>
      </c>
      <c r="O11" s="20">
        <f t="shared" si="3"/>
        <v>3.6613680404305057E-2</v>
      </c>
      <c r="P11" s="20">
        <f t="shared" si="3"/>
        <v>3.6661471950911372E-2</v>
      </c>
      <c r="Q11" s="20">
        <f t="shared" si="3"/>
        <v>3.6638557961791808E-2</v>
      </c>
      <c r="R11" s="20">
        <f t="shared" si="3"/>
        <v>3.6621079357572681E-2</v>
      </c>
      <c r="S11" s="20">
        <f t="shared" si="3"/>
        <v>3.6803526162147188E-2</v>
      </c>
      <c r="T11" s="20">
        <f t="shared" ref="T11:V11" si="4">T32*$P$40/1000000</f>
        <v>3.6990639998782805E-2</v>
      </c>
      <c r="U11" s="20">
        <f t="shared" si="4"/>
        <v>3.7242887390183541E-2</v>
      </c>
      <c r="V11" s="20">
        <f t="shared" si="4"/>
        <v>3.7527416983841162E-2</v>
      </c>
      <c r="W11" s="20">
        <f t="shared" ref="W11:AL11" si="5">W32*$P$40/1000000</f>
        <v>3.713050433609999E-2</v>
      </c>
      <c r="X11" s="20">
        <f t="shared" si="5"/>
        <v>3.7223813494777262E-2</v>
      </c>
      <c r="Y11" s="20">
        <f t="shared" si="5"/>
        <v>3.7317122653454535E-2</v>
      </c>
      <c r="Z11" s="20">
        <f t="shared" si="5"/>
        <v>3.7410431812131793E-2</v>
      </c>
      <c r="AA11" s="20">
        <f t="shared" si="5"/>
        <v>3.2842953259525465E-2</v>
      </c>
      <c r="AB11" s="20">
        <f t="shared" si="5"/>
        <v>3.2906793878506833E-2</v>
      </c>
      <c r="AC11" s="20">
        <f t="shared" si="5"/>
        <v>3.2970634497488195E-2</v>
      </c>
      <c r="AD11" s="20">
        <f t="shared" si="5"/>
        <v>3.3034475116469557E-2</v>
      </c>
      <c r="AE11" s="20">
        <f t="shared" si="5"/>
        <v>3.3098315735450926E-2</v>
      </c>
      <c r="AF11" s="20">
        <f t="shared" si="5"/>
        <v>3.3162156354432308E-2</v>
      </c>
      <c r="AG11" s="20">
        <f t="shared" si="5"/>
        <v>3.4266296805300009E-2</v>
      </c>
      <c r="AH11" s="20">
        <f t="shared" si="5"/>
        <v>3.4380038090699991E-2</v>
      </c>
      <c r="AI11" s="20">
        <f t="shared" si="5"/>
        <v>3.4383345231599985E-2</v>
      </c>
      <c r="AJ11" s="1144">
        <f t="shared" si="5"/>
        <v>3.4633524261599984E-2</v>
      </c>
      <c r="AK11" s="20">
        <f t="shared" si="5"/>
        <v>0</v>
      </c>
      <c r="AL11" s="20">
        <f t="shared" si="5"/>
        <v>0</v>
      </c>
    </row>
    <row r="12" spans="1:38" ht="15.5">
      <c r="A12" s="102"/>
      <c r="B12" s="1106" t="s">
        <v>531</v>
      </c>
      <c r="C12" s="1108"/>
      <c r="D12" s="1108"/>
      <c r="E12" s="1108"/>
      <c r="F12" s="1108"/>
      <c r="G12" s="1108"/>
      <c r="H12" s="1108"/>
      <c r="I12" s="1108"/>
      <c r="J12" s="1108"/>
      <c r="K12" s="1108"/>
      <c r="L12" s="1108"/>
      <c r="M12" s="20">
        <f t="shared" ref="M12:S12" si="6">M33*$P$41/1000000</f>
        <v>5.4606232339199992E-3</v>
      </c>
      <c r="N12" s="20">
        <f t="shared" si="6"/>
        <v>5.4989745465599997E-3</v>
      </c>
      <c r="O12" s="20">
        <f t="shared" si="6"/>
        <v>5.5210948243200001E-3</v>
      </c>
      <c r="P12" s="20">
        <f t="shared" si="6"/>
        <v>5.5283014655999997E-3</v>
      </c>
      <c r="Q12" s="20">
        <f t="shared" si="6"/>
        <v>5.5248461913600007E-3</v>
      </c>
      <c r="R12" s="20">
        <f t="shared" si="6"/>
        <v>5.522210536320001E-3</v>
      </c>
      <c r="S12" s="20">
        <f t="shared" si="6"/>
        <v>5.549722277759999E-3</v>
      </c>
      <c r="T12" s="20">
        <f t="shared" ref="T12:V12" si="7">T33*$P$41/1000000</f>
        <v>5.5779377759999993E-3</v>
      </c>
      <c r="U12" s="20">
        <f t="shared" si="7"/>
        <v>5.6159749728000004E-3</v>
      </c>
      <c r="V12" s="20">
        <f t="shared" si="7"/>
        <v>5.6588801068799995E-3</v>
      </c>
      <c r="W12" s="20">
        <f t="shared" ref="W12:AL12" si="8">W33*$P$41/1000000</f>
        <v>5.6194371129599996E-3</v>
      </c>
      <c r="X12" s="20">
        <f t="shared" si="8"/>
        <v>5.6517330274560001E-3</v>
      </c>
      <c r="Y12" s="20">
        <f t="shared" si="8"/>
        <v>5.6840289419520006E-3</v>
      </c>
      <c r="Z12" s="20">
        <f t="shared" si="8"/>
        <v>5.7163248564480011E-3</v>
      </c>
      <c r="AA12" s="20">
        <f t="shared" si="8"/>
        <v>5.7486207709440016E-3</v>
      </c>
      <c r="AB12" s="20">
        <f t="shared" si="8"/>
        <v>5.7809166854400022E-3</v>
      </c>
      <c r="AC12" s="20">
        <f t="shared" si="8"/>
        <v>5.8132125999360018E-3</v>
      </c>
      <c r="AD12" s="20">
        <f t="shared" si="8"/>
        <v>5.8455085144320023E-3</v>
      </c>
      <c r="AE12" s="20">
        <f t="shared" si="8"/>
        <v>5.877804428928002E-3</v>
      </c>
      <c r="AF12" s="20">
        <f t="shared" si="8"/>
        <v>5.9101003434240051E-3</v>
      </c>
      <c r="AG12" s="20">
        <f t="shared" si="8"/>
        <v>6.0333559660800005E-3</v>
      </c>
      <c r="AH12" s="20">
        <f t="shared" si="8"/>
        <v>5.9945686675199989E-3</v>
      </c>
      <c r="AI12" s="20">
        <f t="shared" si="8"/>
        <v>5.9922093657599996E-3</v>
      </c>
      <c r="AJ12" s="1144">
        <f t="shared" si="8"/>
        <v>6.0088806777599995E-3</v>
      </c>
      <c r="AK12" s="20">
        <f t="shared" si="8"/>
        <v>0</v>
      </c>
      <c r="AL12" s="20">
        <f t="shared" si="8"/>
        <v>0</v>
      </c>
    </row>
    <row r="13" spans="1:38" ht="16" thickBot="1">
      <c r="A13" s="102"/>
      <c r="B13" s="1107" t="s">
        <v>532</v>
      </c>
      <c r="C13" s="1127"/>
      <c r="D13" s="1125"/>
      <c r="E13" s="1125"/>
      <c r="F13" s="1125"/>
      <c r="G13" s="1125"/>
      <c r="H13" s="1125"/>
      <c r="I13" s="1125"/>
      <c r="J13" s="1125"/>
      <c r="K13" s="1125"/>
      <c r="L13" s="1125"/>
      <c r="M13" s="186">
        <f t="shared" ref="M13:S13" si="9">M34*$P$41/1000000</f>
        <v>0.13178607439151038</v>
      </c>
      <c r="N13" s="186">
        <f t="shared" si="9"/>
        <v>0.13481194348770723</v>
      </c>
      <c r="O13" s="186">
        <f t="shared" si="9"/>
        <v>0.13198023813791837</v>
      </c>
      <c r="P13" s="186">
        <f t="shared" si="9"/>
        <v>0.13215251089587199</v>
      </c>
      <c r="Q13" s="186">
        <f t="shared" si="9"/>
        <v>0.13333602411048318</v>
      </c>
      <c r="R13" s="186">
        <f t="shared" si="9"/>
        <v>0.14634931684407843</v>
      </c>
      <c r="S13" s="186">
        <f t="shared" si="9"/>
        <v>0.13648000352629122</v>
      </c>
      <c r="T13" s="186">
        <f t="shared" ref="T13:V13" si="10">T34*$P$41/1000000</f>
        <v>0.13759997779812</v>
      </c>
      <c r="U13" s="186">
        <f t="shared" si="10"/>
        <v>0.13424832173173604</v>
      </c>
      <c r="V13" s="186">
        <f t="shared" si="10"/>
        <v>0.1361385081712656</v>
      </c>
      <c r="W13" s="186">
        <f t="shared" ref="W13:AL13" si="11">W34*$P$41/1000000</f>
        <v>0.10124336922302063</v>
      </c>
      <c r="X13" s="186">
        <f t="shared" si="11"/>
        <v>0.10484734029592953</v>
      </c>
      <c r="Y13" s="186">
        <f t="shared" si="11"/>
        <v>0.10149528390503756</v>
      </c>
      <c r="Z13" s="186">
        <f t="shared" si="11"/>
        <v>0.10207196693114803</v>
      </c>
      <c r="AA13" s="186">
        <f t="shared" si="11"/>
        <v>0.10480039064860493</v>
      </c>
      <c r="AB13" s="186">
        <f t="shared" si="11"/>
        <v>0.10569828067658502</v>
      </c>
      <c r="AC13" s="186">
        <f t="shared" si="11"/>
        <v>0.10659962457319866</v>
      </c>
      <c r="AD13" s="186">
        <f t="shared" si="11"/>
        <v>9.5495052420876483E-2</v>
      </c>
      <c r="AE13" s="186">
        <f t="shared" si="11"/>
        <v>9.7692930181662224E-2</v>
      </c>
      <c r="AF13" s="186">
        <f t="shared" si="11"/>
        <v>9.7949800353887437E-2</v>
      </c>
      <c r="AG13" s="186">
        <f t="shared" si="11"/>
        <v>9.8278072741650777E-2</v>
      </c>
      <c r="AH13" s="186">
        <f t="shared" si="11"/>
        <v>9.4496382285229441E-2</v>
      </c>
      <c r="AI13" s="186">
        <f t="shared" si="11"/>
        <v>9.4459191038718693E-2</v>
      </c>
      <c r="AJ13" s="1628">
        <f t="shared" si="11"/>
        <v>9.4721992043982725E-2</v>
      </c>
      <c r="AK13" s="186">
        <f t="shared" si="11"/>
        <v>0</v>
      </c>
      <c r="AL13" s="186">
        <f t="shared" si="11"/>
        <v>0</v>
      </c>
    </row>
    <row r="14" spans="1:38" ht="15">
      <c r="B14" s="1092" t="s">
        <v>533</v>
      </c>
      <c r="C14" s="443">
        <v>0</v>
      </c>
      <c r="D14" s="443">
        <f>'Biogenic Combustion'!D261</f>
        <v>0</v>
      </c>
      <c r="E14" s="443">
        <f>'Biogenic Combustion'!E261</f>
        <v>0</v>
      </c>
      <c r="F14" s="443">
        <f>'Biogenic Combustion'!F261</f>
        <v>0</v>
      </c>
      <c r="G14" s="443">
        <f>'Biogenic Combustion'!G261</f>
        <v>0</v>
      </c>
      <c r="H14" s="443">
        <f>'Biogenic Combustion'!H261</f>
        <v>0</v>
      </c>
      <c r="I14" s="443">
        <f>'Biogenic Combustion'!I261</f>
        <v>0</v>
      </c>
      <c r="J14" s="443">
        <f>'Biogenic Combustion'!J261</f>
        <v>0</v>
      </c>
      <c r="K14" s="443">
        <f>'Biogenic Combustion'!K261</f>
        <v>0</v>
      </c>
      <c r="L14" s="443">
        <f>'Biogenic Combustion'!L261</f>
        <v>0</v>
      </c>
      <c r="M14" s="443">
        <f>'Biogenic Combustion'!M261</f>
        <v>0</v>
      </c>
      <c r="N14" s="443">
        <f>'Biogenic Combustion'!N261</f>
        <v>0</v>
      </c>
      <c r="O14" s="443">
        <f>'Biogenic Combustion'!O261</f>
        <v>0</v>
      </c>
      <c r="P14" s="443">
        <f>'Biogenic Combustion'!P261</f>
        <v>0</v>
      </c>
      <c r="Q14" s="443">
        <f>'Biogenic Combustion'!Q261</f>
        <v>0</v>
      </c>
      <c r="R14" s="443">
        <f>'Biogenic Combustion'!R261</f>
        <v>1.3904445261510719E-5</v>
      </c>
      <c r="S14" s="443">
        <f>'Biogenic Combustion'!S261</f>
        <v>7.2721522226026531E-6</v>
      </c>
      <c r="T14" s="443">
        <f>'Biogenic Combustion'!T261</f>
        <v>4.1642568683194558E-6</v>
      </c>
      <c r="U14" s="443">
        <f>'Biogenic Combustion'!U261</f>
        <v>3.1107866731320607E-6</v>
      </c>
      <c r="V14" s="443">
        <f>'Biogenic Combustion'!V261</f>
        <v>2.8723062338608397E-6</v>
      </c>
      <c r="W14" s="443">
        <f>'Biogenic Combustion'!W261</f>
        <v>6.1142303046024662E-6</v>
      </c>
      <c r="X14" s="443">
        <f>'Biogenic Combustion'!X261</f>
        <v>3.6671362081336479E-6</v>
      </c>
      <c r="Y14" s="443">
        <f>'Biogenic Combustion'!Y261</f>
        <v>4.5291777711742115E-6</v>
      </c>
      <c r="Z14" s="443">
        <f>'Biogenic Combustion'!Z261</f>
        <v>4.1747163132824679E-6</v>
      </c>
      <c r="AA14" s="443">
        <f>'Biogenic Combustion'!AA261</f>
        <v>5.427004788024679E-6</v>
      </c>
      <c r="AB14" s="443">
        <f>'Biogenic Combustion'!AB261</f>
        <v>3.0754032957517778E-6</v>
      </c>
      <c r="AC14" s="443">
        <f>'Biogenic Combustion'!AC261</f>
        <v>5.0688815817981607E-6</v>
      </c>
      <c r="AD14" s="443">
        <f>'Biogenic Combustion'!AD261</f>
        <v>3.3228192197659614E-6</v>
      </c>
      <c r="AE14" s="443">
        <f>'Biogenic Combustion'!AE261</f>
        <v>1.7926714194779303E-6</v>
      </c>
      <c r="AF14" s="882">
        <f>'Biogenic Combustion'!AF261</f>
        <v>5.5452660016716818E-6</v>
      </c>
      <c r="AG14" s="443">
        <f>'Biogenic Combustion'!AG261</f>
        <v>2.612663866638778E-6</v>
      </c>
      <c r="AH14" s="443">
        <f>'Biogenic Combustion'!AH261</f>
        <v>3.5812072310710121E-6</v>
      </c>
      <c r="AI14" s="443">
        <f>'Biogenic Combustion'!AI261</f>
        <v>2.7960766491759153E-6</v>
      </c>
      <c r="AJ14" s="1698">
        <f>'Biogenic Combustion'!AJ261</f>
        <v>2.4267737084081633E-6</v>
      </c>
      <c r="AK14" s="443">
        <f>'Biogenic Combustion'!AK261</f>
        <v>0</v>
      </c>
      <c r="AL14" s="443">
        <f>'Biogenic Combustion'!AL261</f>
        <v>0</v>
      </c>
    </row>
    <row r="15" spans="1:38" ht="15.5" thickBot="1">
      <c r="B15" s="1092" t="s">
        <v>534</v>
      </c>
      <c r="C15" s="1128">
        <v>0</v>
      </c>
      <c r="D15" s="1124">
        <f>'Biogenic Combustion'!D265</f>
        <v>0</v>
      </c>
      <c r="E15" s="1124">
        <f>'Biogenic Combustion'!E265</f>
        <v>0</v>
      </c>
      <c r="F15" s="1124">
        <f>'Biogenic Combustion'!F265</f>
        <v>0</v>
      </c>
      <c r="G15" s="1124">
        <f>'Biogenic Combustion'!G265</f>
        <v>0</v>
      </c>
      <c r="H15" s="1124">
        <f>'Biogenic Combustion'!H265</f>
        <v>0</v>
      </c>
      <c r="I15" s="1124">
        <f>'Biogenic Combustion'!I265</f>
        <v>0</v>
      </c>
      <c r="J15" s="1124">
        <f>'Biogenic Combustion'!J265</f>
        <v>0</v>
      </c>
      <c r="K15" s="1124">
        <f>'Biogenic Combustion'!K265</f>
        <v>0</v>
      </c>
      <c r="L15" s="1124">
        <f>'Biogenic Combustion'!L265</f>
        <v>0</v>
      </c>
      <c r="M15" s="1124">
        <f>'Biogenic Combustion'!M265</f>
        <v>0</v>
      </c>
      <c r="N15" s="1124">
        <f>'Biogenic Combustion'!N265</f>
        <v>0</v>
      </c>
      <c r="O15" s="1124">
        <f>'Biogenic Combustion'!O265</f>
        <v>0</v>
      </c>
      <c r="P15" s="1124">
        <f>'Biogenic Combustion'!P265</f>
        <v>0</v>
      </c>
      <c r="Q15" s="1124">
        <f>'Biogenic Combustion'!Q265</f>
        <v>0</v>
      </c>
      <c r="R15" s="1124">
        <f>'Biogenic Combustion'!R265</f>
        <v>8.287049375860388E-5</v>
      </c>
      <c r="S15" s="1124">
        <f>'Biogenic Combustion'!S265</f>
        <v>4.334202724671181E-5</v>
      </c>
      <c r="T15" s="1124">
        <f>'Biogenic Combustion'!T265</f>
        <v>2.4818970935183959E-5</v>
      </c>
      <c r="U15" s="1124">
        <f>'Biogenic Combustion'!U265</f>
        <v>1.8540288571867081E-5</v>
      </c>
      <c r="V15" s="1124">
        <f>'Biogenic Combustion'!V265</f>
        <v>1.7118945153810605E-5</v>
      </c>
      <c r="W15" s="1124">
        <f>'Biogenic Combustion'!W265</f>
        <v>3.6440812615430698E-5</v>
      </c>
      <c r="X15" s="1124">
        <f>'Biogenic Combustion'!X265</f>
        <v>2.1856131800476541E-5</v>
      </c>
      <c r="Y15" s="1124">
        <f>'Biogenic Combustion'!Y265</f>
        <v>2.6993899516198303E-5</v>
      </c>
      <c r="Z15" s="1124">
        <f>'Biogenic Combustion'!Z265</f>
        <v>2.4881309227163509E-5</v>
      </c>
      <c r="AA15" s="1124">
        <f>'Biogenic Combustion'!AA265</f>
        <v>3.2344948536627092E-5</v>
      </c>
      <c r="AB15" s="1124">
        <f>'Biogenic Combustion'!AB265</f>
        <v>1.8329403642680597E-5</v>
      </c>
      <c r="AC15" s="1124">
        <f>'Biogenic Combustion'!AC265</f>
        <v>3.0210534227517035E-5</v>
      </c>
      <c r="AD15" s="1124">
        <f>'Biogenic Combustion'!AD265</f>
        <v>1.9804002549805126E-5</v>
      </c>
      <c r="AE15" s="1124">
        <f>'Biogenic Combustion'!AE265</f>
        <v>1.0684321660088464E-5</v>
      </c>
      <c r="AF15" s="1129">
        <f>'Biogenic Combustion'!AF265</f>
        <v>3.3049785369963224E-5</v>
      </c>
      <c r="AG15" s="1124">
        <f>'Biogenic Combustion'!AG265</f>
        <v>1.5571476645167116E-5</v>
      </c>
      <c r="AH15" s="1124">
        <f>'Biogenic Combustion'!AH265</f>
        <v>2.1343995097183231E-5</v>
      </c>
      <c r="AI15" s="1124">
        <f>'Biogenic Combustion'!AI265</f>
        <v>1.6664616829088456E-5</v>
      </c>
      <c r="AJ15" s="1699">
        <f>'Biogenic Combustion'!AJ265</f>
        <v>1.4463571302112651E-5</v>
      </c>
      <c r="AK15" s="1124">
        <f>'Biogenic Combustion'!AK265</f>
        <v>0</v>
      </c>
      <c r="AL15" s="1124">
        <f>'Biogenic Combustion'!AL265</f>
        <v>0</v>
      </c>
    </row>
    <row r="16" spans="1:38" ht="15">
      <c r="B16" s="1091" t="s">
        <v>535</v>
      </c>
      <c r="C16" s="443">
        <f t="shared" ref="C16:L16" si="12">C7+C14</f>
        <v>0.48032331311249982</v>
      </c>
      <c r="D16" s="443">
        <f t="shared" si="12"/>
        <v>0.50544791718299997</v>
      </c>
      <c r="E16" s="443">
        <f t="shared" si="12"/>
        <v>0.5050116176085</v>
      </c>
      <c r="F16" s="443">
        <f t="shared" si="12"/>
        <v>0.50647858856099992</v>
      </c>
      <c r="G16" s="443">
        <f t="shared" si="12"/>
        <v>0.50820322735799994</v>
      </c>
      <c r="H16" s="443">
        <f t="shared" si="12"/>
        <v>0.51081386268375006</v>
      </c>
      <c r="I16" s="443">
        <f t="shared" si="12"/>
        <v>0.51275673552824996</v>
      </c>
      <c r="J16" s="443">
        <f t="shared" si="12"/>
        <v>0.51529153662899985</v>
      </c>
      <c r="K16" s="443">
        <f t="shared" si="12"/>
        <v>0.51772926992174984</v>
      </c>
      <c r="L16" s="443">
        <f t="shared" si="12"/>
        <v>0.52032128373224995</v>
      </c>
      <c r="M16" s="443">
        <f t="shared" ref="M16:V16" si="13">M10+M11+M14</f>
        <v>0.2952990252043875</v>
      </c>
      <c r="N16" s="443">
        <f t="shared" si="13"/>
        <v>0.29737298357008318</v>
      </c>
      <c r="O16" s="443">
        <f t="shared" si="13"/>
        <v>0.29856920169024265</v>
      </c>
      <c r="P16" s="443">
        <f t="shared" si="13"/>
        <v>0.29895892170091132</v>
      </c>
      <c r="Q16" s="443">
        <f t="shared" si="13"/>
        <v>0.29877206773366688</v>
      </c>
      <c r="R16" s="443">
        <f t="shared" si="13"/>
        <v>0.2986434414950217</v>
      </c>
      <c r="S16" s="443">
        <f t="shared" si="13"/>
        <v>0.30012458634405736</v>
      </c>
      <c r="T16" s="443">
        <f t="shared" si="13"/>
        <v>0.30164731327908872</v>
      </c>
      <c r="U16" s="443">
        <f t="shared" si="13"/>
        <v>0.30370323145029421</v>
      </c>
      <c r="V16" s="443">
        <f t="shared" si="13"/>
        <v>0.30602321242601249</v>
      </c>
      <c r="W16" s="443">
        <f>W10+W11+W14</f>
        <v>0.30375811758046717</v>
      </c>
      <c r="X16" s="443">
        <f t="shared" ref="X16:AF16" si="14">X10+X11+X14</f>
        <v>0.30538130129254798</v>
      </c>
      <c r="Y16" s="443">
        <f t="shared" si="14"/>
        <v>0.30700779414028828</v>
      </c>
      <c r="Z16" s="443">
        <f t="shared" si="14"/>
        <v>0.30863307048500765</v>
      </c>
      <c r="AA16" s="443">
        <f t="shared" si="14"/>
        <v>0.3055991658683761</v>
      </c>
      <c r="AB16" s="443">
        <f t="shared" si="14"/>
        <v>0.30719297653336514</v>
      </c>
      <c r="AC16" s="443">
        <f t="shared" si="14"/>
        <v>0.30879113227813265</v>
      </c>
      <c r="AD16" s="443">
        <f t="shared" si="14"/>
        <v>0.31038554848225192</v>
      </c>
      <c r="AE16" s="443">
        <f t="shared" si="14"/>
        <v>0.31198018060093308</v>
      </c>
      <c r="AF16" s="443">
        <f t="shared" si="14"/>
        <v>0.31358009546199667</v>
      </c>
      <c r="AG16" s="443">
        <f t="shared" ref="AG16:AL16" si="15">AG10+AG11+AG14</f>
        <v>0.32052932655822919</v>
      </c>
      <c r="AH16" s="443">
        <f t="shared" si="15"/>
        <v>0.31880372258386863</v>
      </c>
      <c r="AI16" s="443">
        <f t="shared" si="15"/>
        <v>0.31869430445512414</v>
      </c>
      <c r="AJ16" s="1698">
        <f t="shared" si="15"/>
        <v>0.31973510625249596</v>
      </c>
      <c r="AK16" s="443">
        <f t="shared" si="15"/>
        <v>0</v>
      </c>
      <c r="AL16" s="443">
        <f t="shared" si="15"/>
        <v>0</v>
      </c>
    </row>
    <row r="17" spans="2:39" ht="15.5" thickBot="1">
      <c r="B17" s="1093" t="s">
        <v>536</v>
      </c>
      <c r="C17" s="443">
        <f>C8+C9+C15</f>
        <v>0.1812274103010576</v>
      </c>
      <c r="D17" s="443">
        <f t="shared" ref="D17:L17" si="16">D9+D15</f>
        <v>0.13348640011618557</v>
      </c>
      <c r="E17" s="443">
        <f t="shared" si="16"/>
        <v>0.1311707553952832</v>
      </c>
      <c r="F17" s="443">
        <f t="shared" si="16"/>
        <v>0.12934497172734719</v>
      </c>
      <c r="G17" s="443">
        <f t="shared" si="16"/>
        <v>0.1275710851351296</v>
      </c>
      <c r="H17" s="443">
        <f t="shared" si="16"/>
        <v>0.12600071520884798</v>
      </c>
      <c r="I17" s="443">
        <f t="shared" si="16"/>
        <v>0.1274374571103904</v>
      </c>
      <c r="J17" s="443">
        <f t="shared" si="16"/>
        <v>0.12902967469735677</v>
      </c>
      <c r="K17" s="443">
        <f t="shared" si="16"/>
        <v>0.1306068718770656</v>
      </c>
      <c r="L17" s="443">
        <f t="shared" si="16"/>
        <v>0.13223238153245118</v>
      </c>
      <c r="M17" s="443">
        <f t="shared" ref="M17:V17" si="17">M12+M13+M15</f>
        <v>0.13724669762543037</v>
      </c>
      <c r="N17" s="443">
        <f t="shared" si="17"/>
        <v>0.14031091803426723</v>
      </c>
      <c r="O17" s="443">
        <f t="shared" si="17"/>
        <v>0.13750133296223838</v>
      </c>
      <c r="P17" s="443">
        <f t="shared" si="17"/>
        <v>0.13768081236147198</v>
      </c>
      <c r="Q17" s="443">
        <f t="shared" si="17"/>
        <v>0.13886087030184319</v>
      </c>
      <c r="R17" s="443">
        <f t="shared" si="17"/>
        <v>0.15195439787415702</v>
      </c>
      <c r="S17" s="443">
        <f t="shared" si="17"/>
        <v>0.14207306783129792</v>
      </c>
      <c r="T17" s="443">
        <f t="shared" si="17"/>
        <v>0.14320273454505517</v>
      </c>
      <c r="U17" s="443">
        <f t="shared" si="17"/>
        <v>0.13988283699310791</v>
      </c>
      <c r="V17" s="443">
        <f t="shared" si="17"/>
        <v>0.14181450722329941</v>
      </c>
      <c r="W17" s="443">
        <f>W12+W13+W15</f>
        <v>0.10689924714859605</v>
      </c>
      <c r="X17" s="443">
        <f t="shared" ref="X17:AF17" si="18">X12+X13+X15</f>
        <v>0.110520929455186</v>
      </c>
      <c r="Y17" s="443">
        <f t="shared" si="18"/>
        <v>0.10720630674650576</v>
      </c>
      <c r="Z17" s="443">
        <f t="shared" si="18"/>
        <v>0.1078131730968232</v>
      </c>
      <c r="AA17" s="443">
        <f t="shared" si="18"/>
        <v>0.11058135636808555</v>
      </c>
      <c r="AB17" s="443">
        <f t="shared" si="18"/>
        <v>0.11149752676566771</v>
      </c>
      <c r="AC17" s="443">
        <f t="shared" si="18"/>
        <v>0.11244304770736217</v>
      </c>
      <c r="AD17" s="443">
        <f t="shared" si="18"/>
        <v>0.10136036493785829</v>
      </c>
      <c r="AE17" s="443">
        <f t="shared" si="18"/>
        <v>0.10358141893225031</v>
      </c>
      <c r="AF17" s="443">
        <f t="shared" si="18"/>
        <v>0.10389295048268139</v>
      </c>
      <c r="AG17" s="443">
        <f t="shared" ref="AG17:AL17" si="19">AG12+AG13+AG15</f>
        <v>0.10432700018437595</v>
      </c>
      <c r="AH17" s="443">
        <f t="shared" si="19"/>
        <v>0.10051229494784662</v>
      </c>
      <c r="AI17" s="443">
        <f t="shared" si="19"/>
        <v>0.10046806502130778</v>
      </c>
      <c r="AJ17" s="1698">
        <f t="shared" si="19"/>
        <v>0.10074533629304483</v>
      </c>
      <c r="AK17" s="443">
        <f t="shared" si="19"/>
        <v>0</v>
      </c>
      <c r="AL17" s="443">
        <f t="shared" si="19"/>
        <v>0</v>
      </c>
    </row>
    <row r="18" spans="2:39" ht="15.5" thickBot="1">
      <c r="B18" s="1094" t="s">
        <v>537</v>
      </c>
      <c r="C18" s="444">
        <f t="shared" ref="C18:AF18" si="20">C16+C17</f>
        <v>0.66155072341355736</v>
      </c>
      <c r="D18" s="444">
        <f t="shared" si="20"/>
        <v>0.63893431729918548</v>
      </c>
      <c r="E18" s="444">
        <f t="shared" si="20"/>
        <v>0.63618237300378322</v>
      </c>
      <c r="F18" s="444">
        <f t="shared" si="20"/>
        <v>0.63582356028834708</v>
      </c>
      <c r="G18" s="444">
        <f t="shared" si="20"/>
        <v>0.63577431249312955</v>
      </c>
      <c r="H18" s="444">
        <f t="shared" si="20"/>
        <v>0.63681457789259799</v>
      </c>
      <c r="I18" s="444">
        <f t="shared" si="20"/>
        <v>0.6401941926386403</v>
      </c>
      <c r="J18" s="444">
        <f t="shared" si="20"/>
        <v>0.64432121132635656</v>
      </c>
      <c r="K18" s="444">
        <f t="shared" si="20"/>
        <v>0.64833614179881538</v>
      </c>
      <c r="L18" s="444">
        <f t="shared" si="20"/>
        <v>0.65255366526470115</v>
      </c>
      <c r="M18" s="1647">
        <f t="shared" si="20"/>
        <v>0.43254572282981785</v>
      </c>
      <c r="N18" s="1647">
        <f t="shared" si="20"/>
        <v>0.43768390160435044</v>
      </c>
      <c r="O18" s="1647">
        <f t="shared" si="20"/>
        <v>0.43607053465248102</v>
      </c>
      <c r="P18" s="1647">
        <f t="shared" si="20"/>
        <v>0.43663973406238332</v>
      </c>
      <c r="Q18" s="1647">
        <f t="shared" si="20"/>
        <v>0.43763293803551007</v>
      </c>
      <c r="R18" s="1647">
        <f t="shared" si="20"/>
        <v>0.45059783936917874</v>
      </c>
      <c r="S18" s="1647">
        <f t="shared" si="20"/>
        <v>0.44219765417535528</v>
      </c>
      <c r="T18" s="1647">
        <f t="shared" si="20"/>
        <v>0.44485004782414389</v>
      </c>
      <c r="U18" s="1647">
        <f t="shared" si="20"/>
        <v>0.44358606844340209</v>
      </c>
      <c r="V18" s="444">
        <f t="shared" si="20"/>
        <v>0.44783771964931191</v>
      </c>
      <c r="W18" s="444">
        <f t="shared" si="20"/>
        <v>0.41065736472906322</v>
      </c>
      <c r="X18" s="444">
        <f t="shared" si="20"/>
        <v>0.41590223074773397</v>
      </c>
      <c r="Y18" s="444">
        <f t="shared" si="20"/>
        <v>0.41421410088679406</v>
      </c>
      <c r="Z18" s="444">
        <f t="shared" si="20"/>
        <v>0.41644624358183085</v>
      </c>
      <c r="AA18" s="444">
        <f t="shared" si="20"/>
        <v>0.41618052223646163</v>
      </c>
      <c r="AB18" s="444">
        <f t="shared" si="20"/>
        <v>0.41869050329903285</v>
      </c>
      <c r="AC18" s="444">
        <f t="shared" si="20"/>
        <v>0.42123417998549484</v>
      </c>
      <c r="AD18" s="444">
        <f t="shared" si="20"/>
        <v>0.41174591342011019</v>
      </c>
      <c r="AE18" s="444">
        <f t="shared" si="20"/>
        <v>0.41556159953318339</v>
      </c>
      <c r="AF18" s="444">
        <f t="shared" si="20"/>
        <v>0.41747304594467805</v>
      </c>
      <c r="AG18" s="444">
        <f t="shared" ref="AG18:AL18" si="21">AG16+AG17</f>
        <v>0.42485632674260515</v>
      </c>
      <c r="AH18" s="444">
        <f t="shared" si="21"/>
        <v>0.41931601753171527</v>
      </c>
      <c r="AI18" s="444">
        <f t="shared" si="21"/>
        <v>0.41916236947643193</v>
      </c>
      <c r="AJ18" s="1700">
        <f t="shared" si="21"/>
        <v>0.42048044254554079</v>
      </c>
      <c r="AK18" s="444">
        <f t="shared" si="21"/>
        <v>0</v>
      </c>
      <c r="AL18" s="444">
        <f t="shared" si="21"/>
        <v>0</v>
      </c>
    </row>
    <row r="19" spans="2:39">
      <c r="B19" s="341"/>
      <c r="C19" s="341"/>
      <c r="D19" s="341"/>
      <c r="E19" s="1644"/>
      <c r="F19" s="1644"/>
      <c r="G19" s="1644"/>
      <c r="H19" s="1644"/>
      <c r="I19" s="1644"/>
      <c r="J19" s="1644"/>
      <c r="K19" s="1644"/>
      <c r="L19" s="1644"/>
    </row>
    <row r="20" spans="2:39" ht="15.5" thickBot="1">
      <c r="C20" s="235"/>
      <c r="D20" s="234"/>
      <c r="U20" s="20"/>
      <c r="V20" s="20"/>
    </row>
    <row r="21" spans="2:39" ht="15.5" thickBot="1">
      <c r="K21" s="20"/>
      <c r="L21" s="1119" t="s">
        <v>538</v>
      </c>
      <c r="M21" s="114">
        <v>2000</v>
      </c>
      <c r="N21" s="114">
        <v>2001</v>
      </c>
      <c r="O21" s="114">
        <v>2002</v>
      </c>
      <c r="P21" s="114">
        <v>2003</v>
      </c>
      <c r="Q21" s="114">
        <v>2004</v>
      </c>
      <c r="R21" s="114">
        <v>2005</v>
      </c>
      <c r="S21" s="114">
        <v>2006</v>
      </c>
      <c r="T21" s="114">
        <v>2007</v>
      </c>
      <c r="U21" s="114">
        <v>2008</v>
      </c>
      <c r="V21" s="114">
        <v>2009</v>
      </c>
      <c r="W21" s="114">
        <v>2010</v>
      </c>
      <c r="X21" s="114">
        <v>2011</v>
      </c>
      <c r="Y21" s="114">
        <v>2012</v>
      </c>
      <c r="Z21" s="114">
        <v>2013</v>
      </c>
      <c r="AA21" s="114">
        <v>2014</v>
      </c>
      <c r="AB21" s="114">
        <v>2015</v>
      </c>
      <c r="AC21" s="114">
        <v>2016</v>
      </c>
      <c r="AD21" s="114">
        <v>2017</v>
      </c>
      <c r="AE21" s="114">
        <v>2018</v>
      </c>
      <c r="AF21" s="114">
        <v>2019</v>
      </c>
      <c r="AG21" s="114">
        <v>2020</v>
      </c>
      <c r="AH21" s="114">
        <v>2021</v>
      </c>
      <c r="AI21" s="114">
        <v>2022</v>
      </c>
      <c r="AJ21" s="114">
        <v>2023</v>
      </c>
      <c r="AK21" s="114">
        <v>2024</v>
      </c>
      <c r="AL21" s="114">
        <v>2025</v>
      </c>
    </row>
    <row r="22" spans="2:39" ht="15">
      <c r="K22" s="443"/>
      <c r="L22" s="1116" t="s">
        <v>543</v>
      </c>
      <c r="M22" s="1646">
        <v>6362583</v>
      </c>
      <c r="N22" s="1646">
        <v>6407269</v>
      </c>
      <c r="O22" s="1646">
        <v>6433043</v>
      </c>
      <c r="P22" s="1646">
        <v>6441440</v>
      </c>
      <c r="Q22" s="1646">
        <v>6437414</v>
      </c>
      <c r="R22" s="1646">
        <v>6434343</v>
      </c>
      <c r="S22" s="1646">
        <v>6466399</v>
      </c>
      <c r="T22" s="1646">
        <v>6499275</v>
      </c>
      <c r="U22" s="1646">
        <v>6543595</v>
      </c>
      <c r="V22" s="1646">
        <v>6593587</v>
      </c>
      <c r="W22" s="123">
        <v>6547629</v>
      </c>
      <c r="X22" s="123">
        <v>6585259.4000000004</v>
      </c>
      <c r="Y22" s="123">
        <v>6622889.8000000007</v>
      </c>
      <c r="Z22" s="123">
        <v>6660520.2000000011</v>
      </c>
      <c r="AA22" s="123">
        <v>6698150.6000000015</v>
      </c>
      <c r="AB22" s="123">
        <v>6735781.0000000019</v>
      </c>
      <c r="AC22" s="123">
        <v>6773411.4000000022</v>
      </c>
      <c r="AD22" s="123">
        <v>6811041.8000000026</v>
      </c>
      <c r="AE22" s="123">
        <v>6848672.200000003</v>
      </c>
      <c r="AF22" s="123">
        <v>6886302.6000000034</v>
      </c>
      <c r="AG22" s="123">
        <v>7029917</v>
      </c>
      <c r="AH22" s="123">
        <v>6984723</v>
      </c>
      <c r="AI22" s="123">
        <v>6981974</v>
      </c>
      <c r="AJ22" s="123">
        <v>7001399</v>
      </c>
      <c r="AK22" s="123"/>
      <c r="AL22" s="123"/>
    </row>
    <row r="23" spans="2:39" ht="15">
      <c r="K23" s="443"/>
      <c r="L23" s="1117" t="s">
        <v>548</v>
      </c>
      <c r="M23" s="1646">
        <v>2131362</v>
      </c>
      <c r="N23" s="1646">
        <v>2146331.0844633384</v>
      </c>
      <c r="O23" s="1646">
        <v>2154964.9559881575</v>
      </c>
      <c r="P23" s="1646">
        <v>2157777.8146516914</v>
      </c>
      <c r="Q23" s="1646">
        <v>2156429.1700191572</v>
      </c>
      <c r="R23" s="1646">
        <v>2155400.4348809281</v>
      </c>
      <c r="S23" s="1646">
        <v>2166138.6744091194</v>
      </c>
      <c r="T23" s="1646">
        <v>2177151.6006235201</v>
      </c>
      <c r="U23" s="1646">
        <v>2191998.0810293555</v>
      </c>
      <c r="V23" s="1646">
        <v>2208744.5893427245</v>
      </c>
      <c r="W23" s="123">
        <v>2202505</v>
      </c>
      <c r="X23" s="123">
        <v>2223286.7514414163</v>
      </c>
      <c r="Y23" s="123">
        <v>2244068.5028828327</v>
      </c>
      <c r="Z23" s="123">
        <v>2264850.254324249</v>
      </c>
      <c r="AA23" s="123">
        <v>2285632.0057656653</v>
      </c>
      <c r="AB23" s="123">
        <v>2306413.7572070817</v>
      </c>
      <c r="AC23" s="123">
        <v>2327195.508648498</v>
      </c>
      <c r="AD23" s="123">
        <v>2347977.2600899143</v>
      </c>
      <c r="AE23" s="123">
        <v>2368759.0115313306</v>
      </c>
      <c r="AF23" s="123">
        <v>2389540.762972747</v>
      </c>
      <c r="AG23" s="123">
        <v>2407358</v>
      </c>
      <c r="AH23" s="123">
        <v>2369136</v>
      </c>
      <c r="AI23" s="123">
        <v>2367206</v>
      </c>
      <c r="AJ23" s="123">
        <v>2363018</v>
      </c>
      <c r="AK23" s="123"/>
      <c r="AL23" s="123"/>
      <c r="AM23" s="1111"/>
    </row>
    <row r="24" spans="2:39" ht="15">
      <c r="K24" s="20"/>
      <c r="L24" s="1117" t="s">
        <v>551</v>
      </c>
      <c r="M24" s="1329"/>
      <c r="N24" s="1329"/>
      <c r="O24" s="1329"/>
      <c r="P24" s="1329"/>
      <c r="Q24" s="1645"/>
      <c r="R24" s="1329"/>
      <c r="S24" s="1329"/>
      <c r="T24" s="1329"/>
      <c r="U24" s="1329"/>
      <c r="V24" s="1329"/>
      <c r="W24" s="1115">
        <v>53525</v>
      </c>
      <c r="X24" s="1115">
        <v>53489.402068194962</v>
      </c>
      <c r="Y24" s="1115">
        <v>53453.804136389925</v>
      </c>
      <c r="Z24" s="1115">
        <v>53418.206204584887</v>
      </c>
      <c r="AA24" s="123">
        <v>53382.608272779849</v>
      </c>
      <c r="AB24" s="123">
        <v>53347.010340974812</v>
      </c>
      <c r="AC24" s="123">
        <v>53311.412409169774</v>
      </c>
      <c r="AD24" s="123">
        <v>53275.814477364736</v>
      </c>
      <c r="AE24" s="123">
        <v>53240.216545559699</v>
      </c>
      <c r="AF24" s="123">
        <v>53204.618613754661</v>
      </c>
      <c r="AG24" s="123">
        <v>52176</v>
      </c>
      <c r="AH24" s="123">
        <v>51839</v>
      </c>
      <c r="AI24" s="123">
        <v>51466</v>
      </c>
      <c r="AJ24" s="123">
        <v>51172</v>
      </c>
      <c r="AK24" s="123"/>
      <c r="AL24" s="123"/>
    </row>
    <row r="25" spans="2:39" ht="15">
      <c r="K25" s="20"/>
      <c r="L25" s="1116" t="s">
        <v>554</v>
      </c>
      <c r="M25" s="1329"/>
      <c r="N25" s="1329"/>
      <c r="O25" s="1329"/>
      <c r="P25" s="1329"/>
      <c r="Q25" s="1645"/>
      <c r="R25" s="1329"/>
      <c r="S25" s="1329"/>
      <c r="T25" s="1329"/>
      <c r="U25" s="1329"/>
      <c r="V25" s="1329"/>
      <c r="W25" s="1115">
        <v>214642</v>
      </c>
      <c r="X25" s="1115">
        <v>216481.80225468322</v>
      </c>
      <c r="Y25" s="1115">
        <v>218321.60450936644</v>
      </c>
      <c r="Z25" s="1115">
        <v>220161.40676404967</v>
      </c>
      <c r="AA25" s="123">
        <v>222001.20901873289</v>
      </c>
      <c r="AB25" s="123">
        <v>223841.01127341611</v>
      </c>
      <c r="AC25" s="123">
        <v>225680.81352809933</v>
      </c>
      <c r="AD25" s="123">
        <v>227520.61578278255</v>
      </c>
      <c r="AE25" s="123">
        <v>229360.41803746577</v>
      </c>
      <c r="AF25" s="123">
        <v>231200.220292149</v>
      </c>
      <c r="AG25" s="123">
        <v>242303</v>
      </c>
      <c r="AH25" s="123">
        <v>240693</v>
      </c>
      <c r="AI25" s="123">
        <v>240913</v>
      </c>
      <c r="AJ25" s="123">
        <v>242018</v>
      </c>
      <c r="AK25" s="123"/>
      <c r="AL25" s="123"/>
    </row>
    <row r="26" spans="2:39" ht="15">
      <c r="K26" s="443"/>
      <c r="L26" s="1116" t="s">
        <v>558</v>
      </c>
      <c r="M26" s="1329"/>
      <c r="N26" s="1329"/>
      <c r="O26" s="1329"/>
      <c r="P26" s="1329"/>
      <c r="Q26" s="1645"/>
      <c r="R26" s="1329"/>
      <c r="S26" s="1329"/>
      <c r="T26" s="1329"/>
      <c r="U26" s="1329"/>
      <c r="V26" s="1329"/>
      <c r="W26" s="1115">
        <v>21661</v>
      </c>
      <c r="X26" s="1115">
        <v>21679.865510432788</v>
      </c>
      <c r="Y26" s="1115">
        <v>21698.731020865576</v>
      </c>
      <c r="Z26" s="1115">
        <v>21717.596531298364</v>
      </c>
      <c r="AA26" s="123">
        <v>21736.462041731153</v>
      </c>
      <c r="AB26" s="123">
        <v>21755.327552163941</v>
      </c>
      <c r="AC26" s="123">
        <v>21774.193062596729</v>
      </c>
      <c r="AD26" s="123">
        <v>21793.058573029517</v>
      </c>
      <c r="AE26" s="123">
        <v>21811.924083462305</v>
      </c>
      <c r="AF26" s="123">
        <v>21830.789593895093</v>
      </c>
      <c r="AG26" s="123">
        <v>23869</v>
      </c>
      <c r="AH26" s="123">
        <v>23836</v>
      </c>
      <c r="AI26" s="123">
        <v>23878</v>
      </c>
      <c r="AJ26" s="123">
        <v>24332</v>
      </c>
      <c r="AK26" s="123"/>
      <c r="AL26" s="123"/>
    </row>
    <row r="27" spans="2:39" ht="15">
      <c r="K27" s="443"/>
      <c r="L27" s="1117" t="s">
        <v>562</v>
      </c>
      <c r="M27" s="1329"/>
      <c r="N27" s="1329"/>
      <c r="O27" s="1329"/>
      <c r="P27" s="1329"/>
      <c r="Q27" s="1645"/>
      <c r="R27" s="1329"/>
      <c r="S27" s="1329"/>
      <c r="T27" s="1329"/>
      <c r="U27" s="1329"/>
      <c r="V27" s="1329"/>
      <c r="W27" s="1115">
        <v>17489</v>
      </c>
      <c r="X27" s="1115">
        <v>17659.404862843294</v>
      </c>
      <c r="Y27" s="1115">
        <v>17829.809725686588</v>
      </c>
      <c r="Z27" s="1115">
        <v>18000.214588529881</v>
      </c>
      <c r="AA27" s="123">
        <v>18170.619451373175</v>
      </c>
      <c r="AB27" s="123">
        <v>18341.024314216469</v>
      </c>
      <c r="AC27" s="123">
        <v>18511.429177059763</v>
      </c>
      <c r="AD27" s="123">
        <v>18681.834039903057</v>
      </c>
      <c r="AE27" s="123">
        <v>18852.238902746351</v>
      </c>
      <c r="AF27" s="123">
        <v>19022.643765589644</v>
      </c>
      <c r="AG27" s="123">
        <v>17803</v>
      </c>
      <c r="AH27" s="123">
        <v>17771</v>
      </c>
      <c r="AI27" s="123">
        <v>17609</v>
      </c>
      <c r="AJ27" s="123">
        <v>17594</v>
      </c>
      <c r="AK27" s="123"/>
      <c r="AL27" s="123"/>
    </row>
    <row r="28" spans="2:39" ht="15">
      <c r="K28" s="20"/>
      <c r="L28" s="1117" t="s">
        <v>566</v>
      </c>
      <c r="M28" s="1329"/>
      <c r="N28" s="1329"/>
      <c r="O28" s="1329"/>
      <c r="P28" s="1329"/>
      <c r="Q28" s="1645"/>
      <c r="R28" s="1329"/>
      <c r="S28" s="1329"/>
      <c r="T28" s="1329"/>
      <c r="U28" s="1329"/>
      <c r="V28" s="1329"/>
      <c r="W28" s="1115"/>
      <c r="X28" s="1115"/>
      <c r="Y28" s="1115"/>
      <c r="Z28" s="1115"/>
      <c r="AA28" s="123">
        <f t="shared" ref="AA28:AF28" si="22">AA24+AA25+AA26+AA27</f>
        <v>315290.89878461708</v>
      </c>
      <c r="AB28" s="123">
        <f t="shared" si="22"/>
        <v>317284.37348077126</v>
      </c>
      <c r="AC28" s="123">
        <f t="shared" si="22"/>
        <v>319277.84817692556</v>
      </c>
      <c r="AD28" s="123">
        <f t="shared" si="22"/>
        <v>321271.32287307992</v>
      </c>
      <c r="AE28" s="123">
        <f t="shared" si="22"/>
        <v>323264.79756923416</v>
      </c>
      <c r="AF28" s="123">
        <f t="shared" si="22"/>
        <v>325258.27226538834</v>
      </c>
      <c r="AG28" s="123">
        <f t="shared" ref="AG28:AH28" si="23">AG24+AG25+AG26+AG27</f>
        <v>336151</v>
      </c>
      <c r="AH28" s="123">
        <f t="shared" si="23"/>
        <v>334139</v>
      </c>
      <c r="AI28" s="123">
        <f t="shared" ref="AI28" si="24">AI24+AI25+AI26+AI27</f>
        <v>333866</v>
      </c>
      <c r="AJ28" s="123">
        <f t="shared" ref="AJ28" si="25">AJ24+AJ25+AJ26+AJ27</f>
        <v>335116</v>
      </c>
      <c r="AK28" s="123"/>
      <c r="AL28" s="123"/>
    </row>
    <row r="29" spans="2:39" ht="15">
      <c r="K29" s="20"/>
      <c r="L29" s="1116" t="s">
        <v>567</v>
      </c>
      <c r="M29" s="123">
        <f t="shared" ref="M29:V29" si="26">M22*$C$45</f>
        <v>1781523.2400000002</v>
      </c>
      <c r="N29" s="123">
        <f t="shared" si="26"/>
        <v>1794035.32</v>
      </c>
      <c r="O29" s="123">
        <f t="shared" si="26"/>
        <v>1801252.0400000003</v>
      </c>
      <c r="P29" s="123">
        <f t="shared" si="26"/>
        <v>1803603.2000000002</v>
      </c>
      <c r="Q29" s="123">
        <f t="shared" si="26"/>
        <v>1802475.9200000002</v>
      </c>
      <c r="R29" s="123">
        <f t="shared" si="26"/>
        <v>1801616.0400000003</v>
      </c>
      <c r="S29" s="123">
        <f t="shared" si="26"/>
        <v>1810591.7200000002</v>
      </c>
      <c r="T29" s="123">
        <f t="shared" si="26"/>
        <v>1819797.0000000002</v>
      </c>
      <c r="U29" s="123">
        <f t="shared" si="26"/>
        <v>1832206.6</v>
      </c>
      <c r="V29" s="123">
        <f t="shared" si="26"/>
        <v>1846204.36</v>
      </c>
      <c r="W29" s="123">
        <f t="shared" ref="W29:AI29" si="27">W22*$C$45</f>
        <v>1833336.12</v>
      </c>
      <c r="X29" s="123">
        <f t="shared" si="27"/>
        <v>1843872.6320000002</v>
      </c>
      <c r="Y29" s="123">
        <f t="shared" si="27"/>
        <v>1854409.1440000003</v>
      </c>
      <c r="Z29" s="123">
        <f t="shared" si="27"/>
        <v>1864945.6560000004</v>
      </c>
      <c r="AA29" s="123">
        <f t="shared" si="27"/>
        <v>1875482.1680000005</v>
      </c>
      <c r="AB29" s="123">
        <f t="shared" si="27"/>
        <v>1886018.6800000006</v>
      </c>
      <c r="AC29" s="123">
        <f t="shared" si="27"/>
        <v>1896555.1920000007</v>
      </c>
      <c r="AD29" s="123">
        <f t="shared" si="27"/>
        <v>1907091.7040000008</v>
      </c>
      <c r="AE29" s="123">
        <f t="shared" si="27"/>
        <v>1917628.2160000009</v>
      </c>
      <c r="AF29" s="123">
        <f t="shared" si="27"/>
        <v>1928164.7280000011</v>
      </c>
      <c r="AG29" s="123">
        <f t="shared" si="27"/>
        <v>1968376.7600000002</v>
      </c>
      <c r="AH29" s="123">
        <f t="shared" si="27"/>
        <v>1955722.4400000002</v>
      </c>
      <c r="AI29" s="123">
        <f t="shared" si="27"/>
        <v>1954952.7200000002</v>
      </c>
      <c r="AJ29" s="123">
        <f t="shared" ref="AJ29" si="28">AJ22*$C$45</f>
        <v>1960391.7200000002</v>
      </c>
      <c r="AK29" s="123"/>
      <c r="AL29" s="123"/>
    </row>
    <row r="30" spans="2:39" ht="15.5" thickBot="1">
      <c r="K30" s="1124"/>
      <c r="L30" s="1120" t="s">
        <v>568</v>
      </c>
      <c r="M30" s="1121">
        <f t="shared" ref="M30:V30" si="29">M22-SUM(M23,M28,M29)</f>
        <v>2449697.7599999998</v>
      </c>
      <c r="N30" s="1121">
        <f t="shared" si="29"/>
        <v>2466902.5955366613</v>
      </c>
      <c r="O30" s="1121">
        <f t="shared" si="29"/>
        <v>2476826.0040118424</v>
      </c>
      <c r="P30" s="1121">
        <f t="shared" si="29"/>
        <v>2480058.9853483085</v>
      </c>
      <c r="Q30" s="1121">
        <f t="shared" si="29"/>
        <v>2478508.9099808428</v>
      </c>
      <c r="R30" s="1121">
        <f t="shared" si="29"/>
        <v>2477326.5251190718</v>
      </c>
      <c r="S30" s="1121">
        <f t="shared" si="29"/>
        <v>2489668.6055908804</v>
      </c>
      <c r="T30" s="1121">
        <f t="shared" si="29"/>
        <v>2502326.3993764799</v>
      </c>
      <c r="U30" s="1121">
        <f t="shared" si="29"/>
        <v>2519390.3189706444</v>
      </c>
      <c r="V30" s="1121">
        <f t="shared" si="29"/>
        <v>2538638.0506572751</v>
      </c>
      <c r="W30" s="1121">
        <f t="shared" ref="W30:AF30" si="30">W22-SUM(W23,W28,W29)</f>
        <v>2511787.88</v>
      </c>
      <c r="X30" s="1121">
        <f t="shared" si="30"/>
        <v>2518100.0165585838</v>
      </c>
      <c r="Y30" s="1121">
        <f t="shared" si="30"/>
        <v>2524412.1531171678</v>
      </c>
      <c r="Z30" s="1121">
        <f t="shared" si="30"/>
        <v>2530724.2896757517</v>
      </c>
      <c r="AA30" s="1121">
        <f t="shared" si="30"/>
        <v>2221745.5274497187</v>
      </c>
      <c r="AB30" s="1121">
        <f t="shared" si="30"/>
        <v>2226064.1893121488</v>
      </c>
      <c r="AC30" s="1121">
        <f t="shared" si="30"/>
        <v>2230382.8511745781</v>
      </c>
      <c r="AD30" s="1121">
        <f t="shared" si="30"/>
        <v>2234701.5130370073</v>
      </c>
      <c r="AE30" s="1121">
        <f t="shared" si="30"/>
        <v>2239020.1748994375</v>
      </c>
      <c r="AF30" s="1121">
        <f t="shared" si="30"/>
        <v>2243338.8367618676</v>
      </c>
      <c r="AG30" s="1121">
        <f t="shared" ref="AG30:AH30" si="31">AG22-SUM(AG23,AG28,AG29)</f>
        <v>2318031.2400000002</v>
      </c>
      <c r="AH30" s="1121">
        <f t="shared" si="31"/>
        <v>2325725.5599999996</v>
      </c>
      <c r="AI30" s="1121">
        <f t="shared" ref="AI30" si="32">AI22-SUM(AI23,AI28,AI29)</f>
        <v>2325949.2799999993</v>
      </c>
      <c r="AJ30" s="1121">
        <f t="shared" ref="AJ30" si="33">AJ22-SUM(AJ23,AJ28,AJ29)</f>
        <v>2342873.2799999993</v>
      </c>
      <c r="AK30" s="1121"/>
      <c r="AL30" s="1121"/>
    </row>
    <row r="31" spans="2:39" ht="17.149999999999999" customHeight="1">
      <c r="K31" s="443"/>
      <c r="L31" s="1118" t="s">
        <v>569</v>
      </c>
      <c r="M31" s="1122">
        <f t="shared" ref="M31:V31" si="34">M29*(1-$C$44/2)*$C$40*365*$C$43/1000</f>
        <v>10363.4547226875</v>
      </c>
      <c r="N31" s="1122">
        <f t="shared" si="34"/>
        <v>10436.2398380625</v>
      </c>
      <c r="O31" s="1122">
        <f t="shared" si="34"/>
        <v>10478.220851437503</v>
      </c>
      <c r="P31" s="1122">
        <f t="shared" si="34"/>
        <v>10491.897989999999</v>
      </c>
      <c r="Q31" s="1122">
        <f t="shared" si="34"/>
        <v>10485.340390875002</v>
      </c>
      <c r="R31" s="1122">
        <f t="shared" si="34"/>
        <v>10480.3383076875</v>
      </c>
      <c r="S31" s="1122">
        <f t="shared" si="34"/>
        <v>10532.551521187501</v>
      </c>
      <c r="T31" s="1122">
        <f t="shared" si="34"/>
        <v>10586.100360937502</v>
      </c>
      <c r="U31" s="1122">
        <f t="shared" si="34"/>
        <v>10658.289330937501</v>
      </c>
      <c r="V31" s="1122">
        <f t="shared" si="34"/>
        <v>10739.7169254375</v>
      </c>
      <c r="W31" s="1122">
        <f t="shared" ref="W31:AI31" si="35">W29*(1-$C$44/2)*$C$40*365*$C$43/1000</f>
        <v>10664.859960562502</v>
      </c>
      <c r="X31" s="1122">
        <f t="shared" si="35"/>
        <v>10726.152826462501</v>
      </c>
      <c r="Y31" s="1122">
        <f t="shared" si="35"/>
        <v>10787.445692362504</v>
      </c>
      <c r="Z31" s="1122">
        <f t="shared" si="35"/>
        <v>10848.738558262503</v>
      </c>
      <c r="AA31" s="1122">
        <f t="shared" si="35"/>
        <v>10910.031424162504</v>
      </c>
      <c r="AB31" s="1122">
        <f t="shared" si="35"/>
        <v>10971.324290062503</v>
      </c>
      <c r="AC31" s="1122">
        <f t="shared" si="35"/>
        <v>11032.617155962505</v>
      </c>
      <c r="AD31" s="1122">
        <f t="shared" si="35"/>
        <v>11093.910021862504</v>
      </c>
      <c r="AE31" s="1122">
        <f t="shared" si="35"/>
        <v>11155.202887762507</v>
      </c>
      <c r="AF31" s="1122">
        <f t="shared" si="35"/>
        <v>11216.495753662506</v>
      </c>
      <c r="AG31" s="1122">
        <f t="shared" si="35"/>
        <v>11450.4166835625</v>
      </c>
      <c r="AH31" s="1122">
        <f t="shared" si="35"/>
        <v>11376.8041314375</v>
      </c>
      <c r="AI31" s="1122">
        <f t="shared" si="35"/>
        <v>11372.326525875002</v>
      </c>
      <c r="AJ31" s="1122">
        <f t="shared" ref="AJ31" si="36">AJ29*(1-$C$44/2)*$C$40*365*$C$43/1000</f>
        <v>11403.966208687501</v>
      </c>
      <c r="AK31" s="1122"/>
      <c r="AL31" s="1122"/>
    </row>
    <row r="32" spans="2:39" ht="15">
      <c r="K32" s="20"/>
      <c r="L32" s="1118" t="s">
        <v>570</v>
      </c>
      <c r="M32" s="123">
        <f t="shared" ref="M32:V32" si="37">M30*$G$40*365*$G$43/1000</f>
        <v>1448.5062854879998</v>
      </c>
      <c r="N32" s="123">
        <f t="shared" si="37"/>
        <v>1458.6795047408277</v>
      </c>
      <c r="O32" s="123">
        <f t="shared" si="37"/>
        <v>1464.5472161722023</v>
      </c>
      <c r="P32" s="123">
        <f t="shared" si="37"/>
        <v>1466.4588780364547</v>
      </c>
      <c r="Q32" s="123">
        <f t="shared" si="37"/>
        <v>1465.5423184716722</v>
      </c>
      <c r="R32" s="123">
        <f t="shared" si="37"/>
        <v>1464.8431743029071</v>
      </c>
      <c r="S32" s="123">
        <f t="shared" si="37"/>
        <v>1472.1410464858875</v>
      </c>
      <c r="T32" s="123">
        <f t="shared" si="37"/>
        <v>1479.6255999513123</v>
      </c>
      <c r="U32" s="123">
        <f t="shared" si="37"/>
        <v>1489.7154956073416</v>
      </c>
      <c r="V32" s="123">
        <f t="shared" si="37"/>
        <v>1501.0966793536466</v>
      </c>
      <c r="W32" s="123">
        <f t="shared" ref="W32:AI32" si="38">W30*$G$40*365*$G$43/1000</f>
        <v>1485.2201734439998</v>
      </c>
      <c r="X32" s="123">
        <f t="shared" si="38"/>
        <v>1488.9525397910904</v>
      </c>
      <c r="Y32" s="123">
        <f t="shared" si="38"/>
        <v>1492.6849061381813</v>
      </c>
      <c r="Z32" s="123">
        <f t="shared" si="38"/>
        <v>1496.4172724852717</v>
      </c>
      <c r="AA32" s="123">
        <f t="shared" si="38"/>
        <v>1313.7181303810185</v>
      </c>
      <c r="AB32" s="123">
        <f t="shared" si="38"/>
        <v>1316.2717551402734</v>
      </c>
      <c r="AC32" s="123">
        <f t="shared" si="38"/>
        <v>1318.8253798995279</v>
      </c>
      <c r="AD32" s="123">
        <f t="shared" si="38"/>
        <v>1321.3790046587822</v>
      </c>
      <c r="AE32" s="123">
        <f t="shared" si="38"/>
        <v>1323.9326294180371</v>
      </c>
      <c r="AF32" s="123">
        <f t="shared" si="38"/>
        <v>1326.4862541772923</v>
      </c>
      <c r="AG32" s="123">
        <f t="shared" si="38"/>
        <v>1370.6518722120002</v>
      </c>
      <c r="AH32" s="123">
        <f t="shared" si="38"/>
        <v>1375.2015236279997</v>
      </c>
      <c r="AI32" s="123">
        <f t="shared" si="38"/>
        <v>1375.3338092639992</v>
      </c>
      <c r="AJ32" s="123">
        <f t="shared" ref="AJ32" si="39">AJ30*$G$40*365*$G$43/1000</f>
        <v>1385.3409704639994</v>
      </c>
      <c r="AK32" s="123"/>
      <c r="AL32" s="123"/>
    </row>
    <row r="33" spans="2:38" ht="15">
      <c r="K33" s="20"/>
      <c r="L33" s="1119" t="s">
        <v>571</v>
      </c>
      <c r="M33" s="123">
        <f t="shared" ref="M33:V33" si="40">SUM(M23,M28,M30)*$K$40/1000000</f>
        <v>18.324239039999998</v>
      </c>
      <c r="N33" s="123">
        <f t="shared" si="40"/>
        <v>18.452934719999998</v>
      </c>
      <c r="O33" s="123">
        <f t="shared" si="40"/>
        <v>18.52716384</v>
      </c>
      <c r="P33" s="123">
        <f t="shared" si="40"/>
        <v>18.551347199999999</v>
      </c>
      <c r="Q33" s="123">
        <f t="shared" si="40"/>
        <v>18.539752320000002</v>
      </c>
      <c r="R33" s="123">
        <f t="shared" si="40"/>
        <v>18.530907840000001</v>
      </c>
      <c r="S33" s="123">
        <f t="shared" si="40"/>
        <v>18.623229119999998</v>
      </c>
      <c r="T33" s="123">
        <f t="shared" si="40"/>
        <v>18.717911999999998</v>
      </c>
      <c r="U33" s="123">
        <f t="shared" si="40"/>
        <v>18.845553600000002</v>
      </c>
      <c r="V33" s="123">
        <f t="shared" si="40"/>
        <v>18.989530559999999</v>
      </c>
      <c r="W33" s="123">
        <f t="shared" ref="W33:AI33" si="41">SUM(W23,W28,W30)*$K$40/1000000</f>
        <v>18.857171519999998</v>
      </c>
      <c r="X33" s="123">
        <f t="shared" si="41"/>
        <v>18.965547072</v>
      </c>
      <c r="Y33" s="123">
        <f t="shared" si="41"/>
        <v>19.073922624000001</v>
      </c>
      <c r="Z33" s="123">
        <f t="shared" si="41"/>
        <v>19.182298176000003</v>
      </c>
      <c r="AA33" s="123">
        <f t="shared" si="41"/>
        <v>19.290673728000005</v>
      </c>
      <c r="AB33" s="123">
        <f t="shared" si="41"/>
        <v>19.399049280000007</v>
      </c>
      <c r="AC33" s="123">
        <f t="shared" si="41"/>
        <v>19.507424832000005</v>
      </c>
      <c r="AD33" s="123">
        <f t="shared" si="41"/>
        <v>19.615800384000007</v>
      </c>
      <c r="AE33" s="123">
        <f t="shared" si="41"/>
        <v>19.724175936000009</v>
      </c>
      <c r="AF33" s="123">
        <f t="shared" si="41"/>
        <v>19.832551488000014</v>
      </c>
      <c r="AG33" s="123">
        <f t="shared" si="41"/>
        <v>20.246160960000001</v>
      </c>
      <c r="AH33" s="123">
        <f t="shared" si="41"/>
        <v>20.116002239999997</v>
      </c>
      <c r="AI33" s="123">
        <f t="shared" si="41"/>
        <v>20.108085119999998</v>
      </c>
      <c r="AJ33" s="123">
        <f t="shared" ref="AJ33" si="42">SUM(AJ23,AJ28,AJ30)*$K$40/1000000</f>
        <v>20.164029119999999</v>
      </c>
      <c r="AK33" s="123"/>
      <c r="AL33" s="123"/>
    </row>
    <row r="34" spans="2:38" ht="15.5" thickBot="1">
      <c r="K34" s="1124"/>
      <c r="L34" s="1123" t="s">
        <v>572</v>
      </c>
      <c r="M34" s="1121">
        <f t="shared" ref="M34:V34" si="43">(((M22*M35*$K$43*$K$44)-(M33*1000*28/44))*(1-M36)*$K$45*44/28)/1000</f>
        <v>442.23514896479998</v>
      </c>
      <c r="N34" s="1121">
        <f t="shared" si="43"/>
        <v>452.38907210640008</v>
      </c>
      <c r="O34" s="1121">
        <f t="shared" si="43"/>
        <v>442.88670516079998</v>
      </c>
      <c r="P34" s="1121">
        <f t="shared" si="43"/>
        <v>443.46480166399999</v>
      </c>
      <c r="Q34" s="1121">
        <f t="shared" si="43"/>
        <v>447.43632251839995</v>
      </c>
      <c r="R34" s="1121">
        <f t="shared" si="43"/>
        <v>491.1050900808001</v>
      </c>
      <c r="S34" s="1121">
        <f t="shared" si="43"/>
        <v>457.98658901440007</v>
      </c>
      <c r="T34" s="1121">
        <f t="shared" si="43"/>
        <v>461.74489194</v>
      </c>
      <c r="U34" s="1121">
        <f t="shared" si="43"/>
        <v>450.49772393200016</v>
      </c>
      <c r="V34" s="1121">
        <f t="shared" si="43"/>
        <v>456.8406314472</v>
      </c>
      <c r="W34" s="1121">
        <f t="shared" ref="W34:AI34" si="44">(((W22*W35*$K$43*$K$44)-(W33*1000*28/44))*(1-W36)*$K$45*44/28)/1000</f>
        <v>339.74284974168</v>
      </c>
      <c r="X34" s="1121">
        <f t="shared" si="44"/>
        <v>351.83671240244809</v>
      </c>
      <c r="Y34" s="1121">
        <f t="shared" si="44"/>
        <v>340.58820102361597</v>
      </c>
      <c r="Z34" s="1121">
        <f t="shared" si="44"/>
        <v>342.52337896358404</v>
      </c>
      <c r="AA34" s="1121">
        <f t="shared" si="44"/>
        <v>351.67916325035208</v>
      </c>
      <c r="AB34" s="1121">
        <f t="shared" si="44"/>
        <v>354.69221703552017</v>
      </c>
      <c r="AC34" s="1121">
        <f t="shared" si="44"/>
        <v>357.71686098388813</v>
      </c>
      <c r="AD34" s="1121">
        <f t="shared" si="44"/>
        <v>320.45319604320969</v>
      </c>
      <c r="AE34" s="1121">
        <f t="shared" si="44"/>
        <v>327.82862477067857</v>
      </c>
      <c r="AF34" s="1121">
        <f t="shared" si="44"/>
        <v>328.69060521438735</v>
      </c>
      <c r="AG34" s="1121">
        <f t="shared" si="44"/>
        <v>329.79219040822409</v>
      </c>
      <c r="AH34" s="1121">
        <f t="shared" si="44"/>
        <v>317.10195397728</v>
      </c>
      <c r="AI34" s="1121">
        <f t="shared" si="44"/>
        <v>316.97715113663992</v>
      </c>
      <c r="AJ34" s="1121">
        <f t="shared" ref="AJ34" si="45">(((AJ22*AJ35*$K$43*$K$44)-(AJ33*1000*28/44))*(1-AJ36)*$K$45*44/28)/1000</f>
        <v>317.85903370464001</v>
      </c>
      <c r="AK34" s="1121"/>
      <c r="AL34" s="1121"/>
    </row>
    <row r="35" spans="2:38" ht="15">
      <c r="K35" s="443"/>
      <c r="L35" s="1117" t="s">
        <v>924</v>
      </c>
      <c r="M35" s="1648">
        <v>31.6</v>
      </c>
      <c r="N35" s="1649">
        <v>32.1</v>
      </c>
      <c r="O35" s="1649">
        <v>31.3</v>
      </c>
      <c r="P35" s="1649">
        <v>31.3</v>
      </c>
      <c r="Q35" s="1650">
        <v>31.6</v>
      </c>
      <c r="R35" s="1651">
        <v>34.700000000000003</v>
      </c>
      <c r="S35" s="1652">
        <v>32.200000000000003</v>
      </c>
      <c r="T35" s="1652">
        <v>32.299999999999997</v>
      </c>
      <c r="U35" s="1652">
        <v>31.3</v>
      </c>
      <c r="V35" s="1652">
        <v>31.5</v>
      </c>
      <c r="W35" s="1653">
        <v>33.700000000000003</v>
      </c>
      <c r="X35" s="1653">
        <v>34.700000000000003</v>
      </c>
      <c r="Y35" s="1653">
        <v>33.4</v>
      </c>
      <c r="Z35" s="1653">
        <v>33.4</v>
      </c>
      <c r="AA35" s="1653">
        <v>34.1</v>
      </c>
      <c r="AB35" s="1653">
        <v>34.200000000000003</v>
      </c>
      <c r="AC35" s="1653">
        <v>34.299999999999997</v>
      </c>
      <c r="AD35" s="1653">
        <v>34.5</v>
      </c>
      <c r="AE35" s="1653">
        <v>35.1</v>
      </c>
      <c r="AF35" s="1653">
        <v>35</v>
      </c>
      <c r="AG35" s="1653">
        <v>34.4</v>
      </c>
      <c r="AH35" s="1653">
        <v>34.4</v>
      </c>
      <c r="AI35" s="1653">
        <v>34.4</v>
      </c>
      <c r="AJ35" s="1696">
        <v>34.4</v>
      </c>
      <c r="AK35" s="1653"/>
      <c r="AL35" s="1653"/>
    </row>
    <row r="36" spans="2:38" ht="15">
      <c r="F36" s="1131"/>
      <c r="G36" s="1132"/>
      <c r="H36" s="1132"/>
      <c r="I36" s="1132"/>
      <c r="K36" s="20"/>
      <c r="L36" s="1117" t="s">
        <v>573</v>
      </c>
      <c r="M36" s="1114">
        <v>0</v>
      </c>
      <c r="N36" s="1114">
        <v>0</v>
      </c>
      <c r="O36" s="1114">
        <v>0</v>
      </c>
      <c r="P36" s="1114">
        <v>0</v>
      </c>
      <c r="Q36" s="1114">
        <v>0</v>
      </c>
      <c r="R36" s="1114">
        <v>0</v>
      </c>
      <c r="S36" s="1114">
        <v>0</v>
      </c>
      <c r="T36" s="1114">
        <v>0</v>
      </c>
      <c r="U36" s="1114">
        <v>0</v>
      </c>
      <c r="V36" s="1114">
        <v>0</v>
      </c>
      <c r="W36" s="1114">
        <v>0.3</v>
      </c>
      <c r="X36" s="1114">
        <v>0.3</v>
      </c>
      <c r="Y36" s="1114">
        <v>0.3</v>
      </c>
      <c r="Z36" s="1114">
        <v>0.3</v>
      </c>
      <c r="AA36" s="1114">
        <v>0.3</v>
      </c>
      <c r="AB36" s="1114">
        <v>0.3</v>
      </c>
      <c r="AC36" s="1114">
        <v>0.3</v>
      </c>
      <c r="AD36" s="1114">
        <v>0.38</v>
      </c>
      <c r="AE36" s="1114">
        <v>0.38</v>
      </c>
      <c r="AF36" s="1114">
        <v>0.38</v>
      </c>
      <c r="AG36" s="1114">
        <v>0.38</v>
      </c>
      <c r="AH36" s="1114">
        <v>0.4</v>
      </c>
      <c r="AI36" s="1114">
        <v>0.4</v>
      </c>
      <c r="AJ36" s="1697">
        <v>0.4</v>
      </c>
      <c r="AK36" s="1114"/>
      <c r="AL36" s="1114"/>
    </row>
    <row r="37" spans="2:38" ht="15">
      <c r="F37" s="1131"/>
      <c r="G37" s="1132"/>
      <c r="H37" s="1132"/>
      <c r="I37" s="1132"/>
      <c r="K37" s="20"/>
      <c r="Q37" s="626"/>
      <c r="AE37" s="1586" t="s">
        <v>916</v>
      </c>
      <c r="AH37" s="581" t="s">
        <v>914</v>
      </c>
    </row>
    <row r="38" spans="2:38" ht="15">
      <c r="B38" s="620" t="s">
        <v>928</v>
      </c>
      <c r="C38" s="234"/>
      <c r="D38" s="234"/>
      <c r="E38" s="234"/>
      <c r="U38" s="443"/>
      <c r="V38" s="1116"/>
      <c r="W38" s="20"/>
      <c r="X38" s="1144"/>
      <c r="Y38" s="20"/>
      <c r="Z38" s="20"/>
      <c r="AA38" s="20"/>
      <c r="AB38" s="20"/>
      <c r="AC38" s="20"/>
      <c r="AD38" s="20"/>
      <c r="AE38" s="1117" t="s">
        <v>917</v>
      </c>
      <c r="AF38" s="20"/>
      <c r="AH38" s="1117" t="s">
        <v>915</v>
      </c>
    </row>
    <row r="39" spans="2:38" ht="15">
      <c r="B39" s="1133" t="s">
        <v>539</v>
      </c>
      <c r="C39" s="615"/>
      <c r="D39" s="615"/>
      <c r="E39" s="564"/>
      <c r="F39" s="1133" t="s">
        <v>540</v>
      </c>
      <c r="G39" s="1137"/>
      <c r="H39" s="1137"/>
      <c r="I39" s="1138"/>
      <c r="J39" s="1133" t="s">
        <v>541</v>
      </c>
      <c r="K39" s="615"/>
      <c r="L39" s="615"/>
      <c r="M39" s="615"/>
      <c r="N39" s="564"/>
      <c r="O39" s="1133" t="s">
        <v>542</v>
      </c>
      <c r="P39" s="1138"/>
      <c r="W39" s="20"/>
      <c r="AB39" s="20"/>
      <c r="AC39" s="20"/>
      <c r="AD39" s="20"/>
      <c r="AE39" s="1117"/>
      <c r="AF39" s="20"/>
      <c r="AH39" s="1117" t="s">
        <v>931</v>
      </c>
    </row>
    <row r="40" spans="2:38">
      <c r="B40" s="1134" t="s">
        <v>544</v>
      </c>
      <c r="C40" s="1132">
        <v>8.5000000000000006E-2</v>
      </c>
      <c r="D40" s="1132" t="s">
        <v>545</v>
      </c>
      <c r="E40" s="616"/>
      <c r="F40" s="1134" t="s">
        <v>544</v>
      </c>
      <c r="G40" s="1132">
        <v>0.09</v>
      </c>
      <c r="H40" s="1132" t="s">
        <v>545</v>
      </c>
      <c r="I40" s="1139"/>
      <c r="J40" s="1134" t="s">
        <v>546</v>
      </c>
      <c r="K40" s="1132">
        <v>4</v>
      </c>
      <c r="L40" s="1132" t="s">
        <v>547</v>
      </c>
      <c r="N40" s="616"/>
      <c r="O40" s="1134" t="s">
        <v>28</v>
      </c>
      <c r="P40" s="1139">
        <v>25</v>
      </c>
    </row>
    <row r="41" spans="2:38">
      <c r="B41" s="1134" t="s">
        <v>549</v>
      </c>
      <c r="C41" s="1132">
        <v>0.6</v>
      </c>
      <c r="D41" s="1132" t="s">
        <v>550</v>
      </c>
      <c r="E41" s="616"/>
      <c r="F41" s="1134" t="s">
        <v>549</v>
      </c>
      <c r="G41" s="1132">
        <v>0.6</v>
      </c>
      <c r="H41" s="1132" t="s">
        <v>550</v>
      </c>
      <c r="I41" s="1139"/>
      <c r="J41" s="1134"/>
      <c r="K41" s="1132"/>
      <c r="L41" s="1132"/>
      <c r="N41" s="616"/>
      <c r="O41" s="1134" t="s">
        <v>30</v>
      </c>
      <c r="P41" s="1139">
        <v>298</v>
      </c>
    </row>
    <row r="42" spans="2:38">
      <c r="B42" s="1134" t="s">
        <v>552</v>
      </c>
      <c r="C42" s="1132">
        <v>0.5</v>
      </c>
      <c r="D42" s="1132"/>
      <c r="E42" s="616"/>
      <c r="F42" s="1134" t="s">
        <v>552</v>
      </c>
      <c r="G42" s="1132">
        <v>0.03</v>
      </c>
      <c r="H42" s="1132"/>
      <c r="I42" s="1139"/>
      <c r="J42" s="1134" t="s">
        <v>553</v>
      </c>
      <c r="K42" s="1132"/>
      <c r="L42" s="1132"/>
      <c r="M42" s="1132"/>
      <c r="N42" s="616"/>
      <c r="O42" s="1140"/>
      <c r="P42" s="616"/>
    </row>
    <row r="43" spans="2:38" ht="15" customHeight="1">
      <c r="B43" s="1134" t="s">
        <v>555</v>
      </c>
      <c r="C43" s="1132">
        <f>C42*C41</f>
        <v>0.3</v>
      </c>
      <c r="D43" s="1132" t="s">
        <v>550</v>
      </c>
      <c r="E43" s="616"/>
      <c r="F43" s="1134" t="s">
        <v>555</v>
      </c>
      <c r="G43" s="1132">
        <f>G42*G41</f>
        <v>1.7999999999999999E-2</v>
      </c>
      <c r="H43" s="1132" t="s">
        <v>550</v>
      </c>
      <c r="I43" s="1139"/>
      <c r="J43" s="1134" t="s">
        <v>556</v>
      </c>
      <c r="K43" s="1132">
        <v>0.16</v>
      </c>
      <c r="L43" s="1132" t="s">
        <v>557</v>
      </c>
      <c r="M43" s="1132"/>
      <c r="N43" s="616"/>
      <c r="O43" s="565"/>
      <c r="P43" s="616"/>
    </row>
    <row r="44" spans="2:38">
      <c r="B44" s="1134" t="s">
        <v>559</v>
      </c>
      <c r="C44" s="1132">
        <v>0.75</v>
      </c>
      <c r="D44" s="1132"/>
      <c r="E44" s="616"/>
      <c r="F44" s="565"/>
      <c r="I44" s="616"/>
      <c r="J44" s="1134" t="s">
        <v>560</v>
      </c>
      <c r="K44" s="1132">
        <v>1.75</v>
      </c>
      <c r="L44" s="1132" t="s">
        <v>561</v>
      </c>
      <c r="M44" s="1132"/>
      <c r="N44" s="616"/>
      <c r="O44" s="1141"/>
      <c r="P44" s="1139"/>
    </row>
    <row r="45" spans="2:38">
      <c r="B45" s="1135" t="s">
        <v>563</v>
      </c>
      <c r="C45" s="1136">
        <v>0.28000000000000003</v>
      </c>
      <c r="D45" s="1136"/>
      <c r="E45" s="618"/>
      <c r="F45" s="567"/>
      <c r="G45" s="617"/>
      <c r="H45" s="617"/>
      <c r="I45" s="618"/>
      <c r="J45" s="1135" t="s">
        <v>564</v>
      </c>
      <c r="K45" s="1136">
        <v>5.0000000000000001E-3</v>
      </c>
      <c r="L45" s="1136" t="s">
        <v>565</v>
      </c>
      <c r="M45" s="1136"/>
      <c r="N45" s="618"/>
      <c r="O45" s="1142"/>
      <c r="P45" s="1143"/>
    </row>
    <row r="46" spans="2:38">
      <c r="C46" s="581" t="s">
        <v>914</v>
      </c>
      <c r="F46" s="1131"/>
      <c r="G46" s="1132"/>
      <c r="H46" s="1132"/>
      <c r="I46" s="1132"/>
      <c r="M46" s="1132"/>
    </row>
    <row r="47" spans="2:38">
      <c r="C47" t="s">
        <v>930</v>
      </c>
      <c r="F47" s="1131"/>
      <c r="G47" s="1132"/>
      <c r="H47" s="1132"/>
      <c r="I47" s="1132"/>
      <c r="M47" s="1132"/>
    </row>
    <row r="48" spans="2:38">
      <c r="B48" s="1785" t="s">
        <v>929</v>
      </c>
      <c r="C48" s="1785"/>
      <c r="D48" s="1785"/>
      <c r="E48" s="1785"/>
      <c r="F48" s="1785"/>
      <c r="G48" s="1785"/>
      <c r="H48" s="1785"/>
      <c r="I48" s="1785"/>
      <c r="J48" s="1785"/>
      <c r="K48" s="1132"/>
      <c r="L48" s="1132"/>
      <c r="M48" s="1132"/>
    </row>
    <row r="49" spans="2:16">
      <c r="B49" t="s">
        <v>926</v>
      </c>
      <c r="C49" s="581" t="s">
        <v>925</v>
      </c>
      <c r="F49" s="1131"/>
      <c r="G49" s="1132"/>
      <c r="H49" s="1132"/>
      <c r="I49" s="1132"/>
    </row>
    <row r="50" spans="2:16">
      <c r="F50" s="1131"/>
      <c r="G50" s="1132"/>
      <c r="H50" s="1132"/>
      <c r="I50" s="1132"/>
      <c r="O50" s="341"/>
      <c r="P50" s="625"/>
    </row>
    <row r="51" spans="2:16">
      <c r="F51" s="1131"/>
      <c r="G51" s="1132"/>
      <c r="H51" s="1132"/>
      <c r="I51" s="1132"/>
    </row>
    <row r="52" spans="2:16">
      <c r="F52" s="1131"/>
      <c r="G52" s="1132"/>
      <c r="H52" s="1132"/>
      <c r="I52" s="1132"/>
    </row>
    <row r="53" spans="2:16">
      <c r="F53" s="1131"/>
      <c r="G53" s="1132"/>
      <c r="H53" s="1132"/>
      <c r="I53" s="1132"/>
    </row>
    <row r="54" spans="2:16">
      <c r="F54" s="1131"/>
      <c r="G54" s="1132"/>
      <c r="H54" s="1132"/>
      <c r="I54" s="1132"/>
    </row>
    <row r="55" spans="2:16">
      <c r="F55" s="1131"/>
      <c r="G55" s="1132"/>
      <c r="H55" s="1132"/>
      <c r="I55" s="1132"/>
    </row>
    <row r="56" spans="2:16">
      <c r="F56" s="1131"/>
      <c r="G56" s="1132"/>
      <c r="H56" s="1132"/>
      <c r="I56" s="1132"/>
    </row>
    <row r="57" spans="2:16">
      <c r="F57" s="1131"/>
      <c r="G57" s="1132"/>
      <c r="H57" s="1132"/>
      <c r="I57" s="1132"/>
    </row>
    <row r="58" spans="2:16">
      <c r="F58" s="1131"/>
      <c r="G58" s="1132"/>
      <c r="H58" s="1132"/>
      <c r="I58" s="1132"/>
    </row>
    <row r="59" spans="2:16">
      <c r="F59" s="1131"/>
      <c r="G59" s="1132"/>
      <c r="H59" s="1132"/>
      <c r="I59" s="1132"/>
    </row>
    <row r="60" spans="2:16">
      <c r="F60" s="1131"/>
      <c r="G60" s="1132"/>
      <c r="H60" s="1132"/>
      <c r="I60" s="1132"/>
    </row>
    <row r="61" spans="2:16">
      <c r="F61" s="1131"/>
      <c r="G61" s="1132"/>
      <c r="H61" s="1132"/>
      <c r="I61" s="1132"/>
    </row>
    <row r="74" spans="21:31">
      <c r="U74" s="1784"/>
      <c r="V74" s="1496"/>
      <c r="W74" s="1496"/>
      <c r="X74" s="1496"/>
      <c r="Y74" s="1496"/>
      <c r="Z74" s="1496"/>
      <c r="AA74" s="1496"/>
      <c r="AB74" s="1496"/>
      <c r="AC74" s="1496"/>
      <c r="AD74" s="1496"/>
      <c r="AE74" s="1496"/>
    </row>
    <row r="75" spans="21:31">
      <c r="U75" s="1784"/>
      <c r="V75" s="1113"/>
      <c r="W75" s="1496"/>
      <c r="X75" s="1496"/>
      <c r="Y75" s="1496"/>
      <c r="Z75" s="1496"/>
      <c r="AA75" s="1496"/>
      <c r="AB75" s="1496"/>
      <c r="AC75" s="1496"/>
      <c r="AD75" s="1496"/>
      <c r="AE75" s="1496"/>
    </row>
    <row r="76" spans="21:31">
      <c r="U76" s="1784"/>
      <c r="V76" s="1104"/>
      <c r="W76" s="1104"/>
      <c r="X76" s="1104"/>
      <c r="Y76" s="1104"/>
      <c r="Z76" s="1104"/>
      <c r="AA76" s="1104"/>
      <c r="AB76" s="1104"/>
      <c r="AC76" s="1496"/>
      <c r="AD76" s="1112"/>
      <c r="AE76" s="1112"/>
    </row>
    <row r="77" spans="21:31">
      <c r="U77" s="1110"/>
      <c r="V77" s="1105"/>
      <c r="W77" s="1105"/>
      <c r="X77" s="1105"/>
      <c r="Y77" s="1105"/>
      <c r="Z77" s="1105"/>
      <c r="AA77" s="1105"/>
      <c r="AB77" s="1105"/>
      <c r="AC77" s="1103"/>
      <c r="AD77" s="1105"/>
      <c r="AE77" s="1105"/>
    </row>
    <row r="78" spans="21:31">
      <c r="U78" s="1110"/>
      <c r="V78" s="1105"/>
      <c r="W78" s="1105"/>
      <c r="X78" s="1105"/>
      <c r="Y78" s="1105"/>
      <c r="Z78" s="1105"/>
      <c r="AA78" s="1105"/>
      <c r="AB78" s="1105"/>
      <c r="AC78" s="1103"/>
      <c r="AD78" s="1105"/>
      <c r="AE78" s="1105"/>
    </row>
    <row r="79" spans="21:31">
      <c r="U79" s="1110"/>
      <c r="V79" s="1105"/>
      <c r="W79" s="1105"/>
      <c r="X79" s="1105"/>
      <c r="Y79" s="1105"/>
      <c r="Z79" s="1105"/>
      <c r="AA79" s="1105"/>
      <c r="AB79" s="1105"/>
      <c r="AC79" s="1103"/>
      <c r="AD79" s="1105"/>
      <c r="AE79" s="1105"/>
    </row>
    <row r="80" spans="21:31">
      <c r="U80" s="1110"/>
      <c r="V80" s="1105"/>
      <c r="W80" s="1105"/>
      <c r="X80" s="1105"/>
      <c r="Y80" s="1105"/>
      <c r="Z80" s="1105"/>
      <c r="AA80" s="1105"/>
      <c r="AB80" s="1105"/>
      <c r="AC80" s="1103"/>
      <c r="AD80" s="1105"/>
      <c r="AE80" s="1105"/>
    </row>
    <row r="81" spans="21:31">
      <c r="U81" s="1110"/>
      <c r="V81" s="1105"/>
      <c r="W81" s="1105"/>
      <c r="X81" s="1105"/>
      <c r="Y81" s="1105"/>
      <c r="Z81" s="1105"/>
      <c r="AA81" s="1105"/>
      <c r="AB81" s="1105"/>
      <c r="AC81" s="1103"/>
      <c r="AD81" s="1105"/>
      <c r="AE81" s="1105"/>
    </row>
    <row r="82" spans="21:31">
      <c r="U82" s="1110"/>
      <c r="V82" s="1105"/>
      <c r="W82" s="1105"/>
      <c r="X82" s="1105"/>
      <c r="Y82" s="1105"/>
      <c r="Z82" s="1105"/>
      <c r="AA82" s="1105"/>
      <c r="AB82" s="1105"/>
      <c r="AC82" s="1103"/>
      <c r="AD82" s="1105"/>
      <c r="AE82" s="1105"/>
    </row>
    <row r="83" spans="21:31">
      <c r="U83" s="1110"/>
      <c r="V83" s="1105"/>
      <c r="W83" s="1105"/>
      <c r="X83" s="1105"/>
      <c r="Y83" s="1105"/>
      <c r="Z83" s="1105"/>
      <c r="AA83" s="1105"/>
      <c r="AB83" s="1105"/>
      <c r="AC83" s="1103"/>
      <c r="AD83" s="1105"/>
      <c r="AE83" s="1105"/>
    </row>
    <row r="84" spans="21:31">
      <c r="U84" s="1110"/>
      <c r="V84" s="1105"/>
      <c r="W84" s="1105"/>
      <c r="X84" s="1105"/>
      <c r="Y84" s="1105"/>
      <c r="Z84" s="1105"/>
      <c r="AA84" s="1105"/>
      <c r="AB84" s="1105"/>
      <c r="AC84" s="1103"/>
      <c r="AD84" s="1105"/>
      <c r="AE84" s="1105"/>
    </row>
    <row r="85" spans="21:31">
      <c r="U85" s="1110"/>
      <c r="V85" s="1105"/>
      <c r="W85" s="1105"/>
      <c r="X85" s="1105"/>
      <c r="Y85" s="1105"/>
      <c r="Z85" s="1105"/>
      <c r="AA85" s="1105"/>
      <c r="AB85" s="1105"/>
      <c r="AC85" s="1103"/>
      <c r="AD85" s="1105"/>
      <c r="AE85" s="1105"/>
    </row>
    <row r="86" spans="21:31">
      <c r="U86" s="1110"/>
      <c r="V86" s="1105"/>
      <c r="W86" s="1105"/>
      <c r="X86" s="1105"/>
      <c r="Y86" s="1105"/>
      <c r="Z86" s="1105"/>
      <c r="AA86" s="1105"/>
      <c r="AB86" s="1105"/>
      <c r="AC86" s="1103"/>
      <c r="AD86" s="1105"/>
      <c r="AE86" s="1105"/>
    </row>
    <row r="87" spans="21:31">
      <c r="U87" s="1110"/>
      <c r="V87" s="1105"/>
      <c r="W87" s="1105"/>
      <c r="X87" s="1105"/>
      <c r="Y87" s="1105"/>
      <c r="AA87" s="1105"/>
      <c r="AB87" s="1105"/>
      <c r="AC87" s="1105"/>
      <c r="AD87" s="1105"/>
      <c r="AE87" s="1103"/>
    </row>
  </sheetData>
  <mergeCells count="3">
    <mergeCell ref="B3:Z3"/>
    <mergeCell ref="U74:U76"/>
    <mergeCell ref="B48:J48"/>
  </mergeCells>
  <phoneticPr fontId="43" type="noConversion"/>
  <conditionalFormatting sqref="B3">
    <cfRule type="cellIs" dxfId="1" priority="1" stopIfTrue="1" operator="equal">
      <formula>0</formula>
    </cfRule>
    <cfRule type="cellIs" dxfId="0" priority="2" stopIfTrue="1" operator="notEqual">
      <formula>0</formula>
    </cfRule>
  </conditionalFormatting>
  <hyperlinks>
    <hyperlink ref="AH37" r:id="rId1" display="https://neiwpcc.org/wp-content/uploads/2022/10/NEIWPCC-Sludge-End-Use-Disposal-Estimate-Report_FINAL.pdf" xr:uid="{0021F651-2AB6-4BC5-A641-DC1CE00127E7}"/>
    <hyperlink ref="C46" r:id="rId2" display="https://neiwpcc.org/wp-content/uploads/2022/10/NEIWPCC-Sludge-End-Use-Disposal-Estimate-Report_FINAL.pdf" xr:uid="{996201B0-2E2E-4DB7-883D-627B6D854E7A}"/>
    <hyperlink ref="AE37" r:id="rId3" display="https://www.epa.gov/system/files/documents/2023-04/US-GHG-Inventory-2023-Main-Text.pdf" xr:uid="{CA03F5DF-ACC5-41F6-8DD7-A9868111EB35}"/>
    <hyperlink ref="C49" r:id="rId4" display="https://www.ipcc-nggip.iges.or.jp/public/2019rf/pdf/5_Volume5/19R_V5_6_Ch06_Wastewater.pdf" xr:uid="{BC4C7514-12DA-4DBF-9A31-01C3763063CD}"/>
  </hyperlinks>
  <pageMargins left="0" right="0" top="0" bottom="0" header="0.3" footer="0.3"/>
  <pageSetup scale="46" orientation="landscape" r:id="rId5"/>
  <headerFooter>
    <oddFooter>&amp;L&amp;F &amp;A&amp;R Page &amp;P of &amp;N</oddFooter>
  </headerFooter>
  <legacy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2:EI143"/>
  <sheetViews>
    <sheetView zoomScaleNormal="100" zoomScaleSheetLayoutView="30" workbookViewId="0"/>
  </sheetViews>
  <sheetFormatPr defaultColWidth="8.81640625" defaultRowHeight="14.5"/>
  <cols>
    <col min="1" max="2" width="5.54296875" customWidth="1"/>
    <col min="3" max="3" width="14" customWidth="1"/>
    <col min="4" max="4" width="10.54296875" customWidth="1"/>
    <col min="5" max="6" width="10.1796875" customWidth="1"/>
    <col min="7" max="9" width="11.453125" customWidth="1"/>
    <col min="10" max="10" width="12.453125" customWidth="1"/>
    <col min="11" max="11" width="15" customWidth="1"/>
    <col min="12" max="13" width="11.453125" customWidth="1"/>
    <col min="14" max="14" width="10.1796875" customWidth="1"/>
    <col min="15" max="15" width="13.453125" customWidth="1"/>
    <col min="16" max="16" width="14.453125" customWidth="1"/>
    <col min="17" max="17" width="14.54296875" customWidth="1"/>
    <col min="18" max="18" width="12.81640625" customWidth="1"/>
    <col min="19" max="19" width="14.453125" customWidth="1"/>
    <col min="20" max="20" width="15.453125" customWidth="1"/>
    <col min="21" max="21" width="14.81640625" customWidth="1"/>
    <col min="22" max="22" width="13.54296875" customWidth="1"/>
    <col min="23" max="23" width="14.453125" customWidth="1"/>
    <col min="24" max="27" width="13" customWidth="1"/>
    <col min="28" max="28" width="14" customWidth="1"/>
    <col min="29" max="29" width="12.453125" customWidth="1"/>
    <col min="30" max="30" width="14.453125" customWidth="1"/>
    <col min="31" max="31" width="19.1796875" customWidth="1"/>
    <col min="32" max="32" width="16.453125" customWidth="1"/>
    <col min="33" max="33" width="15.453125" customWidth="1"/>
    <col min="34" max="34" width="16.26953125" customWidth="1"/>
    <col min="35" max="36" width="14.453125" customWidth="1"/>
    <col min="37" max="38" width="11.453125" customWidth="1"/>
    <col min="39" max="39" width="11" customWidth="1"/>
    <col min="40" max="40" width="10.54296875" customWidth="1"/>
    <col min="41" max="43" width="10.1796875" customWidth="1"/>
    <col min="44" max="44" width="9.54296875" customWidth="1"/>
    <col min="45" max="46" width="8" customWidth="1"/>
    <col min="47" max="47" width="7.81640625" customWidth="1"/>
    <col min="48" max="48" width="8" customWidth="1"/>
    <col min="49" max="49" width="7.81640625" customWidth="1"/>
    <col min="50" max="50" width="8.54296875" customWidth="1"/>
    <col min="51" max="51" width="9.54296875" customWidth="1"/>
    <col min="54" max="55" width="7.453125" customWidth="1"/>
    <col min="56" max="56" width="8" customWidth="1"/>
    <col min="57" max="57" width="7.81640625" customWidth="1"/>
    <col min="58" max="59" width="8" customWidth="1"/>
    <col min="60" max="60" width="7.81640625" customWidth="1"/>
    <col min="61" max="61" width="8.54296875" customWidth="1"/>
    <col min="62" max="62" width="10.54296875" customWidth="1"/>
    <col min="63" max="64" width="10.1796875" customWidth="1"/>
    <col min="65" max="66" width="9.54296875" customWidth="1"/>
    <col min="67" max="67" width="8" customWidth="1"/>
    <col min="68" max="69" width="7.81640625" customWidth="1"/>
    <col min="70" max="70" width="8.1796875" customWidth="1"/>
    <col min="71" max="71" width="7.81640625" customWidth="1"/>
    <col min="72" max="72" width="8.54296875" customWidth="1"/>
    <col min="73" max="73" width="10.54296875" customWidth="1"/>
    <col min="76" max="77" width="9.54296875" customWidth="1"/>
    <col min="78" max="78" width="8.1796875" customWidth="1"/>
    <col min="79" max="79" width="8" customWidth="1"/>
    <col min="80" max="80" width="8.453125" customWidth="1"/>
    <col min="81" max="82" width="7.81640625" customWidth="1"/>
    <col min="83" max="84" width="5.54296875" customWidth="1"/>
    <col min="85" max="85" width="8.54296875" customWidth="1"/>
    <col min="86" max="86" width="11.1796875" customWidth="1"/>
    <col min="87" max="87" width="9.54296875" customWidth="1"/>
    <col min="88" max="88" width="13.81640625" customWidth="1"/>
    <col min="90" max="90" width="8" customWidth="1"/>
    <col min="91" max="91" width="13.453125" customWidth="1"/>
    <col min="92" max="92" width="10.54296875" customWidth="1"/>
    <col min="93" max="93" width="8.453125" customWidth="1"/>
    <col min="94" max="94" width="10.1796875" customWidth="1"/>
    <col min="95" max="95" width="10.54296875" customWidth="1"/>
    <col min="96" max="96" width="10" customWidth="1"/>
    <col min="97" max="97" width="12.453125" customWidth="1"/>
    <col min="98" max="98" width="14.1796875" customWidth="1"/>
    <col min="99" max="99" width="12.453125" customWidth="1"/>
    <col min="100" max="100" width="10" customWidth="1"/>
    <col min="101" max="101" width="17.1796875" customWidth="1"/>
    <col min="102" max="102" width="10.1796875" customWidth="1"/>
    <col min="103" max="103" width="11.453125" customWidth="1"/>
    <col min="104" max="104" width="12.1796875" customWidth="1"/>
    <col min="105" max="105" width="8.54296875" customWidth="1"/>
    <col min="106" max="107" width="5.54296875" customWidth="1"/>
    <col min="108" max="108" width="8.54296875" customWidth="1"/>
    <col min="109" max="109" width="11.54296875" customWidth="1"/>
    <col min="110" max="110" width="11.1796875" customWidth="1"/>
    <col min="111" max="111" width="11.453125" bestFit="1" customWidth="1"/>
    <col min="112" max="112" width="11.1796875" customWidth="1"/>
    <col min="113" max="113" width="10.54296875" customWidth="1"/>
    <col min="114" max="114" width="8.1796875" customWidth="1"/>
    <col min="115" max="115" width="12" customWidth="1"/>
    <col min="116" max="116" width="16.453125" customWidth="1"/>
    <col min="117" max="117" width="5.54296875" customWidth="1"/>
    <col min="118" max="118" width="10.453125" customWidth="1"/>
    <col min="119" max="119" width="15.81640625" customWidth="1"/>
    <col min="120" max="120" width="17.81640625" customWidth="1"/>
    <col min="121" max="121" width="9.453125" customWidth="1"/>
    <col min="122" max="122" width="12.453125" customWidth="1"/>
    <col min="123" max="123" width="8.1796875" customWidth="1"/>
    <col min="124" max="124" width="12.453125" customWidth="1"/>
    <col min="127" max="127" width="11.453125" customWidth="1"/>
    <col min="128" max="128" width="11" customWidth="1"/>
    <col min="130" max="130" width="10" customWidth="1"/>
    <col min="131" max="131" width="14.1796875" customWidth="1"/>
    <col min="135" max="135" width="14.453125" customWidth="1"/>
    <col min="139" max="139" width="13" customWidth="1"/>
    <col min="140" max="140" width="11.81640625" customWidth="1"/>
  </cols>
  <sheetData>
    <row r="2" spans="1:120">
      <c r="G2" s="235"/>
    </row>
    <row r="3" spans="1:120" ht="18.75" customHeight="1">
      <c r="C3" s="386" t="s">
        <v>574</v>
      </c>
      <c r="G3" s="235"/>
      <c r="AB3" s="276"/>
      <c r="AH3" s="234"/>
      <c r="AJ3" s="234"/>
    </row>
    <row r="4" spans="1:120" ht="15.5" thickBot="1">
      <c r="Q4" s="234"/>
      <c r="X4" s="732"/>
      <c r="AB4" s="733"/>
      <c r="AC4" s="789"/>
      <c r="AF4" s="234"/>
      <c r="AG4" s="1180"/>
      <c r="AH4" s="1180"/>
      <c r="AI4" s="216"/>
      <c r="AJ4" s="234"/>
    </row>
    <row r="5" spans="1:120" ht="15" customHeight="1" thickBot="1">
      <c r="D5" s="1855" t="s">
        <v>575</v>
      </c>
      <c r="E5" s="1856"/>
      <c r="F5" s="1856"/>
      <c r="G5" s="1856"/>
      <c r="H5" s="1856"/>
      <c r="I5" s="1856"/>
      <c r="J5" s="1856"/>
      <c r="K5" s="1856"/>
      <c r="L5" s="1856"/>
      <c r="M5" s="1856"/>
      <c r="N5" s="1856"/>
      <c r="O5" s="1857" t="s">
        <v>576</v>
      </c>
      <c r="P5" s="1858"/>
      <c r="Q5" s="804" t="s">
        <v>577</v>
      </c>
      <c r="R5" s="676"/>
      <c r="S5" s="676"/>
      <c r="T5" s="676"/>
      <c r="U5" s="676"/>
      <c r="V5" s="676"/>
      <c r="W5" s="676"/>
      <c r="X5" s="676"/>
      <c r="Y5" s="676"/>
      <c r="Z5" s="676"/>
      <c r="AA5" s="676"/>
      <c r="AB5" s="676"/>
      <c r="AC5" s="676"/>
      <c r="AD5" s="676"/>
      <c r="AE5" s="1874" t="s">
        <v>922</v>
      </c>
      <c r="AF5" s="1875"/>
      <c r="AG5" s="1875"/>
      <c r="AH5" s="1875"/>
      <c r="AI5" s="1876"/>
      <c r="AJ5" s="234"/>
    </row>
    <row r="6" spans="1:120">
      <c r="D6" s="400">
        <v>1990</v>
      </c>
      <c r="E6" s="330">
        <v>1991</v>
      </c>
      <c r="F6" s="330">
        <v>1992</v>
      </c>
      <c r="G6" s="330">
        <v>1993</v>
      </c>
      <c r="H6" s="330">
        <v>1994</v>
      </c>
      <c r="I6" s="330">
        <v>1995</v>
      </c>
      <c r="J6" s="330">
        <v>1996</v>
      </c>
      <c r="K6" s="330">
        <v>1997</v>
      </c>
      <c r="L6" s="330">
        <v>1998</v>
      </c>
      <c r="M6" s="330">
        <v>1999</v>
      </c>
      <c r="N6" s="673">
        <v>2000</v>
      </c>
      <c r="O6" s="400">
        <v>2001</v>
      </c>
      <c r="P6" s="673">
        <v>2002</v>
      </c>
      <c r="Q6" s="400">
        <v>2003</v>
      </c>
      <c r="R6" s="330">
        <v>2004</v>
      </c>
      <c r="S6" s="330">
        <v>2005</v>
      </c>
      <c r="T6" s="330">
        <v>2006</v>
      </c>
      <c r="U6" s="330">
        <v>2007</v>
      </c>
      <c r="V6" s="330">
        <v>2008</v>
      </c>
      <c r="W6" s="330">
        <v>2009</v>
      </c>
      <c r="X6" s="330">
        <v>2010</v>
      </c>
      <c r="Y6" s="330">
        <v>2011</v>
      </c>
      <c r="Z6" s="330">
        <v>2012</v>
      </c>
      <c r="AA6" s="330">
        <v>2013</v>
      </c>
      <c r="AB6" s="330">
        <v>2014</v>
      </c>
      <c r="AC6" s="330">
        <v>2015</v>
      </c>
      <c r="AD6" s="673">
        <v>2016</v>
      </c>
      <c r="AE6" s="1560">
        <v>2017</v>
      </c>
      <c r="AF6" s="1561">
        <v>2018</v>
      </c>
      <c r="AG6" s="1561">
        <v>2019</v>
      </c>
      <c r="AH6" s="1561">
        <v>2020</v>
      </c>
      <c r="AI6" s="1714">
        <v>2021</v>
      </c>
      <c r="AJ6" s="234"/>
    </row>
    <row r="7" spans="1:120" ht="16.5">
      <c r="C7" s="341" t="s">
        <v>578</v>
      </c>
      <c r="D7" s="401"/>
      <c r="E7" s="391"/>
      <c r="F7" s="391"/>
      <c r="G7" s="391"/>
      <c r="H7" s="391"/>
      <c r="I7" s="391"/>
      <c r="J7" s="391"/>
      <c r="K7" s="391"/>
      <c r="L7" s="391"/>
      <c r="M7" s="391"/>
      <c r="N7" s="391"/>
      <c r="O7" s="552">
        <v>6019636255.4044304</v>
      </c>
      <c r="P7" s="801">
        <v>7425264122.5016584</v>
      </c>
      <c r="Q7" s="791">
        <v>6035479002.3852959</v>
      </c>
      <c r="R7" s="366">
        <v>6308990710.8806849</v>
      </c>
      <c r="S7" s="366">
        <v>7527617006.912323</v>
      </c>
      <c r="T7" s="366">
        <v>5629502740.4044991</v>
      </c>
      <c r="U7" s="366">
        <v>4909024187.6228027</v>
      </c>
      <c r="V7" s="366">
        <v>5982328148.7266302</v>
      </c>
      <c r="W7" s="366">
        <v>6048602369.5155001</v>
      </c>
      <c r="X7" s="366">
        <v>5384783426.2467756</v>
      </c>
      <c r="Y7" s="366">
        <v>6090508004.0887423</v>
      </c>
      <c r="Z7" s="366">
        <v>5686035994.3762074</v>
      </c>
      <c r="AA7" s="366">
        <v>5682422236.5851412</v>
      </c>
      <c r="AB7" s="366">
        <v>6299092816.3058968</v>
      </c>
      <c r="AC7" s="366">
        <v>6896092399.9059629</v>
      </c>
      <c r="AD7" s="836">
        <v>6103686633.3549852</v>
      </c>
      <c r="AE7" s="791">
        <v>4730443994.4230566</v>
      </c>
      <c r="AF7" s="45">
        <v>7285522648.0193958</v>
      </c>
      <c r="AG7" s="366">
        <v>7494960134.8201475</v>
      </c>
      <c r="AH7" s="366">
        <v>12972697668.271439</v>
      </c>
      <c r="AI7" s="1715">
        <v>11269741284.308149</v>
      </c>
      <c r="AJ7" s="234"/>
    </row>
    <row r="8" spans="1:120" ht="17" thickBot="1">
      <c r="C8" s="341" t="s">
        <v>579</v>
      </c>
      <c r="D8" s="402">
        <f>U43</f>
        <v>1.8858940212182027</v>
      </c>
      <c r="E8" s="403">
        <f>U44</f>
        <v>1.1724041159564047</v>
      </c>
      <c r="F8" s="403">
        <f>U45</f>
        <v>1.4752219821672543</v>
      </c>
      <c r="G8" s="403">
        <f>U46</f>
        <v>2.1606319969895238</v>
      </c>
      <c r="H8" s="403">
        <f>U47</f>
        <v>1.8606896976971012</v>
      </c>
      <c r="I8" s="403">
        <f>U48</f>
        <v>1.9424413128723124</v>
      </c>
      <c r="J8" s="403">
        <f>U49</f>
        <v>2.1100141227923412</v>
      </c>
      <c r="K8" s="403">
        <f>U50</f>
        <v>0.92218599359594056</v>
      </c>
      <c r="L8" s="403">
        <f>U51</f>
        <v>0.9110947061645297</v>
      </c>
      <c r="M8" s="403">
        <f>U52</f>
        <v>2.2206927454267458</v>
      </c>
      <c r="N8" s="674">
        <f>U53</f>
        <v>3.1177751602306079</v>
      </c>
      <c r="O8" s="413">
        <f>O7*0.90718474/2000/1000000</f>
        <v>2.7304610756268213</v>
      </c>
      <c r="P8" s="802">
        <f t="shared" ref="P8:X8" si="0">P7*0.90718474/2000/1000000</f>
        <v>3.3680431512014977</v>
      </c>
      <c r="Q8" s="805">
        <f t="shared" si="0"/>
        <v>2.7376472247771821</v>
      </c>
      <c r="R8" s="731">
        <f t="shared" si="0"/>
        <v>2.8617100488563549</v>
      </c>
      <c r="S8" s="731">
        <f t="shared" si="0"/>
        <v>3.4144696386176672</v>
      </c>
      <c r="T8" s="731">
        <f t="shared" si="0"/>
        <v>2.5534994899415717</v>
      </c>
      <c r="U8" s="731">
        <f t="shared" si="0"/>
        <v>2.2266959156511517</v>
      </c>
      <c r="V8" s="731">
        <f t="shared" si="0"/>
        <v>2.7135384030986245</v>
      </c>
      <c r="W8" s="731">
        <f t="shared" si="0"/>
        <v>2.7435998839761511</v>
      </c>
      <c r="X8" s="731">
        <f t="shared" si="0"/>
        <v>2.4424966762479952</v>
      </c>
      <c r="Y8" s="731">
        <f t="shared" ref="Y8:AD8" si="1">Y7*0.90718474/2000/1000000</f>
        <v>2.762607960078582</v>
      </c>
      <c r="Z8" s="731">
        <f t="shared" si="1"/>
        <v>2.5791425425944108</v>
      </c>
      <c r="AA8" s="731">
        <f t="shared" si="1"/>
        <v>2.5775033696333551</v>
      </c>
      <c r="AB8" s="731">
        <f t="shared" si="1"/>
        <v>2.8572204393981666</v>
      </c>
      <c r="AC8" s="731">
        <f t="shared" si="1"/>
        <v>3.1280148954123335</v>
      </c>
      <c r="AD8" s="833">
        <f t="shared" si="1"/>
        <v>2.7685856857608093</v>
      </c>
      <c r="AE8" s="858">
        <f t="shared" ref="AE8:AF8" si="2">AE7*0.90718474/2000/1000000</f>
        <v>2.1456933025826213</v>
      </c>
      <c r="AF8" s="1178">
        <f t="shared" si="2"/>
        <v>3.3046574846037937</v>
      </c>
      <c r="AG8" s="731">
        <f>AG7*0.90718474/2000/1000000</f>
        <v>3.3996567306085903</v>
      </c>
      <c r="AH8" s="731">
        <f>AH7*0.90718474/2000/1000000</f>
        <v>5.8843166806447158</v>
      </c>
      <c r="AI8" s="1716">
        <f>AI7*0.90718474/2000/1000000</f>
        <v>5.111868658436177</v>
      </c>
      <c r="AJ8" s="234"/>
    </row>
    <row r="9" spans="1:120" ht="15" thickBot="1">
      <c r="N9" s="672" t="s">
        <v>580</v>
      </c>
      <c r="O9" s="1852" t="s">
        <v>581</v>
      </c>
      <c r="P9" s="1853"/>
      <c r="Q9" s="547" t="s">
        <v>582</v>
      </c>
      <c r="R9" s="235"/>
      <c r="S9" s="235"/>
      <c r="T9" s="235"/>
      <c r="U9" s="235"/>
      <c r="V9" s="235"/>
      <c r="W9" s="235"/>
      <c r="X9" s="235"/>
      <c r="Y9" s="235"/>
      <c r="Z9" s="235"/>
      <c r="AA9" s="235"/>
      <c r="AB9" s="235"/>
      <c r="AC9" s="235"/>
      <c r="AE9" s="859"/>
      <c r="AF9" s="1179"/>
      <c r="AG9" s="1472"/>
      <c r="AH9" s="1472"/>
      <c r="AI9" s="1717"/>
      <c r="AJ9" s="234"/>
    </row>
    <row r="10" spans="1:120" ht="16.5">
      <c r="C10" s="341" t="s">
        <v>583</v>
      </c>
      <c r="D10" s="399"/>
      <c r="E10" s="399"/>
      <c r="F10" s="399"/>
      <c r="G10" s="399"/>
      <c r="H10" s="399"/>
      <c r="I10" s="399"/>
      <c r="J10" s="399"/>
      <c r="K10" s="399"/>
      <c r="L10" s="399"/>
      <c r="M10" s="399"/>
      <c r="N10" s="675"/>
      <c r="O10" s="553">
        <v>1231492738.9993851</v>
      </c>
      <c r="P10" s="803">
        <v>1855631195.6046519</v>
      </c>
      <c r="Q10" s="553">
        <v>885478527.69678962</v>
      </c>
      <c r="R10" s="643">
        <v>725375119.66801453</v>
      </c>
      <c r="S10" s="643">
        <v>2092396769.877317</v>
      </c>
      <c r="T10" s="643">
        <v>1285780982.4348664</v>
      </c>
      <c r="U10" s="643">
        <v>2925005187.5809364</v>
      </c>
      <c r="V10" s="643">
        <v>3019651009.8810883</v>
      </c>
      <c r="W10" s="643">
        <v>2810866188.4575157</v>
      </c>
      <c r="X10" s="643">
        <v>2972490032.6250858</v>
      </c>
      <c r="Y10" s="643">
        <v>2378686797.389287</v>
      </c>
      <c r="Z10" s="643">
        <v>2446168555.6323271</v>
      </c>
      <c r="AA10" s="643">
        <v>2457407565.2214727</v>
      </c>
      <c r="AB10" s="643">
        <v>2105716660.3418074</v>
      </c>
      <c r="AC10" s="643">
        <v>2796727583.8665714</v>
      </c>
      <c r="AD10" s="837">
        <v>2095754633.2981851</v>
      </c>
      <c r="AE10" s="860">
        <v>-8225598.925214231</v>
      </c>
      <c r="AF10" s="323">
        <v>327900117.50129497</v>
      </c>
      <c r="AG10" s="646">
        <v>53523639.717792928</v>
      </c>
      <c r="AH10" s="646">
        <v>377144865.87450123</v>
      </c>
      <c r="AI10" s="1718">
        <v>47410402.322061971</v>
      </c>
      <c r="AJ10" s="234"/>
    </row>
    <row r="11" spans="1:120" ht="17" thickBot="1">
      <c r="C11" s="341" t="s">
        <v>584</v>
      </c>
      <c r="D11" s="399"/>
      <c r="E11" s="399"/>
      <c r="F11" s="399"/>
      <c r="G11" s="399"/>
      <c r="H11" s="399"/>
      <c r="I11" s="399"/>
      <c r="J11" s="399"/>
      <c r="K11" s="399"/>
      <c r="L11" s="399"/>
      <c r="M11" s="399"/>
      <c r="N11" s="675"/>
      <c r="O11" s="413">
        <f t="shared" ref="O11:X11" si="3">O10*0.90718474/2000/1000000</f>
        <v>0.55859571012052256</v>
      </c>
      <c r="P11" s="802">
        <f t="shared" si="3"/>
        <v>0.84170015186024771</v>
      </c>
      <c r="Q11" s="805">
        <f t="shared" si="3"/>
        <v>0.40164630396209744</v>
      </c>
      <c r="R11" s="731">
        <f t="shared" si="3"/>
        <v>0.32902461966924834</v>
      </c>
      <c r="S11" s="731">
        <f t="shared" si="3"/>
        <v>0.94909520982899687</v>
      </c>
      <c r="T11" s="731">
        <f t="shared" si="3"/>
        <v>0.58322044312355947</v>
      </c>
      <c r="U11" s="731">
        <f t="shared" si="3"/>
        <v>1.3267600352971316</v>
      </c>
      <c r="V11" s="731">
        <f t="shared" si="3"/>
        <v>1.369690658144856</v>
      </c>
      <c r="W11" s="731">
        <f t="shared" si="3"/>
        <v>1.2749874561753112</v>
      </c>
      <c r="X11" s="731">
        <f t="shared" si="3"/>
        <v>1.3482987986997899</v>
      </c>
      <c r="Y11" s="731">
        <f t="shared" ref="Y11:AD11" si="4">Y10*0.90718474/2000/1000000</f>
        <v>1.0789541819155164</v>
      </c>
      <c r="Z11" s="731">
        <f t="shared" si="4"/>
        <v>1.1095633925687443</v>
      </c>
      <c r="AA11" s="731">
        <f t="shared" si="4"/>
        <v>1.1146613215647374</v>
      </c>
      <c r="AB11" s="731">
        <f t="shared" si="4"/>
        <v>0.95513701051292543</v>
      </c>
      <c r="AC11" s="731">
        <f t="shared" si="4"/>
        <v>1.268574293010412</v>
      </c>
      <c r="AD11" s="833">
        <f t="shared" si="4"/>
        <v>0.95061831105620487</v>
      </c>
      <c r="AE11" s="861">
        <f t="shared" ref="AE11:AF11" si="5">AE10*0.90718474/2000/1000000</f>
        <v>-3.7310689111573763E-3</v>
      </c>
      <c r="AF11" s="1178">
        <f t="shared" si="5"/>
        <v>0.14873299142069088</v>
      </c>
      <c r="AG11" s="731">
        <f t="shared" ref="AG11:AI11" si="6">AG10*0.90718474/2000/1000000</f>
        <v>2.4277914590619825E-2</v>
      </c>
      <c r="AH11" s="731">
        <f t="shared" si="6"/>
        <v>0.17107003354534717</v>
      </c>
      <c r="AI11" s="1716">
        <f t="shared" si="6"/>
        <v>2.1504996751917593E-2</v>
      </c>
      <c r="AJ11" s="234"/>
    </row>
    <row r="12" spans="1:120">
      <c r="C12" s="341"/>
      <c r="AE12" s="857"/>
      <c r="AJ12" s="234"/>
    </row>
    <row r="13" spans="1:120" ht="15" thickBot="1">
      <c r="A13" s="151"/>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row>
    <row r="14" spans="1:120" ht="6" customHeight="1" thickBo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391"/>
      <c r="DG14" s="391"/>
      <c r="DH14" s="391"/>
      <c r="DI14" s="391"/>
      <c r="DJ14" s="391"/>
      <c r="DK14" s="391"/>
      <c r="DL14" s="391"/>
      <c r="DM14" s="391"/>
      <c r="DN14" s="391"/>
      <c r="DO14" s="391"/>
      <c r="DP14" s="391"/>
    </row>
    <row r="15" spans="1:120">
      <c r="A15" s="58"/>
      <c r="B15" s="383"/>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c r="CW15" s="383"/>
      <c r="CX15" s="383"/>
      <c r="CY15" s="383"/>
      <c r="CZ15" s="383"/>
      <c r="DA15" s="383"/>
      <c r="DB15" s="383"/>
      <c r="DC15" s="383"/>
      <c r="DD15" s="383"/>
      <c r="DE15" s="383"/>
      <c r="DF15" s="383"/>
      <c r="DG15" s="383"/>
      <c r="DH15" s="383"/>
      <c r="DI15" s="383"/>
      <c r="DJ15" s="383"/>
      <c r="DK15" s="383"/>
      <c r="DL15" s="383"/>
      <c r="DM15" s="383"/>
      <c r="DN15" s="383"/>
      <c r="DO15" s="383"/>
      <c r="DP15" s="384"/>
    </row>
    <row r="16" spans="1:120" ht="15" thickBot="1">
      <c r="A16" s="10"/>
      <c r="D16" s="1"/>
      <c r="DP16" s="7"/>
    </row>
    <row r="17" spans="1:120" ht="16.5" customHeight="1">
      <c r="A17" s="10"/>
      <c r="H17" s="1859" t="s">
        <v>585</v>
      </c>
      <c r="I17" s="1860"/>
      <c r="J17" s="1861"/>
      <c r="L17" s="60" t="s">
        <v>586</v>
      </c>
      <c r="M17" s="61"/>
      <c r="N17" s="61"/>
      <c r="O17" s="61"/>
      <c r="P17" s="1375" t="s">
        <v>587</v>
      </c>
      <c r="Q17" s="62"/>
      <c r="AE17" s="340"/>
      <c r="AG17" s="588"/>
      <c r="AH17" s="588"/>
      <c r="AI17" s="588"/>
      <c r="AO17" s="587"/>
      <c r="BJ17" s="588"/>
      <c r="BK17" s="588"/>
      <c r="BL17" s="588"/>
      <c r="BR17" s="587"/>
      <c r="CG17" s="588"/>
      <c r="CH17" s="588"/>
      <c r="CI17" s="588"/>
      <c r="CO17" s="587"/>
      <c r="DD17" s="588"/>
      <c r="DE17" s="588"/>
      <c r="DF17" s="588"/>
      <c r="DL17" s="587"/>
      <c r="DP17" s="7"/>
    </row>
    <row r="18" spans="1:120" ht="15.75" customHeight="1" thickBot="1">
      <c r="A18" s="10"/>
      <c r="C18" s="234"/>
      <c r="H18" s="1862"/>
      <c r="I18" s="1863"/>
      <c r="J18" s="1864"/>
      <c r="L18" s="63" t="s">
        <v>588</v>
      </c>
      <c r="M18" s="64"/>
      <c r="N18" s="64"/>
      <c r="O18" s="64"/>
      <c r="P18" s="1376" t="s">
        <v>589</v>
      </c>
      <c r="Q18" s="65"/>
      <c r="AE18" s="639"/>
      <c r="AG18" s="588"/>
      <c r="AH18" s="588"/>
      <c r="AI18" s="588"/>
      <c r="AO18" s="587"/>
      <c r="BJ18" s="588"/>
      <c r="BK18" s="588"/>
      <c r="BL18" s="588"/>
      <c r="BR18" s="587"/>
      <c r="CG18" s="588"/>
      <c r="CH18" s="588"/>
      <c r="CI18" s="588"/>
      <c r="CO18" s="587"/>
      <c r="DD18" s="588"/>
      <c r="DE18" s="588"/>
      <c r="DF18" s="588"/>
      <c r="DL18" s="587"/>
      <c r="DP18" s="7"/>
    </row>
    <row r="19" spans="1:120">
      <c r="A19" s="10"/>
      <c r="B19" s="562"/>
      <c r="C19" s="563"/>
      <c r="D19" s="564"/>
      <c r="L19" s="66" t="s">
        <v>590</v>
      </c>
      <c r="M19" s="67"/>
      <c r="N19" s="67"/>
      <c r="O19" s="67"/>
      <c r="P19" s="1377" t="s">
        <v>591</v>
      </c>
      <c r="Q19" s="68"/>
      <c r="AE19" s="340"/>
      <c r="AO19" s="587"/>
      <c r="BR19" s="587"/>
      <c r="CO19" s="587"/>
      <c r="DL19" s="587"/>
      <c r="DP19" s="7"/>
    </row>
    <row r="20" spans="1:120" ht="15" thickBot="1">
      <c r="A20" s="10"/>
      <c r="B20" s="565"/>
      <c r="C20" s="591" t="s">
        <v>592</v>
      </c>
      <c r="D20" s="566"/>
      <c r="E20" s="345"/>
      <c r="F20" s="345"/>
      <c r="L20" s="69" t="s">
        <v>593</v>
      </c>
      <c r="M20" s="70"/>
      <c r="N20" s="70"/>
      <c r="O20" s="70"/>
      <c r="P20" s="70"/>
      <c r="Q20" s="71"/>
      <c r="AC20" s="234"/>
      <c r="AE20" s="639"/>
      <c r="DP20" s="7"/>
    </row>
    <row r="21" spans="1:120" ht="15" thickBot="1">
      <c r="A21" s="10"/>
      <c r="B21" s="567"/>
      <c r="C21" s="568"/>
      <c r="D21" s="569"/>
      <c r="E21" s="345"/>
      <c r="F21" s="345"/>
      <c r="H21" s="1865" t="s">
        <v>594</v>
      </c>
      <c r="I21" s="1866"/>
      <c r="J21" s="1867"/>
      <c r="L21" s="72" t="s">
        <v>595</v>
      </c>
      <c r="M21" s="73"/>
      <c r="N21" s="73"/>
      <c r="O21" s="73"/>
      <c r="P21" s="195" t="s">
        <v>596</v>
      </c>
      <c r="Q21" s="74"/>
      <c r="AO21" s="587"/>
      <c r="BR21" s="587"/>
      <c r="CO21" s="587"/>
      <c r="DL21" s="587"/>
      <c r="DP21" s="7"/>
    </row>
    <row r="22" spans="1:120" ht="15" thickBot="1">
      <c r="A22" s="10"/>
      <c r="C22" s="345"/>
      <c r="D22" s="345"/>
      <c r="E22" s="345"/>
      <c r="F22" s="345"/>
      <c r="L22" s="132" t="s">
        <v>597</v>
      </c>
      <c r="M22" s="130"/>
      <c r="N22" s="130"/>
      <c r="O22" s="130"/>
      <c r="P22" s="130"/>
      <c r="Q22" s="133"/>
      <c r="DP22" s="7"/>
    </row>
    <row r="23" spans="1:120" ht="16" thickBot="1">
      <c r="A23" s="10"/>
      <c r="C23" s="345"/>
      <c r="D23" s="345"/>
      <c r="E23" s="345"/>
      <c r="F23" s="345"/>
      <c r="H23" s="1868" t="s">
        <v>598</v>
      </c>
      <c r="I23" s="1869"/>
      <c r="J23" s="1870"/>
      <c r="L23" s="164" t="s">
        <v>599</v>
      </c>
      <c r="M23" s="165"/>
      <c r="N23" s="165"/>
      <c r="O23" s="165"/>
      <c r="P23" s="165"/>
      <c r="Q23" s="166"/>
      <c r="X23" s="394"/>
      <c r="Y23" s="394"/>
      <c r="Z23" s="394"/>
      <c r="AA23" s="394"/>
      <c r="AB23" s="394"/>
      <c r="DP23" s="7"/>
    </row>
    <row r="24" spans="1:120" ht="16.5" customHeight="1" thickBot="1">
      <c r="A24" s="10"/>
      <c r="C24" s="345"/>
      <c r="D24" s="345"/>
      <c r="E24" s="345"/>
      <c r="F24" s="345"/>
      <c r="DP24" s="7"/>
    </row>
    <row r="25" spans="1:120" ht="15" thickBot="1">
      <c r="A25" s="10"/>
      <c r="H25" s="1840" t="s">
        <v>600</v>
      </c>
      <c r="I25" s="1841"/>
      <c r="J25" s="1842"/>
      <c r="AG25" s="1378"/>
      <c r="AH25" s="1378"/>
      <c r="AI25" s="1378"/>
      <c r="BJ25" s="1378"/>
      <c r="BK25" s="1378"/>
      <c r="BL25" s="1378"/>
      <c r="CG25" s="1378"/>
      <c r="CH25" s="1378"/>
      <c r="CI25" s="1378"/>
      <c r="DD25" s="1378"/>
      <c r="DE25" s="1378"/>
      <c r="DF25" s="1378"/>
      <c r="DP25" s="7"/>
    </row>
    <row r="26" spans="1:120" ht="15.75" customHeight="1" thickBot="1">
      <c r="A26" s="10"/>
      <c r="B26" s="1843" t="s">
        <v>601</v>
      </c>
      <c r="C26" s="1844"/>
      <c r="D26" s="1844"/>
      <c r="E26" s="1844"/>
      <c r="F26" s="1845"/>
      <c r="DP26" s="7"/>
    </row>
    <row r="27" spans="1:120" ht="15.75" customHeight="1" thickBot="1">
      <c r="A27" s="10"/>
      <c r="B27" s="1846"/>
      <c r="C27" s="1847"/>
      <c r="D27" s="1847"/>
      <c r="E27" s="1847"/>
      <c r="F27" s="1848"/>
      <c r="H27" s="1871" t="s">
        <v>602</v>
      </c>
      <c r="I27" s="1872"/>
      <c r="J27" s="1873"/>
      <c r="AG27" s="587"/>
      <c r="AH27" s="587"/>
      <c r="AI27" s="587"/>
      <c r="BJ27" s="587"/>
      <c r="BK27" s="587"/>
      <c r="BL27" s="587"/>
      <c r="CG27" s="587"/>
      <c r="CH27" s="587"/>
      <c r="CI27" s="587"/>
      <c r="DD27" s="587"/>
      <c r="DE27" s="587"/>
      <c r="DF27" s="587"/>
      <c r="DP27" s="7"/>
    </row>
    <row r="28" spans="1:120" ht="15" thickBot="1">
      <c r="A28" s="10"/>
      <c r="B28" s="1846"/>
      <c r="C28" s="1847"/>
      <c r="D28" s="1847"/>
      <c r="E28" s="1847"/>
      <c r="F28" s="1848"/>
      <c r="DP28" s="7"/>
    </row>
    <row r="29" spans="1:120" ht="15" customHeight="1" thickBot="1">
      <c r="A29" s="10"/>
      <c r="B29" s="1849"/>
      <c r="C29" s="1850"/>
      <c r="D29" s="1850"/>
      <c r="E29" s="1850"/>
      <c r="F29" s="1851"/>
      <c r="H29" s="1813" t="s">
        <v>603</v>
      </c>
      <c r="I29" s="1814"/>
      <c r="J29" s="1814"/>
      <c r="K29" s="1814"/>
      <c r="L29" s="1814"/>
      <c r="M29" s="1814"/>
      <c r="N29" s="1814"/>
      <c r="O29" s="1814"/>
      <c r="P29" s="1814"/>
      <c r="Q29" s="1814"/>
      <c r="R29" s="1815"/>
      <c r="AG29" s="589"/>
      <c r="AH29" s="589"/>
      <c r="AI29" s="589"/>
      <c r="AJ29" s="589"/>
      <c r="AK29" s="589"/>
      <c r="AL29" s="589"/>
      <c r="AM29" s="589"/>
      <c r="AN29" s="589"/>
      <c r="AO29" s="589"/>
      <c r="AP29" s="589"/>
      <c r="AQ29" s="589"/>
      <c r="BJ29" s="589"/>
      <c r="BK29" s="589"/>
      <c r="BL29" s="589"/>
      <c r="BM29" s="589"/>
      <c r="BN29" s="589"/>
      <c r="BO29" s="589"/>
      <c r="BP29" s="589"/>
      <c r="BQ29" s="589"/>
      <c r="BR29" s="589"/>
      <c r="BS29" s="589"/>
      <c r="BT29" s="589"/>
      <c r="CG29" s="589"/>
      <c r="CH29" s="589"/>
      <c r="CI29" s="589"/>
      <c r="CJ29" s="589"/>
      <c r="CK29" s="589"/>
      <c r="CL29" s="589"/>
      <c r="CM29" s="589"/>
      <c r="CN29" s="589"/>
      <c r="CO29" s="589"/>
      <c r="CP29" s="589"/>
      <c r="CQ29" s="589"/>
      <c r="DD29" s="589"/>
      <c r="DE29" s="589"/>
      <c r="DF29" s="589"/>
      <c r="DG29" s="589"/>
      <c r="DH29" s="589"/>
      <c r="DI29" s="589"/>
      <c r="DJ29" s="589"/>
      <c r="DK29" s="589"/>
      <c r="DL29" s="589"/>
      <c r="DM29" s="589"/>
      <c r="DN29" s="589"/>
      <c r="DP29" s="7"/>
    </row>
    <row r="30" spans="1:120" ht="15" customHeight="1" thickBot="1">
      <c r="A30" s="10"/>
      <c r="DP30" s="7"/>
    </row>
    <row r="31" spans="1:120" ht="15" customHeight="1">
      <c r="A31" s="10"/>
      <c r="H31" s="1834" t="s">
        <v>604</v>
      </c>
      <c r="I31" s="1835"/>
      <c r="J31" s="1835"/>
      <c r="K31" s="1835"/>
      <c r="L31" s="1835"/>
      <c r="M31" s="1835"/>
      <c r="N31" s="1835"/>
      <c r="O31" s="1835"/>
      <c r="P31" s="1835"/>
      <c r="Q31" s="1835"/>
      <c r="R31" s="1836"/>
      <c r="AG31" s="1379"/>
      <c r="AH31" s="1379"/>
      <c r="AI31" s="1379"/>
      <c r="AJ31" s="1379"/>
      <c r="AK31" s="1379"/>
      <c r="AL31" s="1379"/>
      <c r="AM31" s="1379"/>
      <c r="AN31" s="1379"/>
      <c r="AO31" s="1379"/>
      <c r="AP31" s="1379"/>
      <c r="AQ31" s="1379"/>
      <c r="BJ31" s="1379"/>
      <c r="BK31" s="1379"/>
      <c r="BL31" s="1379"/>
      <c r="BM31" s="1379"/>
      <c r="BN31" s="1379"/>
      <c r="BO31" s="1379"/>
      <c r="BP31" s="1379"/>
      <c r="BQ31" s="1379"/>
      <c r="BR31" s="1379"/>
      <c r="BS31" s="1379"/>
      <c r="BT31" s="1379"/>
      <c r="CG31" s="1379"/>
      <c r="CH31" s="1379"/>
      <c r="CI31" s="1379"/>
      <c r="CJ31" s="1379"/>
      <c r="CK31" s="1379"/>
      <c r="CL31" s="1379"/>
      <c r="CM31" s="1379"/>
      <c r="CN31" s="1379"/>
      <c r="CO31" s="1379"/>
      <c r="CP31" s="1379"/>
      <c r="CQ31" s="1379"/>
      <c r="DD31" s="1379"/>
      <c r="DE31" s="1379"/>
      <c r="DF31" s="1379"/>
      <c r="DG31" s="1379"/>
      <c r="DH31" s="1379"/>
      <c r="DI31" s="1379"/>
      <c r="DJ31" s="1379"/>
      <c r="DK31" s="1379"/>
      <c r="DL31" s="1379"/>
      <c r="DM31" s="1379"/>
      <c r="DN31" s="1379"/>
      <c r="DP31" s="7"/>
    </row>
    <row r="32" spans="1:120" ht="15.75" customHeight="1" thickBot="1">
      <c r="A32" s="10"/>
      <c r="H32" s="1837"/>
      <c r="I32" s="1838"/>
      <c r="J32" s="1838"/>
      <c r="K32" s="1838"/>
      <c r="L32" s="1838"/>
      <c r="M32" s="1838"/>
      <c r="N32" s="1838"/>
      <c r="O32" s="1838"/>
      <c r="P32" s="1838"/>
      <c r="Q32" s="1838"/>
      <c r="R32" s="1839"/>
      <c r="AG32" s="1379"/>
      <c r="AH32" s="1379"/>
      <c r="AI32" s="1379"/>
      <c r="AJ32" s="1379"/>
      <c r="AK32" s="1379"/>
      <c r="AL32" s="1379"/>
      <c r="AM32" s="1379"/>
      <c r="AN32" s="1379"/>
      <c r="AO32" s="1379"/>
      <c r="AP32" s="1379"/>
      <c r="AQ32" s="1379"/>
      <c r="BJ32" s="1379"/>
      <c r="BK32" s="1379"/>
      <c r="BL32" s="1379"/>
      <c r="BM32" s="1379"/>
      <c r="BN32" s="1379"/>
      <c r="BO32" s="1379"/>
      <c r="BP32" s="1379"/>
      <c r="BQ32" s="1379"/>
      <c r="BR32" s="1379"/>
      <c r="BS32" s="1379"/>
      <c r="BT32" s="1379"/>
      <c r="CG32" s="1379"/>
      <c r="CH32" s="1379"/>
      <c r="CI32" s="1379"/>
      <c r="CJ32" s="1379"/>
      <c r="CK32" s="1379"/>
      <c r="CL32" s="1379"/>
      <c r="CM32" s="1379"/>
      <c r="CN32" s="1379"/>
      <c r="CO32" s="1379"/>
      <c r="CP32" s="1379"/>
      <c r="CQ32" s="1379"/>
      <c r="DD32" s="1379"/>
      <c r="DE32" s="1379"/>
      <c r="DF32" s="1379"/>
      <c r="DG32" s="1379"/>
      <c r="DH32" s="1379"/>
      <c r="DI32" s="1379"/>
      <c r="DJ32" s="1379"/>
      <c r="DK32" s="1379"/>
      <c r="DL32" s="1379"/>
      <c r="DM32" s="1379"/>
      <c r="DN32" s="1379"/>
      <c r="DP32" s="7"/>
    </row>
    <row r="33" spans="1:120" ht="15" customHeight="1" thickBot="1">
      <c r="A33" s="10"/>
      <c r="DP33" s="7"/>
    </row>
    <row r="34" spans="1:120" ht="15" customHeight="1">
      <c r="A34" s="10"/>
      <c r="H34" s="1820" t="s">
        <v>605</v>
      </c>
      <c r="I34" s="1821"/>
      <c r="J34" s="1821"/>
      <c r="K34" s="1821"/>
      <c r="L34" s="1821"/>
      <c r="M34" s="1821"/>
      <c r="N34" s="1821"/>
      <c r="O34" s="1821"/>
      <c r="P34" s="1821"/>
      <c r="Q34" s="1821"/>
      <c r="R34" s="1822"/>
      <c r="AG34" s="1475"/>
      <c r="AH34" s="1475"/>
      <c r="AI34" s="1475"/>
      <c r="AJ34" s="1475"/>
      <c r="AK34" s="1475"/>
      <c r="AL34" s="1475"/>
      <c r="AM34" s="1475"/>
      <c r="AN34" s="1475"/>
      <c r="AO34" s="1475"/>
      <c r="AP34" s="1475"/>
      <c r="AQ34" s="1475"/>
      <c r="BJ34" s="1475"/>
      <c r="BK34" s="1475"/>
      <c r="BL34" s="1475"/>
      <c r="BM34" s="1475"/>
      <c r="BN34" s="1475"/>
      <c r="BO34" s="1475"/>
      <c r="BP34" s="1475"/>
      <c r="BQ34" s="1475"/>
      <c r="BR34" s="1475"/>
      <c r="BS34" s="1475"/>
      <c r="BT34" s="1475"/>
      <c r="CG34" s="1475"/>
      <c r="CH34" s="1475"/>
      <c r="CI34" s="1475"/>
      <c r="CJ34" s="1475"/>
      <c r="CK34" s="1475"/>
      <c r="CL34" s="1475"/>
      <c r="CM34" s="1475"/>
      <c r="CN34" s="1475"/>
      <c r="CO34" s="1475"/>
      <c r="CP34" s="1475"/>
      <c r="CQ34" s="1475"/>
      <c r="DD34" s="1475"/>
      <c r="DE34" s="1475"/>
      <c r="DF34" s="1475"/>
      <c r="DG34" s="1475"/>
      <c r="DH34" s="1475"/>
      <c r="DI34" s="1475"/>
      <c r="DJ34" s="1475"/>
      <c r="DK34" s="1475"/>
      <c r="DL34" s="1475"/>
      <c r="DM34" s="1475"/>
      <c r="DN34" s="1475"/>
      <c r="DP34" s="7"/>
    </row>
    <row r="35" spans="1:120" ht="15" customHeight="1">
      <c r="A35" s="10"/>
      <c r="H35" s="1789"/>
      <c r="I35" s="1790"/>
      <c r="J35" s="1790"/>
      <c r="K35" s="1790"/>
      <c r="L35" s="1790"/>
      <c r="M35" s="1790"/>
      <c r="N35" s="1790"/>
      <c r="O35" s="1790"/>
      <c r="P35" s="1790"/>
      <c r="Q35" s="1790"/>
      <c r="R35" s="1791"/>
      <c r="AG35" s="1475"/>
      <c r="AH35" s="1475"/>
      <c r="AI35" s="1475"/>
      <c r="AJ35" s="1475"/>
      <c r="AK35" s="1475"/>
      <c r="AL35" s="1475"/>
      <c r="AM35" s="1475"/>
      <c r="AN35" s="1475"/>
      <c r="AO35" s="1475"/>
      <c r="AP35" s="1475"/>
      <c r="AQ35" s="1475"/>
      <c r="BJ35" s="1475"/>
      <c r="BK35" s="1475"/>
      <c r="BL35" s="1475"/>
      <c r="BM35" s="1475"/>
      <c r="BN35" s="1475"/>
      <c r="BO35" s="1475"/>
      <c r="BP35" s="1475"/>
      <c r="BQ35" s="1475"/>
      <c r="BR35" s="1475"/>
      <c r="BS35" s="1475"/>
      <c r="BT35" s="1475"/>
      <c r="CG35" s="1475"/>
      <c r="CH35" s="1475"/>
      <c r="CI35" s="1475"/>
      <c r="CJ35" s="1475"/>
      <c r="CK35" s="1475"/>
      <c r="CL35" s="1475"/>
      <c r="CM35" s="1475"/>
      <c r="CN35" s="1475"/>
      <c r="CO35" s="1475"/>
      <c r="CP35" s="1475"/>
      <c r="CQ35" s="1475"/>
      <c r="DD35" s="1475"/>
      <c r="DE35" s="1475"/>
      <c r="DF35" s="1475"/>
      <c r="DG35" s="1475"/>
      <c r="DH35" s="1475"/>
      <c r="DI35" s="1475"/>
      <c r="DJ35" s="1475"/>
      <c r="DK35" s="1475"/>
      <c r="DL35" s="1475"/>
      <c r="DM35" s="1475"/>
      <c r="DN35" s="1475"/>
      <c r="DP35" s="7"/>
    </row>
    <row r="36" spans="1:120" ht="15" thickBot="1">
      <c r="A36" s="10"/>
      <c r="H36" s="1823"/>
      <c r="I36" s="1824"/>
      <c r="J36" s="1824"/>
      <c r="K36" s="1824"/>
      <c r="L36" s="1824"/>
      <c r="M36" s="1824"/>
      <c r="N36" s="1824"/>
      <c r="O36" s="1824"/>
      <c r="P36" s="1824"/>
      <c r="Q36" s="1824"/>
      <c r="R36" s="1825"/>
      <c r="AG36" s="1475"/>
      <c r="AH36" s="1475"/>
      <c r="AI36" s="1475"/>
      <c r="AJ36" s="1475"/>
      <c r="AK36" s="1475"/>
      <c r="AL36" s="1475"/>
      <c r="AM36" s="1475"/>
      <c r="AN36" s="1475"/>
      <c r="AO36" s="1475"/>
      <c r="AP36" s="1475"/>
      <c r="AQ36" s="1475"/>
      <c r="BJ36" s="1475"/>
      <c r="BK36" s="1475"/>
      <c r="BL36" s="1475"/>
      <c r="BM36" s="1475"/>
      <c r="BN36" s="1475"/>
      <c r="BO36" s="1475"/>
      <c r="BP36" s="1475"/>
      <c r="BQ36" s="1475"/>
      <c r="BR36" s="1475"/>
      <c r="BS36" s="1475"/>
      <c r="BT36" s="1475"/>
      <c r="CG36" s="1475"/>
      <c r="CH36" s="1475"/>
      <c r="CI36" s="1475"/>
      <c r="CJ36" s="1475"/>
      <c r="CK36" s="1475"/>
      <c r="CL36" s="1475"/>
      <c r="CM36" s="1475"/>
      <c r="CN36" s="1475"/>
      <c r="CO36" s="1475"/>
      <c r="CP36" s="1475"/>
      <c r="CQ36" s="1475"/>
      <c r="DD36" s="1475"/>
      <c r="DE36" s="1475"/>
      <c r="DF36" s="1475"/>
      <c r="DG36" s="1475"/>
      <c r="DH36" s="1475"/>
      <c r="DI36" s="1475"/>
      <c r="DJ36" s="1475"/>
      <c r="DK36" s="1475"/>
      <c r="DL36" s="1475"/>
      <c r="DM36" s="1475"/>
      <c r="DN36" s="1475"/>
      <c r="DP36" s="7"/>
    </row>
    <row r="37" spans="1:120" ht="15" thickBot="1">
      <c r="A37" s="10"/>
      <c r="DP37" s="7"/>
    </row>
    <row r="38" spans="1:120" ht="18" customHeight="1">
      <c r="A38" s="10"/>
      <c r="B38" s="11" t="s">
        <v>606</v>
      </c>
      <c r="C38" s="383"/>
      <c r="D38" s="383"/>
      <c r="E38" s="383"/>
      <c r="F38" s="383"/>
      <c r="G38" s="383"/>
      <c r="H38" s="383"/>
      <c r="I38" s="383"/>
      <c r="J38" s="383"/>
      <c r="K38" s="383"/>
      <c r="L38" s="383"/>
      <c r="M38" s="383"/>
      <c r="N38" s="383"/>
      <c r="O38" s="383"/>
      <c r="P38" s="383"/>
      <c r="Q38" s="383"/>
      <c r="R38" s="383"/>
      <c r="S38" s="383"/>
      <c r="T38" s="383"/>
      <c r="U38" s="383"/>
      <c r="V38" s="383"/>
      <c r="W38" s="384"/>
      <c r="AB38" s="11" t="s">
        <v>607</v>
      </c>
      <c r="AC38" s="383"/>
      <c r="AD38" s="383"/>
      <c r="AE38" s="383"/>
      <c r="AF38" s="383"/>
      <c r="AG38" s="383"/>
      <c r="AH38" s="383"/>
      <c r="AI38" s="383"/>
      <c r="AJ38" s="383"/>
      <c r="AK38" s="383"/>
      <c r="AL38" s="383"/>
      <c r="AM38" s="383"/>
      <c r="AN38" s="383"/>
      <c r="AO38" s="383"/>
      <c r="AP38" s="383"/>
      <c r="AQ38" s="383"/>
      <c r="AR38" s="383"/>
      <c r="AS38" s="383"/>
      <c r="AT38" s="383"/>
      <c r="AU38" s="383"/>
      <c r="AV38" s="383"/>
      <c r="AW38" s="383"/>
      <c r="AX38" s="383"/>
      <c r="AY38" s="383"/>
      <c r="AZ38" s="383"/>
      <c r="BA38" s="383"/>
      <c r="BB38" s="383"/>
      <c r="BC38" s="383"/>
      <c r="BD38" s="383"/>
      <c r="BE38" s="383"/>
      <c r="BF38" s="383"/>
      <c r="BG38" s="383"/>
      <c r="BH38" s="383"/>
      <c r="BI38" s="383"/>
      <c r="BJ38" s="383"/>
      <c r="BK38" s="383"/>
      <c r="BL38" s="383"/>
      <c r="BM38" s="383"/>
      <c r="BN38" s="383"/>
      <c r="BO38" s="383"/>
      <c r="BP38" s="383"/>
      <c r="BQ38" s="383"/>
      <c r="BR38" s="383"/>
      <c r="BS38" s="383"/>
      <c r="BT38" s="383"/>
      <c r="BU38" s="383"/>
      <c r="BV38" s="383"/>
      <c r="BW38" s="383"/>
      <c r="BX38" s="383"/>
      <c r="BY38" s="383"/>
      <c r="BZ38" s="383"/>
      <c r="CA38" s="383"/>
      <c r="CB38" s="383"/>
      <c r="CC38" s="383"/>
      <c r="CD38" s="383"/>
      <c r="CE38" s="384"/>
      <c r="CG38" s="11" t="s">
        <v>608</v>
      </c>
      <c r="CH38" s="383"/>
      <c r="CI38" s="383"/>
      <c r="CJ38" s="383"/>
      <c r="CK38" s="383"/>
      <c r="CL38" s="383"/>
      <c r="CM38" s="383"/>
      <c r="CN38" s="383"/>
      <c r="CO38" s="383"/>
      <c r="CP38" s="383"/>
      <c r="CQ38" s="383"/>
      <c r="CR38" s="383"/>
      <c r="CS38" s="383"/>
      <c r="CT38" s="383"/>
      <c r="CU38" s="383"/>
      <c r="CV38" s="383"/>
      <c r="CW38" s="383"/>
      <c r="CX38" s="383"/>
      <c r="CY38" s="383"/>
      <c r="CZ38" s="383"/>
      <c r="DA38" s="383"/>
      <c r="DB38" s="384"/>
      <c r="DD38" s="11" t="s">
        <v>609</v>
      </c>
      <c r="DE38" s="383"/>
      <c r="DF38" s="383"/>
      <c r="DG38" s="383"/>
      <c r="DH38" s="383"/>
      <c r="DI38" s="383"/>
      <c r="DJ38" s="383"/>
      <c r="DK38" s="383"/>
      <c r="DL38" s="383"/>
      <c r="DM38" s="384"/>
      <c r="DP38" s="7"/>
    </row>
    <row r="39" spans="1:120" ht="15.75" customHeight="1" thickBot="1">
      <c r="A39" s="10"/>
      <c r="B39" s="10"/>
      <c r="W39" s="7"/>
      <c r="AB39" s="10"/>
      <c r="CE39" s="7"/>
      <c r="CG39" s="10"/>
      <c r="DB39" s="7"/>
      <c r="DD39" s="10"/>
      <c r="DM39" s="7"/>
      <c r="DP39" s="7"/>
    </row>
    <row r="40" spans="1:120" ht="24.75" customHeight="1">
      <c r="A40" s="10"/>
      <c r="B40" s="10"/>
      <c r="D40" s="1826" t="s">
        <v>610</v>
      </c>
      <c r="E40" s="1827"/>
      <c r="F40" s="1827"/>
      <c r="G40" s="1827"/>
      <c r="H40" s="1827"/>
      <c r="I40" s="1828"/>
      <c r="J40" s="1832" t="s">
        <v>611</v>
      </c>
      <c r="K40" s="1826" t="s">
        <v>612</v>
      </c>
      <c r="L40" s="1828"/>
      <c r="M40" s="1826" t="s">
        <v>613</v>
      </c>
      <c r="N40" s="1827"/>
      <c r="O40" s="1828"/>
      <c r="P40" s="1832" t="s">
        <v>614</v>
      </c>
      <c r="Q40" s="1826" t="s">
        <v>615</v>
      </c>
      <c r="R40" s="1827"/>
      <c r="S40" s="1827"/>
      <c r="T40" s="1828"/>
      <c r="U40" s="389" t="s">
        <v>574</v>
      </c>
      <c r="V40" s="1832" t="s">
        <v>616</v>
      </c>
      <c r="W40" s="88"/>
      <c r="AB40" s="10"/>
      <c r="CE40" s="7"/>
      <c r="CG40" s="10"/>
      <c r="DB40" s="7"/>
      <c r="DD40" s="10"/>
      <c r="DM40" s="7"/>
      <c r="DP40" s="7"/>
    </row>
    <row r="41" spans="1:120" ht="23.25" customHeight="1" thickBot="1">
      <c r="A41" s="10"/>
      <c r="B41" s="10"/>
      <c r="D41" s="1829"/>
      <c r="E41" s="1830"/>
      <c r="F41" s="1830"/>
      <c r="G41" s="1830"/>
      <c r="H41" s="1830"/>
      <c r="I41" s="1831"/>
      <c r="J41" s="1833"/>
      <c r="K41" s="1829"/>
      <c r="L41" s="1831"/>
      <c r="M41" s="1829"/>
      <c r="N41" s="1830"/>
      <c r="O41" s="1831"/>
      <c r="P41" s="1833"/>
      <c r="Q41" s="1829"/>
      <c r="R41" s="1830"/>
      <c r="S41" s="1830"/>
      <c r="T41" s="1831"/>
      <c r="U41" s="390"/>
      <c r="V41" s="1833"/>
      <c r="W41" s="88"/>
      <c r="AB41" s="10"/>
      <c r="AC41" s="26" t="s">
        <v>617</v>
      </c>
      <c r="AD41" s="27"/>
      <c r="AE41" s="27"/>
      <c r="AF41" s="27"/>
      <c r="AG41" s="27"/>
      <c r="AH41" s="27"/>
      <c r="AI41" s="27" t="s">
        <v>431</v>
      </c>
      <c r="AJ41" s="27"/>
      <c r="AK41" s="27"/>
      <c r="AL41" s="27"/>
      <c r="AN41" s="26" t="s">
        <v>618</v>
      </c>
      <c r="AO41" s="27"/>
      <c r="AP41" s="27"/>
      <c r="AQ41" s="27"/>
      <c r="AR41" s="27"/>
      <c r="AS41" s="27"/>
      <c r="AT41" s="27" t="s">
        <v>431</v>
      </c>
      <c r="AU41" s="27"/>
      <c r="AV41" s="27"/>
      <c r="AW41" s="27"/>
      <c r="AY41" s="26" t="s">
        <v>619</v>
      </c>
      <c r="AZ41" s="27"/>
      <c r="BA41" s="27"/>
      <c r="BB41" s="27"/>
      <c r="BC41" s="27"/>
      <c r="BD41" s="27"/>
      <c r="BE41" s="27" t="s">
        <v>431</v>
      </c>
      <c r="BF41" s="27"/>
      <c r="BG41" s="27"/>
      <c r="BH41" s="27"/>
      <c r="BJ41" s="26" t="s">
        <v>620</v>
      </c>
      <c r="BK41" s="27"/>
      <c r="BL41" s="27"/>
      <c r="BM41" s="27"/>
      <c r="BN41" s="27"/>
      <c r="BO41" s="27"/>
      <c r="BP41" s="407" t="s">
        <v>431</v>
      </c>
      <c r="BQ41" s="27"/>
      <c r="BR41" s="27"/>
      <c r="BS41" s="27"/>
      <c r="BU41" s="26" t="s">
        <v>621</v>
      </c>
      <c r="BV41" s="27"/>
      <c r="BW41" s="27"/>
      <c r="BX41" s="27"/>
      <c r="BY41" s="27"/>
      <c r="BZ41" s="27"/>
      <c r="CA41" s="27" t="s">
        <v>431</v>
      </c>
      <c r="CB41" s="27"/>
      <c r="CC41" s="27"/>
      <c r="CD41" s="27"/>
      <c r="CE41" s="7"/>
      <c r="CG41" s="10"/>
      <c r="CH41" s="26" t="s">
        <v>622</v>
      </c>
      <c r="CI41" s="27"/>
      <c r="CJ41" s="27"/>
      <c r="CK41" s="27"/>
      <c r="CL41" s="26"/>
      <c r="CM41" s="26"/>
      <c r="CN41" s="27"/>
      <c r="CO41" s="27" t="s">
        <v>431</v>
      </c>
      <c r="CP41" s="27"/>
      <c r="CQ41" s="27"/>
      <c r="CS41" s="26" t="s">
        <v>623</v>
      </c>
      <c r="CT41" s="26"/>
      <c r="CU41" s="27"/>
      <c r="CV41" s="27"/>
      <c r="CX41" s="26" t="s">
        <v>624</v>
      </c>
      <c r="CY41" s="26"/>
      <c r="CZ41" s="27"/>
      <c r="DA41" s="27"/>
      <c r="DB41" s="7"/>
      <c r="DD41" s="10"/>
      <c r="DE41" s="161" t="s">
        <v>625</v>
      </c>
      <c r="DF41" s="162"/>
      <c r="DG41" s="163"/>
      <c r="DH41" s="163"/>
      <c r="DI41" s="163"/>
      <c r="DJ41" s="163"/>
      <c r="DK41" s="46"/>
      <c r="DM41" s="12"/>
      <c r="DP41" s="7"/>
    </row>
    <row r="42" spans="1:120" ht="66" customHeight="1" thickBot="1">
      <c r="A42" s="10"/>
      <c r="B42" s="10"/>
      <c r="C42" s="84" t="s">
        <v>626</v>
      </c>
      <c r="D42" s="33" t="s">
        <v>627</v>
      </c>
      <c r="E42" s="34" t="s">
        <v>628</v>
      </c>
      <c r="F42" s="83" t="s">
        <v>629</v>
      </c>
      <c r="G42" s="34" t="s">
        <v>630</v>
      </c>
      <c r="H42" s="34" t="s">
        <v>631</v>
      </c>
      <c r="I42" s="35" t="s">
        <v>632</v>
      </c>
      <c r="J42" s="77" t="s">
        <v>633</v>
      </c>
      <c r="K42" s="47" t="s">
        <v>634</v>
      </c>
      <c r="L42" s="35" t="s">
        <v>635</v>
      </c>
      <c r="M42" s="33" t="s">
        <v>636</v>
      </c>
      <c r="N42" s="34" t="s">
        <v>637</v>
      </c>
      <c r="O42" s="35" t="s">
        <v>638</v>
      </c>
      <c r="P42" s="33" t="s">
        <v>639</v>
      </c>
      <c r="Q42" s="33" t="s">
        <v>640</v>
      </c>
      <c r="R42" s="34" t="s">
        <v>641</v>
      </c>
      <c r="S42" s="34" t="s">
        <v>642</v>
      </c>
      <c r="T42" s="35" t="s">
        <v>643</v>
      </c>
      <c r="U42" s="188" t="s">
        <v>644</v>
      </c>
      <c r="V42" s="77" t="s">
        <v>645</v>
      </c>
      <c r="W42" s="189"/>
      <c r="AB42" s="13"/>
      <c r="AC42" s="28" t="s">
        <v>646</v>
      </c>
      <c r="AD42" s="28" t="s">
        <v>647</v>
      </c>
      <c r="AE42" s="2" t="s">
        <v>648</v>
      </c>
      <c r="AF42" s="28" t="s">
        <v>649</v>
      </c>
      <c r="AG42" s="28" t="s">
        <v>650</v>
      </c>
      <c r="AH42" s="28" t="s">
        <v>630</v>
      </c>
      <c r="AI42" s="28" t="s">
        <v>631</v>
      </c>
      <c r="AJ42" s="28" t="s">
        <v>632</v>
      </c>
      <c r="AK42" s="28" t="s">
        <v>651</v>
      </c>
      <c r="AL42" s="28" t="s">
        <v>652</v>
      </c>
      <c r="AM42" s="2"/>
      <c r="AN42" s="28" t="s">
        <v>646</v>
      </c>
      <c r="AO42" s="28" t="s">
        <v>647</v>
      </c>
      <c r="AP42" s="2" t="s">
        <v>648</v>
      </c>
      <c r="AQ42" s="28" t="s">
        <v>649</v>
      </c>
      <c r="AR42" s="28" t="s">
        <v>650</v>
      </c>
      <c r="AS42" s="28" t="s">
        <v>630</v>
      </c>
      <c r="AT42" s="28" t="s">
        <v>631</v>
      </c>
      <c r="AU42" s="28" t="s">
        <v>632</v>
      </c>
      <c r="AV42" s="28" t="s">
        <v>651</v>
      </c>
      <c r="AW42" s="28" t="s">
        <v>652</v>
      </c>
      <c r="AX42" s="2"/>
      <c r="AY42" s="28" t="s">
        <v>646</v>
      </c>
      <c r="AZ42" s="28" t="s">
        <v>647</v>
      </c>
      <c r="BA42" s="2" t="s">
        <v>648</v>
      </c>
      <c r="BB42" s="28" t="s">
        <v>649</v>
      </c>
      <c r="BC42" s="28" t="s">
        <v>650</v>
      </c>
      <c r="BD42" s="28" t="s">
        <v>630</v>
      </c>
      <c r="BE42" s="28" t="s">
        <v>631</v>
      </c>
      <c r="BF42" s="28" t="s">
        <v>632</v>
      </c>
      <c r="BG42" s="28" t="s">
        <v>651</v>
      </c>
      <c r="BH42" s="28" t="s">
        <v>652</v>
      </c>
      <c r="BI42" s="2"/>
      <c r="BJ42" s="28" t="s">
        <v>646</v>
      </c>
      <c r="BK42" s="28" t="s">
        <v>647</v>
      </c>
      <c r="BL42" s="2" t="s">
        <v>648</v>
      </c>
      <c r="BM42" s="28" t="s">
        <v>649</v>
      </c>
      <c r="BN42" s="28" t="s">
        <v>650</v>
      </c>
      <c r="BO42" s="28" t="s">
        <v>630</v>
      </c>
      <c r="BP42" s="28" t="s">
        <v>631</v>
      </c>
      <c r="BQ42" s="28" t="s">
        <v>632</v>
      </c>
      <c r="BR42" s="28" t="s">
        <v>651</v>
      </c>
      <c r="BS42" s="28" t="s">
        <v>652</v>
      </c>
      <c r="BT42" s="2"/>
      <c r="BU42" s="28" t="s">
        <v>646</v>
      </c>
      <c r="BV42" s="28" t="s">
        <v>647</v>
      </c>
      <c r="BW42" s="2" t="s">
        <v>648</v>
      </c>
      <c r="BX42" s="28" t="s">
        <v>649</v>
      </c>
      <c r="BY42" s="28" t="s">
        <v>650</v>
      </c>
      <c r="BZ42" s="28" t="s">
        <v>630</v>
      </c>
      <c r="CA42" s="28" t="s">
        <v>631</v>
      </c>
      <c r="CB42" s="28" t="s">
        <v>632</v>
      </c>
      <c r="CC42" s="28" t="s">
        <v>651</v>
      </c>
      <c r="CD42" s="28" t="s">
        <v>652</v>
      </c>
      <c r="CE42" s="7"/>
      <c r="CG42" s="10"/>
      <c r="CH42" s="28" t="s">
        <v>653</v>
      </c>
      <c r="CI42" s="28" t="s">
        <v>654</v>
      </c>
      <c r="CJ42" s="28" t="s">
        <v>655</v>
      </c>
      <c r="CK42" s="28" t="s">
        <v>656</v>
      </c>
      <c r="CL42" s="28" t="s">
        <v>657</v>
      </c>
      <c r="CM42" s="28" t="s">
        <v>658</v>
      </c>
      <c r="CN42" s="28" t="s">
        <v>659</v>
      </c>
      <c r="CO42" s="28" t="s">
        <v>660</v>
      </c>
      <c r="CP42" s="28" t="s">
        <v>661</v>
      </c>
      <c r="CQ42" s="28" t="s">
        <v>662</v>
      </c>
      <c r="CS42" s="28" t="s">
        <v>663</v>
      </c>
      <c r="CT42" s="28" t="s">
        <v>655</v>
      </c>
      <c r="CU42" s="28" t="s">
        <v>664</v>
      </c>
      <c r="CV42" s="28" t="s">
        <v>665</v>
      </c>
      <c r="CX42" s="28" t="s">
        <v>663</v>
      </c>
      <c r="CY42" s="28" t="s">
        <v>655</v>
      </c>
      <c r="CZ42" s="28" t="s">
        <v>666</v>
      </c>
      <c r="DA42" s="28" t="s">
        <v>665</v>
      </c>
      <c r="DB42" s="7"/>
      <c r="DD42" s="10"/>
      <c r="DE42" s="199" t="s">
        <v>667</v>
      </c>
      <c r="DF42" s="199" t="s">
        <v>668</v>
      </c>
      <c r="DG42" s="199" t="s">
        <v>669</v>
      </c>
      <c r="DH42" s="199" t="s">
        <v>670</v>
      </c>
      <c r="DI42" s="200" t="s">
        <v>671</v>
      </c>
      <c r="DJ42" s="199" t="s">
        <v>672</v>
      </c>
      <c r="DK42" s="204" t="s">
        <v>673</v>
      </c>
      <c r="DL42" s="205" t="s">
        <v>674</v>
      </c>
      <c r="DM42" s="189"/>
      <c r="DP42" s="7"/>
    </row>
    <row r="43" spans="1:120" s="14" customFormat="1" ht="13">
      <c r="A43" s="15"/>
      <c r="B43" s="87"/>
      <c r="C43" s="85">
        <v>1990</v>
      </c>
      <c r="D43" s="86">
        <f>'EIA Adjust'!H16</f>
        <v>41627939.70137015</v>
      </c>
      <c r="E43" s="48">
        <v>48929000</v>
      </c>
      <c r="F43" s="48">
        <f t="shared" ref="F43:F61" si="7">E43+((E43/DF43)*DG43)</f>
        <v>49989039.922378212</v>
      </c>
      <c r="G43" s="457">
        <v>25.091951938324932</v>
      </c>
      <c r="H43" s="54">
        <v>9.3884288699999999E-2</v>
      </c>
      <c r="I43" s="458">
        <f>G43+H43</f>
        <v>25.185836227024932</v>
      </c>
      <c r="J43" s="80">
        <v>8421255.7037343383</v>
      </c>
      <c r="K43" s="127">
        <f t="shared" ref="K43:K61" si="8">SUM(J43,(IF(AC43&lt;AE43,AE43-AC43,0)),(IF(AN43&lt;AP43,AP43-AN43,0)),(IF(AY43&lt;BA43,BA43-AY43,0)),(IF(BJ43&lt;BL43,BL43-BJ43,0)),(IF(BU43&lt;BW43,BW43-BU43,0)),(IF(CI43&lt;0,(CI43*-1),0)),(IF(CS43&lt;0,(CS43*-1),0)),(IF(CX43&lt;0,(CX43*-1),0)))</f>
        <v>15248741.510691782</v>
      </c>
      <c r="L43" s="81">
        <f>J43/K43</f>
        <v>0.55225906333514174</v>
      </c>
      <c r="M43" s="57">
        <f t="shared" ref="M43:M61" si="9">SUM(AG43,AR43,BC43,BN43,BY43)</f>
        <v>4285967.384044243</v>
      </c>
      <c r="N43" s="79">
        <f t="shared" ref="N43:N52" si="10">DI43*L43</f>
        <v>4102631.1328236954</v>
      </c>
      <c r="O43" s="82">
        <f>M43+N43</f>
        <v>8388598.5168679385</v>
      </c>
      <c r="P43" s="193">
        <f>SUM(AL43,AW43,BH43,BS43,CD43)</f>
        <v>1.3821754574196228</v>
      </c>
      <c r="Q43" s="31" t="s">
        <v>675</v>
      </c>
      <c r="R43" s="31" t="s">
        <v>675</v>
      </c>
      <c r="S43" s="31" t="s">
        <v>675</v>
      </c>
      <c r="T43" s="131">
        <f t="shared" ref="T43:T52" si="11">N43*T68</f>
        <v>0.50371856379857993</v>
      </c>
      <c r="U43" s="459">
        <f t="shared" ref="U43:U53" si="12">P43+T43</f>
        <v>1.8858940212182027</v>
      </c>
      <c r="V43" s="190">
        <f t="shared" ref="V43:V53" si="13">I43+U43</f>
        <v>27.071730248243135</v>
      </c>
      <c r="W43" s="16"/>
      <c r="AB43" s="15">
        <v>1990</v>
      </c>
      <c r="AC43" s="44">
        <f>'EIA Adjust'!H41</f>
        <v>11909218.574255219</v>
      </c>
      <c r="AD43" s="48">
        <v>10094000</v>
      </c>
      <c r="AE43" s="48">
        <f t="shared" ref="AE43:AE61" si="14">AD43+((AD43/DF43)*DG43)</f>
        <v>10312685.094248516</v>
      </c>
      <c r="AF43" s="79">
        <f t="shared" ref="AF43:AF52" si="15">IF((AC43)&gt;AE43,(AC43)-AE43,0)</f>
        <v>1596533.4800067022</v>
      </c>
      <c r="AG43" s="79">
        <f t="shared" ref="AG43:AG61" si="16">AF43*L43</f>
        <v>881700.08425169566</v>
      </c>
      <c r="AH43" s="54">
        <f>2.05839174305688*AM82</f>
        <v>1.9593409422820145</v>
      </c>
      <c r="AI43" s="460">
        <f>0.04264631087*AM82</f>
        <v>4.0594149877800266E-2</v>
      </c>
      <c r="AJ43" s="54">
        <f>AH43+AI43</f>
        <v>1.9999350921598147</v>
      </c>
      <c r="AK43" s="192">
        <f>AJ43*(AF43/AC43)</f>
        <v>0.26810855074705153</v>
      </c>
      <c r="AL43" s="192">
        <f t="shared" ref="AL43:AL61" si="17">AK43*L43</f>
        <v>0.14806537710770901</v>
      </c>
      <c r="AM43" s="14">
        <v>1990</v>
      </c>
      <c r="AN43" s="44">
        <f>'EIA Adjust'!H66</f>
        <v>12584911.587698199</v>
      </c>
      <c r="AO43" s="48">
        <v>9098000</v>
      </c>
      <c r="AP43" s="48">
        <f t="shared" ref="AP43:AP61" si="18">AO43+((AO43/DF43)*DG43)</f>
        <v>9295106.8939442262</v>
      </c>
      <c r="AQ43" s="79">
        <f t="shared" ref="AQ43:AQ52" si="19">IF((AN43)&gt;AP43,(AN43)-AP43,0)</f>
        <v>3289804.6937539726</v>
      </c>
      <c r="AR43" s="79">
        <f t="shared" ref="AR43:AR61" si="20">AQ43*L43</f>
        <v>1816824.4587281218</v>
      </c>
      <c r="AS43" s="54">
        <v>4.7592729552595667</v>
      </c>
      <c r="AT43" s="460">
        <v>4.4398071900000002E-2</v>
      </c>
      <c r="AU43" s="54">
        <f>AS43+AT43</f>
        <v>4.8036710271595666</v>
      </c>
      <c r="AV43" s="192">
        <f>AU43*(AQ43/AN43)</f>
        <v>1.2557211373536497</v>
      </c>
      <c r="AW43" s="192">
        <f t="shared" ref="AW43:AW61" si="21">AV43*L43</f>
        <v>0.69348337912506541</v>
      </c>
      <c r="AX43" s="14">
        <v>1990</v>
      </c>
      <c r="AY43" s="44">
        <f>'EIA Adjust'!H91</f>
        <v>4840653.0305385673</v>
      </c>
      <c r="AZ43" s="48">
        <v>5725000</v>
      </c>
      <c r="BA43" s="48">
        <f t="shared" ref="BA43:BA61" si="22">AZ43+((AZ43/DF43)*DG43)</f>
        <v>5849031.3220301922</v>
      </c>
      <c r="BB43" s="79">
        <f t="shared" ref="BB43:BB52" si="23">IF((AY43)&gt;BA43,(AY43)-BA43,0)</f>
        <v>0</v>
      </c>
      <c r="BC43" s="79">
        <f t="shared" ref="BC43:BC61" si="24">BB43*L43</f>
        <v>0</v>
      </c>
      <c r="BD43" s="54">
        <v>4.0640776475566666E-2</v>
      </c>
      <c r="BE43" s="460">
        <v>1.8547905299999999E-3</v>
      </c>
      <c r="BF43" s="54">
        <f>BD43+BE43</f>
        <v>4.2495567005566663E-2</v>
      </c>
      <c r="BG43" s="192">
        <f>BF43*(BB43/AY43)</f>
        <v>0</v>
      </c>
      <c r="BH43" s="192">
        <f t="shared" ref="BH43:BH61" si="25">BG43*L43</f>
        <v>0</v>
      </c>
      <c r="BI43" s="14">
        <v>1990</v>
      </c>
      <c r="BJ43" s="44">
        <f>'EIA Adjust'!H116</f>
        <v>32241187.945176702</v>
      </c>
      <c r="BK43" s="48">
        <v>28744000</v>
      </c>
      <c r="BL43" s="48">
        <f t="shared" ref="BL43:BL61" si="26">BK43+((BK43/DF43)*DG43)</f>
        <v>29366734.728460409</v>
      </c>
      <c r="BM43" s="79">
        <f t="shared" ref="BM43:BM52" si="27">IF((BJ43)&gt;BL43,(BJ43)-BL43,0)</f>
        <v>2874453.2167162932</v>
      </c>
      <c r="BN43" s="79">
        <f t="shared" ref="BN43:BN61" si="28">BM43*L43</f>
        <v>1587442.8410644254</v>
      </c>
      <c r="BO43" s="54">
        <v>10.9388330707115</v>
      </c>
      <c r="BP43" s="460">
        <v>4.1371463429999984E-2</v>
      </c>
      <c r="BQ43" s="54">
        <f>BO43+BP43</f>
        <v>10.9802045341415</v>
      </c>
      <c r="BR43" s="192">
        <f>BQ43*(BM43/BJ43)</f>
        <v>0.9789367655135538</v>
      </c>
      <c r="BS43" s="192">
        <f t="shared" ref="BS43:BS61" si="29">BR43*L43</f>
        <v>0.54062670118684852</v>
      </c>
      <c r="BT43" s="14">
        <v>1990</v>
      </c>
      <c r="BU43" s="44">
        <f>'EIA Adjust'!H141</f>
        <v>1508272.8586128762</v>
      </c>
      <c r="BV43" s="48">
        <v>7172000</v>
      </c>
      <c r="BW43" s="48">
        <f t="shared" ref="BW43:BW61" si="30">BV43+((BV43/DF43)*DG43)</f>
        <v>7327380.3740786966</v>
      </c>
      <c r="BX43" s="79">
        <f t="shared" ref="BX43:BX52" si="31">IF((BU43)&gt;BW43,(BU43)-BW43,0)</f>
        <v>0</v>
      </c>
      <c r="BY43" s="79">
        <f t="shared" ref="BY43:BY61" si="32">BX43*L43</f>
        <v>0</v>
      </c>
      <c r="BZ43" s="54">
        <v>0.6632484650539</v>
      </c>
      <c r="CA43" s="460">
        <v>1.0423614300000001E-3</v>
      </c>
      <c r="CB43" s="54">
        <f>BZ43+CA43</f>
        <v>0.66429082648390003</v>
      </c>
      <c r="CC43" s="192">
        <f>CB43*(BX43/BU43)</f>
        <v>0</v>
      </c>
      <c r="CD43" s="192">
        <f t="shared" ref="CD43:CD61" si="33">CC43*L43</f>
        <v>0</v>
      </c>
      <c r="CE43" s="16"/>
      <c r="CG43" s="15">
        <v>1990</v>
      </c>
      <c r="CH43" s="29">
        <v>135345692</v>
      </c>
      <c r="CI43" s="30"/>
      <c r="CJ43" s="30"/>
      <c r="CK43" s="30"/>
      <c r="CL43" s="54">
        <v>62.764140484314602</v>
      </c>
      <c r="CM43" s="32"/>
      <c r="CN43" s="31" t="s">
        <v>675</v>
      </c>
      <c r="CO43" s="461">
        <v>0.22361321116999999</v>
      </c>
      <c r="CP43" s="32"/>
      <c r="CQ43" s="31" t="s">
        <v>675</v>
      </c>
      <c r="CR43" s="14">
        <v>1990</v>
      </c>
      <c r="CS43" s="30"/>
      <c r="CT43" s="30"/>
      <c r="CU43" s="30"/>
      <c r="CV43" s="31" t="s">
        <v>675</v>
      </c>
      <c r="CW43" s="14">
        <v>1990</v>
      </c>
      <c r="CX43" s="30"/>
      <c r="CY43" s="30"/>
      <c r="CZ43" s="30"/>
      <c r="DA43" s="31" t="s">
        <v>675</v>
      </c>
      <c r="DB43" s="16"/>
      <c r="DD43" s="15">
        <v>1990</v>
      </c>
      <c r="DE43" s="44">
        <f>'EIA Adjust'!J167</f>
        <v>104712183.69765171</v>
      </c>
      <c r="DF43" s="48">
        <v>109763000</v>
      </c>
      <c r="DG43" s="48">
        <v>2378000</v>
      </c>
      <c r="DH43" s="53">
        <f t="shared" ref="DH43:DH61" si="34">DF43+DG43</f>
        <v>112141000</v>
      </c>
      <c r="DI43" s="79">
        <f>DH43-DE43</f>
        <v>7428816.3023482859</v>
      </c>
      <c r="DJ43" s="198">
        <f t="shared" ref="DJ43:DJ52" si="35">I43+AJ43+AU43+BF43+BQ43+CB43+T43</f>
        <v>44.180151837773856</v>
      </c>
      <c r="DK43" s="201">
        <f>DJ43/DH43</f>
        <v>3.9396966174524798E-7</v>
      </c>
      <c r="DL43" s="202">
        <f t="shared" ref="DL43:DL61" si="36">DK43*F43</f>
        <v>19.69416514918904</v>
      </c>
      <c r="DM43" s="196"/>
      <c r="DP43" s="16"/>
    </row>
    <row r="44" spans="1:120" s="14" customFormat="1" ht="13">
      <c r="A44" s="15"/>
      <c r="B44" s="87"/>
      <c r="C44" s="85">
        <v>1991</v>
      </c>
      <c r="D44" s="86">
        <f>'EIA Adjust'!H17</f>
        <v>42891887.028711885</v>
      </c>
      <c r="E44" s="48">
        <v>48155000</v>
      </c>
      <c r="F44" s="48">
        <f t="shared" si="7"/>
        <v>49162567.674499914</v>
      </c>
      <c r="G44" s="457">
        <v>25.73527004886623</v>
      </c>
      <c r="H44" s="54">
        <v>9.6822959449999982E-2</v>
      </c>
      <c r="I44" s="458">
        <f t="shared" ref="I44:I61" si="37">G44+H44</f>
        <v>25.832093008316232</v>
      </c>
      <c r="J44" s="80">
        <f t="shared" ref="J44:J61" si="38">F44-(D44)</f>
        <v>6270680.6457880288</v>
      </c>
      <c r="K44" s="127">
        <f t="shared" si="8"/>
        <v>14803237.531631621</v>
      </c>
      <c r="L44" s="81">
        <f t="shared" ref="L44:L61" si="39">J44/K44</f>
        <v>0.42360197439167019</v>
      </c>
      <c r="M44" s="57">
        <f t="shared" si="9"/>
        <v>3370237.0372256218</v>
      </c>
      <c r="N44" s="79">
        <f t="shared" si="10"/>
        <v>2900011.1433826084</v>
      </c>
      <c r="O44" s="82">
        <f>M44+N44</f>
        <v>6270248.1806082297</v>
      </c>
      <c r="P44" s="193">
        <f t="shared" ref="P44:P61" si="40">SUM(AL44,AW44,BH44,BS44,CD44)</f>
        <v>0.81634250552857279</v>
      </c>
      <c r="Q44" s="31" t="s">
        <v>676</v>
      </c>
      <c r="R44" s="31" t="s">
        <v>676</v>
      </c>
      <c r="S44" s="31" t="s">
        <v>676</v>
      </c>
      <c r="T44" s="131">
        <f t="shared" si="11"/>
        <v>0.35606161042783191</v>
      </c>
      <c r="U44" s="459">
        <f t="shared" si="12"/>
        <v>1.1724041159564047</v>
      </c>
      <c r="V44" s="190">
        <f t="shared" si="13"/>
        <v>27.004497124272635</v>
      </c>
      <c r="W44" s="16"/>
      <c r="AB44" s="15">
        <v>1991</v>
      </c>
      <c r="AC44" s="44">
        <f>'EIA Adjust'!H42</f>
        <v>12953883.764934996</v>
      </c>
      <c r="AD44" s="48">
        <v>9953000</v>
      </c>
      <c r="AE44" s="48">
        <f t="shared" si="14"/>
        <v>10161250.878710367</v>
      </c>
      <c r="AF44" s="79">
        <f t="shared" si="15"/>
        <v>2792632.8862246294</v>
      </c>
      <c r="AG44" s="79">
        <f t="shared" si="16"/>
        <v>1182964.8043558614</v>
      </c>
      <c r="AH44" s="54">
        <f>1.67476270514562*AM82</f>
        <v>1.5941723182029488</v>
      </c>
      <c r="AI44" s="460">
        <f>0.04205187323*AM82</f>
        <v>4.0028316862965194E-2</v>
      </c>
      <c r="AJ44" s="54">
        <f t="shared" ref="AJ44:AJ61" si="41">AH44+AI44</f>
        <v>1.634200635065914</v>
      </c>
      <c r="AK44" s="192">
        <f t="shared" ref="AK44:AK51" si="42">AJ44*(AF44/AC44)</f>
        <v>0.35230534093009491</v>
      </c>
      <c r="AL44" s="192">
        <f t="shared" si="17"/>
        <v>0.1492372380067187</v>
      </c>
      <c r="AM44" s="14">
        <v>1991</v>
      </c>
      <c r="AN44" s="44">
        <f>'EIA Adjust'!H67</f>
        <v>14427367.301855408</v>
      </c>
      <c r="AO44" s="48">
        <v>9074000</v>
      </c>
      <c r="AP44" s="48">
        <f t="shared" si="18"/>
        <v>9263859.1855137013</v>
      </c>
      <c r="AQ44" s="79">
        <f t="shared" si="19"/>
        <v>5163508.1163417064</v>
      </c>
      <c r="AR44" s="79">
        <f t="shared" si="20"/>
        <v>2187272.2328697606</v>
      </c>
      <c r="AS44" s="54">
        <v>4.3565874770490991</v>
      </c>
      <c r="AT44" s="460">
        <v>4.3675361249999996E-2</v>
      </c>
      <c r="AU44" s="54">
        <f t="shared" ref="AU44:AU61" si="43">AS44+AT44</f>
        <v>4.4002628382990991</v>
      </c>
      <c r="AV44" s="192">
        <f t="shared" ref="AV44:AV51" si="44">AU44*(AQ44/AN44)</f>
        <v>1.5748398445967493</v>
      </c>
      <c r="AW44" s="192">
        <f t="shared" si="21"/>
        <v>0.66710526752185406</v>
      </c>
      <c r="AX44" s="14">
        <v>1991</v>
      </c>
      <c r="AY44" s="44">
        <f>'EIA Adjust'!H92</f>
        <v>5050507.4484782927</v>
      </c>
      <c r="AZ44" s="48">
        <v>5672000</v>
      </c>
      <c r="BA44" s="48">
        <f t="shared" si="22"/>
        <v>5790677.68351705</v>
      </c>
      <c r="BB44" s="79">
        <f t="shared" si="23"/>
        <v>0</v>
      </c>
      <c r="BC44" s="79">
        <f t="shared" si="24"/>
        <v>0</v>
      </c>
      <c r="BD44" s="54">
        <v>6.3716003511233327E-2</v>
      </c>
      <c r="BE44" s="460">
        <v>2.1818705599999997E-3</v>
      </c>
      <c r="BF44" s="54">
        <f t="shared" ref="BF44:BF61" si="45">BD44+BE44</f>
        <v>6.589787407123332E-2</v>
      </c>
      <c r="BG44" s="192">
        <f t="shared" ref="BG44:BG51" si="46">BF44*(BB44/AY44)</f>
        <v>0</v>
      </c>
      <c r="BH44" s="192">
        <f t="shared" si="25"/>
        <v>0</v>
      </c>
      <c r="BI44" s="14">
        <v>1991</v>
      </c>
      <c r="BJ44" s="44">
        <f>'EIA Adjust'!H117</f>
        <v>24801026.775171544</v>
      </c>
      <c r="BK44" s="48">
        <v>28690000</v>
      </c>
      <c r="BL44" s="48">
        <f t="shared" si="26"/>
        <v>29290293.148819491</v>
      </c>
      <c r="BM44" s="79">
        <f t="shared" si="27"/>
        <v>0</v>
      </c>
      <c r="BN44" s="79">
        <f t="shared" si="28"/>
        <v>0</v>
      </c>
      <c r="BO44" s="54">
        <v>10.5291701324405</v>
      </c>
      <c r="BP44" s="460">
        <v>3.9654534089999992E-2</v>
      </c>
      <c r="BQ44" s="54">
        <f t="shared" ref="BQ44:BQ60" si="47">BO44+BP44</f>
        <v>10.568824666530499</v>
      </c>
      <c r="BR44" s="192">
        <f t="shared" ref="BR44:BR51" si="48">BQ44*(BM44/BJ44)</f>
        <v>0</v>
      </c>
      <c r="BS44" s="192">
        <f t="shared" si="29"/>
        <v>0</v>
      </c>
      <c r="BT44" s="14">
        <v>1991</v>
      </c>
      <c r="BU44" s="44">
        <f>'EIA Adjust'!H142</f>
        <v>3985252.0752105694</v>
      </c>
      <c r="BV44" s="48">
        <v>7139000</v>
      </c>
      <c r="BW44" s="48">
        <f t="shared" si="30"/>
        <v>7288372.352367457</v>
      </c>
      <c r="BX44" s="79">
        <f t="shared" si="31"/>
        <v>0</v>
      </c>
      <c r="BY44" s="79">
        <f t="shared" si="32"/>
        <v>0</v>
      </c>
      <c r="BZ44" s="54">
        <v>1.3545074612820667</v>
      </c>
      <c r="CA44" s="460">
        <v>1.49445702E-3</v>
      </c>
      <c r="CB44" s="54">
        <f t="shared" ref="CB44:CB60" si="49">BZ44+CA44</f>
        <v>1.3560019183020666</v>
      </c>
      <c r="CC44" s="192">
        <f t="shared" ref="CC44:CC51" si="50">CB44*(BX44/BU44)</f>
        <v>0</v>
      </c>
      <c r="CD44" s="192">
        <f t="shared" si="33"/>
        <v>0</v>
      </c>
      <c r="CE44" s="16"/>
      <c r="CG44" s="15">
        <v>1991</v>
      </c>
      <c r="CH44" s="29">
        <v>134600499</v>
      </c>
      <c r="CI44" s="30"/>
      <c r="CJ44" s="30"/>
      <c r="CK44" s="30"/>
      <c r="CL44" s="54">
        <v>58.479441973808797</v>
      </c>
      <c r="CM44" s="32"/>
      <c r="CN44" s="31" t="s">
        <v>676</v>
      </c>
      <c r="CO44" s="461">
        <v>0.21018678199999999</v>
      </c>
      <c r="CP44" s="32"/>
      <c r="CQ44" s="31" t="s">
        <v>676</v>
      </c>
      <c r="CR44" s="14">
        <v>1991</v>
      </c>
      <c r="CS44" s="30"/>
      <c r="CT44" s="30"/>
      <c r="CU44" s="30"/>
      <c r="CV44" s="31" t="s">
        <v>676</v>
      </c>
      <c r="CW44" s="14">
        <v>1991</v>
      </c>
      <c r="CX44" s="30"/>
      <c r="CY44" s="30"/>
      <c r="CZ44" s="30"/>
      <c r="DA44" s="31" t="s">
        <v>676</v>
      </c>
      <c r="DB44" s="16"/>
      <c r="DD44" s="15">
        <v>1991</v>
      </c>
      <c r="DE44" s="44">
        <f>'EIA Adjust'!J168</f>
        <v>104109924.3943627</v>
      </c>
      <c r="DF44" s="48">
        <v>108682000</v>
      </c>
      <c r="DG44" s="48">
        <v>2274000</v>
      </c>
      <c r="DH44" s="53">
        <f t="shared" si="34"/>
        <v>110956000</v>
      </c>
      <c r="DI44" s="79">
        <f t="shared" ref="DI44:DI61" si="51">DH44-DE44</f>
        <v>6846075.605637297</v>
      </c>
      <c r="DJ44" s="198">
        <f t="shared" si="35"/>
        <v>44.213342551012872</v>
      </c>
      <c r="DK44" s="201">
        <f t="shared" ref="DK44:DK61" si="52">DJ44/DH44</f>
        <v>3.9847635595202487E-7</v>
      </c>
      <c r="DL44" s="203">
        <f t="shared" si="36"/>
        <v>19.590120816179539</v>
      </c>
      <c r="DM44" s="196"/>
      <c r="DP44" s="16"/>
    </row>
    <row r="45" spans="1:120" s="14" customFormat="1" ht="13">
      <c r="A45" s="15"/>
      <c r="B45" s="87"/>
      <c r="C45" s="85">
        <v>1992</v>
      </c>
      <c r="D45" s="86">
        <f>'EIA Adjust'!H18</f>
        <v>41917209.414986461</v>
      </c>
      <c r="E45" s="48">
        <v>48161000</v>
      </c>
      <c r="F45" s="48">
        <f t="shared" si="7"/>
        <v>49221793.532795474</v>
      </c>
      <c r="G45" s="457">
        <v>24.260556225414664</v>
      </c>
      <c r="H45" s="54">
        <v>9.0914300150000002E-2</v>
      </c>
      <c r="I45" s="458">
        <f t="shared" si="37"/>
        <v>24.351470525564665</v>
      </c>
      <c r="J45" s="80">
        <f t="shared" si="38"/>
        <v>7304584.1178090125</v>
      </c>
      <c r="K45" s="127">
        <f t="shared" si="8"/>
        <v>11848730.466003753</v>
      </c>
      <c r="L45" s="81">
        <f t="shared" si="39"/>
        <v>0.61648664713635315</v>
      </c>
      <c r="M45" s="57">
        <f t="shared" si="9"/>
        <v>4605463.8310006922</v>
      </c>
      <c r="N45" s="79">
        <f t="shared" si="10"/>
        <v>2698490.2214346537</v>
      </c>
      <c r="O45" s="82">
        <f t="shared" ref="O45:O51" si="53">M45+N45</f>
        <v>7303954.0524353459</v>
      </c>
      <c r="P45" s="193">
        <f t="shared" si="40"/>
        <v>1.143902988390197</v>
      </c>
      <c r="Q45" s="31" t="s">
        <v>677</v>
      </c>
      <c r="R45" s="31" t="s">
        <v>677</v>
      </c>
      <c r="S45" s="31" t="s">
        <v>677</v>
      </c>
      <c r="T45" s="131">
        <f t="shared" si="11"/>
        <v>0.33131899377705737</v>
      </c>
      <c r="U45" s="459">
        <f t="shared" si="12"/>
        <v>1.4752219821672543</v>
      </c>
      <c r="V45" s="190">
        <f t="shared" si="13"/>
        <v>25.82669250773192</v>
      </c>
      <c r="W45" s="16"/>
      <c r="AB45" s="15">
        <v>1992</v>
      </c>
      <c r="AC45" s="44">
        <f>'EIA Adjust'!H43</f>
        <v>11713193.874967687</v>
      </c>
      <c r="AD45" s="48">
        <v>9889000</v>
      </c>
      <c r="AE45" s="48">
        <f t="shared" si="14"/>
        <v>10106814.979876133</v>
      </c>
      <c r="AF45" s="79">
        <f t="shared" si="15"/>
        <v>1606378.8950915541</v>
      </c>
      <c r="AG45" s="79">
        <f t="shared" si="16"/>
        <v>990311.13906559185</v>
      </c>
      <c r="AH45" s="54">
        <f>1.64443438753407*AM82</f>
        <v>1.565303413822972</v>
      </c>
      <c r="AI45" s="460">
        <f>0.04917662826*AM82</f>
        <v>4.6810225253871018E-2</v>
      </c>
      <c r="AJ45" s="54">
        <f t="shared" si="41"/>
        <v>1.6121136390768429</v>
      </c>
      <c r="AK45" s="192">
        <f t="shared" si="42"/>
        <v>0.22108959810156198</v>
      </c>
      <c r="AL45" s="192">
        <f t="shared" si="17"/>
        <v>0.13629878505035578</v>
      </c>
      <c r="AM45" s="14">
        <v>1992</v>
      </c>
      <c r="AN45" s="44">
        <f>'EIA Adjust'!H68</f>
        <v>15336258.488287115</v>
      </c>
      <c r="AO45" s="48">
        <v>9268000</v>
      </c>
      <c r="AP45" s="48">
        <f t="shared" si="18"/>
        <v>9472136.8422987163</v>
      </c>
      <c r="AQ45" s="79">
        <f t="shared" si="19"/>
        <v>5864121.6459883992</v>
      </c>
      <c r="AR45" s="79">
        <f t="shared" si="20"/>
        <v>3615152.6919351006</v>
      </c>
      <c r="AS45" s="54">
        <v>4.2311897788415669</v>
      </c>
      <c r="AT45" s="460">
        <v>4.3284865280000001E-2</v>
      </c>
      <c r="AU45" s="54">
        <f t="shared" si="43"/>
        <v>4.2744746441215673</v>
      </c>
      <c r="AV45" s="192">
        <f t="shared" si="44"/>
        <v>1.6344298907693642</v>
      </c>
      <c r="AW45" s="192">
        <f t="shared" si="21"/>
        <v>1.0076042033398411</v>
      </c>
      <c r="AX45" s="14">
        <v>1992</v>
      </c>
      <c r="AY45" s="44">
        <f>'EIA Adjust'!H93</f>
        <v>4565099.6515667681</v>
      </c>
      <c r="AZ45" s="48">
        <v>5849000</v>
      </c>
      <c r="BA45" s="48">
        <f t="shared" si="22"/>
        <v>5977829.9946703911</v>
      </c>
      <c r="BB45" s="79">
        <f t="shared" si="23"/>
        <v>0</v>
      </c>
      <c r="BC45" s="79">
        <f t="shared" si="24"/>
        <v>0</v>
      </c>
      <c r="BD45" s="54">
        <v>4.5473895858966669E-2</v>
      </c>
      <c r="BE45" s="460">
        <v>2.6199480699999997E-3</v>
      </c>
      <c r="BF45" s="54">
        <f t="shared" si="45"/>
        <v>4.8093843928966672E-2</v>
      </c>
      <c r="BG45" s="192">
        <f t="shared" si="46"/>
        <v>0</v>
      </c>
      <c r="BH45" s="192">
        <f t="shared" si="25"/>
        <v>0</v>
      </c>
      <c r="BI45" s="14">
        <v>1992</v>
      </c>
      <c r="BJ45" s="44">
        <f>'EIA Adjust'!H118</f>
        <v>26796112.728771497</v>
      </c>
      <c r="BK45" s="48">
        <v>28575000</v>
      </c>
      <c r="BL45" s="48">
        <f t="shared" si="26"/>
        <v>29204392.562439121</v>
      </c>
      <c r="BM45" s="79">
        <f t="shared" si="27"/>
        <v>0</v>
      </c>
      <c r="BN45" s="79">
        <f t="shared" si="28"/>
        <v>0</v>
      </c>
      <c r="BO45" s="54">
        <v>8.4776825170448671</v>
      </c>
      <c r="BP45" s="460">
        <v>3.2951609279999995E-2</v>
      </c>
      <c r="BQ45" s="54">
        <f t="shared" si="47"/>
        <v>8.5106341263248666</v>
      </c>
      <c r="BR45" s="192">
        <f t="shared" si="48"/>
        <v>0</v>
      </c>
      <c r="BS45" s="192">
        <f t="shared" si="29"/>
        <v>0</v>
      </c>
      <c r="BT45" s="14">
        <v>1992</v>
      </c>
      <c r="BU45" s="44">
        <f>'EIA Adjust'!H143</f>
        <v>6517917.9424831104</v>
      </c>
      <c r="BV45" s="48">
        <v>7085000</v>
      </c>
      <c r="BW45" s="48">
        <f t="shared" si="30"/>
        <v>7241054.1139066033</v>
      </c>
      <c r="BX45" s="79">
        <f t="shared" si="31"/>
        <v>0</v>
      </c>
      <c r="BY45" s="79">
        <f t="shared" si="32"/>
        <v>0</v>
      </c>
      <c r="BZ45" s="54">
        <v>2.1647622847355996</v>
      </c>
      <c r="CA45" s="460">
        <v>2.26869332E-3</v>
      </c>
      <c r="CB45" s="54">
        <f t="shared" si="49"/>
        <v>2.1670309780555996</v>
      </c>
      <c r="CC45" s="192">
        <f t="shared" si="50"/>
        <v>0</v>
      </c>
      <c r="CD45" s="192">
        <f t="shared" si="33"/>
        <v>0</v>
      </c>
      <c r="CE45" s="16"/>
      <c r="CG45" s="15">
        <v>1992</v>
      </c>
      <c r="CH45" s="29">
        <v>125948924</v>
      </c>
      <c r="CI45" s="30"/>
      <c r="CJ45" s="30"/>
      <c r="CK45" s="30"/>
      <c r="CL45" s="54">
        <v>53.639087653008694</v>
      </c>
      <c r="CM45" s="32"/>
      <c r="CN45" s="31" t="s">
        <v>677</v>
      </c>
      <c r="CO45" s="461">
        <v>0.20095165794</v>
      </c>
      <c r="CP45" s="32"/>
      <c r="CQ45" s="31" t="s">
        <v>677</v>
      </c>
      <c r="CR45" s="14">
        <v>1992</v>
      </c>
      <c r="CS45" s="30"/>
      <c r="CT45" s="30"/>
      <c r="CU45" s="30"/>
      <c r="CV45" s="31" t="s">
        <v>677</v>
      </c>
      <c r="CW45" s="14">
        <v>1992</v>
      </c>
      <c r="CX45" s="30"/>
      <c r="CY45" s="30"/>
      <c r="CZ45" s="30"/>
      <c r="DA45" s="31" t="s">
        <v>677</v>
      </c>
      <c r="DB45" s="16"/>
      <c r="DD45" s="15">
        <v>1992</v>
      </c>
      <c r="DE45" s="44">
        <f>'EIA Adjust'!J169</f>
        <v>106845792.10106264</v>
      </c>
      <c r="DF45" s="48">
        <v>108826000</v>
      </c>
      <c r="DG45" s="48">
        <v>2397000</v>
      </c>
      <c r="DH45" s="53">
        <f t="shared" si="34"/>
        <v>111223000</v>
      </c>
      <c r="DI45" s="79">
        <f>DH45-DE45</f>
        <v>4377207.8989373595</v>
      </c>
      <c r="DJ45" s="198">
        <f t="shared" si="35"/>
        <v>41.295136750849572</v>
      </c>
      <c r="DK45" s="201">
        <f t="shared" si="52"/>
        <v>3.7128234943176835E-7</v>
      </c>
      <c r="DL45" s="203">
        <f t="shared" si="36"/>
        <v>18.275183146101725</v>
      </c>
      <c r="DM45" s="196"/>
      <c r="DP45" s="16"/>
    </row>
    <row r="46" spans="1:120" s="14" customFormat="1" ht="13">
      <c r="A46" s="15"/>
      <c r="B46" s="87"/>
      <c r="C46" s="85">
        <v>1993</v>
      </c>
      <c r="D46" s="86">
        <f>'EIA Adjust'!H19</f>
        <v>38771460.358004011</v>
      </c>
      <c r="E46" s="48">
        <v>48644000</v>
      </c>
      <c r="F46" s="48">
        <f t="shared" si="7"/>
        <v>49737182.933449134</v>
      </c>
      <c r="G46" s="457">
        <v>21.852336649197632</v>
      </c>
      <c r="H46" s="54">
        <v>8.0968274290000003E-2</v>
      </c>
      <c r="I46" s="458">
        <f t="shared" si="37"/>
        <v>21.933304923487633</v>
      </c>
      <c r="J46" s="80">
        <f t="shared" si="38"/>
        <v>10965722.575445123</v>
      </c>
      <c r="K46" s="127">
        <f t="shared" si="8"/>
        <v>13666350.073193474</v>
      </c>
      <c r="L46" s="81">
        <f>J46/K46</f>
        <v>0.80238853217688111</v>
      </c>
      <c r="M46" s="57">
        <f t="shared" si="9"/>
        <v>6766867.1085003205</v>
      </c>
      <c r="N46" s="79">
        <f t="shared" si="10"/>
        <v>4198035.0462308759</v>
      </c>
      <c r="O46" s="82">
        <f>M46+N46</f>
        <v>10964902.154731195</v>
      </c>
      <c r="P46" s="193">
        <f t="shared" si="40"/>
        <v>1.6451997985290938</v>
      </c>
      <c r="Q46" s="31" t="s">
        <v>678</v>
      </c>
      <c r="R46" s="31" t="s">
        <v>678</v>
      </c>
      <c r="S46" s="31" t="s">
        <v>678</v>
      </c>
      <c r="T46" s="131">
        <f t="shared" si="11"/>
        <v>0.51543219846043009</v>
      </c>
      <c r="U46" s="459">
        <f t="shared" si="12"/>
        <v>2.1606319969895238</v>
      </c>
      <c r="V46" s="190">
        <f t="shared" si="13"/>
        <v>24.093936920477155</v>
      </c>
      <c r="W46" s="16"/>
      <c r="AB46" s="15">
        <v>1993</v>
      </c>
      <c r="AC46" s="44">
        <f>'EIA Adjust'!H44</f>
        <v>11661458.351025729</v>
      </c>
      <c r="AD46" s="48">
        <v>9995000</v>
      </c>
      <c r="AE46" s="48">
        <f t="shared" si="14"/>
        <v>10219618.933883401</v>
      </c>
      <c r="AF46" s="79">
        <f t="shared" si="15"/>
        <v>1441839.4171423279</v>
      </c>
      <c r="AG46" s="79">
        <f t="shared" si="16"/>
        <v>1156915.4135556023</v>
      </c>
      <c r="AH46" s="54">
        <f>1.3073793499085*AM82</f>
        <v>1.2444676267334709</v>
      </c>
      <c r="AI46" s="460">
        <f>0.05602633973*AM82</f>
        <v>5.3330325313181673E-2</v>
      </c>
      <c r="AJ46" s="54">
        <f t="shared" si="41"/>
        <v>1.2977979520466525</v>
      </c>
      <c r="AK46" s="192">
        <f t="shared" si="42"/>
        <v>0.16046159806272106</v>
      </c>
      <c r="AL46" s="192">
        <f t="shared" si="17"/>
        <v>0.12875254614030343</v>
      </c>
      <c r="AM46" s="14">
        <v>1993</v>
      </c>
      <c r="AN46" s="44">
        <f>'EIA Adjust'!H69</f>
        <v>16478070.845490938</v>
      </c>
      <c r="AO46" s="48">
        <v>9278000</v>
      </c>
      <c r="AP46" s="48">
        <f t="shared" si="18"/>
        <v>9486505.6997068729</v>
      </c>
      <c r="AQ46" s="79">
        <f t="shared" si="19"/>
        <v>6991565.1457840651</v>
      </c>
      <c r="AR46" s="79">
        <f t="shared" si="20"/>
        <v>5609951.6949447179</v>
      </c>
      <c r="AS46" s="54">
        <v>4.4095468220173002</v>
      </c>
      <c r="AT46" s="460">
        <v>4.4702807409999996E-2</v>
      </c>
      <c r="AU46" s="54">
        <f t="shared" si="43"/>
        <v>4.4542496294273004</v>
      </c>
      <c r="AV46" s="192">
        <f t="shared" si="44"/>
        <v>1.8899164077964412</v>
      </c>
      <c r="AW46" s="192">
        <f t="shared" si="21"/>
        <v>1.5164472523887904</v>
      </c>
      <c r="AX46" s="14">
        <v>1993</v>
      </c>
      <c r="AY46" s="44">
        <f>'EIA Adjust'!H94</f>
        <v>4352901.8216425618</v>
      </c>
      <c r="AZ46" s="48">
        <v>5841000</v>
      </c>
      <c r="BA46" s="48">
        <f t="shared" si="22"/>
        <v>5972265.552057323</v>
      </c>
      <c r="BB46" s="79">
        <f t="shared" si="23"/>
        <v>0</v>
      </c>
      <c r="BC46" s="79">
        <f t="shared" si="24"/>
        <v>0</v>
      </c>
      <c r="BD46" s="54">
        <v>2.1446990132333334E-2</v>
      </c>
      <c r="BE46" s="460">
        <v>5.2717217099999989E-3</v>
      </c>
      <c r="BF46" s="54">
        <f t="shared" si="45"/>
        <v>2.6718711842333334E-2</v>
      </c>
      <c r="BG46" s="192">
        <f t="shared" si="46"/>
        <v>0</v>
      </c>
      <c r="BH46" s="192">
        <f t="shared" si="25"/>
        <v>0</v>
      </c>
      <c r="BI46" s="14">
        <v>1993</v>
      </c>
      <c r="BJ46" s="44">
        <f>'EIA Adjust'!H119</f>
        <v>30165595.447845668</v>
      </c>
      <c r="BK46" s="48">
        <v>29529000</v>
      </c>
      <c r="BL46" s="48">
        <f t="shared" si="26"/>
        <v>30192609.054391488</v>
      </c>
      <c r="BM46" s="79">
        <f t="shared" si="27"/>
        <v>0</v>
      </c>
      <c r="BN46" s="79">
        <f t="shared" si="28"/>
        <v>0</v>
      </c>
      <c r="BO46" s="54">
        <v>7.3338824552515325</v>
      </c>
      <c r="BP46" s="460">
        <v>2.8995095819999993E-2</v>
      </c>
      <c r="BQ46" s="54">
        <f t="shared" si="47"/>
        <v>7.3628775510715325</v>
      </c>
      <c r="BR46" s="192">
        <f t="shared" si="48"/>
        <v>0</v>
      </c>
      <c r="BS46" s="192">
        <f t="shared" si="29"/>
        <v>0</v>
      </c>
      <c r="BT46" s="14">
        <v>1993</v>
      </c>
      <c r="BU46" s="44">
        <f>'EIA Adjust'!H144</f>
        <v>6354590.1388539644</v>
      </c>
      <c r="BV46" s="48">
        <v>7246000</v>
      </c>
      <c r="BW46" s="48">
        <f t="shared" si="30"/>
        <v>7408840.2996417331</v>
      </c>
      <c r="BX46" s="79">
        <f t="shared" si="31"/>
        <v>0</v>
      </c>
      <c r="BY46" s="79">
        <f t="shared" si="32"/>
        <v>0</v>
      </c>
      <c r="BZ46" s="54">
        <v>1.9933420856598334</v>
      </c>
      <c r="CA46" s="460">
        <v>1.9900539700000003E-3</v>
      </c>
      <c r="CB46" s="54">
        <f t="shared" si="49"/>
        <v>1.9953321396298334</v>
      </c>
      <c r="CC46" s="192">
        <f t="shared" si="50"/>
        <v>0</v>
      </c>
      <c r="CD46" s="192">
        <f t="shared" si="33"/>
        <v>0</v>
      </c>
      <c r="CE46" s="16"/>
      <c r="CG46" s="15">
        <v>1993</v>
      </c>
      <c r="CH46" s="29">
        <v>124221031</v>
      </c>
      <c r="CI46" s="30"/>
      <c r="CJ46" s="30"/>
      <c r="CK46" s="30"/>
      <c r="CL46" s="54">
        <v>47.404647825581634</v>
      </c>
      <c r="CM46" s="32"/>
      <c r="CN46" s="31" t="s">
        <v>678</v>
      </c>
      <c r="CO46" s="461">
        <v>0.17573590782000001</v>
      </c>
      <c r="CP46" s="32"/>
      <c r="CQ46" s="31" t="s">
        <v>678</v>
      </c>
      <c r="CR46" s="14">
        <v>1993</v>
      </c>
      <c r="CS46" s="30"/>
      <c r="CT46" s="30"/>
      <c r="CU46" s="30"/>
      <c r="CV46" s="31" t="s">
        <v>678</v>
      </c>
      <c r="CW46" s="14">
        <v>1993</v>
      </c>
      <c r="CX46" s="30"/>
      <c r="CY46" s="30"/>
      <c r="CZ46" s="30"/>
      <c r="DA46" s="31" t="s">
        <v>678</v>
      </c>
      <c r="DB46" s="16"/>
      <c r="DD46" s="15">
        <v>1993</v>
      </c>
      <c r="DE46" s="44">
        <f>'EIA Adjust'!J170</f>
        <v>107784076.96286286</v>
      </c>
      <c r="DF46" s="48">
        <v>110532000</v>
      </c>
      <c r="DG46" s="48">
        <v>2484000</v>
      </c>
      <c r="DH46" s="53">
        <f t="shared" si="34"/>
        <v>113016000</v>
      </c>
      <c r="DI46" s="79">
        <f t="shared" si="51"/>
        <v>5231923.0371371359</v>
      </c>
      <c r="DJ46" s="198">
        <f t="shared" si="35"/>
        <v>37.585713105965716</v>
      </c>
      <c r="DK46" s="201">
        <f t="shared" si="52"/>
        <v>3.3256984060633643E-7</v>
      </c>
      <c r="DL46" s="203">
        <f t="shared" si="36"/>
        <v>16.541087000385374</v>
      </c>
      <c r="DM46" s="196"/>
      <c r="DP46" s="16"/>
    </row>
    <row r="47" spans="1:120" s="14" customFormat="1" ht="13">
      <c r="A47" s="15"/>
      <c r="B47" s="87"/>
      <c r="C47" s="85">
        <v>1994</v>
      </c>
      <c r="D47" s="86">
        <f>'EIA Adjust'!H20</f>
        <v>39670559.195756748</v>
      </c>
      <c r="E47" s="48">
        <v>49354000</v>
      </c>
      <c r="F47" s="48">
        <f t="shared" si="7"/>
        <v>50383481.265085459</v>
      </c>
      <c r="G47" s="457">
        <v>22.185916674866498</v>
      </c>
      <c r="H47" s="54">
        <v>8.0142965639999994E-2</v>
      </c>
      <c r="I47" s="458">
        <f t="shared" si="37"/>
        <v>22.266059640506498</v>
      </c>
      <c r="J47" s="80">
        <f t="shared" si="38"/>
        <v>10712922.06932871</v>
      </c>
      <c r="K47" s="127">
        <f t="shared" si="8"/>
        <v>14867648.855642427</v>
      </c>
      <c r="L47" s="81">
        <f t="shared" si="39"/>
        <v>0.72055253479187775</v>
      </c>
      <c r="M47" s="57">
        <f t="shared" si="9"/>
        <v>4453625.9003427094</v>
      </c>
      <c r="N47" s="79">
        <f t="shared" si="10"/>
        <v>6260031.7516163355</v>
      </c>
      <c r="O47" s="82">
        <f t="shared" si="53"/>
        <v>10713657.651959045</v>
      </c>
      <c r="P47" s="193">
        <f t="shared" si="40"/>
        <v>1.0920867935682601</v>
      </c>
      <c r="Q47" s="31" t="s">
        <v>679</v>
      </c>
      <c r="R47" s="31" t="s">
        <v>679</v>
      </c>
      <c r="S47" s="31" t="s">
        <v>679</v>
      </c>
      <c r="T47" s="131">
        <f t="shared" si="11"/>
        <v>0.76860290412884102</v>
      </c>
      <c r="U47" s="459">
        <f t="shared" si="12"/>
        <v>1.8606896976971012</v>
      </c>
      <c r="V47" s="190">
        <f t="shared" si="13"/>
        <v>24.126749338203599</v>
      </c>
      <c r="W47" s="16"/>
      <c r="AB47" s="15">
        <v>1994</v>
      </c>
      <c r="AC47" s="44">
        <f>'EIA Adjust'!H45</f>
        <v>12290211.662972955</v>
      </c>
      <c r="AD47" s="48">
        <v>9977000</v>
      </c>
      <c r="AE47" s="48">
        <f t="shared" si="14"/>
        <v>10185111.492113255</v>
      </c>
      <c r="AF47" s="79">
        <f t="shared" si="15"/>
        <v>2105100.1708597001</v>
      </c>
      <c r="AG47" s="79">
        <f t="shared" si="16"/>
        <v>1516835.2641037719</v>
      </c>
      <c r="AH47" s="54">
        <f>1.21197127516141*AM82</f>
        <v>1.1536506344350761</v>
      </c>
      <c r="AI47" s="460">
        <f>0.04196858431*AM82</f>
        <v>3.9949035845858072E-2</v>
      </c>
      <c r="AJ47" s="54">
        <f t="shared" si="41"/>
        <v>1.1935996702809342</v>
      </c>
      <c r="AK47" s="192">
        <f t="shared" si="42"/>
        <v>0.20444292895429894</v>
      </c>
      <c r="AL47" s="192">
        <f t="shared" si="17"/>
        <v>0.14731187067829588</v>
      </c>
      <c r="AM47" s="14">
        <v>1994</v>
      </c>
      <c r="AN47" s="44">
        <f>'EIA Adjust'!H70</f>
        <v>13657531.865234166</v>
      </c>
      <c r="AO47" s="48">
        <v>9386000</v>
      </c>
      <c r="AP47" s="48">
        <f t="shared" si="18"/>
        <v>9581783.7491204794</v>
      </c>
      <c r="AQ47" s="79">
        <f t="shared" si="19"/>
        <v>4075748.1161136869</v>
      </c>
      <c r="AR47" s="79">
        <f t="shared" si="20"/>
        <v>2936790.6362389377</v>
      </c>
      <c r="AS47" s="54">
        <v>4.3518211442572996</v>
      </c>
      <c r="AT47" s="460">
        <v>4.1850456170000001E-2</v>
      </c>
      <c r="AU47" s="54">
        <f t="shared" si="43"/>
        <v>4.3936716004272993</v>
      </c>
      <c r="AV47" s="192">
        <f t="shared" si="44"/>
        <v>1.3111811800965354</v>
      </c>
      <c r="AW47" s="192">
        <f t="shared" si="21"/>
        <v>0.94477492288996412</v>
      </c>
      <c r="AX47" s="14">
        <v>1994</v>
      </c>
      <c r="AY47" s="44">
        <f>'EIA Adjust'!H95</f>
        <v>5265206.1676723352</v>
      </c>
      <c r="AZ47" s="48">
        <v>5867000</v>
      </c>
      <c r="BA47" s="48">
        <f t="shared" si="22"/>
        <v>5989380.4875441985</v>
      </c>
      <c r="BB47" s="79">
        <f t="shared" si="23"/>
        <v>0</v>
      </c>
      <c r="BC47" s="79">
        <f t="shared" si="24"/>
        <v>0</v>
      </c>
      <c r="BD47" s="54">
        <v>1.8700675046533336E-2</v>
      </c>
      <c r="BE47" s="460">
        <v>5.4989120199999989E-3</v>
      </c>
      <c r="BF47" s="54">
        <f t="shared" si="45"/>
        <v>2.4199587066533336E-2</v>
      </c>
      <c r="BG47" s="192">
        <f t="shared" si="46"/>
        <v>0</v>
      </c>
      <c r="BH47" s="192">
        <f t="shared" si="25"/>
        <v>0</v>
      </c>
      <c r="BI47" s="14">
        <v>1994</v>
      </c>
      <c r="BJ47" s="44">
        <f>'EIA Adjust'!H120</f>
        <v>28600969.02963879</v>
      </c>
      <c r="BK47" s="48">
        <v>30332000</v>
      </c>
      <c r="BL47" s="48">
        <f t="shared" si="26"/>
        <v>30964698.985544682</v>
      </c>
      <c r="BM47" s="79">
        <f t="shared" si="27"/>
        <v>0</v>
      </c>
      <c r="BN47" s="79">
        <f t="shared" si="28"/>
        <v>0</v>
      </c>
      <c r="BO47" s="54">
        <v>7.2007815469356</v>
      </c>
      <c r="BP47" s="460">
        <v>2.7857297640000001E-2</v>
      </c>
      <c r="BQ47" s="54">
        <f t="shared" si="47"/>
        <v>7.2286388445755998</v>
      </c>
      <c r="BR47" s="192">
        <f t="shared" si="48"/>
        <v>0</v>
      </c>
      <c r="BS47" s="192">
        <f t="shared" si="29"/>
        <v>0</v>
      </c>
      <c r="BT47" s="14">
        <v>1994</v>
      </c>
      <c r="BU47" s="44">
        <f>'EIA Adjust'!H145</f>
        <v>6446700.6509307679</v>
      </c>
      <c r="BV47" s="48">
        <v>7360000</v>
      </c>
      <c r="BW47" s="48">
        <f t="shared" si="30"/>
        <v>7513523.1614667298</v>
      </c>
      <c r="BX47" s="79">
        <f t="shared" si="31"/>
        <v>0</v>
      </c>
      <c r="BY47" s="79">
        <f t="shared" si="32"/>
        <v>0</v>
      </c>
      <c r="BZ47" s="54">
        <v>2.1175541752056999</v>
      </c>
      <c r="CA47" s="460">
        <v>2.1466660099999997E-3</v>
      </c>
      <c r="CB47" s="54">
        <f t="shared" si="49"/>
        <v>2.1197008412156997</v>
      </c>
      <c r="CC47" s="192">
        <f t="shared" si="50"/>
        <v>0</v>
      </c>
      <c r="CD47" s="192">
        <f t="shared" si="33"/>
        <v>0</v>
      </c>
      <c r="CE47" s="16"/>
      <c r="CG47" s="15">
        <v>1994</v>
      </c>
      <c r="CH47" s="29">
        <v>126029572</v>
      </c>
      <c r="CI47" s="30"/>
      <c r="CJ47" s="30"/>
      <c r="CK47" s="30"/>
      <c r="CL47" s="54">
        <v>47.273335839938497</v>
      </c>
      <c r="CM47" s="32"/>
      <c r="CN47" s="31" t="s">
        <v>679</v>
      </c>
      <c r="CO47" s="461">
        <v>0.16945475794999998</v>
      </c>
      <c r="CP47" s="32"/>
      <c r="CQ47" s="31" t="s">
        <v>679</v>
      </c>
      <c r="CR47" s="14">
        <v>1994</v>
      </c>
      <c r="CS47" s="30"/>
      <c r="CT47" s="30"/>
      <c r="CU47" s="30"/>
      <c r="CV47" s="31" t="s">
        <v>679</v>
      </c>
      <c r="CW47" s="14">
        <v>1994</v>
      </c>
      <c r="CX47" s="30"/>
      <c r="CY47" s="30"/>
      <c r="CZ47" s="30"/>
      <c r="DA47" s="31" t="s">
        <v>679</v>
      </c>
      <c r="DB47" s="16"/>
      <c r="DD47" s="15">
        <v>1994</v>
      </c>
      <c r="DE47" s="44">
        <f>'EIA Adjust'!J171</f>
        <v>105931178.57220575</v>
      </c>
      <c r="DF47" s="48">
        <v>112277000</v>
      </c>
      <c r="DG47" s="48">
        <v>2342000</v>
      </c>
      <c r="DH47" s="53">
        <f t="shared" si="34"/>
        <v>114619000</v>
      </c>
      <c r="DI47" s="79">
        <f>DH47-DE47</f>
        <v>8687821.4277942479</v>
      </c>
      <c r="DJ47" s="198">
        <f t="shared" si="35"/>
        <v>37.994473088201403</v>
      </c>
      <c r="DK47" s="201">
        <f t="shared" si="52"/>
        <v>3.3148494654639633E-7</v>
      </c>
      <c r="DL47" s="203">
        <f t="shared" si="36"/>
        <v>16.701365593978213</v>
      </c>
      <c r="DM47" s="196"/>
      <c r="DP47" s="16"/>
    </row>
    <row r="48" spans="1:120" s="14" customFormat="1" ht="13">
      <c r="A48" s="15"/>
      <c r="B48" s="87"/>
      <c r="C48" s="85">
        <v>1995</v>
      </c>
      <c r="D48" s="86">
        <f>'EIA Adjust'!H21</f>
        <v>39372988.155321851</v>
      </c>
      <c r="E48" s="48">
        <v>49681000</v>
      </c>
      <c r="F48" s="48">
        <f t="shared" si="7"/>
        <v>50726174.301032387</v>
      </c>
      <c r="G48" s="457">
        <v>21.290696356903265</v>
      </c>
      <c r="H48" s="54">
        <v>7.4411120040000001E-2</v>
      </c>
      <c r="I48" s="458">
        <f t="shared" si="37"/>
        <v>21.365107476943265</v>
      </c>
      <c r="J48" s="80">
        <f t="shared" si="38"/>
        <v>11353186.145710535</v>
      </c>
      <c r="K48" s="127">
        <f t="shared" si="8"/>
        <v>19093382.403259926</v>
      </c>
      <c r="L48" s="81">
        <f>J48/K48</f>
        <v>0.5946136680199805</v>
      </c>
      <c r="M48" s="57">
        <f t="shared" si="9"/>
        <v>3577993.0287560932</v>
      </c>
      <c r="N48" s="79">
        <f t="shared" si="10"/>
        <v>7775193.1169544514</v>
      </c>
      <c r="O48" s="82">
        <f t="shared" si="53"/>
        <v>11353186.145710545</v>
      </c>
      <c r="P48" s="193">
        <f t="shared" si="40"/>
        <v>0.98780781467787282</v>
      </c>
      <c r="Q48" s="31" t="s">
        <v>680</v>
      </c>
      <c r="R48" s="31" t="s">
        <v>680</v>
      </c>
      <c r="S48" s="31" t="s">
        <v>680</v>
      </c>
      <c r="T48" s="131">
        <f t="shared" si="11"/>
        <v>0.95463349819443954</v>
      </c>
      <c r="U48" s="459">
        <f t="shared" si="12"/>
        <v>1.9424413128723124</v>
      </c>
      <c r="V48" s="190">
        <f t="shared" si="13"/>
        <v>23.307548789815577</v>
      </c>
      <c r="W48" s="16"/>
      <c r="AB48" s="15">
        <v>1995</v>
      </c>
      <c r="AC48" s="44">
        <f>'EIA Adjust'!H46</f>
        <v>7291496.6906840168</v>
      </c>
      <c r="AD48" s="48">
        <v>9620000</v>
      </c>
      <c r="AE48" s="48">
        <f t="shared" si="14"/>
        <v>9822382.7373831365</v>
      </c>
      <c r="AF48" s="79">
        <f t="shared" si="15"/>
        <v>0</v>
      </c>
      <c r="AG48" s="79">
        <f t="shared" si="16"/>
        <v>0</v>
      </c>
      <c r="AH48" s="54">
        <f>1.23369258242413*AM82</f>
        <v>1.1743267019442329</v>
      </c>
      <c r="AI48" s="460">
        <f>0.03045082813*AM82</f>
        <v>2.8985519633350557E-2</v>
      </c>
      <c r="AJ48" s="54">
        <f t="shared" si="41"/>
        <v>1.2033122215775836</v>
      </c>
      <c r="AK48" s="192">
        <f t="shared" si="42"/>
        <v>0</v>
      </c>
      <c r="AL48" s="192">
        <f t="shared" si="17"/>
        <v>0</v>
      </c>
      <c r="AM48" s="14">
        <v>1995</v>
      </c>
      <c r="AN48" s="44">
        <f>'EIA Adjust'!H71</f>
        <v>15657978.73133369</v>
      </c>
      <c r="AO48" s="48">
        <v>9442000</v>
      </c>
      <c r="AP48" s="48">
        <f t="shared" si="18"/>
        <v>9640638.0256103501</v>
      </c>
      <c r="AQ48" s="79">
        <f t="shared" si="19"/>
        <v>6017340.7057233397</v>
      </c>
      <c r="AR48" s="79">
        <f t="shared" si="20"/>
        <v>3577993.0287560932</v>
      </c>
      <c r="AS48" s="54">
        <v>4.283086640641633</v>
      </c>
      <c r="AT48" s="460">
        <v>3.974843158E-2</v>
      </c>
      <c r="AU48" s="54">
        <f t="shared" si="43"/>
        <v>4.3228350722216327</v>
      </c>
      <c r="AV48" s="192">
        <f t="shared" si="44"/>
        <v>1.6612598529179454</v>
      </c>
      <c r="AW48" s="192">
        <f t="shared" si="21"/>
        <v>0.98780781467787282</v>
      </c>
      <c r="AX48" s="14">
        <v>1995</v>
      </c>
      <c r="AY48" s="44">
        <f>'EIA Adjust'!H96</f>
        <v>4836860.4525828855</v>
      </c>
      <c r="AZ48" s="48">
        <v>5903000</v>
      </c>
      <c r="BA48" s="48">
        <f t="shared" si="22"/>
        <v>6027185.5819929997</v>
      </c>
      <c r="BB48" s="79">
        <f t="shared" si="23"/>
        <v>0</v>
      </c>
      <c r="BC48" s="79">
        <f t="shared" si="24"/>
        <v>0</v>
      </c>
      <c r="BD48" s="54">
        <v>2.3867025835399999E-2</v>
      </c>
      <c r="BE48" s="460">
        <v>6.4205497600000007E-3</v>
      </c>
      <c r="BF48" s="54">
        <f t="shared" si="45"/>
        <v>3.0287575595400001E-2</v>
      </c>
      <c r="BG48" s="192">
        <f t="shared" si="46"/>
        <v>0</v>
      </c>
      <c r="BH48" s="192">
        <f t="shared" si="25"/>
        <v>0</v>
      </c>
      <c r="BI48" s="14">
        <v>1995</v>
      </c>
      <c r="BJ48" s="44">
        <f>'EIA Adjust'!H121</f>
        <v>28870248.525768165</v>
      </c>
      <c r="BK48" s="48">
        <v>30805000</v>
      </c>
      <c r="BL48" s="48">
        <f t="shared" si="26"/>
        <v>31453066.551464397</v>
      </c>
      <c r="BM48" s="79">
        <f t="shared" si="27"/>
        <v>0</v>
      </c>
      <c r="BN48" s="79">
        <f t="shared" si="28"/>
        <v>0</v>
      </c>
      <c r="BO48" s="54">
        <v>8.0086625494591992</v>
      </c>
      <c r="BP48" s="460">
        <v>2.9641355839999994E-2</v>
      </c>
      <c r="BQ48" s="54">
        <f t="shared" si="47"/>
        <v>8.0383039052992</v>
      </c>
      <c r="BR48" s="192">
        <f t="shared" si="48"/>
        <v>0</v>
      </c>
      <c r="BS48" s="192">
        <f t="shared" si="29"/>
        <v>0</v>
      </c>
      <c r="BT48" s="14">
        <v>1995</v>
      </c>
      <c r="BU48" s="44">
        <f>'EIA Adjust'!H146</f>
        <v>6113385.7467728024</v>
      </c>
      <c r="BV48" s="48">
        <v>7394000</v>
      </c>
      <c r="BW48" s="48">
        <f t="shared" si="30"/>
        <v>7549552.8025167268</v>
      </c>
      <c r="BX48" s="79">
        <f t="shared" si="31"/>
        <v>0</v>
      </c>
      <c r="BY48" s="79">
        <f t="shared" si="32"/>
        <v>0</v>
      </c>
      <c r="BZ48" s="54">
        <v>1.9790007113946664</v>
      </c>
      <c r="CA48" s="460">
        <v>1.9862248799999995E-3</v>
      </c>
      <c r="CB48" s="54">
        <f t="shared" si="49"/>
        <v>1.9809869362746664</v>
      </c>
      <c r="CC48" s="192">
        <f t="shared" si="50"/>
        <v>0</v>
      </c>
      <c r="CD48" s="192">
        <f t="shared" si="33"/>
        <v>0</v>
      </c>
      <c r="CE48" s="16"/>
      <c r="CG48" s="15">
        <v>1995</v>
      </c>
      <c r="CH48" s="29">
        <v>133413281</v>
      </c>
      <c r="CI48" s="30"/>
      <c r="CJ48" s="30"/>
      <c r="CK48" s="30"/>
      <c r="CL48" s="54">
        <v>51.102977298259432</v>
      </c>
      <c r="CM48" s="32"/>
      <c r="CN48" s="31" t="s">
        <v>680</v>
      </c>
      <c r="CO48" s="461">
        <v>0.16100763147</v>
      </c>
      <c r="CP48" s="32"/>
      <c r="CQ48" s="31" t="s">
        <v>680</v>
      </c>
      <c r="CR48" s="14">
        <v>1995</v>
      </c>
      <c r="CS48" s="30"/>
      <c r="CT48" s="30"/>
      <c r="CU48" s="30"/>
      <c r="CV48" s="31" t="s">
        <v>680</v>
      </c>
      <c r="CW48" s="14">
        <v>1995</v>
      </c>
      <c r="CX48" s="30"/>
      <c r="CY48" s="30"/>
      <c r="CZ48" s="30"/>
      <c r="DA48" s="31" t="s">
        <v>680</v>
      </c>
      <c r="DB48" s="16"/>
      <c r="DD48" s="15">
        <v>1995</v>
      </c>
      <c r="DE48" s="44">
        <f>'EIA Adjust'!J172</f>
        <v>102142958.3024634</v>
      </c>
      <c r="DF48" s="48">
        <v>112845000</v>
      </c>
      <c r="DG48" s="48">
        <v>2374000</v>
      </c>
      <c r="DH48" s="53">
        <f t="shared" si="34"/>
        <v>115219000</v>
      </c>
      <c r="DI48" s="79">
        <f t="shared" si="51"/>
        <v>13076041.697536603</v>
      </c>
      <c r="DJ48" s="198">
        <f t="shared" si="35"/>
        <v>37.89546668610619</v>
      </c>
      <c r="DK48" s="201">
        <f t="shared" si="52"/>
        <v>3.2889945830206988E-7</v>
      </c>
      <c r="DL48" s="203">
        <f t="shared" si="36"/>
        <v>16.683811249345929</v>
      </c>
      <c r="DM48" s="196"/>
      <c r="DP48" s="16"/>
    </row>
    <row r="49" spans="1:139" s="14" customFormat="1" ht="13">
      <c r="A49" s="15"/>
      <c r="B49" s="87"/>
      <c r="C49" s="85">
        <v>1996</v>
      </c>
      <c r="D49" s="86">
        <f>'EIA Adjust'!H22</f>
        <v>39686197.770375557</v>
      </c>
      <c r="E49" s="48">
        <v>50467000</v>
      </c>
      <c r="F49" s="48">
        <f t="shared" si="7"/>
        <v>51509766.634976842</v>
      </c>
      <c r="G49" s="457">
        <v>20.724773491599969</v>
      </c>
      <c r="H49" s="54">
        <v>7.7209398500000012E-2</v>
      </c>
      <c r="I49" s="458">
        <f t="shared" si="37"/>
        <v>20.801982890099968</v>
      </c>
      <c r="J49" s="80">
        <f t="shared" si="38"/>
        <v>11823568.864601284</v>
      </c>
      <c r="K49" s="127">
        <f t="shared" si="8"/>
        <v>26155271.046896677</v>
      </c>
      <c r="L49" s="81">
        <f>J49/K49</f>
        <v>0.45205300466592374</v>
      </c>
      <c r="M49" s="57">
        <f t="shared" si="9"/>
        <v>5132939.2564758714</v>
      </c>
      <c r="N49" s="79">
        <f t="shared" si="10"/>
        <v>6690629.6081254203</v>
      </c>
      <c r="O49" s="82">
        <f t="shared" si="53"/>
        <v>11823568.864601292</v>
      </c>
      <c r="P49" s="193">
        <f t="shared" si="40"/>
        <v>1.2885426748355742</v>
      </c>
      <c r="Q49" s="31" t="s">
        <v>681</v>
      </c>
      <c r="R49" s="31" t="s">
        <v>681</v>
      </c>
      <c r="S49" s="31" t="s">
        <v>681</v>
      </c>
      <c r="T49" s="131">
        <f t="shared" si="11"/>
        <v>0.82147144795676708</v>
      </c>
      <c r="U49" s="459">
        <f t="shared" si="12"/>
        <v>2.1100141227923412</v>
      </c>
      <c r="V49" s="190">
        <f t="shared" si="13"/>
        <v>22.911997012892307</v>
      </c>
      <c r="W49" s="16"/>
      <c r="AB49" s="15">
        <v>1996</v>
      </c>
      <c r="AC49" s="44">
        <f>'EIA Adjust'!H47</f>
        <v>11153678.425621327</v>
      </c>
      <c r="AD49" s="48">
        <v>10139000</v>
      </c>
      <c r="AE49" s="48">
        <f t="shared" si="14"/>
        <v>10348495.529990492</v>
      </c>
      <c r="AF49" s="79">
        <f t="shared" si="15"/>
        <v>805182.89563083462</v>
      </c>
      <c r="AG49" s="79">
        <f t="shared" si="16"/>
        <v>363985.34727552766</v>
      </c>
      <c r="AH49" s="54">
        <f>1.08962514098413*AM82</f>
        <v>1.0371918550836428</v>
      </c>
      <c r="AI49" s="460">
        <f>0.03146815495*AM82</f>
        <v>2.9953892197431761E-2</v>
      </c>
      <c r="AJ49" s="54">
        <f t="shared" si="41"/>
        <v>1.0671457472810746</v>
      </c>
      <c r="AK49" s="192">
        <f t="shared" si="42"/>
        <v>7.7037141476314464E-2</v>
      </c>
      <c r="AL49" s="192">
        <f t="shared" si="17"/>
        <v>3.4824871275241809E-2</v>
      </c>
      <c r="AM49" s="14">
        <v>1996</v>
      </c>
      <c r="AN49" s="44">
        <f>'EIA Adjust'!H72</f>
        <v>17310852.164569974</v>
      </c>
      <c r="AO49" s="48">
        <v>9534000</v>
      </c>
      <c r="AP49" s="48">
        <f t="shared" si="18"/>
        <v>9730994.8104279879</v>
      </c>
      <c r="AQ49" s="79">
        <f t="shared" si="19"/>
        <v>7579857.354141986</v>
      </c>
      <c r="AR49" s="79">
        <f t="shared" si="20"/>
        <v>3426497.2918789834</v>
      </c>
      <c r="AS49" s="54">
        <v>4.0731792544675329</v>
      </c>
      <c r="AT49" s="460">
        <v>3.974527361E-2</v>
      </c>
      <c r="AU49" s="54">
        <f t="shared" si="43"/>
        <v>4.1129245280775333</v>
      </c>
      <c r="AV49" s="192">
        <f t="shared" si="44"/>
        <v>1.80091545666284</v>
      </c>
      <c r="AW49" s="192">
        <f t="shared" si="21"/>
        <v>0.81410924333374102</v>
      </c>
      <c r="AX49" s="14">
        <v>1996</v>
      </c>
      <c r="AY49" s="44">
        <f>'EIA Adjust'!H97</f>
        <v>5015013.1931965724</v>
      </c>
      <c r="AZ49" s="48">
        <v>6025000</v>
      </c>
      <c r="BA49" s="48">
        <f t="shared" si="22"/>
        <v>6149490.6369654527</v>
      </c>
      <c r="BB49" s="79">
        <f t="shared" si="23"/>
        <v>0</v>
      </c>
      <c r="BC49" s="79">
        <f t="shared" si="24"/>
        <v>0</v>
      </c>
      <c r="BD49" s="54">
        <v>8.1972996475333324E-3</v>
      </c>
      <c r="BE49" s="460">
        <v>6.6951453000000001E-3</v>
      </c>
      <c r="BF49" s="54">
        <f t="shared" si="45"/>
        <v>1.4892444947533333E-2</v>
      </c>
      <c r="BG49" s="192">
        <f t="shared" si="46"/>
        <v>0</v>
      </c>
      <c r="BH49" s="192">
        <f t="shared" si="25"/>
        <v>0</v>
      </c>
      <c r="BI49" s="14">
        <v>1996</v>
      </c>
      <c r="BJ49" s="44">
        <f>'EIA Adjust'!H122</f>
        <v>18540270.922293529</v>
      </c>
      <c r="BK49" s="48">
        <v>31095000</v>
      </c>
      <c r="BL49" s="48">
        <f t="shared" si="26"/>
        <v>31737495.660820041</v>
      </c>
      <c r="BM49" s="79">
        <f t="shared" si="27"/>
        <v>0</v>
      </c>
      <c r="BN49" s="79">
        <f t="shared" si="28"/>
        <v>0</v>
      </c>
      <c r="BO49" s="54">
        <v>9.0503036925389324</v>
      </c>
      <c r="BP49" s="460">
        <v>3.4737990360000005E-2</v>
      </c>
      <c r="BQ49" s="54">
        <f t="shared" si="47"/>
        <v>9.0850416828989324</v>
      </c>
      <c r="BR49" s="192">
        <f t="shared" si="48"/>
        <v>0</v>
      </c>
      <c r="BS49" s="192">
        <f t="shared" si="29"/>
        <v>0</v>
      </c>
      <c r="BT49" s="14">
        <v>1996</v>
      </c>
      <c r="BU49" s="44">
        <f>'EIA Adjust'!H147</f>
        <v>10515445.24445986</v>
      </c>
      <c r="BV49" s="48">
        <v>7393000</v>
      </c>
      <c r="BW49" s="48">
        <f t="shared" si="30"/>
        <v>7545756.7268191846</v>
      </c>
      <c r="BX49" s="79">
        <f t="shared" si="31"/>
        <v>2969688.5176406754</v>
      </c>
      <c r="BY49" s="79">
        <f t="shared" si="32"/>
        <v>1342456.6173213604</v>
      </c>
      <c r="BZ49" s="54">
        <v>3.4400194976037004</v>
      </c>
      <c r="CA49" s="460">
        <v>3.4286439700000003E-3</v>
      </c>
      <c r="CB49" s="54">
        <f t="shared" si="49"/>
        <v>3.4434481415737004</v>
      </c>
      <c r="CC49" s="192">
        <f t="shared" si="50"/>
        <v>0.97247127148611878</v>
      </c>
      <c r="CD49" s="192">
        <f t="shared" si="33"/>
        <v>0.43960856022659123</v>
      </c>
      <c r="CE49" s="16"/>
      <c r="CG49" s="15">
        <v>1996</v>
      </c>
      <c r="CH49" s="29">
        <v>135732249</v>
      </c>
      <c r="CI49" s="30"/>
      <c r="CJ49" s="30"/>
      <c r="CK49" s="30"/>
      <c r="CL49" s="54">
        <v>46.664387306609761</v>
      </c>
      <c r="CM49" s="32"/>
      <c r="CN49" s="31" t="s">
        <v>681</v>
      </c>
      <c r="CO49" s="461">
        <v>0.16227388553999997</v>
      </c>
      <c r="CP49" s="32"/>
      <c r="CQ49" s="31" t="s">
        <v>681</v>
      </c>
      <c r="CR49" s="14">
        <v>1996</v>
      </c>
      <c r="CS49" s="30"/>
      <c r="CT49" s="30"/>
      <c r="CU49" s="30"/>
      <c r="CV49" s="31" t="s">
        <v>681</v>
      </c>
      <c r="CW49" s="14">
        <v>1996</v>
      </c>
      <c r="CX49" s="30"/>
      <c r="CY49" s="30"/>
      <c r="CZ49" s="30"/>
      <c r="DA49" s="31" t="s">
        <v>681</v>
      </c>
      <c r="DB49" s="16"/>
      <c r="DD49" s="15">
        <v>1996</v>
      </c>
      <c r="DE49" s="44">
        <f>'EIA Adjust'!J173</f>
        <v>102221457.7205168</v>
      </c>
      <c r="DF49" s="48">
        <v>114653000</v>
      </c>
      <c r="DG49" s="48">
        <v>2369000</v>
      </c>
      <c r="DH49" s="53">
        <f t="shared" si="34"/>
        <v>117022000</v>
      </c>
      <c r="DI49" s="79">
        <f t="shared" si="51"/>
        <v>14800542.279483199</v>
      </c>
      <c r="DJ49" s="198">
        <f t="shared" si="35"/>
        <v>39.346906882835512</v>
      </c>
      <c r="DK49" s="201">
        <f t="shared" si="52"/>
        <v>3.362351257270899E-7</v>
      </c>
      <c r="DL49" s="203">
        <f t="shared" si="36"/>
        <v>17.319392860684498</v>
      </c>
      <c r="DM49" s="196"/>
      <c r="DP49" s="16"/>
    </row>
    <row r="50" spans="1:139" s="14" customFormat="1" ht="13">
      <c r="A50" s="15"/>
      <c r="B50" s="87"/>
      <c r="C50" s="85">
        <v>1997</v>
      </c>
      <c r="D50" s="86">
        <f>'EIA Adjust'!H23</f>
        <v>47017493.794275433</v>
      </c>
      <c r="E50" s="48">
        <v>50855000</v>
      </c>
      <c r="F50" s="48">
        <f t="shared" si="7"/>
        <v>51677363.88098184</v>
      </c>
      <c r="G50" s="457">
        <v>25.983577610356026</v>
      </c>
      <c r="H50" s="54">
        <v>9.4645191179999991E-2</v>
      </c>
      <c r="I50" s="458">
        <f t="shared" si="37"/>
        <v>26.078222801536025</v>
      </c>
      <c r="J50" s="80">
        <f t="shared" si="38"/>
        <v>4659870.0867064074</v>
      </c>
      <c r="K50" s="127">
        <f t="shared" si="8"/>
        <v>23720596.202463727</v>
      </c>
      <c r="L50" s="81">
        <f t="shared" si="39"/>
        <v>0.19644826997318104</v>
      </c>
      <c r="M50" s="57">
        <f t="shared" si="9"/>
        <v>1798614.9080659882</v>
      </c>
      <c r="N50" s="79">
        <f t="shared" si="10"/>
        <v>2861055.5536530768</v>
      </c>
      <c r="O50" s="82">
        <f t="shared" si="53"/>
        <v>4659670.461719065</v>
      </c>
      <c r="P50" s="193">
        <f t="shared" si="40"/>
        <v>0.57090732686331258</v>
      </c>
      <c r="Q50" s="31" t="s">
        <v>682</v>
      </c>
      <c r="R50" s="31" t="s">
        <v>682</v>
      </c>
      <c r="S50" s="31" t="s">
        <v>682</v>
      </c>
      <c r="T50" s="131">
        <f t="shared" si="11"/>
        <v>0.35127866673262798</v>
      </c>
      <c r="U50" s="459">
        <f t="shared" si="12"/>
        <v>0.92218599359594056</v>
      </c>
      <c r="V50" s="190">
        <f t="shared" si="13"/>
        <v>27.000408795131968</v>
      </c>
      <c r="W50" s="16"/>
      <c r="AB50" s="15">
        <v>1997</v>
      </c>
      <c r="AC50" s="44">
        <f>'EIA Adjust'!H48</f>
        <v>7717464.1054824311</v>
      </c>
      <c r="AD50" s="48">
        <v>10291000</v>
      </c>
      <c r="AE50" s="48">
        <f t="shared" si="14"/>
        <v>10457413.267115999</v>
      </c>
      <c r="AF50" s="79">
        <f t="shared" si="15"/>
        <v>0</v>
      </c>
      <c r="AG50" s="79">
        <f t="shared" si="16"/>
        <v>0</v>
      </c>
      <c r="AH50" s="54">
        <f>1.73730629435173*AM82</f>
        <v>1.6537062798126132</v>
      </c>
      <c r="AI50" s="460">
        <f>0.03258351931*AM82</f>
        <v>3.1015584687931513E-2</v>
      </c>
      <c r="AJ50" s="54">
        <f t="shared" si="41"/>
        <v>1.6847218645005446</v>
      </c>
      <c r="AK50" s="192">
        <f t="shared" si="42"/>
        <v>0</v>
      </c>
      <c r="AL50" s="192">
        <f t="shared" si="17"/>
        <v>0</v>
      </c>
      <c r="AM50" s="14">
        <v>1997</v>
      </c>
      <c r="AN50" s="44">
        <f>'EIA Adjust'!H73</f>
        <v>16110281.72774791</v>
      </c>
      <c r="AO50" s="48">
        <v>9705000</v>
      </c>
      <c r="AP50" s="48">
        <f t="shared" si="18"/>
        <v>9861937.203125136</v>
      </c>
      <c r="AQ50" s="79">
        <f t="shared" si="19"/>
        <v>6248344.5246227738</v>
      </c>
      <c r="AR50" s="79">
        <f t="shared" si="20"/>
        <v>1227476.4720585423</v>
      </c>
      <c r="AS50" s="54">
        <v>5.0505026514269753</v>
      </c>
      <c r="AT50" s="460">
        <v>4.4290033630000003E-2</v>
      </c>
      <c r="AU50" s="54">
        <f t="shared" si="43"/>
        <v>5.0947926850569756</v>
      </c>
      <c r="AV50" s="192">
        <f t="shared" si="44"/>
        <v>1.976006411044561</v>
      </c>
      <c r="AW50" s="192">
        <f t="shared" si="21"/>
        <v>0.38818304090561845</v>
      </c>
      <c r="AX50" s="14">
        <v>1997</v>
      </c>
      <c r="AY50" s="44">
        <f>'EIA Adjust'!H98</f>
        <v>5324736.3309964649</v>
      </c>
      <c r="AZ50" s="48">
        <v>6076000</v>
      </c>
      <c r="BA50" s="48">
        <f t="shared" si="22"/>
        <v>6174253.5235639689</v>
      </c>
      <c r="BB50" s="79">
        <f t="shared" si="23"/>
        <v>0</v>
      </c>
      <c r="BC50" s="79">
        <f t="shared" si="24"/>
        <v>0</v>
      </c>
      <c r="BD50" s="54">
        <v>1.5283057344500001E-2</v>
      </c>
      <c r="BE50" s="460">
        <v>7.2290260199999986E-3</v>
      </c>
      <c r="BF50" s="54">
        <f t="shared" si="45"/>
        <v>2.2512083364499998E-2</v>
      </c>
      <c r="BG50" s="192">
        <f t="shared" si="46"/>
        <v>0</v>
      </c>
      <c r="BH50" s="192">
        <f t="shared" si="25"/>
        <v>0</v>
      </c>
      <c r="BI50" s="14">
        <v>1997</v>
      </c>
      <c r="BJ50" s="44">
        <f>'EIA Adjust'!H123</f>
        <v>16212944.46239447</v>
      </c>
      <c r="BK50" s="48">
        <v>31180000</v>
      </c>
      <c r="BL50" s="48">
        <f t="shared" si="26"/>
        <v>31684204.223950718</v>
      </c>
      <c r="BM50" s="79">
        <f t="shared" si="27"/>
        <v>0</v>
      </c>
      <c r="BN50" s="79">
        <f t="shared" si="28"/>
        <v>0</v>
      </c>
      <c r="BO50" s="54">
        <v>12.121769929652615</v>
      </c>
      <c r="BP50" s="460">
        <v>4.485973196999999E-2</v>
      </c>
      <c r="BQ50" s="54">
        <f t="shared" si="47"/>
        <v>12.166629661622615</v>
      </c>
      <c r="BR50" s="192">
        <f t="shared" si="48"/>
        <v>0</v>
      </c>
      <c r="BS50" s="192">
        <f t="shared" si="29"/>
        <v>0</v>
      </c>
      <c r="BT50" s="14">
        <v>1997</v>
      </c>
      <c r="BU50" s="44">
        <f>'EIA Adjust'!H148</f>
        <v>10501166.371602573</v>
      </c>
      <c r="BV50" s="48">
        <v>7473000</v>
      </c>
      <c r="BW50" s="48">
        <f t="shared" si="30"/>
        <v>7593844.0720200036</v>
      </c>
      <c r="BX50" s="79">
        <f t="shared" si="31"/>
        <v>2907322.2995825689</v>
      </c>
      <c r="BY50" s="79">
        <f t="shared" si="32"/>
        <v>571138.43600744603</v>
      </c>
      <c r="BZ50" s="54">
        <v>3.3563582739236</v>
      </c>
      <c r="CA50" s="460">
        <v>3.2792605200000001E-3</v>
      </c>
      <c r="CB50" s="54">
        <f t="shared" si="49"/>
        <v>3.3596375344435998</v>
      </c>
      <c r="CC50" s="192">
        <f t="shared" si="50"/>
        <v>0.93013945087243322</v>
      </c>
      <c r="CD50" s="192">
        <f t="shared" si="33"/>
        <v>0.18272428595769413</v>
      </c>
      <c r="CE50" s="16"/>
      <c r="CG50" s="15">
        <v>1997</v>
      </c>
      <c r="CH50" s="29">
        <v>140831648</v>
      </c>
      <c r="CI50" s="30"/>
      <c r="CJ50" s="30"/>
      <c r="CK50" s="30"/>
      <c r="CL50" s="54">
        <v>52.181119843138561</v>
      </c>
      <c r="CM50" s="32"/>
      <c r="CN50" s="31" t="s">
        <v>682</v>
      </c>
      <c r="CO50" s="461">
        <v>0.16907119129000001</v>
      </c>
      <c r="CP50" s="32"/>
      <c r="CQ50" s="31" t="s">
        <v>682</v>
      </c>
      <c r="CR50" s="14">
        <v>1997</v>
      </c>
      <c r="CS50" s="30"/>
      <c r="CT50" s="30"/>
      <c r="CU50" s="30"/>
      <c r="CV50" s="31" t="s">
        <v>682</v>
      </c>
      <c r="CW50" s="14">
        <v>1997</v>
      </c>
      <c r="CX50" s="30"/>
      <c r="CY50" s="30"/>
      <c r="CZ50" s="30"/>
      <c r="DA50" s="31" t="s">
        <v>682</v>
      </c>
      <c r="DB50" s="16"/>
      <c r="DD50" s="15">
        <v>1997</v>
      </c>
      <c r="DE50" s="44">
        <f>'EIA Adjust'!J174</f>
        <v>102884086.79249929</v>
      </c>
      <c r="DF50" s="48">
        <v>115579000</v>
      </c>
      <c r="DG50" s="48">
        <v>1869000</v>
      </c>
      <c r="DH50" s="53">
        <f t="shared" si="34"/>
        <v>117448000</v>
      </c>
      <c r="DI50" s="79">
        <f t="shared" si="51"/>
        <v>14563913.207500711</v>
      </c>
      <c r="DJ50" s="198">
        <f t="shared" si="35"/>
        <v>48.757795297256884</v>
      </c>
      <c r="DK50" s="201">
        <f t="shared" si="52"/>
        <v>4.1514368313855396E-7</v>
      </c>
      <c r="DL50" s="203">
        <f t="shared" si="36"/>
        <v>21.453531176442077</v>
      </c>
      <c r="DM50" s="196"/>
      <c r="DP50" s="16"/>
    </row>
    <row r="51" spans="1:139" s="14" customFormat="1" ht="13">
      <c r="A51" s="15"/>
      <c r="B51" s="87"/>
      <c r="C51" s="85">
        <v>1998</v>
      </c>
      <c r="D51" s="86">
        <f>'EIA Adjust'!H24</f>
        <v>47768563.631517641</v>
      </c>
      <c r="E51" s="48">
        <v>51778000</v>
      </c>
      <c r="F51" s="48">
        <f t="shared" si="7"/>
        <v>52457523.402944721</v>
      </c>
      <c r="G51" s="457">
        <v>26.417508615673867</v>
      </c>
      <c r="H51" s="54">
        <v>9.775223891999997E-2</v>
      </c>
      <c r="I51" s="458">
        <f t="shared" si="37"/>
        <v>26.515260854593866</v>
      </c>
      <c r="J51" s="80">
        <f t="shared" si="38"/>
        <v>4688959.77142708</v>
      </c>
      <c r="K51" s="127">
        <f t="shared" si="8"/>
        <v>22033516.373409681</v>
      </c>
      <c r="L51" s="81">
        <f t="shared" si="39"/>
        <v>0.21281032459647586</v>
      </c>
      <c r="M51" s="57">
        <f t="shared" si="9"/>
        <v>1931056.0200834172</v>
      </c>
      <c r="N51" s="79">
        <f t="shared" si="10"/>
        <v>2757903.7513436629</v>
      </c>
      <c r="O51" s="82">
        <f t="shared" si="53"/>
        <v>4688959.77142708</v>
      </c>
      <c r="P51" s="193">
        <f t="shared" si="40"/>
        <v>0.57248095519701248</v>
      </c>
      <c r="Q51" s="31" t="s">
        <v>683</v>
      </c>
      <c r="R51" s="31" t="s">
        <v>683</v>
      </c>
      <c r="S51" s="31" t="s">
        <v>683</v>
      </c>
      <c r="T51" s="131">
        <f t="shared" si="11"/>
        <v>0.33861375096751722</v>
      </c>
      <c r="U51" s="459">
        <f t="shared" si="12"/>
        <v>0.9110947061645297</v>
      </c>
      <c r="V51" s="190">
        <f t="shared" si="13"/>
        <v>27.426355560758395</v>
      </c>
      <c r="W51" s="16"/>
      <c r="AB51" s="15">
        <v>1998</v>
      </c>
      <c r="AC51" s="44">
        <f>'EIA Adjust'!H49</f>
        <v>8217784.5319098691</v>
      </c>
      <c r="AD51" s="48">
        <v>10167000</v>
      </c>
      <c r="AE51" s="48">
        <f t="shared" si="14"/>
        <v>10300429.534507686</v>
      </c>
      <c r="AF51" s="79">
        <f t="shared" si="15"/>
        <v>0</v>
      </c>
      <c r="AG51" s="79">
        <f t="shared" si="16"/>
        <v>0</v>
      </c>
      <c r="AH51" s="54">
        <f>1.92335562828517*AM82</f>
        <v>1.8308028303063131</v>
      </c>
      <c r="AI51" s="460">
        <f>0.03849262985*AM82</f>
        <v>3.6640345986428541E-2</v>
      </c>
      <c r="AJ51" s="54">
        <f t="shared" si="41"/>
        <v>1.8674431762927417</v>
      </c>
      <c r="AK51" s="192">
        <f t="shared" si="42"/>
        <v>0</v>
      </c>
      <c r="AL51" s="192">
        <f t="shared" si="17"/>
        <v>0</v>
      </c>
      <c r="AM51" s="14">
        <v>1998</v>
      </c>
      <c r="AN51" s="44">
        <f>'EIA Adjust'!H74</f>
        <v>16321934.176007614</v>
      </c>
      <c r="AO51" s="48">
        <v>9822000</v>
      </c>
      <c r="AP51" s="48">
        <f t="shared" si="18"/>
        <v>9950901.8282614835</v>
      </c>
      <c r="AQ51" s="79">
        <f t="shared" si="19"/>
        <v>6371032.3477461301</v>
      </c>
      <c r="AR51" s="79">
        <f t="shared" si="20"/>
        <v>1355821.4619385016</v>
      </c>
      <c r="AS51" s="54">
        <v>4.6732383536557665</v>
      </c>
      <c r="AT51" s="460">
        <v>4.2471503580000007E-2</v>
      </c>
      <c r="AU51" s="54">
        <f t="shared" si="43"/>
        <v>4.7157098572357663</v>
      </c>
      <c r="AV51" s="192">
        <f t="shared" si="44"/>
        <v>1.8407095457594338</v>
      </c>
      <c r="AW51" s="192">
        <f t="shared" si="21"/>
        <v>0.39172199592089674</v>
      </c>
      <c r="AX51" s="14">
        <v>1998</v>
      </c>
      <c r="AY51" s="44">
        <f>'EIA Adjust'!H99</f>
        <v>4636484.6674379818</v>
      </c>
      <c r="AZ51" s="48">
        <v>6118000</v>
      </c>
      <c r="BA51" s="48">
        <f t="shared" si="22"/>
        <v>6198291.3240993442</v>
      </c>
      <c r="BB51" s="79">
        <f t="shared" si="23"/>
        <v>0</v>
      </c>
      <c r="BC51" s="79">
        <f t="shared" si="24"/>
        <v>0</v>
      </c>
      <c r="BD51" s="54">
        <v>5.6307924760266664E-2</v>
      </c>
      <c r="BE51" s="460">
        <v>6.9419949199999997E-3</v>
      </c>
      <c r="BF51" s="54">
        <f t="shared" si="45"/>
        <v>6.3249919680266664E-2</v>
      </c>
      <c r="BG51" s="192">
        <f t="shared" si="46"/>
        <v>0</v>
      </c>
      <c r="BH51" s="192">
        <f t="shared" si="25"/>
        <v>0</v>
      </c>
      <c r="BI51" s="14">
        <v>1998</v>
      </c>
      <c r="BJ51" s="44">
        <f>'EIA Adjust'!H124</f>
        <v>18063352.002873611</v>
      </c>
      <c r="BK51" s="48">
        <v>31352000</v>
      </c>
      <c r="BL51" s="48">
        <f t="shared" si="26"/>
        <v>31763456.94559703</v>
      </c>
      <c r="BM51" s="79">
        <f t="shared" si="27"/>
        <v>0</v>
      </c>
      <c r="BN51" s="79">
        <f t="shared" si="28"/>
        <v>0</v>
      </c>
      <c r="BO51" s="54">
        <v>10.982952672323696</v>
      </c>
      <c r="BP51" s="460">
        <v>3.9677377409999999E-2</v>
      </c>
      <c r="BQ51" s="54">
        <f t="shared" si="47"/>
        <v>11.022630049733696</v>
      </c>
      <c r="BR51" s="192">
        <f t="shared" si="48"/>
        <v>0</v>
      </c>
      <c r="BS51" s="192">
        <f t="shared" si="29"/>
        <v>0</v>
      </c>
      <c r="BT51" s="14">
        <v>1998</v>
      </c>
      <c r="BU51" s="44">
        <f>'EIA Adjust'!H149</f>
        <v>10453435.735080106</v>
      </c>
      <c r="BV51" s="48">
        <v>7650000</v>
      </c>
      <c r="BW51" s="48">
        <f t="shared" si="30"/>
        <v>7750396.9645897318</v>
      </c>
      <c r="BX51" s="79">
        <f t="shared" si="31"/>
        <v>2703038.7704903744</v>
      </c>
      <c r="BY51" s="79">
        <f t="shared" si="32"/>
        <v>575234.55814491562</v>
      </c>
      <c r="BZ51" s="54">
        <v>3.2816568770161001</v>
      </c>
      <c r="CA51" s="460">
        <v>3.1808254100000005E-3</v>
      </c>
      <c r="CB51" s="54">
        <f t="shared" si="49"/>
        <v>3.2848377024261</v>
      </c>
      <c r="CC51" s="192">
        <f t="shared" si="50"/>
        <v>0.84938998903772667</v>
      </c>
      <c r="CD51" s="192">
        <f t="shared" si="33"/>
        <v>0.18075895927611568</v>
      </c>
      <c r="CE51" s="16"/>
      <c r="CG51" s="15">
        <v>1998</v>
      </c>
      <c r="CH51" s="29">
        <v>144863248</v>
      </c>
      <c r="CI51" s="30"/>
      <c r="CJ51" s="30"/>
      <c r="CK51" s="30"/>
      <c r="CL51" s="54">
        <v>55.912607909060924</v>
      </c>
      <c r="CM51" s="32"/>
      <c r="CN51" s="31" t="s">
        <v>683</v>
      </c>
      <c r="CO51" s="461">
        <v>0.18979441383000004</v>
      </c>
      <c r="CP51" s="32"/>
      <c r="CQ51" s="31" t="s">
        <v>683</v>
      </c>
      <c r="CR51" s="14">
        <v>1998</v>
      </c>
      <c r="CS51" s="30"/>
      <c r="CT51" s="30"/>
      <c r="CU51" s="30"/>
      <c r="CV51" s="31" t="s">
        <v>683</v>
      </c>
      <c r="CW51" s="14">
        <v>1998</v>
      </c>
      <c r="CX51" s="30"/>
      <c r="CY51" s="30"/>
      <c r="CZ51" s="30"/>
      <c r="DA51" s="31" t="s">
        <v>683</v>
      </c>
      <c r="DB51" s="16"/>
      <c r="DD51" s="15">
        <v>1998</v>
      </c>
      <c r="DE51" s="44">
        <f>'EIA Adjust'!J175</f>
        <v>105461554.74482682</v>
      </c>
      <c r="DF51" s="48">
        <v>116887000</v>
      </c>
      <c r="DG51" s="48">
        <v>1534000</v>
      </c>
      <c r="DH51" s="53">
        <f t="shared" si="34"/>
        <v>118421000</v>
      </c>
      <c r="DI51" s="79">
        <f t="shared" si="51"/>
        <v>12959445.255173177</v>
      </c>
      <c r="DJ51" s="198">
        <f t="shared" si="35"/>
        <v>47.807745310929953</v>
      </c>
      <c r="DK51" s="201">
        <f t="shared" si="52"/>
        <v>4.0371002871897681E-7</v>
      </c>
      <c r="DL51" s="203">
        <f t="shared" si="36"/>
        <v>21.177628279529213</v>
      </c>
      <c r="DM51" s="196"/>
      <c r="DP51" s="16"/>
    </row>
    <row r="52" spans="1:139" s="14" customFormat="1" ht="13">
      <c r="A52" s="15"/>
      <c r="B52" s="87"/>
      <c r="C52" s="85">
        <v>1999</v>
      </c>
      <c r="D52" s="86">
        <f>'EIA Adjust'!H25</f>
        <v>42427206.17005825</v>
      </c>
      <c r="E52" s="48">
        <v>54492000</v>
      </c>
      <c r="F52" s="48">
        <f t="shared" si="7"/>
        <v>55430007.085568078</v>
      </c>
      <c r="G52" s="457">
        <v>23.6484115895963</v>
      </c>
      <c r="H52" s="54">
        <v>8.8359800909999994E-2</v>
      </c>
      <c r="I52" s="458">
        <f t="shared" si="37"/>
        <v>23.736771390506298</v>
      </c>
      <c r="J52" s="80">
        <f t="shared" si="38"/>
        <v>13002800.915509827</v>
      </c>
      <c r="K52" s="127">
        <f t="shared" si="8"/>
        <v>21968834.121150032</v>
      </c>
      <c r="L52" s="81">
        <f t="shared" si="39"/>
        <v>0.59187487345956402</v>
      </c>
      <c r="M52" s="57">
        <f t="shared" si="9"/>
        <v>3854892.2499290323</v>
      </c>
      <c r="N52" s="79">
        <f t="shared" si="10"/>
        <v>9147908.6655807998</v>
      </c>
      <c r="O52" s="82">
        <f>M52+N52</f>
        <v>13002800.915509831</v>
      </c>
      <c r="P52" s="193">
        <f t="shared" si="40"/>
        <v>1.0975180642032254</v>
      </c>
      <c r="Q52" s="31" t="s">
        <v>684</v>
      </c>
      <c r="R52" s="31" t="s">
        <v>684</v>
      </c>
      <c r="S52" s="31" t="s">
        <v>684</v>
      </c>
      <c r="T52" s="131">
        <f t="shared" si="11"/>
        <v>1.1231746812235204</v>
      </c>
      <c r="U52" s="459">
        <f t="shared" si="12"/>
        <v>2.2206927454267458</v>
      </c>
      <c r="V52" s="190">
        <f t="shared" si="13"/>
        <v>25.957464135933044</v>
      </c>
      <c r="W52" s="16"/>
      <c r="AB52" s="15">
        <v>1999</v>
      </c>
      <c r="AC52" s="44">
        <f>'EIA Adjust'!H50</f>
        <v>9465474.6104946285</v>
      </c>
      <c r="AD52" s="48">
        <v>11215000</v>
      </c>
      <c r="AE52" s="48">
        <f t="shared" si="14"/>
        <v>11408051.26375699</v>
      </c>
      <c r="AF52" s="79">
        <f t="shared" si="15"/>
        <v>0</v>
      </c>
      <c r="AG52" s="79">
        <f t="shared" si="16"/>
        <v>0</v>
      </c>
      <c r="AH52" s="54">
        <f>3.24392036728829*AM82</f>
        <v>3.0878213588689185</v>
      </c>
      <c r="AI52" s="460">
        <f>0.04808627946*AM82</f>
        <v>4.5772344562591431E-2</v>
      </c>
      <c r="AJ52" s="54">
        <f t="shared" si="41"/>
        <v>3.1335937034315098</v>
      </c>
      <c r="AK52" s="192">
        <f>AH52*(AF52/AC52)</f>
        <v>0</v>
      </c>
      <c r="AL52" s="192">
        <f t="shared" si="17"/>
        <v>0</v>
      </c>
      <c r="AM52" s="14">
        <v>1999</v>
      </c>
      <c r="AN52" s="44">
        <f>'EIA Adjust'!H75</f>
        <v>16423782.596132163</v>
      </c>
      <c r="AO52" s="48">
        <v>10499000</v>
      </c>
      <c r="AP52" s="48">
        <f t="shared" si="18"/>
        <v>10679726.278928636</v>
      </c>
      <c r="AQ52" s="79">
        <f t="shared" si="19"/>
        <v>5744056.3172035273</v>
      </c>
      <c r="AR52" s="79">
        <f t="shared" si="20"/>
        <v>3399762.605889447</v>
      </c>
      <c r="AS52" s="54">
        <v>4.5512966604719658</v>
      </c>
      <c r="AT52" s="460">
        <v>4.1212980329999996E-2</v>
      </c>
      <c r="AU52" s="54">
        <f t="shared" si="43"/>
        <v>4.5925096408019659</v>
      </c>
      <c r="AV52" s="192">
        <f>AS52*(AQ52/AN52)</f>
        <v>1.5917712123276657</v>
      </c>
      <c r="AW52" s="192">
        <f t="shared" si="21"/>
        <v>0.94212938487301401</v>
      </c>
      <c r="AX52" s="14">
        <v>1999</v>
      </c>
      <c r="AY52" s="44">
        <f>'EIA Adjust'!H100</f>
        <v>5346347.2763173347</v>
      </c>
      <c r="AZ52" s="48">
        <v>6182000</v>
      </c>
      <c r="BA52" s="48">
        <f t="shared" si="22"/>
        <v>6288414.8829733143</v>
      </c>
      <c r="BB52" s="79">
        <f t="shared" si="23"/>
        <v>0</v>
      </c>
      <c r="BC52" s="79">
        <f t="shared" si="24"/>
        <v>0</v>
      </c>
      <c r="BD52" s="54">
        <v>4.0972860298333337E-2</v>
      </c>
      <c r="BE52" s="460">
        <v>7.7886774599999998E-3</v>
      </c>
      <c r="BF52" s="54">
        <f t="shared" si="45"/>
        <v>4.8761537758333334E-2</v>
      </c>
      <c r="BG52" s="192">
        <f>BD52*(BB52/AY52)</f>
        <v>0</v>
      </c>
      <c r="BH52" s="192">
        <f t="shared" si="25"/>
        <v>0</v>
      </c>
      <c r="BI52" s="14">
        <v>1999</v>
      </c>
      <c r="BJ52" s="44">
        <f>'EIA Adjust'!H125</f>
        <v>26232437.580873623</v>
      </c>
      <c r="BK52" s="48">
        <v>31767000</v>
      </c>
      <c r="BL52" s="48">
        <f t="shared" si="26"/>
        <v>32313826.526595484</v>
      </c>
      <c r="BM52" s="79">
        <f t="shared" si="27"/>
        <v>0</v>
      </c>
      <c r="BN52" s="79">
        <f t="shared" si="28"/>
        <v>0</v>
      </c>
      <c r="BO52" s="54">
        <v>9.8098406237973457</v>
      </c>
      <c r="BP52" s="460">
        <v>3.1482480149999992E-2</v>
      </c>
      <c r="BQ52" s="54">
        <f t="shared" si="47"/>
        <v>9.8413231039473459</v>
      </c>
      <c r="BR52" s="192">
        <f>BO52*(BM52/BJ52)</f>
        <v>0</v>
      </c>
      <c r="BS52" s="192">
        <f t="shared" si="29"/>
        <v>0</v>
      </c>
      <c r="BT52" s="14">
        <v>1999</v>
      </c>
      <c r="BU52" s="44">
        <f>'EIA Adjust'!H150</f>
        <v>8685936.5663497467</v>
      </c>
      <c r="BV52" s="48">
        <v>7783000</v>
      </c>
      <c r="BW52" s="48">
        <f t="shared" si="30"/>
        <v>7916973.9621775001</v>
      </c>
      <c r="BX52" s="79">
        <f t="shared" si="31"/>
        <v>768962.60417224653</v>
      </c>
      <c r="BY52" s="79">
        <f t="shared" si="32"/>
        <v>455129.64403958526</v>
      </c>
      <c r="BZ52" s="54">
        <v>2.9655203291343666</v>
      </c>
      <c r="CA52" s="460">
        <v>2.8753574099999999E-3</v>
      </c>
      <c r="CB52" s="54">
        <f t="shared" si="49"/>
        <v>2.9683956865443664</v>
      </c>
      <c r="CC52" s="192">
        <f>BZ52*(BX52/BU52)</f>
        <v>0.26253636756355275</v>
      </c>
      <c r="CD52" s="192">
        <f t="shared" si="33"/>
        <v>0.15538867933021136</v>
      </c>
      <c r="CE52" s="16"/>
      <c r="CG52" s="15">
        <v>1999</v>
      </c>
      <c r="CH52" s="29">
        <v>146280866</v>
      </c>
      <c r="CI52" s="30"/>
      <c r="CJ52" s="30"/>
      <c r="CK52" s="30"/>
      <c r="CL52" s="54">
        <v>56.64684533917346</v>
      </c>
      <c r="CM52" s="32"/>
      <c r="CN52" s="31" t="s">
        <v>684</v>
      </c>
      <c r="CO52" s="461">
        <v>0.18149385562000001</v>
      </c>
      <c r="CP52" s="32"/>
      <c r="CQ52" s="31" t="s">
        <v>684</v>
      </c>
      <c r="CR52" s="14">
        <v>1999</v>
      </c>
      <c r="CS52" s="30"/>
      <c r="CT52" s="30"/>
      <c r="CU52" s="30"/>
      <c r="CV52" s="31" t="s">
        <v>684</v>
      </c>
      <c r="CW52" s="14">
        <v>1999</v>
      </c>
      <c r="CX52" s="30"/>
      <c r="CY52" s="30"/>
      <c r="CZ52" s="30"/>
      <c r="DA52" s="31" t="s">
        <v>684</v>
      </c>
      <c r="DB52" s="16"/>
      <c r="DD52" s="15">
        <v>1999</v>
      </c>
      <c r="DE52" s="44">
        <f>'EIA Adjust'!J176</f>
        <v>108581184.80022573</v>
      </c>
      <c r="DF52" s="48">
        <v>121938000</v>
      </c>
      <c r="DG52" s="48">
        <v>2099000</v>
      </c>
      <c r="DH52" s="53">
        <f t="shared" si="34"/>
        <v>124037000</v>
      </c>
      <c r="DI52" s="79">
        <f t="shared" si="51"/>
        <v>15455815.199774265</v>
      </c>
      <c r="DJ52" s="198">
        <f t="shared" si="35"/>
        <v>45.444529744213341</v>
      </c>
      <c r="DK52" s="201">
        <f t="shared" si="52"/>
        <v>3.6637882038596018E-7</v>
      </c>
      <c r="DL52" s="203">
        <f t="shared" si="36"/>
        <v>20.308380609995847</v>
      </c>
      <c r="DM52" s="196"/>
      <c r="DP52" s="16"/>
    </row>
    <row r="53" spans="1:139" s="14" customFormat="1" ht="12.5">
      <c r="A53" s="15"/>
      <c r="B53" s="87"/>
      <c r="C53" s="85">
        <v>2000</v>
      </c>
      <c r="D53" s="49">
        <f>'EIA Adjust'!E26</f>
        <v>41235000</v>
      </c>
      <c r="E53" s="48">
        <v>56342000</v>
      </c>
      <c r="F53" s="48">
        <f t="shared" si="7"/>
        <v>57525058.886390097</v>
      </c>
      <c r="G53" s="457">
        <v>21.807215254759299</v>
      </c>
      <c r="H53" s="54">
        <v>8.3293137350000004E-2</v>
      </c>
      <c r="I53" s="458">
        <f t="shared" si="37"/>
        <v>21.8905083921093</v>
      </c>
      <c r="J53" s="78">
        <f t="shared" si="38"/>
        <v>16290058.886390097</v>
      </c>
      <c r="K53" s="75">
        <f t="shared" si="8"/>
        <v>21928567.459368072</v>
      </c>
      <c r="L53" s="76">
        <f t="shared" si="39"/>
        <v>0.74286926934804598</v>
      </c>
      <c r="M53" s="49">
        <f t="shared" si="9"/>
        <v>3045442.6831837851</v>
      </c>
      <c r="N53" s="48">
        <f>SUM(CK53,CU53,CZ53)</f>
        <v>13247587.680283703</v>
      </c>
      <c r="O53" s="50">
        <f>M53+N53</f>
        <v>16293030.363467488</v>
      </c>
      <c r="P53" s="55">
        <f t="shared" si="40"/>
        <v>0.91309819550265248</v>
      </c>
      <c r="Q53" s="55">
        <f t="shared" ref="Q53:Q59" si="54">CN53</f>
        <v>0.73123188344823398</v>
      </c>
      <c r="R53" s="194">
        <f t="shared" ref="R53:R58" si="55">CQ53</f>
        <v>2.4979611794722413E-3</v>
      </c>
      <c r="S53" s="135">
        <f t="shared" ref="S53:S61" si="56">SUM(CV53+DA53)</f>
        <v>1.4709471201002491</v>
      </c>
      <c r="T53" s="462">
        <f t="shared" ref="T53:T61" si="57">SUM(Q53:S53)</f>
        <v>2.2046769647279554</v>
      </c>
      <c r="U53" s="463">
        <f t="shared" si="12"/>
        <v>3.1177751602306079</v>
      </c>
      <c r="V53" s="191">
        <f t="shared" si="13"/>
        <v>25.008283552339908</v>
      </c>
      <c r="W53" s="16"/>
      <c r="AB53" s="15">
        <v>2000</v>
      </c>
      <c r="AC53" s="51">
        <f>'EIA Adjust'!E51</f>
        <v>10355000</v>
      </c>
      <c r="AD53" s="48">
        <v>12189000</v>
      </c>
      <c r="AE53" s="48">
        <f t="shared" si="14"/>
        <v>12444942.36566343</v>
      </c>
      <c r="AF53" s="48">
        <f t="shared" ref="AF53:AF61" si="58">IF(AC53&gt;AE53,AC53-AE53,0)</f>
        <v>0</v>
      </c>
      <c r="AG53" s="48">
        <f t="shared" si="16"/>
        <v>0</v>
      </c>
      <c r="AH53" s="54">
        <f>3.49175624869378*AM82</f>
        <v>3.3237312584506076</v>
      </c>
      <c r="AI53" s="460">
        <f>0.04782242316*AM82</f>
        <v>4.5521185154663919E-2</v>
      </c>
      <c r="AJ53" s="54">
        <f t="shared" si="41"/>
        <v>3.3692524436052715</v>
      </c>
      <c r="AK53" s="56">
        <f t="shared" ref="AK53:AK58" si="59">AJ53*(AF53/AC53)</f>
        <v>0</v>
      </c>
      <c r="AL53" s="56">
        <f t="shared" si="17"/>
        <v>0</v>
      </c>
      <c r="AM53" s="14">
        <v>2000</v>
      </c>
      <c r="AN53" s="51">
        <f>'EIA Adjust'!E76</f>
        <v>15061000</v>
      </c>
      <c r="AO53" s="48">
        <v>10736000</v>
      </c>
      <c r="AP53" s="48">
        <f t="shared" si="18"/>
        <v>10961432.540631928</v>
      </c>
      <c r="AQ53" s="48">
        <f t="shared" ref="AQ53:AQ61" si="60">IF(AN53&gt;AP53,AN53-AP53,0)</f>
        <v>4099567.4593680725</v>
      </c>
      <c r="AR53" s="48">
        <f t="shared" si="20"/>
        <v>3045442.6831837851</v>
      </c>
      <c r="AS53" s="54">
        <v>4.4735943254297732</v>
      </c>
      <c r="AT53" s="460">
        <v>4.2061805090000008E-2</v>
      </c>
      <c r="AU53" s="54">
        <f t="shared" si="43"/>
        <v>4.5156561305197735</v>
      </c>
      <c r="AV53" s="56">
        <f t="shared" ref="AV53:AV58" si="61">AU53*(AQ53/AN53)</f>
        <v>1.2291505829875049</v>
      </c>
      <c r="AW53" s="56">
        <f t="shared" si="21"/>
        <v>0.91309819550265248</v>
      </c>
      <c r="AX53" s="14">
        <v>2000</v>
      </c>
      <c r="AY53" s="51">
        <f>'EIA Adjust'!E101</f>
        <v>5638000</v>
      </c>
      <c r="AZ53" s="48">
        <v>6186000</v>
      </c>
      <c r="BA53" s="48">
        <f t="shared" si="22"/>
        <v>6315892.4828939186</v>
      </c>
      <c r="BB53" s="48">
        <f t="shared" ref="BB53:BB61" si="62">IF(AY53&gt;BA53,AY53-BA53,0)</f>
        <v>0</v>
      </c>
      <c r="BC53" s="48">
        <f t="shared" si="24"/>
        <v>0</v>
      </c>
      <c r="BD53" s="54">
        <v>0.12341325556523333</v>
      </c>
      <c r="BE53" s="460">
        <v>7.5189228699999999E-3</v>
      </c>
      <c r="BF53" s="54">
        <f t="shared" si="45"/>
        <v>0.13093217843523333</v>
      </c>
      <c r="BG53" s="56">
        <f t="shared" ref="BG53:BG58" si="63">BF53*(BB53/AY53)</f>
        <v>0</v>
      </c>
      <c r="BH53" s="56">
        <f t="shared" si="25"/>
        <v>0</v>
      </c>
      <c r="BI53" s="14">
        <v>2000</v>
      </c>
      <c r="BJ53" s="51">
        <f>'EIA Adjust'!E126</f>
        <v>31874000</v>
      </c>
      <c r="BK53" s="48">
        <v>32009000</v>
      </c>
      <c r="BL53" s="48">
        <f t="shared" si="26"/>
        <v>32681119.056733176</v>
      </c>
      <c r="BM53" s="48">
        <f t="shared" ref="BM53:BM61" si="64">IF(BJ53&gt;BL53,BJ53-BL53,0)</f>
        <v>0</v>
      </c>
      <c r="BN53" s="48">
        <f t="shared" si="28"/>
        <v>0</v>
      </c>
      <c r="BO53" s="54">
        <v>10.553678194558099</v>
      </c>
      <c r="BP53" s="460">
        <v>3.6945851379999999E-2</v>
      </c>
      <c r="BQ53" s="54">
        <f t="shared" si="47"/>
        <v>10.5906240459381</v>
      </c>
      <c r="BR53" s="56">
        <f t="shared" ref="BR53:BR58" si="65">BQ53*(BM53/BJ53)</f>
        <v>0</v>
      </c>
      <c r="BS53" s="56">
        <f t="shared" si="29"/>
        <v>0</v>
      </c>
      <c r="BT53" s="14">
        <v>2000</v>
      </c>
      <c r="BU53" s="51">
        <f>'EIA Adjust'!E151</f>
        <v>6035000</v>
      </c>
      <c r="BV53" s="48">
        <v>7932000</v>
      </c>
      <c r="BW53" s="48">
        <f t="shared" si="30"/>
        <v>8098554.6676874496</v>
      </c>
      <c r="BX53" s="48">
        <f t="shared" ref="BX53:BX61" si="66">IF(BU53&gt;BW53,BU53-BW53,0)</f>
        <v>0</v>
      </c>
      <c r="BY53" s="48">
        <f t="shared" si="32"/>
        <v>0</v>
      </c>
      <c r="BZ53" s="54">
        <v>2.6623491207023333</v>
      </c>
      <c r="CA53" s="460">
        <v>2.5820755799999999E-3</v>
      </c>
      <c r="CB53" s="54">
        <f t="shared" si="49"/>
        <v>2.6649311962823332</v>
      </c>
      <c r="CC53" s="56">
        <f t="shared" ref="CC53:CC58" si="67">CB53*(BX53/BU53)</f>
        <v>0</v>
      </c>
      <c r="CD53" s="56">
        <f t="shared" si="33"/>
        <v>0</v>
      </c>
      <c r="CE53" s="16"/>
      <c r="CG53" s="15">
        <v>2000</v>
      </c>
      <c r="CH53" s="29">
        <v>138079075</v>
      </c>
      <c r="CI53" s="48">
        <v>2443000</v>
      </c>
      <c r="CJ53" s="48">
        <f t="shared" ref="CJ53:CJ61" si="68">IF(CI53&gt;0,CI53,0)</f>
        <v>2443000</v>
      </c>
      <c r="CK53" s="48">
        <f t="shared" ref="CK53:CK61" si="69">CJ53*L53</f>
        <v>1814829.6250172763</v>
      </c>
      <c r="CL53" s="54">
        <v>55.63487651138535</v>
      </c>
      <c r="CM53" s="56">
        <f t="shared" ref="CM53:CM58" si="70">CL53*(CJ53/CH53)</f>
        <v>0.98433454393661324</v>
      </c>
      <c r="CN53" s="56">
        <f t="shared" ref="CN53:CN60" si="71">CM53*L53</f>
        <v>0.73123188344823398</v>
      </c>
      <c r="CO53" s="461">
        <v>0.19005429727000001</v>
      </c>
      <c r="CP53" s="160">
        <f>CJ53/CH53*CO53</f>
        <v>3.3625851580379577E-3</v>
      </c>
      <c r="CQ53" s="194">
        <f t="shared" ref="CQ53:CQ61" si="72">CP53*L53</f>
        <v>2.4979611794722413E-3</v>
      </c>
      <c r="CR53" s="14">
        <v>2000</v>
      </c>
      <c r="CS53" s="48">
        <v>3957000</v>
      </c>
      <c r="CT53" s="52">
        <f t="shared" ref="CT53:CT61" si="73">IF(CS53&gt;0,CS53,0)</f>
        <v>3957000</v>
      </c>
      <c r="CU53" s="128">
        <f t="shared" ref="CU53:CU61" si="74">CT53*L53</f>
        <v>2939533.6988102179</v>
      </c>
      <c r="CV53" s="134">
        <f t="shared" ref="CV53:CV61" si="75">CU53*CW79</f>
        <v>1.4403715124170067</v>
      </c>
      <c r="CW53" s="14">
        <v>2000</v>
      </c>
      <c r="CX53" s="48">
        <v>11433000</v>
      </c>
      <c r="CY53" s="52">
        <f t="shared" ref="CY53:CY61" si="76">IF(CX53&gt;0,CX53,0)</f>
        <v>11433000</v>
      </c>
      <c r="CZ53" s="128">
        <f t="shared" ref="CZ53:CZ61" si="77">CY53*L53</f>
        <v>8493224.356456209</v>
      </c>
      <c r="DA53" s="134">
        <f t="shared" ref="DA53:DA61" si="78">CZ53*CT79</f>
        <v>3.0575607683242353E-2</v>
      </c>
      <c r="DB53" s="16"/>
      <c r="DD53" s="15">
        <v>2000</v>
      </c>
      <c r="DE53" s="51">
        <v>110195000</v>
      </c>
      <c r="DF53" s="48">
        <v>125394000</v>
      </c>
      <c r="DG53" s="48">
        <v>2633000</v>
      </c>
      <c r="DH53" s="53">
        <f t="shared" si="34"/>
        <v>128027000</v>
      </c>
      <c r="DI53" s="48">
        <f t="shared" si="51"/>
        <v>17832000</v>
      </c>
      <c r="DJ53" s="198">
        <f t="shared" ref="DJ53:DJ59" si="79">I53+AJ53+AU53+BF53+BQ53+CB53+CM53+CP53+CT53*CW79+CY53*CT79</f>
        <v>46.129690315984654</v>
      </c>
      <c r="DK53" s="201">
        <f t="shared" si="52"/>
        <v>3.6031220223847045E-7</v>
      </c>
      <c r="DL53" s="203">
        <f t="shared" si="36"/>
        <v>20.726980651252909</v>
      </c>
      <c r="DM53" s="196"/>
      <c r="DP53" s="16"/>
    </row>
    <row r="54" spans="1:139" s="14" customFormat="1" ht="12.5">
      <c r="A54" s="15"/>
      <c r="B54" s="87"/>
      <c r="C54" s="85">
        <v>2001</v>
      </c>
      <c r="D54" s="49">
        <f>'EIA Adjust'!E27</f>
        <v>41481000</v>
      </c>
      <c r="E54" s="48">
        <v>56953000</v>
      </c>
      <c r="F54" s="48">
        <f t="shared" si="7"/>
        <v>58118320.230226748</v>
      </c>
      <c r="G54" s="457">
        <v>21.615522257352566</v>
      </c>
      <c r="H54" s="54">
        <v>8.060302239999996E-2</v>
      </c>
      <c r="I54" s="458">
        <f t="shared" si="37"/>
        <v>21.696125279752565</v>
      </c>
      <c r="J54" s="78">
        <f t="shared" si="38"/>
        <v>16637320.230226748</v>
      </c>
      <c r="K54" s="75">
        <f t="shared" si="8"/>
        <v>21794829.891527783</v>
      </c>
      <c r="L54" s="76">
        <f t="shared" si="39"/>
        <v>0.76336086645457635</v>
      </c>
      <c r="M54" s="49">
        <f t="shared" si="9"/>
        <v>5609793.5342316106</v>
      </c>
      <c r="N54" s="48">
        <f t="shared" ref="N54:N61" si="80">SUM(CK54,CU54,CZ54)</f>
        <v>11026747.715936355</v>
      </c>
      <c r="O54" s="50">
        <f t="shared" ref="O54:O61" si="81">M54+N54</f>
        <v>16636541.250167966</v>
      </c>
      <c r="P54" s="55">
        <f t="shared" si="40"/>
        <v>1.7425070050749487</v>
      </c>
      <c r="Q54" s="55">
        <f t="shared" si="54"/>
        <v>0.98288403280762815</v>
      </c>
      <c r="R54" s="194">
        <f t="shared" si="55"/>
        <v>3.3386851934634151E-3</v>
      </c>
      <c r="S54" s="135">
        <f t="shared" si="56"/>
        <v>1.4694979122771186</v>
      </c>
      <c r="T54" s="462">
        <f t="shared" si="57"/>
        <v>2.45572063027821</v>
      </c>
      <c r="U54" s="463">
        <f t="shared" ref="U54:U61" si="82">P54+T54</f>
        <v>4.1982276353531587</v>
      </c>
      <c r="V54" s="191">
        <f t="shared" ref="V54:V61" si="83">I54+U54</f>
        <v>25.894352915105724</v>
      </c>
      <c r="W54" s="16"/>
      <c r="AB54" s="15">
        <v>2001</v>
      </c>
      <c r="AC54" s="51">
        <f>'EIA Adjust'!E52</f>
        <v>15669000</v>
      </c>
      <c r="AD54" s="48">
        <v>12015000</v>
      </c>
      <c r="AE54" s="48">
        <f t="shared" si="14"/>
        <v>12260839.948135732</v>
      </c>
      <c r="AF54" s="48">
        <f t="shared" si="58"/>
        <v>3408160.0518642683</v>
      </c>
      <c r="AG54" s="48">
        <f t="shared" si="16"/>
        <v>2601656.0102069816</v>
      </c>
      <c r="AH54" s="54">
        <f>5.69373722455194*AM82</f>
        <v>5.4197518505842091</v>
      </c>
      <c r="AI54" s="460">
        <f>0.06238035585*AM82</f>
        <v>5.9378583121166804E-2</v>
      </c>
      <c r="AJ54" s="54">
        <f t="shared" si="41"/>
        <v>5.4791304337053761</v>
      </c>
      <c r="AK54" s="56">
        <f t="shared" si="59"/>
        <v>1.1917642136134026</v>
      </c>
      <c r="AL54" s="56">
        <f t="shared" si="17"/>
        <v>0.90974616271348385</v>
      </c>
      <c r="AM54" s="14">
        <v>2001</v>
      </c>
      <c r="AN54" s="51">
        <f>'EIA Adjust'!E77</f>
        <v>15030000</v>
      </c>
      <c r="AO54" s="48">
        <v>10867000</v>
      </c>
      <c r="AP54" s="48">
        <f t="shared" si="18"/>
        <v>11089350.621422473</v>
      </c>
      <c r="AQ54" s="48">
        <f t="shared" si="60"/>
        <v>3940649.3785775267</v>
      </c>
      <c r="AR54" s="48">
        <f t="shared" si="20"/>
        <v>3008137.5240246286</v>
      </c>
      <c r="AS54" s="54">
        <v>4.1207854418388736</v>
      </c>
      <c r="AT54" s="460">
        <v>4.0060051669999999E-2</v>
      </c>
      <c r="AU54" s="54">
        <f t="shared" si="43"/>
        <v>4.1608454935088739</v>
      </c>
      <c r="AV54" s="56">
        <f t="shared" si="61"/>
        <v>1.0909137197839551</v>
      </c>
      <c r="AW54" s="56">
        <f t="shared" si="21"/>
        <v>0.83276084236146486</v>
      </c>
      <c r="AX54" s="14">
        <v>2001</v>
      </c>
      <c r="AY54" s="51">
        <f>'EIA Adjust'!E102</f>
        <v>4923000</v>
      </c>
      <c r="AZ54" s="48">
        <v>6094000</v>
      </c>
      <c r="BA54" s="48">
        <f t="shared" si="22"/>
        <v>6218689.8580057556</v>
      </c>
      <c r="BB54" s="48">
        <f t="shared" si="62"/>
        <v>0</v>
      </c>
      <c r="BC54" s="48">
        <f t="shared" si="24"/>
        <v>0</v>
      </c>
      <c r="BD54" s="54">
        <v>4.3739915030899995E-2</v>
      </c>
      <c r="BE54" s="460">
        <v>7.4028950899999993E-3</v>
      </c>
      <c r="BF54" s="54">
        <f t="shared" si="45"/>
        <v>5.1142810120899995E-2</v>
      </c>
      <c r="BG54" s="56">
        <f t="shared" si="63"/>
        <v>0</v>
      </c>
      <c r="BH54" s="56">
        <f t="shared" si="25"/>
        <v>0</v>
      </c>
      <c r="BI54" s="14">
        <v>2001</v>
      </c>
      <c r="BJ54" s="51">
        <f>'EIA Adjust'!E127</f>
        <v>29904000</v>
      </c>
      <c r="BK54" s="48">
        <v>32580000</v>
      </c>
      <c r="BL54" s="48">
        <f t="shared" si="26"/>
        <v>33246622.181461688</v>
      </c>
      <c r="BM54" s="48">
        <f t="shared" si="64"/>
        <v>0</v>
      </c>
      <c r="BN54" s="48">
        <f t="shared" si="28"/>
        <v>0</v>
      </c>
      <c r="BO54" s="54">
        <v>9.3717999020042164</v>
      </c>
      <c r="BP54" s="460">
        <v>3.3819926669999993E-2</v>
      </c>
      <c r="BQ54" s="54">
        <f t="shared" si="47"/>
        <v>9.405619828674217</v>
      </c>
      <c r="BR54" s="56">
        <f t="shared" si="65"/>
        <v>0</v>
      </c>
      <c r="BS54" s="56">
        <f t="shared" si="29"/>
        <v>0</v>
      </c>
      <c r="BT54" s="14">
        <v>2001</v>
      </c>
      <c r="BU54" s="51">
        <f>'EIA Adjust'!E152</f>
        <v>7620000</v>
      </c>
      <c r="BV54" s="48">
        <v>7976000</v>
      </c>
      <c r="BW54" s="48">
        <f t="shared" si="30"/>
        <v>8139197.6218335917</v>
      </c>
      <c r="BX54" s="48">
        <f t="shared" si="66"/>
        <v>0</v>
      </c>
      <c r="BY54" s="48">
        <f t="shared" si="32"/>
        <v>0</v>
      </c>
      <c r="BZ54" s="54">
        <v>3.2139660628229003</v>
      </c>
      <c r="CA54" s="460">
        <v>3.1120226100000005E-3</v>
      </c>
      <c r="CB54" s="54">
        <f t="shared" si="49"/>
        <v>3.2170780854329002</v>
      </c>
      <c r="CC54" s="56">
        <f t="shared" si="67"/>
        <v>0</v>
      </c>
      <c r="CD54" s="56">
        <f t="shared" si="33"/>
        <v>0</v>
      </c>
      <c r="CE54" s="16"/>
      <c r="CG54" s="15">
        <v>2001</v>
      </c>
      <c r="CH54" s="29">
        <v>143914559</v>
      </c>
      <c r="CI54" s="48">
        <v>3383000</v>
      </c>
      <c r="CJ54" s="48">
        <f t="shared" si="68"/>
        <v>3383000</v>
      </c>
      <c r="CK54" s="48">
        <f t="shared" si="69"/>
        <v>2582449.8112158319</v>
      </c>
      <c r="CL54" s="54">
        <v>54.774083707382978</v>
      </c>
      <c r="CM54" s="56">
        <f t="shared" si="70"/>
        <v>1.2875745613901135</v>
      </c>
      <c r="CN54" s="56">
        <f t="shared" si="71"/>
        <v>0.98288403280762815</v>
      </c>
      <c r="CO54" s="461">
        <v>0.18605798461999998</v>
      </c>
      <c r="CP54" s="160">
        <f t="shared" ref="CP54:CP61" si="84">CJ54/CH54*CO54</f>
        <v>4.3736656412188286E-3</v>
      </c>
      <c r="CQ54" s="194">
        <f t="shared" si="72"/>
        <v>3.3386851934634151E-3</v>
      </c>
      <c r="CR54" s="14">
        <v>2001</v>
      </c>
      <c r="CS54" s="48">
        <v>3523000</v>
      </c>
      <c r="CT54" s="52">
        <f t="shared" si="73"/>
        <v>3523000</v>
      </c>
      <c r="CU54" s="128">
        <f t="shared" si="74"/>
        <v>2689320.3325194726</v>
      </c>
      <c r="CV54" s="134">
        <f t="shared" si="75"/>
        <v>1.4522329795605153</v>
      </c>
      <c r="CW54" s="14">
        <v>2001</v>
      </c>
      <c r="CX54" s="48">
        <v>7539000</v>
      </c>
      <c r="CY54" s="52">
        <f t="shared" si="76"/>
        <v>7539000</v>
      </c>
      <c r="CZ54" s="128">
        <f t="shared" si="77"/>
        <v>5754977.5722010508</v>
      </c>
      <c r="DA54" s="134">
        <f t="shared" si="78"/>
        <v>1.7264932716603152E-2</v>
      </c>
      <c r="DB54" s="16"/>
      <c r="DD54" s="15">
        <v>2001</v>
      </c>
      <c r="DE54" s="51">
        <v>114626000</v>
      </c>
      <c r="DF54" s="48">
        <v>126484000</v>
      </c>
      <c r="DG54" s="48">
        <v>2588000</v>
      </c>
      <c r="DH54" s="53">
        <f t="shared" si="34"/>
        <v>129072000</v>
      </c>
      <c r="DI54" s="48">
        <f t="shared" si="51"/>
        <v>14446000</v>
      </c>
      <c r="DJ54" s="198">
        <f t="shared" si="79"/>
        <v>47.226927158226161</v>
      </c>
      <c r="DK54" s="201">
        <f t="shared" si="52"/>
        <v>3.658959895114832E-7</v>
      </c>
      <c r="DL54" s="203">
        <f t="shared" si="36"/>
        <v>21.265260289384067</v>
      </c>
      <c r="DM54" s="196"/>
      <c r="DP54" s="16"/>
    </row>
    <row r="55" spans="1:139" s="14" customFormat="1" ht="12.5">
      <c r="A55" s="15"/>
      <c r="B55" s="87"/>
      <c r="C55" s="85">
        <v>2002</v>
      </c>
      <c r="D55" s="49">
        <f>'EIA Adjust'!E28</f>
        <v>44507000</v>
      </c>
      <c r="E55" s="48">
        <v>57992000</v>
      </c>
      <c r="F55" s="48">
        <f t="shared" si="7"/>
        <v>59046054.097963713</v>
      </c>
      <c r="G55" s="457">
        <v>22.517318113813229</v>
      </c>
      <c r="H55" s="54">
        <v>8.0621282789999998E-2</v>
      </c>
      <c r="I55" s="458">
        <f t="shared" si="37"/>
        <v>22.597939396603227</v>
      </c>
      <c r="J55" s="78">
        <f t="shared" si="38"/>
        <v>14539054.097963713</v>
      </c>
      <c r="K55" s="75">
        <f t="shared" si="8"/>
        <v>22980691.979035676</v>
      </c>
      <c r="L55" s="76">
        <f>J55/K55</f>
        <v>0.63266389503097142</v>
      </c>
      <c r="M55" s="49">
        <f t="shared" si="9"/>
        <v>8070675.43675448</v>
      </c>
      <c r="N55" s="48">
        <f t="shared" si="80"/>
        <v>6467090.33500659</v>
      </c>
      <c r="O55" s="50">
        <f t="shared" si="81"/>
        <v>14537765.771761071</v>
      </c>
      <c r="P55" s="55">
        <f t="shared" si="40"/>
        <v>2.3337253116517016</v>
      </c>
      <c r="Q55" s="55">
        <f t="shared" si="54"/>
        <v>0</v>
      </c>
      <c r="R55" s="194">
        <f t="shared" si="55"/>
        <v>0</v>
      </c>
      <c r="S55" s="135">
        <f t="shared" si="56"/>
        <v>0.97599034561963871</v>
      </c>
      <c r="T55" s="462">
        <f t="shared" si="57"/>
        <v>0.97599034561963871</v>
      </c>
      <c r="U55" s="463">
        <f t="shared" si="82"/>
        <v>3.3097156572713402</v>
      </c>
      <c r="V55" s="191">
        <f t="shared" si="83"/>
        <v>25.907655053874567</v>
      </c>
      <c r="W55" s="16"/>
      <c r="AB55" s="15">
        <v>2002</v>
      </c>
      <c r="AC55" s="51">
        <f>'EIA Adjust'!E53</f>
        <v>16065000</v>
      </c>
      <c r="AD55" s="48">
        <v>11553000</v>
      </c>
      <c r="AE55" s="48">
        <f t="shared" si="14"/>
        <v>11762985.635842439</v>
      </c>
      <c r="AF55" s="48">
        <f t="shared" si="58"/>
        <v>4302014.3641575612</v>
      </c>
      <c r="AG55" s="48">
        <f t="shared" si="16"/>
        <v>2721729.1641071104</v>
      </c>
      <c r="AH55" s="54">
        <f>5.8771797363501*AM82</f>
        <v>5.5943670204776756</v>
      </c>
      <c r="AI55" s="460">
        <f>0.06041349733*AM82</f>
        <v>5.7506370779220141E-2</v>
      </c>
      <c r="AJ55" s="54">
        <f t="shared" si="41"/>
        <v>5.6518733912568955</v>
      </c>
      <c r="AK55" s="56">
        <f t="shared" si="59"/>
        <v>1.5135039224143836</v>
      </c>
      <c r="AL55" s="56">
        <f t="shared" si="17"/>
        <v>0.95753928669933708</v>
      </c>
      <c r="AM55" s="14">
        <v>2002</v>
      </c>
      <c r="AN55" s="51">
        <f>'EIA Adjust'!E78</f>
        <v>17199000</v>
      </c>
      <c r="AO55" s="48">
        <v>10938000</v>
      </c>
      <c r="AP55" s="48">
        <f t="shared" si="18"/>
        <v>11136807.485920938</v>
      </c>
      <c r="AQ55" s="48">
        <f t="shared" si="60"/>
        <v>6062192.5140790623</v>
      </c>
      <c r="AR55" s="48">
        <f t="shared" si="20"/>
        <v>3835330.3283848567</v>
      </c>
      <c r="AS55" s="54">
        <v>4.2764256454858067</v>
      </c>
      <c r="AT55" s="460">
        <v>3.8949816959999994E-2</v>
      </c>
      <c r="AU55" s="54">
        <f t="shared" si="43"/>
        <v>4.3153754624458065</v>
      </c>
      <c r="AV55" s="56">
        <f t="shared" si="61"/>
        <v>1.5210556906726809</v>
      </c>
      <c r="AW55" s="56">
        <f t="shared" si="21"/>
        <v>0.96231701782000267</v>
      </c>
      <c r="AX55" s="14">
        <v>2002</v>
      </c>
      <c r="AY55" s="51">
        <f>'EIA Adjust'!E103</f>
        <v>4943000</v>
      </c>
      <c r="AZ55" s="48">
        <v>6181000</v>
      </c>
      <c r="BA55" s="48">
        <f t="shared" si="22"/>
        <v>6293344.9506744668</v>
      </c>
      <c r="BB55" s="48">
        <f t="shared" si="62"/>
        <v>0</v>
      </c>
      <c r="BC55" s="48">
        <f t="shared" si="24"/>
        <v>0</v>
      </c>
      <c r="BD55" s="54">
        <v>1.5389067375366666E-2</v>
      </c>
      <c r="BE55" s="460">
        <v>1.5533741459999995E-2</v>
      </c>
      <c r="BF55" s="54">
        <f t="shared" si="45"/>
        <v>3.0922808835366661E-2</v>
      </c>
      <c r="BG55" s="56">
        <f t="shared" si="63"/>
        <v>0</v>
      </c>
      <c r="BH55" s="56">
        <f t="shared" si="25"/>
        <v>0</v>
      </c>
      <c r="BI55" s="14">
        <v>2002</v>
      </c>
      <c r="BJ55" s="51">
        <f>'EIA Adjust'!E128</f>
        <v>27111000</v>
      </c>
      <c r="BK55" s="48">
        <v>33192000</v>
      </c>
      <c r="BL55" s="48">
        <f t="shared" si="26"/>
        <v>33795292.930397496</v>
      </c>
      <c r="BM55" s="48">
        <f t="shared" si="64"/>
        <v>0</v>
      </c>
      <c r="BN55" s="48">
        <f t="shared" si="28"/>
        <v>0</v>
      </c>
      <c r="BO55" s="54">
        <v>8.4977948158756202</v>
      </c>
      <c r="BP55" s="460">
        <v>2.5588067860000004E-2</v>
      </c>
      <c r="BQ55" s="54">
        <f t="shared" si="47"/>
        <v>8.5233828837356196</v>
      </c>
      <c r="BR55" s="56">
        <f t="shared" si="65"/>
        <v>0</v>
      </c>
      <c r="BS55" s="56">
        <f t="shared" si="29"/>
        <v>0</v>
      </c>
      <c r="BT55" s="14">
        <v>2002</v>
      </c>
      <c r="BU55" s="51">
        <f>'EIA Adjust'!E153</f>
        <v>10714000</v>
      </c>
      <c r="BV55" s="48">
        <v>8173000</v>
      </c>
      <c r="BW55" s="48">
        <f t="shared" si="30"/>
        <v>8321551.2509080116</v>
      </c>
      <c r="BX55" s="48">
        <f t="shared" si="66"/>
        <v>2392448.7490919884</v>
      </c>
      <c r="BY55" s="48">
        <f t="shared" si="32"/>
        <v>1513615.9442625127</v>
      </c>
      <c r="BZ55" s="54">
        <v>2.9267104293826667</v>
      </c>
      <c r="CA55" s="460">
        <v>2.8256654399999998E-3</v>
      </c>
      <c r="CB55" s="54">
        <f t="shared" si="49"/>
        <v>2.9295360948226667</v>
      </c>
      <c r="CC55" s="56">
        <f t="shared" si="67"/>
        <v>0.65416884128041053</v>
      </c>
      <c r="CD55" s="56">
        <f t="shared" si="33"/>
        <v>0.41386900713236185</v>
      </c>
      <c r="CE55" s="16"/>
      <c r="CG55" s="15">
        <v>2002</v>
      </c>
      <c r="CH55" s="29">
        <v>139591688</v>
      </c>
      <c r="CI55" s="48">
        <v>-407000</v>
      </c>
      <c r="CJ55" s="48">
        <f t="shared" si="68"/>
        <v>0</v>
      </c>
      <c r="CK55" s="48">
        <f t="shared" si="69"/>
        <v>0</v>
      </c>
      <c r="CL55" s="54">
        <v>50.646073238178332</v>
      </c>
      <c r="CM55" s="56">
        <f t="shared" si="70"/>
        <v>0</v>
      </c>
      <c r="CN55" s="56">
        <f t="shared" si="71"/>
        <v>0</v>
      </c>
      <c r="CO55" s="461">
        <v>0.16721167044999996</v>
      </c>
      <c r="CP55" s="160">
        <f t="shared" si="84"/>
        <v>0</v>
      </c>
      <c r="CQ55" s="194">
        <f t="shared" si="72"/>
        <v>0</v>
      </c>
      <c r="CR55" s="14">
        <v>2002</v>
      </c>
      <c r="CS55" s="48">
        <v>2883000</v>
      </c>
      <c r="CT55" s="52">
        <f t="shared" si="73"/>
        <v>2883000</v>
      </c>
      <c r="CU55" s="128">
        <f t="shared" si="74"/>
        <v>1823970.0093742907</v>
      </c>
      <c r="CV55" s="134">
        <f t="shared" si="75"/>
        <v>0.96670410496837411</v>
      </c>
      <c r="CW55" s="14">
        <v>2002</v>
      </c>
      <c r="CX55" s="48">
        <v>7339000</v>
      </c>
      <c r="CY55" s="52">
        <f t="shared" si="76"/>
        <v>7339000</v>
      </c>
      <c r="CZ55" s="128">
        <f t="shared" si="77"/>
        <v>4643120.3256322993</v>
      </c>
      <c r="DA55" s="134">
        <f t="shared" si="78"/>
        <v>9.286240651264599E-3</v>
      </c>
      <c r="DB55" s="16"/>
      <c r="DD55" s="15">
        <v>2002</v>
      </c>
      <c r="DE55" s="51">
        <v>120539000</v>
      </c>
      <c r="DF55" s="48">
        <v>128027000</v>
      </c>
      <c r="DG55" s="48">
        <v>2327000</v>
      </c>
      <c r="DH55" s="53">
        <f t="shared" si="34"/>
        <v>130354000</v>
      </c>
      <c r="DI55" s="48">
        <f t="shared" si="51"/>
        <v>9815000</v>
      </c>
      <c r="DJ55" s="198">
        <f t="shared" si="79"/>
        <v>45.591698037699587</v>
      </c>
      <c r="DK55" s="201">
        <f t="shared" si="52"/>
        <v>3.4975296529220114E-7</v>
      </c>
      <c r="DL55" s="203">
        <f t="shared" si="36"/>
        <v>20.651532509566533</v>
      </c>
      <c r="DM55" s="196"/>
      <c r="DP55" s="16"/>
    </row>
    <row r="56" spans="1:139" s="14" customFormat="1" ht="12.5">
      <c r="A56" s="15"/>
      <c r="B56" s="87"/>
      <c r="C56" s="85">
        <v>2003</v>
      </c>
      <c r="D56" s="49">
        <f>'EIA Adjust'!E29</f>
        <v>49336000</v>
      </c>
      <c r="E56" s="48">
        <v>59470000</v>
      </c>
      <c r="F56" s="48">
        <f t="shared" si="7"/>
        <v>60315829.510001838</v>
      </c>
      <c r="G56" s="457">
        <v>24.623120017057534</v>
      </c>
      <c r="H56" s="54">
        <v>8.1509664219999986E-2</v>
      </c>
      <c r="I56" s="458">
        <f t="shared" si="37"/>
        <v>24.704629681277535</v>
      </c>
      <c r="J56" s="78">
        <f t="shared" si="38"/>
        <v>10979829.510001838</v>
      </c>
      <c r="K56" s="75">
        <f t="shared" si="8"/>
        <v>19028913.011561759</v>
      </c>
      <c r="L56" s="76">
        <f t="shared" si="39"/>
        <v>0.57700770944355118</v>
      </c>
      <c r="M56" s="49">
        <f t="shared" si="9"/>
        <v>7587601.1861831984</v>
      </c>
      <c r="N56" s="48">
        <f t="shared" si="80"/>
        <v>3392805.3315280806</v>
      </c>
      <c r="O56" s="50">
        <f t="shared" si="81"/>
        <v>10980406.517711278</v>
      </c>
      <c r="P56" s="55">
        <f t="shared" si="40"/>
        <v>2.447252752790158</v>
      </c>
      <c r="Q56" s="55">
        <f t="shared" si="54"/>
        <v>0</v>
      </c>
      <c r="R56" s="194">
        <f t="shared" si="55"/>
        <v>0</v>
      </c>
      <c r="S56" s="135">
        <f t="shared" si="56"/>
        <v>0.47054978705121608</v>
      </c>
      <c r="T56" s="462">
        <f t="shared" si="57"/>
        <v>0.47054978705121608</v>
      </c>
      <c r="U56" s="463">
        <f t="shared" si="82"/>
        <v>2.9178025398413743</v>
      </c>
      <c r="V56" s="191">
        <f t="shared" si="83"/>
        <v>27.62243222111891</v>
      </c>
      <c r="W56" s="16"/>
      <c r="AB56" s="15">
        <v>2003</v>
      </c>
      <c r="AC56" s="51">
        <f>'EIA Adjust'!E54</f>
        <v>14736000</v>
      </c>
      <c r="AD56" s="48">
        <v>11692000</v>
      </c>
      <c r="AE56" s="48">
        <f t="shared" si="14"/>
        <v>11858292.897779409</v>
      </c>
      <c r="AF56" s="48">
        <f t="shared" si="58"/>
        <v>2877707.1022205912</v>
      </c>
      <c r="AG56" s="48">
        <f t="shared" si="16"/>
        <v>1660459.1835017425</v>
      </c>
      <c r="AH56" s="54">
        <f>4.74199605975253*AM82</f>
        <v>4.5138089284282454</v>
      </c>
      <c r="AI56" s="460">
        <f>0.06126182826*AM82</f>
        <v>5.8313879616816187E-2</v>
      </c>
      <c r="AJ56" s="54">
        <f t="shared" si="41"/>
        <v>4.5721228080450613</v>
      </c>
      <c r="AK56" s="56">
        <f t="shared" si="59"/>
        <v>0.89286307525353059</v>
      </c>
      <c r="AL56" s="56">
        <f t="shared" si="17"/>
        <v>0.51518887789876477</v>
      </c>
      <c r="AM56" s="14">
        <v>2003</v>
      </c>
      <c r="AN56" s="51">
        <f>'EIA Adjust'!E79</f>
        <v>21881000</v>
      </c>
      <c r="AO56" s="48">
        <v>11446000</v>
      </c>
      <c r="AP56" s="48">
        <f t="shared" si="18"/>
        <v>11608794.090658836</v>
      </c>
      <c r="AQ56" s="48">
        <f t="shared" si="60"/>
        <v>10272205.909341164</v>
      </c>
      <c r="AR56" s="48">
        <f t="shared" si="20"/>
        <v>5927142.0026814556</v>
      </c>
      <c r="AS56" s="54">
        <v>7.0889345726833799</v>
      </c>
      <c r="AT56" s="460">
        <v>4.359061861E-2</v>
      </c>
      <c r="AU56" s="54">
        <f t="shared" si="43"/>
        <v>7.1325251912933796</v>
      </c>
      <c r="AV56" s="56">
        <f t="shared" si="61"/>
        <v>3.3484195154941991</v>
      </c>
      <c r="AW56" s="56">
        <f t="shared" si="21"/>
        <v>1.9320638748913932</v>
      </c>
      <c r="AX56" s="14">
        <v>2003</v>
      </c>
      <c r="AY56" s="51">
        <f>'EIA Adjust'!E104</f>
        <v>5697000</v>
      </c>
      <c r="AZ56" s="48">
        <v>6180000</v>
      </c>
      <c r="BA56" s="48">
        <f t="shared" si="22"/>
        <v>6267896.8618095061</v>
      </c>
      <c r="BB56" s="48">
        <f t="shared" si="62"/>
        <v>0</v>
      </c>
      <c r="BC56" s="48">
        <f t="shared" si="24"/>
        <v>0</v>
      </c>
      <c r="BD56" s="54">
        <v>2.6028289955433329E-2</v>
      </c>
      <c r="BE56" s="460">
        <v>1.7445405319999999E-2</v>
      </c>
      <c r="BF56" s="54">
        <f t="shared" si="45"/>
        <v>4.3473695275433329E-2</v>
      </c>
      <c r="BG56" s="56">
        <f t="shared" si="63"/>
        <v>0</v>
      </c>
      <c r="BH56" s="56">
        <f t="shared" si="25"/>
        <v>0</v>
      </c>
      <c r="BI56" s="14">
        <v>2003</v>
      </c>
      <c r="BJ56" s="51">
        <f>'EIA Adjust'!E129</f>
        <v>27825000</v>
      </c>
      <c r="BK56" s="48">
        <v>33640000</v>
      </c>
      <c r="BL56" s="48">
        <f t="shared" si="26"/>
        <v>34118454.762341715</v>
      </c>
      <c r="BM56" s="48">
        <f t="shared" si="64"/>
        <v>0</v>
      </c>
      <c r="BN56" s="48">
        <f t="shared" si="28"/>
        <v>0</v>
      </c>
      <c r="BO56" s="54">
        <v>7.7490905889056778</v>
      </c>
      <c r="BP56" s="460">
        <v>2.7295650949999996E-2</v>
      </c>
      <c r="BQ56" s="54">
        <f t="shared" si="47"/>
        <v>7.776386239855678</v>
      </c>
      <c r="BR56" s="56">
        <f t="shared" si="65"/>
        <v>0</v>
      </c>
      <c r="BS56" s="56">
        <f t="shared" si="29"/>
        <v>0</v>
      </c>
      <c r="BT56" s="14">
        <v>2003</v>
      </c>
      <c r="BU56" s="51">
        <f>'EIA Adjust'!E154</f>
        <v>7720000</v>
      </c>
      <c r="BV56" s="48">
        <v>8348000</v>
      </c>
      <c r="BW56" s="48">
        <f t="shared" si="30"/>
        <v>8466731.8774086982</v>
      </c>
      <c r="BX56" s="48">
        <f t="shared" si="66"/>
        <v>0</v>
      </c>
      <c r="BY56" s="48">
        <f t="shared" si="32"/>
        <v>0</v>
      </c>
      <c r="BZ56" s="54">
        <v>2.2885235073334331</v>
      </c>
      <c r="CA56" s="460">
        <v>2.2144102499999994E-3</v>
      </c>
      <c r="CB56" s="54">
        <f t="shared" si="49"/>
        <v>2.2907379175834333</v>
      </c>
      <c r="CC56" s="56">
        <f t="shared" si="67"/>
        <v>0</v>
      </c>
      <c r="CD56" s="56">
        <f t="shared" si="33"/>
        <v>0</v>
      </c>
      <c r="CE56" s="16"/>
      <c r="CG56" s="15">
        <v>2003</v>
      </c>
      <c r="CH56" s="29">
        <v>137643316</v>
      </c>
      <c r="CI56" s="48">
        <v>-438000</v>
      </c>
      <c r="CJ56" s="48">
        <f t="shared" si="68"/>
        <v>0</v>
      </c>
      <c r="CK56" s="48">
        <f t="shared" si="69"/>
        <v>0</v>
      </c>
      <c r="CL56" s="54">
        <v>51.679519643184456</v>
      </c>
      <c r="CM56" s="56">
        <f t="shared" si="70"/>
        <v>0</v>
      </c>
      <c r="CN56" s="56">
        <f t="shared" si="71"/>
        <v>0</v>
      </c>
      <c r="CO56" s="461">
        <v>0.18583253302000002</v>
      </c>
      <c r="CP56" s="160">
        <f t="shared" si="84"/>
        <v>0</v>
      </c>
      <c r="CQ56" s="194">
        <f t="shared" si="72"/>
        <v>0</v>
      </c>
      <c r="CR56" s="14">
        <v>2003</v>
      </c>
      <c r="CS56" s="48">
        <v>1645000</v>
      </c>
      <c r="CT56" s="52">
        <f t="shared" si="73"/>
        <v>1645000</v>
      </c>
      <c r="CU56" s="128">
        <f t="shared" si="74"/>
        <v>949177.68203464174</v>
      </c>
      <c r="CV56" s="134">
        <f t="shared" si="75"/>
        <v>0.44611351055628168</v>
      </c>
      <c r="CW56" s="14">
        <v>2003</v>
      </c>
      <c r="CX56" s="48">
        <v>4235000</v>
      </c>
      <c r="CY56" s="52">
        <f t="shared" si="76"/>
        <v>4235000</v>
      </c>
      <c r="CZ56" s="128">
        <f t="shared" si="77"/>
        <v>2443627.6494934391</v>
      </c>
      <c r="DA56" s="134">
        <f t="shared" si="78"/>
        <v>2.4436276494934392E-2</v>
      </c>
      <c r="DB56" s="16"/>
      <c r="DD56" s="15">
        <v>2003</v>
      </c>
      <c r="DE56" s="51">
        <v>127195000</v>
      </c>
      <c r="DF56" s="48">
        <v>130776000</v>
      </c>
      <c r="DG56" s="48">
        <v>1860000</v>
      </c>
      <c r="DH56" s="53">
        <f t="shared" si="34"/>
        <v>132636000</v>
      </c>
      <c r="DI56" s="48">
        <f t="shared" si="51"/>
        <v>5441000</v>
      </c>
      <c r="DJ56" s="198">
        <f t="shared" si="79"/>
        <v>47.33537553333052</v>
      </c>
      <c r="DK56" s="201">
        <f t="shared" si="52"/>
        <v>3.5688180835768962E-7</v>
      </c>
      <c r="DL56" s="203">
        <f t="shared" si="36"/>
        <v>21.525622308123555</v>
      </c>
      <c r="DM56" s="196"/>
      <c r="DP56" s="16"/>
    </row>
    <row r="57" spans="1:139" s="14" customFormat="1" ht="12.5">
      <c r="A57" s="15"/>
      <c r="B57" s="87"/>
      <c r="C57" s="85">
        <v>2004</v>
      </c>
      <c r="D57" s="49">
        <f>'EIA Adjust'!E30</f>
        <v>48657000</v>
      </c>
      <c r="E57" s="48">
        <v>59982000</v>
      </c>
      <c r="F57" s="48">
        <f t="shared" si="7"/>
        <v>60818924.45497559</v>
      </c>
      <c r="G57" s="457">
        <v>23.364682827057464</v>
      </c>
      <c r="H57" s="54">
        <v>7.790114020000001E-2</v>
      </c>
      <c r="I57" s="458">
        <f t="shared" si="37"/>
        <v>23.442583967257466</v>
      </c>
      <c r="J57" s="78">
        <f t="shared" si="38"/>
        <v>12161924.45497559</v>
      </c>
      <c r="K57" s="75">
        <f t="shared" si="8"/>
        <v>19548585.35131342</v>
      </c>
      <c r="L57" s="76">
        <f t="shared" si="39"/>
        <v>0.62213834077556207</v>
      </c>
      <c r="M57" s="49">
        <f t="shared" si="9"/>
        <v>9038789.9842822645</v>
      </c>
      <c r="N57" s="48">
        <f t="shared" si="80"/>
        <v>3122512.332352546</v>
      </c>
      <c r="O57" s="50">
        <f t="shared" si="81"/>
        <v>12161302.316634811</v>
      </c>
      <c r="P57" s="55">
        <f t="shared" si="40"/>
        <v>2.881089485337887</v>
      </c>
      <c r="Q57" s="55">
        <f t="shared" si="54"/>
        <v>0</v>
      </c>
      <c r="R57" s="194">
        <f t="shared" si="55"/>
        <v>0</v>
      </c>
      <c r="S57" s="135">
        <f t="shared" si="56"/>
        <v>0.42610317173552326</v>
      </c>
      <c r="T57" s="462">
        <f t="shared" si="57"/>
        <v>0.42610317173552326</v>
      </c>
      <c r="U57" s="463">
        <f t="shared" si="82"/>
        <v>3.3071926570734105</v>
      </c>
      <c r="V57" s="191">
        <f t="shared" si="83"/>
        <v>26.749776624330877</v>
      </c>
      <c r="W57" s="16"/>
      <c r="AB57" s="15">
        <v>2004</v>
      </c>
      <c r="AC57" s="51">
        <f>'EIA Adjust'!E55</f>
        <v>14747000</v>
      </c>
      <c r="AD57" s="48">
        <v>11987000</v>
      </c>
      <c r="AE57" s="48">
        <f t="shared" si="14"/>
        <v>12154253.733483251</v>
      </c>
      <c r="AF57" s="48">
        <f t="shared" si="58"/>
        <v>2592746.2665167488</v>
      </c>
      <c r="AG57" s="48">
        <f t="shared" si="16"/>
        <v>1613046.8603027633</v>
      </c>
      <c r="AH57" s="54">
        <f>4.50721220887599*AM82</f>
        <v>4.290322989388347</v>
      </c>
      <c r="AI57" s="460">
        <f>0.06111793339*AM82</f>
        <v>5.8176909037174901E-2</v>
      </c>
      <c r="AJ57" s="54">
        <f t="shared" si="41"/>
        <v>4.3484998984255219</v>
      </c>
      <c r="AK57" s="56">
        <f t="shared" si="59"/>
        <v>0.76453223547780791</v>
      </c>
      <c r="AL57" s="56">
        <f t="shared" si="17"/>
        <v>0.47564481644959472</v>
      </c>
      <c r="AM57" s="14">
        <v>2004</v>
      </c>
      <c r="AN57" s="51">
        <f>'EIA Adjust'!E80</f>
        <v>23720000</v>
      </c>
      <c r="AO57" s="48">
        <v>11622000</v>
      </c>
      <c r="AP57" s="48">
        <f t="shared" si="18"/>
        <v>11784160.915203333</v>
      </c>
      <c r="AQ57" s="48">
        <f t="shared" si="60"/>
        <v>11935839.084796667</v>
      </c>
      <c r="AR57" s="48">
        <f t="shared" si="20"/>
        <v>7425743.1239795014</v>
      </c>
      <c r="AS57" s="54">
        <v>7.6389524824439592</v>
      </c>
      <c r="AT57" s="460">
        <v>4.4742818270000005E-2</v>
      </c>
      <c r="AU57" s="54">
        <f t="shared" si="43"/>
        <v>7.6836953007139588</v>
      </c>
      <c r="AV57" s="56">
        <f t="shared" si="61"/>
        <v>3.8664144471302766</v>
      </c>
      <c r="AW57" s="56">
        <f t="shared" si="21"/>
        <v>2.4054446688882924</v>
      </c>
      <c r="AX57" s="14">
        <v>2004</v>
      </c>
      <c r="AY57" s="51">
        <f>'EIA Adjust'!E105</f>
        <v>5170000</v>
      </c>
      <c r="AZ57" s="48">
        <v>6344000</v>
      </c>
      <c r="BA57" s="48">
        <f t="shared" si="22"/>
        <v>6432517.3675830271</v>
      </c>
      <c r="BB57" s="48">
        <f t="shared" si="62"/>
        <v>0</v>
      </c>
      <c r="BC57" s="48">
        <f t="shared" si="24"/>
        <v>0</v>
      </c>
      <c r="BD57" s="54">
        <v>2.2042685343433333E-2</v>
      </c>
      <c r="BE57" s="460">
        <v>1.2651294339999999E-2</v>
      </c>
      <c r="BF57" s="54">
        <f t="shared" si="45"/>
        <v>3.4693979683433331E-2</v>
      </c>
      <c r="BG57" s="56">
        <f t="shared" si="63"/>
        <v>0</v>
      </c>
      <c r="BH57" s="56">
        <f t="shared" si="25"/>
        <v>0</v>
      </c>
      <c r="BI57" s="14">
        <v>2004</v>
      </c>
      <c r="BJ57" s="51">
        <f>'EIA Adjust'!E130</f>
        <v>30096000</v>
      </c>
      <c r="BK57" s="48">
        <v>34159000</v>
      </c>
      <c r="BL57" s="48">
        <f t="shared" si="26"/>
        <v>34635618.026366428</v>
      </c>
      <c r="BM57" s="48">
        <f t="shared" si="64"/>
        <v>0</v>
      </c>
      <c r="BN57" s="48">
        <f t="shared" si="28"/>
        <v>0</v>
      </c>
      <c r="BO57" s="54">
        <v>8.5346287428096019</v>
      </c>
      <c r="BP57" s="460">
        <v>2.8307790789999999E-2</v>
      </c>
      <c r="BQ57" s="54">
        <f t="shared" si="47"/>
        <v>8.5629365335996024</v>
      </c>
      <c r="BR57" s="56">
        <f t="shared" si="65"/>
        <v>0</v>
      </c>
      <c r="BS57" s="56">
        <f t="shared" si="29"/>
        <v>0</v>
      </c>
      <c r="BT57" s="14">
        <v>2004</v>
      </c>
      <c r="BU57" s="51">
        <f>'EIA Adjust'!E155</f>
        <v>7068000</v>
      </c>
      <c r="BV57" s="48">
        <v>8423000</v>
      </c>
      <c r="BW57" s="48">
        <f t="shared" si="30"/>
        <v>8540525.502388373</v>
      </c>
      <c r="BX57" s="48">
        <f t="shared" si="66"/>
        <v>0</v>
      </c>
      <c r="BY57" s="48">
        <f t="shared" si="32"/>
        <v>0</v>
      </c>
      <c r="BZ57" s="54">
        <v>1.9556324017163995</v>
      </c>
      <c r="CA57" s="460">
        <v>1.8896534799999996E-3</v>
      </c>
      <c r="CB57" s="54">
        <f t="shared" si="49"/>
        <v>1.9575220551963994</v>
      </c>
      <c r="CC57" s="56">
        <f t="shared" si="67"/>
        <v>0</v>
      </c>
      <c r="CD57" s="56">
        <f t="shared" si="33"/>
        <v>0</v>
      </c>
      <c r="CE57" s="16"/>
      <c r="CG57" s="15">
        <v>2004</v>
      </c>
      <c r="CH57" s="29">
        <v>137964794</v>
      </c>
      <c r="CI57" s="48">
        <v>-112000</v>
      </c>
      <c r="CJ57" s="48">
        <f t="shared" si="68"/>
        <v>0</v>
      </c>
      <c r="CK57" s="48">
        <f t="shared" si="69"/>
        <v>0</v>
      </c>
      <c r="CL57" s="54">
        <v>52.105187175299115</v>
      </c>
      <c r="CM57" s="56">
        <f t="shared" si="70"/>
        <v>0</v>
      </c>
      <c r="CN57" s="56">
        <f t="shared" si="71"/>
        <v>0</v>
      </c>
      <c r="CO57" s="461">
        <v>0.18736536459999997</v>
      </c>
      <c r="CP57" s="160">
        <f t="shared" si="84"/>
        <v>0</v>
      </c>
      <c r="CQ57" s="194">
        <f t="shared" si="72"/>
        <v>0</v>
      </c>
      <c r="CR57" s="14">
        <v>2004</v>
      </c>
      <c r="CS57" s="48">
        <v>1330000</v>
      </c>
      <c r="CT57" s="52">
        <f t="shared" si="73"/>
        <v>1330000</v>
      </c>
      <c r="CU57" s="128">
        <f t="shared" si="74"/>
        <v>827443.99323149759</v>
      </c>
      <c r="CV57" s="134">
        <f t="shared" si="75"/>
        <v>0.4054475566834338</v>
      </c>
      <c r="CW57" s="14">
        <v>2004</v>
      </c>
      <c r="CX57" s="48">
        <v>3689000</v>
      </c>
      <c r="CY57" s="52">
        <f t="shared" si="76"/>
        <v>3689000</v>
      </c>
      <c r="CZ57" s="128">
        <f t="shared" si="77"/>
        <v>2295068.3391210483</v>
      </c>
      <c r="DA57" s="134">
        <f t="shared" si="78"/>
        <v>2.0655615052089436E-2</v>
      </c>
      <c r="DB57" s="16"/>
      <c r="DD57" s="15">
        <v>2004</v>
      </c>
      <c r="DE57" s="51">
        <v>129459000</v>
      </c>
      <c r="DF57" s="48">
        <v>132517000</v>
      </c>
      <c r="DG57" s="48">
        <v>1849000</v>
      </c>
      <c r="DH57" s="53">
        <f t="shared" si="34"/>
        <v>134366000</v>
      </c>
      <c r="DI57" s="48">
        <f t="shared" si="51"/>
        <v>4907000</v>
      </c>
      <c r="DJ57" s="198">
        <f t="shared" si="79"/>
        <v>46.714832734876381</v>
      </c>
      <c r="DK57" s="201">
        <f t="shared" si="52"/>
        <v>3.4766855257190349E-7</v>
      </c>
      <c r="DL57" s="203">
        <f t="shared" si="36"/>
        <v>21.144827434241307</v>
      </c>
      <c r="DM57" s="196"/>
      <c r="DP57" s="16"/>
    </row>
    <row r="58" spans="1:139" s="14" customFormat="1" ht="12.5">
      <c r="A58" s="15"/>
      <c r="B58" s="87"/>
      <c r="C58" s="85">
        <v>2005</v>
      </c>
      <c r="D58" s="49">
        <f>'EIA Adjust'!E31</f>
        <v>48635000</v>
      </c>
      <c r="E58" s="48">
        <v>61805000</v>
      </c>
      <c r="F58" s="48">
        <f t="shared" si="7"/>
        <v>62629489.714348577</v>
      </c>
      <c r="G58" s="457">
        <v>24.091643276815194</v>
      </c>
      <c r="H58" s="54">
        <v>8.3379937680000002E-2</v>
      </c>
      <c r="I58" s="458">
        <f t="shared" si="37"/>
        <v>24.175023214495194</v>
      </c>
      <c r="J58" s="78">
        <f t="shared" si="38"/>
        <v>13994489.714348577</v>
      </c>
      <c r="K58" s="75">
        <f t="shared" si="8"/>
        <v>20470948.568075977</v>
      </c>
      <c r="L58" s="76">
        <f t="shared" si="39"/>
        <v>0.68362683183976614</v>
      </c>
      <c r="M58" s="49">
        <f t="shared" si="9"/>
        <v>9612441.722255677</v>
      </c>
      <c r="N58" s="48">
        <f t="shared" si="80"/>
        <v>4383415.2457565805</v>
      </c>
      <c r="O58" s="50">
        <f t="shared" si="81"/>
        <v>13995856.968012258</v>
      </c>
      <c r="P58" s="55">
        <f t="shared" si="40"/>
        <v>2.9692162463672189</v>
      </c>
      <c r="Q58" s="55">
        <f t="shared" si="54"/>
        <v>0</v>
      </c>
      <c r="R58" s="194">
        <f t="shared" si="55"/>
        <v>0</v>
      </c>
      <c r="S58" s="135">
        <f t="shared" si="56"/>
        <v>0.45576635216705547</v>
      </c>
      <c r="T58" s="462">
        <f t="shared" si="57"/>
        <v>0.45576635216705547</v>
      </c>
      <c r="U58" s="463">
        <f t="shared" si="82"/>
        <v>3.4249825985342746</v>
      </c>
      <c r="V58" s="191">
        <f t="shared" si="83"/>
        <v>27.600005813029469</v>
      </c>
      <c r="W58" s="16"/>
      <c r="AB58" s="15">
        <v>2005</v>
      </c>
      <c r="AC58" s="51">
        <f>'EIA Adjust'!E56</f>
        <v>14249000</v>
      </c>
      <c r="AD58" s="48">
        <v>12209000</v>
      </c>
      <c r="AE58" s="48">
        <f t="shared" si="14"/>
        <v>12371870.235781599</v>
      </c>
      <c r="AF58" s="48">
        <f t="shared" si="58"/>
        <v>1877129.7642184012</v>
      </c>
      <c r="AG58" s="48">
        <f t="shared" si="16"/>
        <v>1283256.2736647527</v>
      </c>
      <c r="AH58" s="54">
        <f>3.79035114093954*AM82</f>
        <v>3.6079576208555393</v>
      </c>
      <c r="AI58" s="460">
        <f>0.08003034759*AM82</f>
        <v>7.6179248768884447E-2</v>
      </c>
      <c r="AJ58" s="54">
        <f t="shared" si="41"/>
        <v>3.6841368696244237</v>
      </c>
      <c r="AK58" s="56">
        <f t="shared" si="59"/>
        <v>0.48533953073383485</v>
      </c>
      <c r="AL58" s="56">
        <f t="shared" si="17"/>
        <v>0.33179112576217035</v>
      </c>
      <c r="AM58" s="14">
        <v>2005</v>
      </c>
      <c r="AN58" s="51">
        <f>'EIA Adjust'!E81</f>
        <v>24299000</v>
      </c>
      <c r="AO58" s="48">
        <v>11978000</v>
      </c>
      <c r="AP58" s="48">
        <f t="shared" si="18"/>
        <v>12137788.654614793</v>
      </c>
      <c r="AQ58" s="48">
        <f t="shared" si="60"/>
        <v>12161211.345385207</v>
      </c>
      <c r="AR58" s="48">
        <f t="shared" si="20"/>
        <v>8313730.3833795087</v>
      </c>
      <c r="AS58" s="54">
        <v>7.6513200350278732</v>
      </c>
      <c r="AT58" s="460">
        <v>4.4937441839999988E-2</v>
      </c>
      <c r="AU58" s="54">
        <f t="shared" si="43"/>
        <v>7.6962574768678733</v>
      </c>
      <c r="AV58" s="56">
        <f t="shared" si="61"/>
        <v>3.851838089826384</v>
      </c>
      <c r="AW58" s="56">
        <f t="shared" si="21"/>
        <v>2.6332198701077476</v>
      </c>
      <c r="AX58" s="14">
        <v>2005</v>
      </c>
      <c r="AY58" s="51">
        <f>'EIA Adjust'!E106</f>
        <v>5455000</v>
      </c>
      <c r="AZ58" s="48">
        <v>6511000</v>
      </c>
      <c r="BA58" s="48">
        <f t="shared" si="22"/>
        <v>6597857.9003336877</v>
      </c>
      <c r="BB58" s="48">
        <f t="shared" si="62"/>
        <v>0</v>
      </c>
      <c r="BC58" s="48">
        <f t="shared" si="24"/>
        <v>0</v>
      </c>
      <c r="BD58" s="54">
        <v>6.7097497305666663E-3</v>
      </c>
      <c r="BE58" s="460">
        <v>9.7922057299999997E-3</v>
      </c>
      <c r="BF58" s="54">
        <f t="shared" si="45"/>
        <v>1.6501955460566667E-2</v>
      </c>
      <c r="BG58" s="56">
        <f t="shared" si="63"/>
        <v>0</v>
      </c>
      <c r="BH58" s="56">
        <f t="shared" si="25"/>
        <v>0</v>
      </c>
      <c r="BI58" s="14">
        <v>2005</v>
      </c>
      <c r="BJ58" s="51">
        <f>'EIA Adjust'!E131</f>
        <v>30453000</v>
      </c>
      <c r="BK58" s="48">
        <v>35202000</v>
      </c>
      <c r="BL58" s="48">
        <f t="shared" si="26"/>
        <v>35671600.953393713</v>
      </c>
      <c r="BM58" s="48">
        <f t="shared" si="64"/>
        <v>0</v>
      </c>
      <c r="BN58" s="48">
        <f t="shared" si="28"/>
        <v>0</v>
      </c>
      <c r="BO58" s="54">
        <v>9.7746209825307329</v>
      </c>
      <c r="BP58" s="460">
        <v>3.1624126559999993E-2</v>
      </c>
      <c r="BQ58" s="54">
        <f t="shared" si="47"/>
        <v>9.8062451090907334</v>
      </c>
      <c r="BR58" s="56">
        <f t="shared" si="65"/>
        <v>0</v>
      </c>
      <c r="BS58" s="56">
        <f t="shared" si="29"/>
        <v>0</v>
      </c>
      <c r="BT58" s="14">
        <v>2005</v>
      </c>
      <c r="BU58" s="51">
        <f>'EIA Adjust'!E156</f>
        <v>8788000</v>
      </c>
      <c r="BV58" s="48">
        <v>8650000</v>
      </c>
      <c r="BW58" s="48">
        <f t="shared" si="30"/>
        <v>8765392.5415276308</v>
      </c>
      <c r="BX58" s="48">
        <f t="shared" si="66"/>
        <v>22607.458472369239</v>
      </c>
      <c r="BY58" s="48">
        <f t="shared" si="32"/>
        <v>15455.065211414862</v>
      </c>
      <c r="BZ58" s="54">
        <v>2.3888651282958007</v>
      </c>
      <c r="CA58" s="460">
        <v>2.3083067400000001E-3</v>
      </c>
      <c r="CB58" s="54">
        <f t="shared" si="49"/>
        <v>2.3911734350358005</v>
      </c>
      <c r="CC58" s="56">
        <f t="shared" si="67"/>
        <v>6.1513830374151533E-3</v>
      </c>
      <c r="CD58" s="56">
        <f t="shared" si="33"/>
        <v>4.2052504973009988E-3</v>
      </c>
      <c r="CE58" s="16"/>
      <c r="CG58" s="15">
        <v>2005</v>
      </c>
      <c r="CH58" s="29">
        <v>146887419</v>
      </c>
      <c r="CI58" s="48">
        <v>-115000</v>
      </c>
      <c r="CJ58" s="48">
        <f t="shared" si="68"/>
        <v>0</v>
      </c>
      <c r="CK58" s="48">
        <f t="shared" si="69"/>
        <v>0</v>
      </c>
      <c r="CL58" s="54">
        <v>54.766015791863801</v>
      </c>
      <c r="CM58" s="56">
        <f t="shared" si="70"/>
        <v>0</v>
      </c>
      <c r="CN58" s="56">
        <f t="shared" si="71"/>
        <v>0</v>
      </c>
      <c r="CO58" s="461">
        <v>0.18661420953999996</v>
      </c>
      <c r="CP58" s="160">
        <f t="shared" si="84"/>
        <v>0</v>
      </c>
      <c r="CQ58" s="194">
        <f t="shared" si="72"/>
        <v>0</v>
      </c>
      <c r="CR58" s="14">
        <v>2005</v>
      </c>
      <c r="CS58" s="48">
        <v>1620000</v>
      </c>
      <c r="CT58" s="52">
        <f t="shared" si="73"/>
        <v>1620000</v>
      </c>
      <c r="CU58" s="128">
        <f t="shared" si="74"/>
        <v>1107475.4675804211</v>
      </c>
      <c r="CV58" s="134">
        <f t="shared" si="75"/>
        <v>0.44299018703216847</v>
      </c>
      <c r="CW58" s="14">
        <v>2005</v>
      </c>
      <c r="CX58" s="48">
        <v>4792000</v>
      </c>
      <c r="CY58" s="52">
        <f t="shared" si="76"/>
        <v>4792000</v>
      </c>
      <c r="CZ58" s="128">
        <f t="shared" si="77"/>
        <v>3275939.7781761591</v>
      </c>
      <c r="DA58" s="134">
        <f t="shared" si="78"/>
        <v>1.2776165134887021E-2</v>
      </c>
      <c r="DB58" s="16"/>
      <c r="DD58" s="15">
        <v>2005</v>
      </c>
      <c r="DE58" s="51">
        <v>131877000</v>
      </c>
      <c r="DF58" s="48">
        <v>136355000</v>
      </c>
      <c r="DG58" s="53">
        <v>1819000</v>
      </c>
      <c r="DH58" s="53">
        <f t="shared" si="34"/>
        <v>138174000</v>
      </c>
      <c r="DI58" s="48">
        <f t="shared" si="51"/>
        <v>6297000</v>
      </c>
      <c r="DJ58" s="198">
        <f t="shared" si="79"/>
        <v>48.4360268605746</v>
      </c>
      <c r="DK58" s="201">
        <f t="shared" si="52"/>
        <v>3.5054371199049458E-7</v>
      </c>
      <c r="DL58" s="203">
        <f t="shared" si="36"/>
        <v>21.95437380453825</v>
      </c>
      <c r="DM58" s="196"/>
      <c r="DP58" s="16"/>
    </row>
    <row r="59" spans="1:139" s="14" customFormat="1" ht="15" customHeight="1">
      <c r="A59" s="15"/>
      <c r="B59" s="87"/>
      <c r="C59" s="85">
        <v>2006</v>
      </c>
      <c r="D59" s="49">
        <f>'EIA Adjust'!E32</f>
        <v>46977000</v>
      </c>
      <c r="E59" s="48">
        <v>60180000</v>
      </c>
      <c r="F59" s="48">
        <f t="shared" si="7"/>
        <v>61162292.579890527</v>
      </c>
      <c r="G59" s="457">
        <v>21.235440463085567</v>
      </c>
      <c r="H59" s="54">
        <v>7.0484261529999995E-2</v>
      </c>
      <c r="I59" s="458">
        <f t="shared" si="37"/>
        <v>21.305924724615569</v>
      </c>
      <c r="J59" s="78">
        <f t="shared" si="38"/>
        <v>14185292.579890527</v>
      </c>
      <c r="K59" s="75">
        <f t="shared" si="8"/>
        <v>18956628.850681745</v>
      </c>
      <c r="L59" s="76">
        <f t="shared" si="39"/>
        <v>0.74830249047052344</v>
      </c>
      <c r="M59" s="49">
        <f t="shared" si="9"/>
        <v>8894793.9722639266</v>
      </c>
      <c r="N59" s="48">
        <f t="shared" si="80"/>
        <v>5290498.6076266011</v>
      </c>
      <c r="O59" s="50">
        <f t="shared" si="81"/>
        <v>14185292.579890527</v>
      </c>
      <c r="P59" s="55">
        <f t="shared" si="40"/>
        <v>2.6032942412808038</v>
      </c>
      <c r="Q59" s="55">
        <f t="shared" si="54"/>
        <v>0</v>
      </c>
      <c r="R59" s="194">
        <f>CQ59</f>
        <v>0</v>
      </c>
      <c r="S59" s="135">
        <f t="shared" si="56"/>
        <v>0.3717701467105845</v>
      </c>
      <c r="T59" s="462">
        <f t="shared" si="57"/>
        <v>0.3717701467105845</v>
      </c>
      <c r="U59" s="463">
        <f t="shared" si="82"/>
        <v>2.9750643879913881</v>
      </c>
      <c r="V59" s="191">
        <f t="shared" si="83"/>
        <v>24.280989112606957</v>
      </c>
      <c r="W59" s="16"/>
      <c r="AB59" s="15">
        <v>2006</v>
      </c>
      <c r="AC59" s="51">
        <f>'EIA Adjust'!E57</f>
        <v>12024000</v>
      </c>
      <c r="AD59" s="48">
        <v>11731000</v>
      </c>
      <c r="AE59" s="48">
        <f t="shared" si="14"/>
        <v>11922480.130520036</v>
      </c>
      <c r="AF59" s="48">
        <f t="shared" si="58"/>
        <v>101519.86947996356</v>
      </c>
      <c r="AG59" s="48">
        <f t="shared" si="16"/>
        <v>75967.571164099209</v>
      </c>
      <c r="AH59" s="54">
        <f>2.68910136673351*AM82</f>
        <v>2.5597005154921542</v>
      </c>
      <c r="AI59" s="460">
        <f>0.07492034426*AM82</f>
        <v>7.1315141257066783E-2</v>
      </c>
      <c r="AJ59" s="54">
        <f t="shared" si="41"/>
        <v>2.6310156567492209</v>
      </c>
      <c r="AK59" s="56">
        <f>AJ59*(AF59/AC59)</f>
        <v>2.2213935967475177E-2</v>
      </c>
      <c r="AL59" s="56">
        <f t="shared" si="17"/>
        <v>1.6622743607614412E-2</v>
      </c>
      <c r="AM59" s="14">
        <v>2006</v>
      </c>
      <c r="AN59" s="51">
        <f>'EIA Adjust'!E82</f>
        <v>22411000</v>
      </c>
      <c r="AO59" s="48">
        <v>11758000</v>
      </c>
      <c r="AP59" s="48">
        <f t="shared" si="18"/>
        <v>11949920.84005239</v>
      </c>
      <c r="AQ59" s="48">
        <f t="shared" si="60"/>
        <v>10461079.15994761</v>
      </c>
      <c r="AR59" s="48">
        <f t="shared" si="20"/>
        <v>7828051.5883980878</v>
      </c>
      <c r="AS59" s="54">
        <v>6.7281156407711409</v>
      </c>
      <c r="AT59" s="460">
        <v>4.2528483589999999E-2</v>
      </c>
      <c r="AU59" s="54">
        <f t="shared" si="43"/>
        <v>6.7706441243611408</v>
      </c>
      <c r="AV59" s="56">
        <f>AU59*(AQ59/AN59)</f>
        <v>3.1604231916815877</v>
      </c>
      <c r="AW59" s="56">
        <f t="shared" si="21"/>
        <v>2.3649525452761324</v>
      </c>
      <c r="AX59" s="14">
        <v>2006</v>
      </c>
      <c r="AY59" s="51">
        <f>'EIA Adjust'!E107</f>
        <v>6588000</v>
      </c>
      <c r="AZ59" s="48">
        <v>6396000</v>
      </c>
      <c r="BA59" s="48">
        <f t="shared" si="22"/>
        <v>6500399.1914420044</v>
      </c>
      <c r="BB59" s="48">
        <f t="shared" si="62"/>
        <v>87600.808557995595</v>
      </c>
      <c r="BC59" s="48">
        <f t="shared" si="24"/>
        <v>65551.90321117964</v>
      </c>
      <c r="BD59" s="54">
        <v>5.1161897827333332E-3</v>
      </c>
      <c r="BE59" s="460">
        <v>1.0801021219999998E-2</v>
      </c>
      <c r="BF59" s="54">
        <f t="shared" si="45"/>
        <v>1.5917211002733331E-2</v>
      </c>
      <c r="BG59" s="56">
        <f>BF59*(BB59/AY59)</f>
        <v>2.1165157161925677E-4</v>
      </c>
      <c r="BH59" s="56">
        <f t="shared" si="25"/>
        <v>1.583793981546902E-4</v>
      </c>
      <c r="BI59" s="14">
        <v>2006</v>
      </c>
      <c r="BJ59" s="51">
        <f>'EIA Adjust'!E132</f>
        <v>30310000</v>
      </c>
      <c r="BK59" s="48">
        <v>33655000</v>
      </c>
      <c r="BL59" s="48">
        <f t="shared" si="26"/>
        <v>34204336.270791218</v>
      </c>
      <c r="BM59" s="48">
        <f t="shared" si="64"/>
        <v>0</v>
      </c>
      <c r="BN59" s="48">
        <f t="shared" si="28"/>
        <v>0</v>
      </c>
      <c r="BO59" s="54">
        <v>9.3543568748647967</v>
      </c>
      <c r="BP59" s="460">
        <v>2.9277780789999999E-2</v>
      </c>
      <c r="BQ59" s="54">
        <f t="shared" si="47"/>
        <v>9.3836346556547969</v>
      </c>
      <c r="BR59" s="56">
        <f>BQ59*(BM59/BJ59)</f>
        <v>0</v>
      </c>
      <c r="BS59" s="56">
        <f t="shared" si="29"/>
        <v>0</v>
      </c>
      <c r="BT59" s="14">
        <v>2006</v>
      </c>
      <c r="BU59" s="51">
        <f>'EIA Adjust'!E157</f>
        <v>9740000</v>
      </c>
      <c r="BV59" s="48">
        <v>8367000</v>
      </c>
      <c r="BW59" s="48">
        <f t="shared" si="30"/>
        <v>8503570.9873038232</v>
      </c>
      <c r="BX59" s="48">
        <f t="shared" si="66"/>
        <v>1236429.0126961768</v>
      </c>
      <c r="BY59" s="48">
        <f t="shared" si="32"/>
        <v>925222.90949055948</v>
      </c>
      <c r="BZ59" s="54">
        <v>2.3301611506477338</v>
      </c>
      <c r="CA59" s="460">
        <v>2.2497298800000002E-3</v>
      </c>
      <c r="CB59" s="54">
        <f t="shared" si="49"/>
        <v>2.3324108805277337</v>
      </c>
      <c r="CC59" s="56">
        <f>CB59*(BX59/BU59)</f>
        <v>0.29608423842019777</v>
      </c>
      <c r="CD59" s="56">
        <f t="shared" si="33"/>
        <v>0.22156057299890222</v>
      </c>
      <c r="CE59" s="16"/>
      <c r="CG59" s="15">
        <v>2006</v>
      </c>
      <c r="CH59" s="29">
        <v>142265432</v>
      </c>
      <c r="CI59" s="48">
        <v>-877000</v>
      </c>
      <c r="CJ59" s="48">
        <f t="shared" si="68"/>
        <v>0</v>
      </c>
      <c r="CK59" s="48">
        <f t="shared" si="69"/>
        <v>0</v>
      </c>
      <c r="CL59" s="54">
        <v>46.317308806017685</v>
      </c>
      <c r="CM59" s="56">
        <f>CL59*(CJ59/(CH59/1000))</f>
        <v>0</v>
      </c>
      <c r="CN59" s="56">
        <f t="shared" si="71"/>
        <v>0</v>
      </c>
      <c r="CO59" s="461">
        <v>0.14827402845000001</v>
      </c>
      <c r="CP59" s="160">
        <f t="shared" si="84"/>
        <v>0</v>
      </c>
      <c r="CQ59" s="194">
        <f t="shared" si="72"/>
        <v>0</v>
      </c>
      <c r="CR59" s="14">
        <v>2006</v>
      </c>
      <c r="CS59" s="48">
        <v>1047000</v>
      </c>
      <c r="CT59" s="52">
        <f t="shared" si="73"/>
        <v>1047000</v>
      </c>
      <c r="CU59" s="128">
        <f t="shared" si="74"/>
        <v>783472.70752263803</v>
      </c>
      <c r="CV59" s="134">
        <f t="shared" si="75"/>
        <v>0.34472799130996074</v>
      </c>
      <c r="CW59" s="14">
        <v>2006</v>
      </c>
      <c r="CX59" s="48">
        <v>6023000</v>
      </c>
      <c r="CY59" s="52">
        <f t="shared" si="76"/>
        <v>6023000</v>
      </c>
      <c r="CZ59" s="128">
        <f t="shared" si="77"/>
        <v>4507025.900103963</v>
      </c>
      <c r="DA59" s="134">
        <f t="shared" si="78"/>
        <v>2.7042155400623779E-2</v>
      </c>
      <c r="DB59" s="16"/>
      <c r="DD59" s="15">
        <v>2006</v>
      </c>
      <c r="DE59" s="51">
        <v>128050000</v>
      </c>
      <c r="DF59" s="48">
        <v>132087000</v>
      </c>
      <c r="DG59" s="53">
        <v>2156000</v>
      </c>
      <c r="DH59" s="53">
        <f t="shared" si="34"/>
        <v>134243000</v>
      </c>
      <c r="DI59" s="48">
        <f t="shared" si="51"/>
        <v>6193000</v>
      </c>
      <c r="DJ59" s="198">
        <f t="shared" si="79"/>
        <v>42.936365252911195</v>
      </c>
      <c r="DK59" s="201">
        <f t="shared" si="52"/>
        <v>3.1984062672102973E-7</v>
      </c>
      <c r="DL59" s="203">
        <f t="shared" si="36"/>
        <v>19.562185990447173</v>
      </c>
      <c r="DM59" s="196"/>
      <c r="DP59" s="16"/>
    </row>
    <row r="60" spans="1:139" s="14" customFormat="1" ht="12.75" customHeight="1">
      <c r="A60" s="15"/>
      <c r="B60" s="87"/>
      <c r="C60" s="85">
        <v>2007</v>
      </c>
      <c r="D60" s="49">
        <f>'EIA Adjust'!E33</f>
        <v>49557000</v>
      </c>
      <c r="E60" s="48">
        <v>61560000</v>
      </c>
      <c r="F60" s="48">
        <f t="shared" si="7"/>
        <v>62660119.584132791</v>
      </c>
      <c r="G60" s="457">
        <v>23.265472804283498</v>
      </c>
      <c r="H60" s="54">
        <v>7.6374939510000003E-2</v>
      </c>
      <c r="I60" s="458">
        <f t="shared" si="37"/>
        <v>23.341847743793497</v>
      </c>
      <c r="J60" s="78">
        <f t="shared" si="38"/>
        <v>13103119.584132791</v>
      </c>
      <c r="K60" s="75">
        <f t="shared" si="8"/>
        <v>21866740.239168264</v>
      </c>
      <c r="L60" s="76">
        <f t="shared" si="39"/>
        <v>0.59922601360865613</v>
      </c>
      <c r="M60" s="49">
        <f t="shared" si="9"/>
        <v>7935383.7341903094</v>
      </c>
      <c r="N60" s="48">
        <f t="shared" si="80"/>
        <v>5167125.915347442</v>
      </c>
      <c r="O60" s="50">
        <f t="shared" si="81"/>
        <v>13102509.649537751</v>
      </c>
      <c r="P60" s="55">
        <f t="shared" si="40"/>
        <v>2.2253598346846095</v>
      </c>
      <c r="Q60" s="55">
        <f>CN60</f>
        <v>0</v>
      </c>
      <c r="R60" s="194">
        <f>CQ60</f>
        <v>0</v>
      </c>
      <c r="S60" s="135">
        <f t="shared" si="56"/>
        <v>0.26551559650304257</v>
      </c>
      <c r="T60" s="462">
        <f t="shared" si="57"/>
        <v>0.26551559650304257</v>
      </c>
      <c r="U60" s="463">
        <f t="shared" si="82"/>
        <v>2.4908754311876522</v>
      </c>
      <c r="V60" s="191">
        <f t="shared" si="83"/>
        <v>25.832723174981151</v>
      </c>
      <c r="W60" s="16"/>
      <c r="AB60" s="15">
        <v>2007</v>
      </c>
      <c r="AC60" s="51">
        <f>'EIA Adjust'!E58</f>
        <v>11551000</v>
      </c>
      <c r="AD60" s="48">
        <v>11969000</v>
      </c>
      <c r="AE60" s="48">
        <f t="shared" si="14"/>
        <v>12182894.270670652</v>
      </c>
      <c r="AF60" s="48">
        <f t="shared" si="58"/>
        <v>0</v>
      </c>
      <c r="AG60" s="48">
        <f t="shared" si="16"/>
        <v>0</v>
      </c>
      <c r="AH60" s="54">
        <f>2.57224800882444*AM82</f>
        <v>2.4484701973728451</v>
      </c>
      <c r="AI60" s="460">
        <f>0.07538857295*AM82</f>
        <v>7.176083855728313E-2</v>
      </c>
      <c r="AJ60" s="54">
        <f t="shared" si="41"/>
        <v>2.5202310359301281</v>
      </c>
      <c r="AK60" s="56">
        <f>AJ60*(AF60/AC60)</f>
        <v>0</v>
      </c>
      <c r="AL60" s="56">
        <f t="shared" si="17"/>
        <v>0</v>
      </c>
      <c r="AM60" s="14">
        <v>2007</v>
      </c>
      <c r="AN60" s="51">
        <f>'EIA Adjust'!E83</f>
        <v>23601000</v>
      </c>
      <c r="AO60" s="48">
        <v>11906000</v>
      </c>
      <c r="AP60" s="48">
        <f t="shared" si="18"/>
        <v>12118768.417295078</v>
      </c>
      <c r="AQ60" s="48">
        <f t="shared" si="60"/>
        <v>11482231.582704922</v>
      </c>
      <c r="AR60" s="48">
        <f t="shared" si="20"/>
        <v>6880451.8586356808</v>
      </c>
      <c r="AS60" s="54">
        <v>6.6145354386502548</v>
      </c>
      <c r="AT60" s="460">
        <v>5.0125021749999998E-2</v>
      </c>
      <c r="AU60" s="54">
        <f t="shared" si="43"/>
        <v>6.6646604604002544</v>
      </c>
      <c r="AV60" s="56">
        <f>AU60*(AQ60/AN60)</f>
        <v>3.2424547615106363</v>
      </c>
      <c r="AW60" s="56">
        <f t="shared" si="21"/>
        <v>1.9429632410464244</v>
      </c>
      <c r="AX60" s="14">
        <v>2007</v>
      </c>
      <c r="AY60" s="51">
        <f>'EIA Adjust'!E108</f>
        <v>6035000</v>
      </c>
      <c r="AZ60" s="48">
        <v>6461000</v>
      </c>
      <c r="BA60" s="48">
        <f t="shared" si="22"/>
        <v>6576462.5184061397</v>
      </c>
      <c r="BB60" s="48">
        <f t="shared" si="62"/>
        <v>0</v>
      </c>
      <c r="BC60" s="48">
        <f t="shared" si="24"/>
        <v>0</v>
      </c>
      <c r="BD60" s="54">
        <v>5.1467420931666664E-3</v>
      </c>
      <c r="BE60" s="460">
        <v>1.1148578770000001E-2</v>
      </c>
      <c r="BF60" s="54">
        <f t="shared" si="45"/>
        <v>1.6295320863166665E-2</v>
      </c>
      <c r="BG60" s="56">
        <f>BF60*(BB60/AY60)</f>
        <v>0</v>
      </c>
      <c r="BH60" s="56">
        <f t="shared" si="25"/>
        <v>0</v>
      </c>
      <c r="BI60" s="14">
        <v>2007</v>
      </c>
      <c r="BJ60" s="51">
        <f>'EIA Adjust'!E133</f>
        <v>29475000</v>
      </c>
      <c r="BK60" s="48">
        <v>33981000</v>
      </c>
      <c r="BL60" s="48">
        <f t="shared" si="26"/>
        <v>34588263.865958683</v>
      </c>
      <c r="BM60" s="48">
        <f t="shared" si="64"/>
        <v>0</v>
      </c>
      <c r="BN60" s="48">
        <f t="shared" si="28"/>
        <v>0</v>
      </c>
      <c r="BO60" s="54">
        <v>8.7146308642317809</v>
      </c>
      <c r="BP60" s="460">
        <v>2.6261220299999999E-2</v>
      </c>
      <c r="BQ60" s="54">
        <f t="shared" si="47"/>
        <v>8.7408920845317812</v>
      </c>
      <c r="BR60" s="56">
        <f>BQ60*(BM60/BJ60)</f>
        <v>0</v>
      </c>
      <c r="BS60" s="56">
        <f t="shared" si="29"/>
        <v>0</v>
      </c>
      <c r="BT60" s="14">
        <v>2007</v>
      </c>
      <c r="BU60" s="51">
        <f>'EIA Adjust'!E158</f>
        <v>10504000</v>
      </c>
      <c r="BV60" s="48">
        <v>8590000</v>
      </c>
      <c r="BW60" s="48">
        <f t="shared" si="30"/>
        <v>8743509.2142251581</v>
      </c>
      <c r="BX60" s="48">
        <f t="shared" si="66"/>
        <v>1760490.7857748419</v>
      </c>
      <c r="BY60" s="48">
        <f t="shared" si="32"/>
        <v>1054931.8755546291</v>
      </c>
      <c r="BZ60" s="54">
        <v>2.8091165989523996</v>
      </c>
      <c r="CA60" s="460">
        <v>2.7178789999999994E-3</v>
      </c>
      <c r="CB60" s="54">
        <f t="shared" si="49"/>
        <v>2.8118344779523996</v>
      </c>
      <c r="CC60" s="56">
        <f>CB60*(BX60/BU60)</f>
        <v>0.47126891560921669</v>
      </c>
      <c r="CD60" s="56">
        <f t="shared" si="33"/>
        <v>0.28239659363818509</v>
      </c>
      <c r="CE60" s="16"/>
      <c r="CG60" s="15">
        <v>2007</v>
      </c>
      <c r="CH60" s="29">
        <v>145878687</v>
      </c>
      <c r="CI60" s="48">
        <v>-2477000</v>
      </c>
      <c r="CJ60" s="48">
        <f t="shared" si="68"/>
        <v>0</v>
      </c>
      <c r="CK60" s="48">
        <f t="shared" si="69"/>
        <v>0</v>
      </c>
      <c r="CL60" s="54">
        <v>48.923389746422728</v>
      </c>
      <c r="CM60" s="56">
        <f>CL60*(CJ60/(CH60/1000))</f>
        <v>0</v>
      </c>
      <c r="CN60" s="56">
        <f t="shared" si="71"/>
        <v>0</v>
      </c>
      <c r="CO60" s="461">
        <v>0.15441495664999999</v>
      </c>
      <c r="CP60" s="160">
        <f t="shared" si="84"/>
        <v>0</v>
      </c>
      <c r="CQ60" s="194">
        <f t="shared" si="72"/>
        <v>0</v>
      </c>
      <c r="CR60" s="14">
        <v>2007</v>
      </c>
      <c r="CS60" s="48">
        <v>896000</v>
      </c>
      <c r="CT60" s="52">
        <f t="shared" si="73"/>
        <v>896000</v>
      </c>
      <c r="CU60" s="128">
        <f t="shared" si="74"/>
        <v>536906.50819335587</v>
      </c>
      <c r="CV60" s="134">
        <f t="shared" si="75"/>
        <v>0.24912461980171713</v>
      </c>
      <c r="CW60" s="14">
        <v>2007</v>
      </c>
      <c r="CX60" s="48">
        <v>7727000</v>
      </c>
      <c r="CY60" s="52">
        <f t="shared" si="76"/>
        <v>7727000</v>
      </c>
      <c r="CZ60" s="128">
        <f t="shared" si="77"/>
        <v>4630219.407154086</v>
      </c>
      <c r="DA60" s="134">
        <f t="shared" si="78"/>
        <v>1.6390976701325465E-2</v>
      </c>
      <c r="DB60" s="16"/>
      <c r="DD60" s="15">
        <v>2007</v>
      </c>
      <c r="DE60" s="51">
        <v>130723000</v>
      </c>
      <c r="DF60" s="48">
        <v>134466000</v>
      </c>
      <c r="DG60" s="53">
        <v>2403000</v>
      </c>
      <c r="DH60" s="53">
        <f t="shared" si="34"/>
        <v>136869000</v>
      </c>
      <c r="DI60" s="48">
        <f t="shared" si="51"/>
        <v>6146000</v>
      </c>
      <c r="DJ60" s="198">
        <f>I60+AJ60+AU60+BF60+BQ60+CB60+T60</f>
        <v>44.361276719974271</v>
      </c>
      <c r="DK60" s="201">
        <f t="shared" si="52"/>
        <v>3.2411485961009629E-7</v>
      </c>
      <c r="DL60" s="203">
        <f t="shared" si="36"/>
        <v>20.309075862163045</v>
      </c>
      <c r="DM60" s="197"/>
      <c r="DP60" s="16"/>
      <c r="EF60" s="18"/>
      <c r="EG60" s="18"/>
      <c r="EH60" s="18"/>
      <c r="EI60" s="19"/>
    </row>
    <row r="61" spans="1:139" s="14" customFormat="1" ht="15.75" customHeight="1" thickBot="1">
      <c r="A61" s="15"/>
      <c r="B61" s="87"/>
      <c r="C61" s="474">
        <v>2008</v>
      </c>
      <c r="D61" s="49">
        <f>'EIA Adjust'!E34</f>
        <v>44956000</v>
      </c>
      <c r="E61" s="465">
        <v>60502000</v>
      </c>
      <c r="F61" s="465">
        <f t="shared" si="7"/>
        <v>61533832.005100414</v>
      </c>
      <c r="G61" s="466">
        <v>19.810794358935965</v>
      </c>
      <c r="H61" s="467">
        <v>6.6563160850000011E-2</v>
      </c>
      <c r="I61" s="468">
        <f t="shared" si="37"/>
        <v>19.877357519785964</v>
      </c>
      <c r="J61" s="469">
        <f t="shared" si="38"/>
        <v>16577832.005100414</v>
      </c>
      <c r="K61" s="75">
        <f t="shared" si="8"/>
        <v>24159432.419509087</v>
      </c>
      <c r="L61" s="470">
        <f t="shared" si="39"/>
        <v>0.68618466349869944</v>
      </c>
      <c r="M61" s="464">
        <f t="shared" si="9"/>
        <v>9179400.665801106</v>
      </c>
      <c r="N61" s="48">
        <f t="shared" si="80"/>
        <v>7397070.67251598</v>
      </c>
      <c r="O61" s="471">
        <f t="shared" si="81"/>
        <v>16576471.338317085</v>
      </c>
      <c r="P61" s="472">
        <f t="shared" si="40"/>
        <v>2.5591122640435282</v>
      </c>
      <c r="Q61" s="55">
        <f>CN61</f>
        <v>0</v>
      </c>
      <c r="R61" s="194">
        <f>CQ61</f>
        <v>0</v>
      </c>
      <c r="S61" s="135">
        <f t="shared" si="56"/>
        <v>0.47479690059963137</v>
      </c>
      <c r="T61" s="462">
        <f t="shared" si="57"/>
        <v>0.47479690059963137</v>
      </c>
      <c r="U61" s="463">
        <f t="shared" si="82"/>
        <v>3.0339091646431595</v>
      </c>
      <c r="V61" s="191">
        <f t="shared" si="83"/>
        <v>22.911266684429123</v>
      </c>
      <c r="W61" s="16"/>
      <c r="AB61" s="15">
        <v>2008</v>
      </c>
      <c r="AC61" s="51">
        <f>'EIA Adjust'!E59</f>
        <v>12556000</v>
      </c>
      <c r="AD61" s="48">
        <v>11804000</v>
      </c>
      <c r="AE61" s="48">
        <f t="shared" si="14"/>
        <v>12005311.444054829</v>
      </c>
      <c r="AF61" s="48">
        <f t="shared" si="58"/>
        <v>550688.55594517104</v>
      </c>
      <c r="AG61" s="48">
        <f t="shared" si="16"/>
        <v>377874.04145382193</v>
      </c>
      <c r="AH61" s="54">
        <f>2.53022977014208*AM82</f>
        <v>2.4084738965469095</v>
      </c>
      <c r="AI61" s="460">
        <f>0.06250738006*AM82</f>
        <v>5.9499494865082193E-2</v>
      </c>
      <c r="AJ61" s="54">
        <f t="shared" si="41"/>
        <v>2.4679733914119915</v>
      </c>
      <c r="AK61" s="56">
        <f>AJ61*(AF61/AC61)</f>
        <v>0.10824185274193819</v>
      </c>
      <c r="AL61" s="56">
        <f t="shared" si="17"/>
        <v>7.4273899300202631E-2</v>
      </c>
      <c r="AM61" s="14">
        <v>2008</v>
      </c>
      <c r="AN61" s="51">
        <f>'EIA Adjust'!E84</f>
        <v>23426000</v>
      </c>
      <c r="AO61" s="48">
        <v>11642000</v>
      </c>
      <c r="AP61" s="48">
        <f t="shared" si="18"/>
        <v>11840548.613324832</v>
      </c>
      <c r="AQ61" s="48">
        <f t="shared" si="60"/>
        <v>11585451.386675168</v>
      </c>
      <c r="AR61" s="48">
        <f t="shared" si="20"/>
        <v>7949759.0612462405</v>
      </c>
      <c r="AS61" s="54">
        <v>6.5392512009698596</v>
      </c>
      <c r="AT61" s="460">
        <v>4.9279374099999995E-2</v>
      </c>
      <c r="AU61" s="54">
        <f t="shared" si="43"/>
        <v>6.5885305750698597</v>
      </c>
      <c r="AV61" s="56">
        <f>AU61*(AQ61/AN61)</f>
        <v>3.2583924138604479</v>
      </c>
      <c r="AW61" s="56">
        <f t="shared" si="21"/>
        <v>2.2358589020515462</v>
      </c>
      <c r="AX61" s="14">
        <v>2008</v>
      </c>
      <c r="AY61" s="51">
        <f>'EIA Adjust'!E109</f>
        <v>6322000</v>
      </c>
      <c r="AZ61" s="48">
        <v>6357000</v>
      </c>
      <c r="BA61" s="48">
        <f t="shared" si="22"/>
        <v>6465415.5243863566</v>
      </c>
      <c r="BB61" s="48">
        <f t="shared" si="62"/>
        <v>0</v>
      </c>
      <c r="BC61" s="48">
        <f t="shared" si="24"/>
        <v>0</v>
      </c>
      <c r="BD61" s="54">
        <v>5.2734585075333322E-3</v>
      </c>
      <c r="BE61" s="460">
        <v>1.0398479359999997E-2</v>
      </c>
      <c r="BF61" s="54">
        <f t="shared" si="45"/>
        <v>1.567193786753333E-2</v>
      </c>
      <c r="BG61" s="56">
        <f>BF61*(BB61/AY61)</f>
        <v>0</v>
      </c>
      <c r="BH61" s="56">
        <f t="shared" si="25"/>
        <v>0</v>
      </c>
      <c r="BI61" s="14">
        <v>2008</v>
      </c>
      <c r="BJ61" s="51">
        <f>'EIA Adjust'!E134</f>
        <v>27617000</v>
      </c>
      <c r="BK61" s="48">
        <v>32964000</v>
      </c>
      <c r="BL61" s="48">
        <f t="shared" si="26"/>
        <v>33526184.890022315</v>
      </c>
      <c r="BM61" s="48">
        <f t="shared" si="64"/>
        <v>0</v>
      </c>
      <c r="BN61" s="48">
        <f t="shared" si="28"/>
        <v>0</v>
      </c>
      <c r="BO61" s="54">
        <v>7.8302348256237311</v>
      </c>
      <c r="BP61" s="460">
        <v>2.5959339049999999E-2</v>
      </c>
      <c r="BQ61" s="54">
        <f>BO61+BP61</f>
        <v>7.856194164673731</v>
      </c>
      <c r="BR61" s="56">
        <f>BQ61*(BM61/BJ61)</f>
        <v>0</v>
      </c>
      <c r="BS61" s="56">
        <f t="shared" si="29"/>
        <v>0</v>
      </c>
      <c r="BT61" s="14">
        <v>2008</v>
      </c>
      <c r="BU61" s="51">
        <f>'EIA Adjust'!E159</f>
        <v>9870000</v>
      </c>
      <c r="BV61" s="48">
        <v>8484000</v>
      </c>
      <c r="BW61" s="48">
        <f t="shared" si="30"/>
        <v>8628690.468600573</v>
      </c>
      <c r="BX61" s="48">
        <f t="shared" si="66"/>
        <v>1241309.531399427</v>
      </c>
      <c r="BY61" s="48">
        <f t="shared" si="32"/>
        <v>851767.56310104404</v>
      </c>
      <c r="BZ61" s="54">
        <v>2.8823006087927334</v>
      </c>
      <c r="CA61" s="460">
        <v>2.7908213399999997E-3</v>
      </c>
      <c r="CB61" s="54">
        <f>BZ61+CA61</f>
        <v>2.8850914301327335</v>
      </c>
      <c r="CC61" s="56">
        <f>CB61*(BX61/BU61)</f>
        <v>0.36284614905598445</v>
      </c>
      <c r="CD61" s="56">
        <f t="shared" si="33"/>
        <v>0.24897946269177962</v>
      </c>
      <c r="CE61" s="16"/>
      <c r="CG61" s="15">
        <v>2008</v>
      </c>
      <c r="CH61" s="29">
        <v>140322100</v>
      </c>
      <c r="CI61" s="48">
        <v>-1529000</v>
      </c>
      <c r="CJ61" s="48">
        <f t="shared" si="68"/>
        <v>0</v>
      </c>
      <c r="CK61" s="48">
        <f t="shared" si="69"/>
        <v>0</v>
      </c>
      <c r="CL61" s="54">
        <v>42.578321515790407</v>
      </c>
      <c r="CM61" s="56">
        <f>CL61*(CJ61/(CH61/1000))</f>
        <v>0</v>
      </c>
      <c r="CN61" s="56">
        <f>CM61*L61</f>
        <v>0</v>
      </c>
      <c r="CO61" s="461">
        <v>0.13206248531000001</v>
      </c>
      <c r="CP61" s="160">
        <f t="shared" si="84"/>
        <v>0</v>
      </c>
      <c r="CQ61" s="194">
        <f t="shared" si="72"/>
        <v>0</v>
      </c>
      <c r="CR61" s="14">
        <v>2008</v>
      </c>
      <c r="CS61" s="48">
        <v>1285000</v>
      </c>
      <c r="CT61" s="52">
        <f t="shared" si="73"/>
        <v>1285000</v>
      </c>
      <c r="CU61" s="128">
        <f t="shared" si="74"/>
        <v>881747.29259582877</v>
      </c>
      <c r="CV61" s="134">
        <f t="shared" si="75"/>
        <v>0.45850859214983097</v>
      </c>
      <c r="CW61" s="14">
        <v>2008</v>
      </c>
      <c r="CX61" s="48">
        <v>9495000</v>
      </c>
      <c r="CY61" s="52">
        <f t="shared" si="76"/>
        <v>9495000</v>
      </c>
      <c r="CZ61" s="128">
        <f t="shared" si="77"/>
        <v>6515323.3799201511</v>
      </c>
      <c r="DA61" s="134">
        <f t="shared" si="78"/>
        <v>1.6288308449800379E-2</v>
      </c>
      <c r="DB61" s="16"/>
      <c r="DD61" s="15">
        <v>2008</v>
      </c>
      <c r="DE61" s="51">
        <v>124749000</v>
      </c>
      <c r="DF61" s="48">
        <v>131754000</v>
      </c>
      <c r="DG61" s="53">
        <v>2247000</v>
      </c>
      <c r="DH61" s="53">
        <f t="shared" si="34"/>
        <v>134001000</v>
      </c>
      <c r="DI61" s="48">
        <f t="shared" si="51"/>
        <v>9252000</v>
      </c>
      <c r="DJ61" s="198">
        <f>I61+AJ61+AU61+BF61+BQ61+CB61+T61</f>
        <v>40.165615919541438</v>
      </c>
      <c r="DK61" s="201">
        <f t="shared" si="52"/>
        <v>2.9974116551026811E-7</v>
      </c>
      <c r="DL61" s="473">
        <f t="shared" si="36"/>
        <v>18.444222523521837</v>
      </c>
      <c r="DM61" s="16"/>
      <c r="DP61" s="16"/>
      <c r="EF61" s="18"/>
      <c r="EG61" s="18"/>
      <c r="EH61" s="18"/>
      <c r="EI61" s="19"/>
    </row>
    <row r="62" spans="1:139" ht="15" customHeight="1" thickBot="1">
      <c r="A62" s="10"/>
      <c r="B62" s="150"/>
      <c r="C62" s="392"/>
      <c r="D62" s="151"/>
      <c r="E62" s="151"/>
      <c r="F62" s="151"/>
      <c r="G62" s="151"/>
      <c r="H62" s="677" t="s">
        <v>431</v>
      </c>
      <c r="I62" s="151"/>
      <c r="J62" s="151"/>
      <c r="K62" s="151"/>
      <c r="L62" s="151"/>
      <c r="M62" s="151"/>
      <c r="N62" s="151"/>
      <c r="O62" s="151"/>
      <c r="P62" s="151"/>
      <c r="Q62" s="151"/>
      <c r="R62" s="151"/>
      <c r="S62" s="151"/>
      <c r="T62" s="151"/>
      <c r="U62" s="393"/>
      <c r="V62" s="393"/>
      <c r="W62" s="540"/>
      <c r="AB62" s="150"/>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408"/>
      <c r="CB62" s="151"/>
      <c r="CC62" s="151"/>
      <c r="CD62" s="151"/>
      <c r="CE62" s="540"/>
      <c r="CG62" s="150"/>
      <c r="CH62" s="151"/>
      <c r="CI62" s="151"/>
      <c r="CJ62" s="151"/>
      <c r="CK62" s="151"/>
      <c r="CL62" s="151"/>
      <c r="CM62" s="151"/>
      <c r="CN62" s="151"/>
      <c r="CO62" s="151"/>
      <c r="CP62" s="151"/>
      <c r="CQ62" s="151"/>
      <c r="CR62" s="151"/>
      <c r="CS62" s="151"/>
      <c r="CT62" s="151"/>
      <c r="CU62" s="151"/>
      <c r="CV62" s="151"/>
      <c r="CW62" s="151"/>
      <c r="CX62" s="151"/>
      <c r="CY62" s="151"/>
      <c r="CZ62" s="151"/>
      <c r="DA62" s="151"/>
      <c r="DB62" s="540"/>
      <c r="DD62" s="150"/>
      <c r="DE62" s="151"/>
      <c r="DF62" s="151"/>
      <c r="DG62" s="138"/>
      <c r="DH62" s="151"/>
      <c r="DI62" s="151"/>
      <c r="DJ62" s="151"/>
      <c r="DK62" s="151"/>
      <c r="DL62" s="151"/>
      <c r="DM62" s="540"/>
      <c r="DO62" s="1797"/>
      <c r="DP62" s="1854"/>
    </row>
    <row r="63" spans="1:139" ht="15.75" customHeight="1" thickBot="1">
      <c r="A63" s="10"/>
      <c r="C63" s="14"/>
      <c r="U63" s="387"/>
      <c r="V63" s="387"/>
      <c r="CG63" s="17"/>
      <c r="CH63" s="17"/>
      <c r="CI63" s="17"/>
      <c r="DO63" s="1497"/>
      <c r="DP63" s="1498"/>
    </row>
    <row r="64" spans="1:139">
      <c r="A64" s="10"/>
      <c r="C64" s="14"/>
      <c r="O64" s="8"/>
      <c r="S64" s="1807" t="s">
        <v>685</v>
      </c>
      <c r="T64" s="1808"/>
      <c r="U64" s="387"/>
      <c r="V64" s="387"/>
      <c r="AB64" s="1798" t="s">
        <v>686</v>
      </c>
      <c r="AC64" s="1799"/>
      <c r="AD64" s="1799"/>
      <c r="AE64" s="1799"/>
      <c r="AF64" s="1799"/>
      <c r="AG64" s="1799"/>
      <c r="AH64" s="1799"/>
      <c r="AI64" s="1799"/>
      <c r="AJ64" s="1799"/>
      <c r="AK64" s="1799"/>
      <c r="AL64" s="1799"/>
      <c r="AM64" s="1799"/>
      <c r="AN64" s="1799"/>
      <c r="AO64" s="1800"/>
      <c r="AT64" s="21"/>
      <c r="AU64" s="21"/>
      <c r="AV64" s="17"/>
      <c r="AW64" s="17"/>
      <c r="AX64" s="14"/>
      <c r="AY64" s="40"/>
      <c r="AZ64" s="21"/>
      <c r="BA64" s="21"/>
      <c r="BB64" s="21"/>
      <c r="BC64" s="21"/>
      <c r="BD64" s="21"/>
      <c r="BE64" s="25"/>
      <c r="BF64" s="17"/>
      <c r="BG64" s="17"/>
      <c r="BH64" s="14"/>
      <c r="BI64" s="40"/>
      <c r="BJ64" s="21"/>
      <c r="BK64" s="21"/>
      <c r="BL64" s="21"/>
      <c r="BM64" s="21"/>
      <c r="BN64" s="21"/>
      <c r="BO64" s="17"/>
      <c r="BP64" s="17"/>
      <c r="BQ64" s="17"/>
      <c r="BR64" s="14"/>
      <c r="BS64" s="40"/>
      <c r="BT64" s="21"/>
      <c r="BU64" s="21"/>
      <c r="BV64" s="21"/>
      <c r="BW64" s="21"/>
      <c r="BX64" s="21"/>
      <c r="BY64" s="21"/>
      <c r="BZ64" s="21"/>
      <c r="CR64" s="1817" t="s">
        <v>687</v>
      </c>
      <c r="CS64" s="1818"/>
      <c r="CT64" s="1818"/>
      <c r="CU64" s="1818"/>
      <c r="CV64" s="1818"/>
      <c r="CW64" s="1818"/>
      <c r="CX64" s="1819"/>
      <c r="CY64" s="36"/>
      <c r="CZ64" s="37"/>
      <c r="DA64" s="38"/>
      <c r="DB64" s="19"/>
      <c r="DC64" s="14"/>
      <c r="DD64" s="14"/>
      <c r="DE64" s="14"/>
      <c r="DF64" s="40"/>
      <c r="DG64" s="21"/>
      <c r="DI64" s="21"/>
      <c r="DK64" s="25"/>
      <c r="DL64" s="17"/>
      <c r="DM64" s="17"/>
      <c r="DN64" s="39"/>
      <c r="DO64" s="1497"/>
      <c r="DP64" s="1498"/>
    </row>
    <row r="65" spans="1:120" ht="15" customHeight="1" thickBot="1">
      <c r="A65" s="10"/>
      <c r="C65" s="14"/>
      <c r="O65" s="8"/>
      <c r="S65" s="1809"/>
      <c r="T65" s="1810"/>
      <c r="U65" s="387"/>
      <c r="V65" s="387"/>
      <c r="AB65" s="10"/>
      <c r="AO65" s="7"/>
      <c r="AS65" s="21"/>
      <c r="AT65" s="21"/>
      <c r="AU65" s="17"/>
      <c r="AV65" s="17"/>
      <c r="AW65" s="14"/>
      <c r="AX65" s="40"/>
      <c r="AY65" s="21"/>
      <c r="AZ65" s="21"/>
      <c r="BA65" s="21"/>
      <c r="BB65" s="21"/>
      <c r="BC65" s="21"/>
      <c r="BD65" s="25"/>
      <c r="BE65" s="17"/>
      <c r="BF65" s="17"/>
      <c r="BG65" s="14"/>
      <c r="BH65" s="40"/>
      <c r="BI65" s="21"/>
      <c r="BJ65" s="21"/>
      <c r="BK65" s="21"/>
      <c r="BL65" s="21"/>
      <c r="BM65" s="21"/>
      <c r="BN65" s="17"/>
      <c r="BO65" s="17"/>
      <c r="BP65" s="17"/>
      <c r="BQ65" s="14"/>
      <c r="BR65" s="40"/>
      <c r="BS65" s="21"/>
      <c r="BT65" s="21"/>
      <c r="BU65" s="21"/>
      <c r="BV65" s="21"/>
      <c r="BW65" s="21"/>
      <c r="BX65" s="21"/>
      <c r="BY65" s="21"/>
      <c r="CR65" s="1816" t="s">
        <v>688</v>
      </c>
      <c r="CS65" s="1793"/>
      <c r="CT65" s="1793"/>
      <c r="CU65" s="1793"/>
      <c r="CV65" s="1793"/>
      <c r="CW65" s="1793"/>
      <c r="CX65" s="1794"/>
      <c r="DJ65" s="25"/>
      <c r="DK65" s="17"/>
      <c r="DL65" s="17"/>
      <c r="DM65" s="39"/>
      <c r="DN65" s="39"/>
      <c r="DO65" s="1497"/>
      <c r="DP65" s="1498"/>
    </row>
    <row r="66" spans="1:120" ht="15" customHeight="1">
      <c r="A66" s="10"/>
      <c r="C66" s="14"/>
      <c r="O66" s="8"/>
      <c r="S66" s="1811"/>
      <c r="T66" s="1812"/>
      <c r="U66" s="387"/>
      <c r="V66" s="388"/>
      <c r="AB66" s="10"/>
      <c r="AC66" s="1804" t="s">
        <v>689</v>
      </c>
      <c r="AD66" s="1805"/>
      <c r="AE66" s="1805"/>
      <c r="AF66" s="1805"/>
      <c r="AG66" s="1806"/>
      <c r="AI66" s="1798" t="s">
        <v>690</v>
      </c>
      <c r="AJ66" s="1799"/>
      <c r="AK66" s="1799"/>
      <c r="AL66" s="1799"/>
      <c r="AM66" s="1799"/>
      <c r="AN66" s="1800"/>
      <c r="AO66" s="7"/>
      <c r="AS66" s="21"/>
      <c r="AT66" s="25"/>
      <c r="AU66" s="17"/>
      <c r="AV66" s="17"/>
      <c r="AW66" s="14"/>
      <c r="AX66" s="40"/>
      <c r="AY66" s="21"/>
      <c r="AZ66" s="21"/>
      <c r="BA66" s="21"/>
      <c r="BB66" s="21"/>
      <c r="BC66" s="21"/>
      <c r="BD66" s="25"/>
      <c r="BE66" s="17"/>
      <c r="BF66" s="17"/>
      <c r="BG66" s="14"/>
      <c r="BH66" s="40"/>
      <c r="BI66" s="21"/>
      <c r="BJ66" s="21"/>
      <c r="BK66" s="21"/>
      <c r="BL66" s="21"/>
      <c r="BM66" s="21"/>
      <c r="BN66" s="25"/>
      <c r="BO66" s="17"/>
      <c r="BP66" s="17"/>
      <c r="BQ66" s="14"/>
      <c r="BR66" s="40"/>
      <c r="BS66" s="21"/>
      <c r="BT66" s="21"/>
      <c r="BU66" s="21"/>
      <c r="BV66" s="21"/>
      <c r="BW66" s="21"/>
      <c r="BX66" s="21"/>
      <c r="BY66" s="21"/>
      <c r="CR66" s="1476"/>
      <c r="CS66" s="1499"/>
      <c r="CT66" s="1499"/>
      <c r="CU66" s="1499"/>
      <c r="CV66" s="1499"/>
      <c r="CW66" s="1499"/>
      <c r="CX66" s="1500"/>
      <c r="DJ66" s="25"/>
      <c r="DK66" s="17"/>
      <c r="DL66" s="17"/>
      <c r="DM66" s="39"/>
      <c r="DN66" s="39"/>
      <c r="DP66" s="7"/>
    </row>
    <row r="67" spans="1:120" ht="15" customHeight="1">
      <c r="A67" s="10"/>
      <c r="C67" s="14"/>
      <c r="O67" s="8"/>
      <c r="S67" s="167"/>
      <c r="T67" s="475" t="s">
        <v>691</v>
      </c>
      <c r="U67" s="387"/>
      <c r="V67" s="388"/>
      <c r="AB67" s="10"/>
      <c r="AC67" s="10"/>
      <c r="AD67" s="174" t="s">
        <v>692</v>
      </c>
      <c r="AE67" s="174"/>
      <c r="AF67" s="174"/>
      <c r="AG67" s="7"/>
      <c r="AI67" s="10"/>
      <c r="AN67" s="7"/>
      <c r="AO67" s="7"/>
      <c r="AS67" s="21"/>
      <c r="AT67" s="25"/>
      <c r="AU67" s="17"/>
      <c r="AV67" s="17"/>
      <c r="AW67" s="14"/>
      <c r="AX67" s="40"/>
      <c r="AY67" s="21"/>
      <c r="AZ67" s="21"/>
      <c r="BA67" s="21"/>
      <c r="BB67" s="21"/>
      <c r="BC67" s="21"/>
      <c r="BD67" s="25"/>
      <c r="BE67" s="17"/>
      <c r="BF67" s="17"/>
      <c r="BG67" s="14"/>
      <c r="BH67" s="40"/>
      <c r="BI67" s="21"/>
      <c r="BJ67" s="21"/>
      <c r="BK67" s="21"/>
      <c r="BL67" s="21"/>
      <c r="BM67" s="21"/>
      <c r="BN67" s="25"/>
      <c r="BO67" s="17"/>
      <c r="BP67" s="17"/>
      <c r="BQ67" s="14"/>
      <c r="BR67" s="40"/>
      <c r="BS67" s="21"/>
      <c r="BT67" s="21"/>
      <c r="BU67" s="21"/>
      <c r="BV67" s="21"/>
      <c r="BW67" s="21"/>
      <c r="BX67" s="21"/>
      <c r="BY67" s="21"/>
      <c r="CR67" s="1477"/>
      <c r="CS67" s="1792" t="s">
        <v>624</v>
      </c>
      <c r="CT67" s="1793"/>
      <c r="CU67" s="1795"/>
      <c r="CV67" s="1792" t="s">
        <v>693</v>
      </c>
      <c r="CW67" s="1793"/>
      <c r="CX67" s="1794"/>
      <c r="DJ67" s="25"/>
      <c r="DK67" s="17"/>
      <c r="DL67" s="17"/>
      <c r="DM67" s="39"/>
      <c r="DN67" s="39"/>
      <c r="DP67" s="7"/>
    </row>
    <row r="68" spans="1:120" ht="15" customHeight="1">
      <c r="A68" s="10"/>
      <c r="C68" s="14"/>
      <c r="O68" s="8"/>
      <c r="S68" s="167">
        <v>1990</v>
      </c>
      <c r="T68" s="168">
        <f>T69</f>
        <v>1.227793938793343E-7</v>
      </c>
      <c r="W68" s="22"/>
      <c r="X68" s="22"/>
      <c r="Y68" s="22"/>
      <c r="Z68" s="22"/>
      <c r="AA68" s="22"/>
      <c r="AB68" s="10"/>
      <c r="AC68" s="10"/>
      <c r="AD68" s="174" t="s">
        <v>694</v>
      </c>
      <c r="AE68" s="174"/>
      <c r="AF68" s="174"/>
      <c r="AG68" s="7"/>
      <c r="AI68" s="10"/>
      <c r="AN68" s="7"/>
      <c r="AO68" s="7"/>
      <c r="AS68" s="21"/>
      <c r="AT68" s="25"/>
      <c r="AU68" s="17"/>
      <c r="AV68" s="17"/>
      <c r="AW68" s="14"/>
      <c r="AX68" s="40"/>
      <c r="AY68" s="21"/>
      <c r="AZ68" s="21"/>
      <c r="BA68" s="21"/>
      <c r="BB68" s="21"/>
      <c r="BC68" s="21"/>
      <c r="BD68" s="25"/>
      <c r="BE68" s="17"/>
      <c r="BF68" s="17"/>
      <c r="BG68" s="14"/>
      <c r="BH68" s="40"/>
      <c r="BI68" s="21"/>
      <c r="BJ68" s="21"/>
      <c r="BK68" s="21"/>
      <c r="BL68" s="21"/>
      <c r="BM68" s="21"/>
      <c r="BN68" s="25"/>
      <c r="BO68" s="17"/>
      <c r="BP68" s="17"/>
      <c r="BQ68" s="14"/>
      <c r="BR68" s="40"/>
      <c r="BS68" s="21"/>
      <c r="BT68" s="21"/>
      <c r="BU68" s="21"/>
      <c r="BV68" s="21"/>
      <c r="BW68" s="21"/>
      <c r="BX68" s="21"/>
      <c r="BY68" s="21"/>
      <c r="CR68" s="171"/>
      <c r="CS68" s="1478" t="s">
        <v>695</v>
      </c>
      <c r="CT68" s="1479" t="s">
        <v>696</v>
      </c>
      <c r="CU68" s="1480"/>
      <c r="CV68" s="1478" t="s">
        <v>695</v>
      </c>
      <c r="CW68" s="1479" t="s">
        <v>696</v>
      </c>
      <c r="CX68" s="1481"/>
      <c r="DJ68" s="25"/>
      <c r="DK68" s="17"/>
      <c r="DL68" s="17"/>
      <c r="DM68" s="39"/>
      <c r="DN68" s="39"/>
      <c r="DP68" s="7"/>
    </row>
    <row r="69" spans="1:120">
      <c r="A69" s="10"/>
      <c r="C69" s="14"/>
      <c r="O69" s="8"/>
      <c r="S69" s="167">
        <v>1991</v>
      </c>
      <c r="T69" s="168">
        <f>T70</f>
        <v>1.227793938793343E-7</v>
      </c>
      <c r="W69" s="22"/>
      <c r="X69" s="22"/>
      <c r="Y69" s="22"/>
      <c r="Z69" s="22"/>
      <c r="AA69" s="22"/>
      <c r="AB69" s="10"/>
      <c r="AC69" s="10"/>
      <c r="AG69" s="7"/>
      <c r="AI69" s="10"/>
      <c r="AJ69" s="1801" t="s">
        <v>697</v>
      </c>
      <c r="AK69" s="1801" t="s">
        <v>698</v>
      </c>
      <c r="AL69" s="1801" t="s">
        <v>699</v>
      </c>
      <c r="AM69" s="1801" t="s">
        <v>700</v>
      </c>
      <c r="AN69" s="7"/>
      <c r="AO69" s="7"/>
      <c r="AS69" s="21"/>
      <c r="AT69" s="25"/>
      <c r="AU69" s="17"/>
      <c r="AV69" s="17"/>
      <c r="AW69" s="14"/>
      <c r="AX69" s="40"/>
      <c r="AY69" s="21"/>
      <c r="AZ69" s="21"/>
      <c r="BA69" s="21"/>
      <c r="BB69" s="21"/>
      <c r="BC69" s="21"/>
      <c r="BD69" s="25"/>
      <c r="BE69" s="17"/>
      <c r="BF69" s="17"/>
      <c r="BG69" s="14"/>
      <c r="BH69" s="40"/>
      <c r="BI69" s="21"/>
      <c r="BJ69" s="21"/>
      <c r="BK69" s="21"/>
      <c r="BL69" s="21"/>
      <c r="BM69" s="21"/>
      <c r="BN69" s="25"/>
      <c r="BO69" s="17"/>
      <c r="BP69" s="17"/>
      <c r="BQ69" s="14"/>
      <c r="BR69" s="40"/>
      <c r="BS69" s="21"/>
      <c r="BT69" s="21"/>
      <c r="BU69" s="21"/>
      <c r="BV69" s="21"/>
      <c r="BW69" s="21"/>
      <c r="BX69" s="21"/>
      <c r="BY69" s="21"/>
      <c r="CR69" s="171">
        <v>1990</v>
      </c>
      <c r="CS69" s="586">
        <v>13</v>
      </c>
      <c r="CT69" s="1482">
        <f>(CS69/1000000000000)*1000</f>
        <v>1.3000000000000001E-8</v>
      </c>
      <c r="CU69" s="1483"/>
      <c r="CV69" s="586">
        <v>370</v>
      </c>
      <c r="CW69" s="1482">
        <f>(CV69/1000000000000)*1000</f>
        <v>3.7E-7</v>
      </c>
      <c r="CX69" s="385"/>
      <c r="DJ69" s="25"/>
      <c r="DK69" s="17"/>
      <c r="DL69" s="17"/>
      <c r="DM69" s="39"/>
      <c r="DN69" s="39"/>
      <c r="DP69" s="7"/>
    </row>
    <row r="70" spans="1:120" ht="15" customHeight="1">
      <c r="A70" s="10"/>
      <c r="O70" s="8"/>
      <c r="S70" s="167">
        <v>1992</v>
      </c>
      <c r="T70" s="168">
        <f t="shared" ref="T70:T76" si="85">T71</f>
        <v>1.227793938793343E-7</v>
      </c>
      <c r="W70" s="22"/>
      <c r="X70" s="22"/>
      <c r="Y70" s="22"/>
      <c r="Z70" s="22"/>
      <c r="AA70" s="22"/>
      <c r="AB70" s="10"/>
      <c r="AC70" s="10"/>
      <c r="AG70" s="7"/>
      <c r="AI70" s="10"/>
      <c r="AJ70" s="1802"/>
      <c r="AK70" s="1802"/>
      <c r="AL70" s="1802"/>
      <c r="AM70" s="1802"/>
      <c r="AN70" s="7"/>
      <c r="AO70" s="7"/>
      <c r="AS70" s="21"/>
      <c r="AT70" s="25"/>
      <c r="AU70" s="17"/>
      <c r="AV70" s="17"/>
      <c r="AW70" s="14"/>
      <c r="AX70" s="40"/>
      <c r="AY70" s="21"/>
      <c r="AZ70" s="21"/>
      <c r="BA70" s="21"/>
      <c r="BB70" s="21"/>
      <c r="BC70" s="21"/>
      <c r="BD70" s="25"/>
      <c r="BE70" s="17"/>
      <c r="BF70" s="17"/>
      <c r="BG70" s="14"/>
      <c r="BH70" s="40"/>
      <c r="BI70" s="21"/>
      <c r="BJ70" s="21"/>
      <c r="BK70" s="21"/>
      <c r="BL70" s="21"/>
      <c r="BM70" s="21"/>
      <c r="BN70" s="25"/>
      <c r="BO70" s="17"/>
      <c r="BP70" s="17"/>
      <c r="BQ70" s="14"/>
      <c r="BR70" s="40"/>
      <c r="BS70" s="21"/>
      <c r="BT70" s="21"/>
      <c r="BU70" s="21"/>
      <c r="BV70" s="21"/>
      <c r="BW70" s="21"/>
      <c r="BX70" s="21"/>
      <c r="BY70" s="21"/>
      <c r="CO70" s="14"/>
      <c r="CR70" s="171">
        <v>1991</v>
      </c>
      <c r="CS70" s="172">
        <v>4</v>
      </c>
      <c r="CT70" s="1482">
        <f t="shared" ref="CT70:CT87" si="86">(CS70/1000000000000)*1000</f>
        <v>4.0000000000000002E-9</v>
      </c>
      <c r="CU70" s="1484"/>
      <c r="CV70" s="172">
        <v>350</v>
      </c>
      <c r="CW70" s="1482">
        <f t="shared" ref="CW70:CW87" si="87">(CV70/1000000000000)*1000</f>
        <v>3.4999999999999998E-7</v>
      </c>
      <c r="CX70" s="1485"/>
      <c r="DJ70" s="25"/>
      <c r="DK70" s="17"/>
      <c r="DL70" s="17"/>
      <c r="DM70" s="39"/>
      <c r="DN70" s="39"/>
      <c r="DP70" s="7"/>
    </row>
    <row r="71" spans="1:120">
      <c r="A71" s="10"/>
      <c r="O71" s="8"/>
      <c r="S71" s="167">
        <v>1993</v>
      </c>
      <c r="T71" s="168">
        <f t="shared" si="85"/>
        <v>1.227793938793343E-7</v>
      </c>
      <c r="X71" s="22"/>
      <c r="Y71" s="22"/>
      <c r="Z71" s="22"/>
      <c r="AA71" s="22"/>
      <c r="AB71" s="10"/>
      <c r="AC71" s="10"/>
      <c r="AE71" s="175" t="s">
        <v>701</v>
      </c>
      <c r="AF71" s="175" t="s">
        <v>702</v>
      </c>
      <c r="AG71" s="7"/>
      <c r="AI71" s="10"/>
      <c r="AJ71" s="1803"/>
      <c r="AK71" s="1803"/>
      <c r="AL71" s="1803"/>
      <c r="AM71" s="1802"/>
      <c r="AN71" s="7"/>
      <c r="AO71" s="7"/>
      <c r="AS71" s="21"/>
      <c r="AT71" s="14"/>
      <c r="AU71" s="17"/>
      <c r="AV71" s="17"/>
      <c r="AW71" s="14"/>
      <c r="AX71" s="40"/>
      <c r="AY71" s="21"/>
      <c r="AZ71" s="21"/>
      <c r="BA71" s="21"/>
      <c r="BB71" s="21"/>
      <c r="BC71" s="21"/>
      <c r="BD71" s="14"/>
      <c r="BE71" s="17"/>
      <c r="BF71" s="17"/>
      <c r="BG71" s="14"/>
      <c r="BH71" s="40"/>
      <c r="BI71" s="21"/>
      <c r="BJ71" s="21"/>
      <c r="BK71" s="21"/>
      <c r="BL71" s="21"/>
      <c r="BM71" s="21"/>
      <c r="BN71" s="14"/>
      <c r="BO71" s="17"/>
      <c r="BP71" s="17"/>
      <c r="BQ71" s="14"/>
      <c r="BR71" s="40"/>
      <c r="BS71" s="21"/>
      <c r="BT71" s="21"/>
      <c r="BU71" s="21"/>
      <c r="BV71" s="21"/>
      <c r="BW71" s="21"/>
      <c r="BX71" s="21"/>
      <c r="BY71" s="21"/>
      <c r="CO71" s="14"/>
      <c r="CR71" s="171">
        <v>1992</v>
      </c>
      <c r="CS71" s="172">
        <v>7</v>
      </c>
      <c r="CT71" s="1482">
        <f t="shared" si="86"/>
        <v>6.9999999999999998E-9</v>
      </c>
      <c r="CU71" s="1484"/>
      <c r="CV71" s="172">
        <v>391</v>
      </c>
      <c r="CW71" s="1482">
        <f t="shared" si="87"/>
        <v>3.9099999999999999E-7</v>
      </c>
      <c r="CX71" s="1485"/>
      <c r="DJ71" s="14"/>
      <c r="DK71" s="14"/>
      <c r="DL71" s="14"/>
      <c r="DM71" s="39"/>
      <c r="DN71" s="39"/>
      <c r="DP71" s="7"/>
    </row>
    <row r="72" spans="1:120">
      <c r="A72" s="10"/>
      <c r="O72" s="8"/>
      <c r="S72" s="167">
        <v>1994</v>
      </c>
      <c r="T72" s="168">
        <f t="shared" si="85"/>
        <v>1.227793938793343E-7</v>
      </c>
      <c r="AB72" s="10"/>
      <c r="AC72" s="10"/>
      <c r="AE72" s="175" t="s">
        <v>149</v>
      </c>
      <c r="AF72" s="175" t="s">
        <v>149</v>
      </c>
      <c r="AG72" s="7"/>
      <c r="AI72" s="10"/>
      <c r="AJ72" s="175" t="s">
        <v>149</v>
      </c>
      <c r="AK72" s="175" t="s">
        <v>149</v>
      </c>
      <c r="AL72" s="175" t="s">
        <v>149</v>
      </c>
      <c r="AM72" s="1803"/>
      <c r="AN72" s="7"/>
      <c r="AO72" s="7"/>
      <c r="AS72" s="21"/>
      <c r="AT72" s="14"/>
      <c r="AU72" s="17"/>
      <c r="AV72" s="17"/>
      <c r="AW72" s="14"/>
      <c r="AX72" s="40"/>
      <c r="AY72" s="21"/>
      <c r="AZ72" s="21"/>
      <c r="BA72" s="21"/>
      <c r="BB72" s="21"/>
      <c r="BC72" s="21"/>
      <c r="BD72" s="14"/>
      <c r="BE72" s="17"/>
      <c r="BF72" s="17"/>
      <c r="BG72" s="14"/>
      <c r="BH72" s="40"/>
      <c r="BI72" s="21"/>
      <c r="BJ72" s="21"/>
      <c r="BK72" s="21"/>
      <c r="BL72" s="21"/>
      <c r="BM72" s="21"/>
      <c r="BN72" s="14"/>
      <c r="BO72" s="17"/>
      <c r="BP72" s="17"/>
      <c r="BQ72" s="14"/>
      <c r="BR72" s="40"/>
      <c r="BS72" s="21"/>
      <c r="BT72" s="21"/>
      <c r="BU72" s="21"/>
      <c r="BV72" s="21"/>
      <c r="BW72" s="21"/>
      <c r="BX72" s="21"/>
      <c r="BY72" s="21"/>
      <c r="CO72" s="14"/>
      <c r="CR72" s="171">
        <v>1993</v>
      </c>
      <c r="CS72" s="172">
        <v>2</v>
      </c>
      <c r="CT72" s="1482">
        <f t="shared" si="86"/>
        <v>2.0000000000000001E-9</v>
      </c>
      <c r="CU72" s="1484"/>
      <c r="CV72" s="172">
        <v>346</v>
      </c>
      <c r="CW72" s="1482">
        <f t="shared" si="87"/>
        <v>3.46E-7</v>
      </c>
      <c r="CX72" s="1485"/>
      <c r="DJ72" s="14"/>
      <c r="DK72" s="14"/>
      <c r="DL72" s="14"/>
      <c r="DM72" s="39"/>
      <c r="DN72" s="39"/>
      <c r="DP72" s="7"/>
    </row>
    <row r="73" spans="1:120">
      <c r="A73" s="10"/>
      <c r="O73" s="8"/>
      <c r="S73" s="167">
        <v>1995</v>
      </c>
      <c r="T73" s="168">
        <f t="shared" si="85"/>
        <v>1.227793938793343E-7</v>
      </c>
      <c r="AB73" s="10"/>
      <c r="AC73" s="10"/>
      <c r="AD73">
        <v>2000</v>
      </c>
      <c r="AE73" s="477">
        <v>829646.93900000013</v>
      </c>
      <c r="AF73" s="477">
        <v>666581.63500000001</v>
      </c>
      <c r="AG73" s="7"/>
      <c r="AI73" s="10">
        <v>2000</v>
      </c>
      <c r="AJ73" s="477">
        <f>AF73</f>
        <v>666581.63500000001</v>
      </c>
      <c r="AK73" s="477">
        <f t="shared" ref="AK73:AK81" si="88">AC53</f>
        <v>10355000</v>
      </c>
      <c r="AL73" s="176">
        <f>AJ73+AK73</f>
        <v>11021581.635</v>
      </c>
      <c r="AM73" s="177">
        <f>(AK73/AL73)</f>
        <v>0.9395203286538103</v>
      </c>
      <c r="AN73" s="7"/>
      <c r="AO73" s="7"/>
      <c r="AV73" s="1"/>
      <c r="CO73" s="14"/>
      <c r="CR73" s="171">
        <v>1994</v>
      </c>
      <c r="CS73" s="172">
        <v>3</v>
      </c>
      <c r="CT73" s="1482">
        <f t="shared" si="86"/>
        <v>3E-9</v>
      </c>
      <c r="CU73" s="1484"/>
      <c r="CV73" s="172">
        <v>392</v>
      </c>
      <c r="CW73" s="1482">
        <f t="shared" si="87"/>
        <v>3.9200000000000002E-7</v>
      </c>
      <c r="CX73" s="1485"/>
      <c r="DP73" s="7"/>
    </row>
    <row r="74" spans="1:120" ht="15">
      <c r="A74" s="10"/>
      <c r="O74" s="8"/>
      <c r="S74" s="167">
        <v>1996</v>
      </c>
      <c r="T74" s="168">
        <f t="shared" si="85"/>
        <v>1.227793938793343E-7</v>
      </c>
      <c r="AB74" s="10"/>
      <c r="AC74" s="10"/>
      <c r="AD74">
        <v>2001</v>
      </c>
      <c r="AE74" s="477">
        <v>815124.71154505084</v>
      </c>
      <c r="AF74" s="477">
        <v>658577.15954505093</v>
      </c>
      <c r="AG74" s="7"/>
      <c r="AI74" s="10">
        <v>2001</v>
      </c>
      <c r="AJ74" s="477">
        <f t="shared" ref="AJ74:AJ81" si="89">AF74</f>
        <v>658577.15954505093</v>
      </c>
      <c r="AK74" s="477">
        <f t="shared" si="88"/>
        <v>15669000</v>
      </c>
      <c r="AL74" s="176">
        <f t="shared" ref="AL74:AL81" si="90">AJ74+AK74</f>
        <v>16327577.159545051</v>
      </c>
      <c r="AM74" s="177">
        <f t="shared" ref="AM74:AM81" si="91">(AK74/AL74)</f>
        <v>0.95966473450961165</v>
      </c>
      <c r="AN74" s="178"/>
      <c r="AO74" s="7"/>
      <c r="CO74" s="14"/>
      <c r="CR74" s="171">
        <v>1995</v>
      </c>
      <c r="CS74" s="172">
        <v>2</v>
      </c>
      <c r="CT74" s="1482">
        <f t="shared" si="86"/>
        <v>2.0000000000000001E-9</v>
      </c>
      <c r="CU74" s="1484"/>
      <c r="CV74" s="172">
        <v>550</v>
      </c>
      <c r="CW74" s="1482">
        <f t="shared" si="87"/>
        <v>5.4999999999999992E-7</v>
      </c>
      <c r="CX74" s="1485"/>
      <c r="DP74" s="7"/>
    </row>
    <row r="75" spans="1:120" ht="15">
      <c r="A75" s="10"/>
      <c r="O75" s="8"/>
      <c r="S75" s="167">
        <v>1997</v>
      </c>
      <c r="T75" s="168">
        <f t="shared" si="85"/>
        <v>1.227793938793343E-7</v>
      </c>
      <c r="AB75" s="10"/>
      <c r="AC75" s="10"/>
      <c r="AD75">
        <v>2002</v>
      </c>
      <c r="AE75" s="477">
        <v>822909.04200000002</v>
      </c>
      <c r="AF75" s="477">
        <v>542465.15499999991</v>
      </c>
      <c r="AG75" s="7"/>
      <c r="AI75" s="10">
        <v>2002</v>
      </c>
      <c r="AJ75" s="477">
        <f t="shared" si="89"/>
        <v>542465.15499999991</v>
      </c>
      <c r="AK75" s="477">
        <f t="shared" si="88"/>
        <v>16065000</v>
      </c>
      <c r="AL75" s="176">
        <f t="shared" si="90"/>
        <v>16607465.154999999</v>
      </c>
      <c r="AM75" s="177">
        <f t="shared" si="91"/>
        <v>0.96733606544183059</v>
      </c>
      <c r="AN75" s="179"/>
      <c r="AO75" s="178"/>
      <c r="AV75" s="1"/>
      <c r="BB75" s="8"/>
      <c r="BL75" s="8"/>
      <c r="BX75" s="8"/>
      <c r="CO75" s="14"/>
      <c r="CR75" s="171">
        <v>1996</v>
      </c>
      <c r="CS75" s="172">
        <v>2</v>
      </c>
      <c r="CT75" s="1482">
        <f t="shared" si="86"/>
        <v>2.0000000000000001E-9</v>
      </c>
      <c r="CU75" s="1484"/>
      <c r="CV75" s="172">
        <v>393</v>
      </c>
      <c r="CW75" s="1482">
        <f t="shared" si="87"/>
        <v>3.9299999999999999E-7</v>
      </c>
      <c r="CX75" s="1485"/>
      <c r="DP75" s="7"/>
    </row>
    <row r="76" spans="1:120" ht="15">
      <c r="A76" s="10"/>
      <c r="O76" s="8"/>
      <c r="S76" s="167">
        <v>1998</v>
      </c>
      <c r="T76" s="168">
        <f t="shared" si="85"/>
        <v>1.227793938793343E-7</v>
      </c>
      <c r="AB76" s="10"/>
      <c r="AC76" s="10"/>
      <c r="AD76">
        <v>2003</v>
      </c>
      <c r="AE76" s="477">
        <v>836046.36118000001</v>
      </c>
      <c r="AF76" s="477">
        <v>509342.99719999998</v>
      </c>
      <c r="AG76" s="7"/>
      <c r="AI76" s="10">
        <v>2003</v>
      </c>
      <c r="AJ76" s="477">
        <f t="shared" si="89"/>
        <v>509342.99719999998</v>
      </c>
      <c r="AK76" s="477">
        <f t="shared" si="88"/>
        <v>14736000</v>
      </c>
      <c r="AL76" s="176">
        <f t="shared" si="90"/>
        <v>15245342.997199999</v>
      </c>
      <c r="AM76" s="177">
        <f t="shared" si="91"/>
        <v>0.96659025662502007</v>
      </c>
      <c r="AN76" s="179"/>
      <c r="AO76" s="179"/>
      <c r="AV76" s="1"/>
      <c r="BB76" s="8"/>
      <c r="BL76" s="8"/>
      <c r="BX76" s="8"/>
      <c r="CO76" s="14"/>
      <c r="CR76" s="171">
        <v>1997</v>
      </c>
      <c r="CS76" s="172">
        <v>2</v>
      </c>
      <c r="CT76" s="1482">
        <f t="shared" si="86"/>
        <v>2.0000000000000001E-9</v>
      </c>
      <c r="CU76" s="1484"/>
      <c r="CV76" s="172">
        <v>513</v>
      </c>
      <c r="CW76" s="1482">
        <f t="shared" si="87"/>
        <v>5.13E-7</v>
      </c>
      <c r="CX76" s="1485"/>
      <c r="DP76" s="7"/>
    </row>
    <row r="77" spans="1:120" ht="15">
      <c r="A77" s="10"/>
      <c r="O77" s="8"/>
      <c r="S77" s="167">
        <v>1999</v>
      </c>
      <c r="T77" s="169">
        <f>AVERAGE(T78:T86)</f>
        <v>1.227793938793343E-7</v>
      </c>
      <c r="AB77" s="10"/>
      <c r="AC77" s="10"/>
      <c r="AD77">
        <v>2004</v>
      </c>
      <c r="AE77" s="477">
        <v>849760.31013</v>
      </c>
      <c r="AF77" s="477">
        <v>526509.60699999996</v>
      </c>
      <c r="AG77" s="7"/>
      <c r="AI77" s="10">
        <v>2004</v>
      </c>
      <c r="AJ77" s="477">
        <f t="shared" si="89"/>
        <v>526509.60699999996</v>
      </c>
      <c r="AK77" s="477">
        <f t="shared" si="88"/>
        <v>14747000</v>
      </c>
      <c r="AL77" s="176">
        <f t="shared" si="90"/>
        <v>15273509.607000001</v>
      </c>
      <c r="AM77" s="177">
        <f t="shared" si="91"/>
        <v>0.96552792249145569</v>
      </c>
      <c r="AN77" s="179"/>
      <c r="AO77" s="179"/>
      <c r="AV77" s="1"/>
      <c r="BB77" s="8"/>
      <c r="BL77" s="8"/>
      <c r="BX77" s="8"/>
      <c r="CO77" s="14"/>
      <c r="CR77" s="171">
        <v>1998</v>
      </c>
      <c r="CS77" s="172">
        <v>10</v>
      </c>
      <c r="CT77" s="1482">
        <f t="shared" si="86"/>
        <v>1E-8</v>
      </c>
      <c r="CU77" s="1484"/>
      <c r="CV77" s="172">
        <v>512</v>
      </c>
      <c r="CW77" s="1482">
        <f t="shared" si="87"/>
        <v>5.1200000000000003E-7</v>
      </c>
      <c r="CX77" s="1485"/>
      <c r="DP77" s="7"/>
    </row>
    <row r="78" spans="1:120" ht="15">
      <c r="A78" s="10"/>
      <c r="O78" s="8"/>
      <c r="S78" s="167">
        <v>2000</v>
      </c>
      <c r="T78" s="169">
        <f t="shared" ref="T78:T85" si="92">T53/N53</f>
        <v>1.6642101323919988E-7</v>
      </c>
      <c r="AB78" s="10"/>
      <c r="AC78" s="10"/>
      <c r="AD78">
        <v>2005</v>
      </c>
      <c r="AE78" s="477">
        <v>824351.04229748168</v>
      </c>
      <c r="AF78" s="477">
        <v>716583.05599999998</v>
      </c>
      <c r="AG78" s="7"/>
      <c r="AI78" s="10">
        <v>2005</v>
      </c>
      <c r="AJ78" s="477">
        <f t="shared" si="89"/>
        <v>716583.05599999998</v>
      </c>
      <c r="AK78" s="477">
        <f t="shared" si="88"/>
        <v>14249000</v>
      </c>
      <c r="AL78" s="176">
        <f t="shared" si="90"/>
        <v>14965583.056</v>
      </c>
      <c r="AM78" s="177">
        <f t="shared" si="91"/>
        <v>0.9521179326379331</v>
      </c>
      <c r="AN78" s="179"/>
      <c r="AO78" s="179"/>
      <c r="AV78" s="1"/>
      <c r="BB78" s="8"/>
      <c r="BL78" s="8"/>
      <c r="BX78" s="8"/>
      <c r="CO78" s="14"/>
      <c r="CR78" s="171">
        <v>1999</v>
      </c>
      <c r="CS78" s="172">
        <v>6</v>
      </c>
      <c r="CT78" s="1482">
        <f t="shared" si="86"/>
        <v>6E-9</v>
      </c>
      <c r="CU78" s="1484"/>
      <c r="CV78" s="172">
        <v>453</v>
      </c>
      <c r="CW78" s="1482">
        <f t="shared" si="87"/>
        <v>4.5299999999999999E-7</v>
      </c>
      <c r="CX78" s="1485"/>
      <c r="DP78" s="7"/>
    </row>
    <row r="79" spans="1:120" ht="15">
      <c r="A79" s="10"/>
      <c r="O79" s="8"/>
      <c r="S79" s="167">
        <v>2001</v>
      </c>
      <c r="T79" s="169">
        <f t="shared" si="92"/>
        <v>2.2270579626385133E-7</v>
      </c>
      <c r="AB79" s="10"/>
      <c r="AC79" s="10"/>
      <c r="AD79">
        <v>2006</v>
      </c>
      <c r="AE79" s="477">
        <v>823009.48577189061</v>
      </c>
      <c r="AF79" s="477">
        <v>769958.73</v>
      </c>
      <c r="AG79" s="7"/>
      <c r="AI79" s="10">
        <v>2006</v>
      </c>
      <c r="AJ79" s="477">
        <f t="shared" si="89"/>
        <v>769958.73</v>
      </c>
      <c r="AK79" s="477">
        <f t="shared" si="88"/>
        <v>12024000</v>
      </c>
      <c r="AL79" s="176">
        <f t="shared" si="90"/>
        <v>12793958.73</v>
      </c>
      <c r="AM79" s="177">
        <f t="shared" si="91"/>
        <v>0.93981857013540637</v>
      </c>
      <c r="AN79" s="179"/>
      <c r="AO79" s="179"/>
      <c r="AV79" s="1"/>
      <c r="BB79" s="8"/>
      <c r="BL79" s="8"/>
      <c r="BX79" s="8"/>
      <c r="CO79" s="14"/>
      <c r="CR79" s="171">
        <v>2000</v>
      </c>
      <c r="CS79" s="172">
        <v>3.6</v>
      </c>
      <c r="CT79" s="1482">
        <f t="shared" si="86"/>
        <v>3.6E-9</v>
      </c>
      <c r="CU79" s="1484"/>
      <c r="CV79" s="172">
        <v>490</v>
      </c>
      <c r="CW79" s="1482">
        <f t="shared" si="87"/>
        <v>4.8999999999999997E-7</v>
      </c>
      <c r="CX79" s="379"/>
      <c r="DP79" s="7"/>
    </row>
    <row r="80" spans="1:120" ht="15">
      <c r="A80" s="10"/>
      <c r="O80" s="8"/>
      <c r="S80" s="167">
        <v>2002</v>
      </c>
      <c r="T80" s="169">
        <f>T55/N55</f>
        <v>1.5091645470553708E-7</v>
      </c>
      <c r="AB80" s="10"/>
      <c r="AC80" s="10"/>
      <c r="AD80">
        <v>2007</v>
      </c>
      <c r="AE80" s="477">
        <v>816978.36386924994</v>
      </c>
      <c r="AF80" s="477">
        <v>748969.39799999981</v>
      </c>
      <c r="AG80" s="7"/>
      <c r="AI80" s="10">
        <v>2007</v>
      </c>
      <c r="AJ80" s="477">
        <f t="shared" si="89"/>
        <v>748969.39799999981</v>
      </c>
      <c r="AK80" s="477">
        <f t="shared" si="88"/>
        <v>11551000</v>
      </c>
      <c r="AL80" s="176">
        <f t="shared" si="90"/>
        <v>12299969.398</v>
      </c>
      <c r="AM80" s="177">
        <f t="shared" si="91"/>
        <v>0.93910802752714295</v>
      </c>
      <c r="AN80" s="179"/>
      <c r="AO80" s="179"/>
      <c r="AV80" s="1"/>
      <c r="BB80" s="8"/>
      <c r="BL80" s="8"/>
      <c r="BX80" s="8"/>
      <c r="CO80" s="14"/>
      <c r="CR80" s="171">
        <v>2001</v>
      </c>
      <c r="CS80" s="172">
        <v>3</v>
      </c>
      <c r="CT80" s="1482">
        <f t="shared" si="86"/>
        <v>3E-9</v>
      </c>
      <c r="CU80" s="1484"/>
      <c r="CV80" s="172">
        <v>540</v>
      </c>
      <c r="CW80" s="1482">
        <f t="shared" si="87"/>
        <v>5.4000000000000002E-7</v>
      </c>
      <c r="CX80" s="1485"/>
      <c r="DP80" s="7"/>
    </row>
    <row r="81" spans="1:120" ht="15">
      <c r="A81" s="10"/>
      <c r="O81" s="8"/>
      <c r="S81" s="167">
        <v>2003</v>
      </c>
      <c r="T81" s="169">
        <f t="shared" si="92"/>
        <v>1.3869047619047623E-7</v>
      </c>
      <c r="AB81" s="10"/>
      <c r="AC81" s="10"/>
      <c r="AD81">
        <v>2008</v>
      </c>
      <c r="AE81" s="477">
        <v>789395.821632109</v>
      </c>
      <c r="AF81" s="477">
        <v>840898.78099999996</v>
      </c>
      <c r="AG81" s="7"/>
      <c r="AI81" s="10">
        <v>2008</v>
      </c>
      <c r="AJ81" s="477">
        <f t="shared" si="89"/>
        <v>840898.78099999996</v>
      </c>
      <c r="AK81" s="477">
        <f t="shared" si="88"/>
        <v>12556000</v>
      </c>
      <c r="AL81" s="176">
        <f t="shared" si="90"/>
        <v>13396898.780999999</v>
      </c>
      <c r="AM81" s="177">
        <f t="shared" si="91"/>
        <v>0.9372318329229602</v>
      </c>
      <c r="AN81" s="7"/>
      <c r="AO81" s="179"/>
      <c r="AV81" s="1"/>
      <c r="BB81" s="8"/>
      <c r="BL81" s="8"/>
      <c r="BX81" s="8"/>
      <c r="CO81" s="14"/>
      <c r="CR81" s="171">
        <v>2002</v>
      </c>
      <c r="CS81" s="172">
        <v>2</v>
      </c>
      <c r="CT81" s="1482">
        <f t="shared" si="86"/>
        <v>2.0000000000000001E-9</v>
      </c>
      <c r="CU81" s="1484"/>
      <c r="CV81" s="172">
        <v>530</v>
      </c>
      <c r="CW81" s="1482">
        <f t="shared" si="87"/>
        <v>5.3000000000000001E-7</v>
      </c>
      <c r="CX81" s="1485"/>
      <c r="DP81" s="7"/>
    </row>
    <row r="82" spans="1:120">
      <c r="A82" s="10"/>
      <c r="O82" s="8"/>
      <c r="S82" s="167">
        <v>2004</v>
      </c>
      <c r="T82" s="169">
        <f t="shared" si="92"/>
        <v>1.3646164574616459E-7</v>
      </c>
      <c r="AB82" s="10"/>
      <c r="AC82" s="10"/>
      <c r="AG82" s="7"/>
      <c r="AI82" s="10"/>
      <c r="AL82" s="27" t="s">
        <v>703</v>
      </c>
      <c r="AM82" s="180">
        <f>AVERAGE(AM73:AM81)</f>
        <v>0.95187951899390788</v>
      </c>
      <c r="AN82" s="7"/>
      <c r="AO82" s="7"/>
      <c r="AV82" s="1"/>
      <c r="BB82" s="8"/>
      <c r="BL82" s="8"/>
      <c r="BX82" s="8"/>
      <c r="CO82" s="14"/>
      <c r="CR82" s="171">
        <v>2003</v>
      </c>
      <c r="CS82" s="172">
        <v>10</v>
      </c>
      <c r="CT82" s="1482">
        <f t="shared" si="86"/>
        <v>1E-8</v>
      </c>
      <c r="CU82" s="1484"/>
      <c r="CV82" s="172">
        <v>470</v>
      </c>
      <c r="CW82" s="1482">
        <f t="shared" si="87"/>
        <v>4.7000000000000005E-7</v>
      </c>
      <c r="CX82" s="1485"/>
      <c r="DP82" s="7"/>
    </row>
    <row r="83" spans="1:120" ht="15.5" thickBot="1">
      <c r="A83" s="10"/>
      <c r="O83" s="8"/>
      <c r="S83" s="167">
        <v>2005</v>
      </c>
      <c r="T83" s="169">
        <f t="shared" si="92"/>
        <v>1.0397517155333748E-7</v>
      </c>
      <c r="AB83" s="10"/>
      <c r="AC83" s="181" t="s">
        <v>704</v>
      </c>
      <c r="AD83" s="182"/>
      <c r="AE83" s="182"/>
      <c r="AF83" s="183"/>
      <c r="AG83" s="184"/>
      <c r="AI83" s="185"/>
      <c r="AJ83" s="186"/>
      <c r="AK83" s="186"/>
      <c r="AL83" s="186"/>
      <c r="AM83" s="186"/>
      <c r="AN83" s="187"/>
      <c r="AO83" s="7"/>
      <c r="AV83" s="1"/>
      <c r="BB83" s="8"/>
      <c r="BL83" s="8"/>
      <c r="BX83" s="8"/>
      <c r="CO83" s="14"/>
      <c r="CR83" s="171">
        <v>2004</v>
      </c>
      <c r="CS83" s="172">
        <v>9</v>
      </c>
      <c r="CT83" s="1482">
        <f t="shared" si="86"/>
        <v>8.9999999999999995E-9</v>
      </c>
      <c r="CU83" s="1484"/>
      <c r="CV83" s="172">
        <v>490</v>
      </c>
      <c r="CW83" s="1482">
        <f t="shared" si="87"/>
        <v>4.8999999999999997E-7</v>
      </c>
      <c r="CX83" s="1485"/>
      <c r="DP83" s="7"/>
    </row>
    <row r="84" spans="1:120" ht="15">
      <c r="A84" s="10"/>
      <c r="O84" s="8"/>
      <c r="S84" s="167">
        <v>2006</v>
      </c>
      <c r="T84" s="169">
        <f t="shared" si="92"/>
        <v>7.0271287128712867E-8</v>
      </c>
      <c r="AB84" s="10"/>
      <c r="AO84" s="179"/>
      <c r="AV84" s="2"/>
      <c r="AW84" s="2"/>
      <c r="AX84" s="2"/>
      <c r="AY84" s="2"/>
      <c r="AZ84" s="2"/>
      <c r="BA84" s="2"/>
      <c r="BB84" s="2"/>
      <c r="BC84" s="2"/>
      <c r="BD84" s="2"/>
      <c r="CO84" s="14"/>
      <c r="CR84" s="171">
        <v>2005</v>
      </c>
      <c r="CS84" s="172">
        <v>3.9</v>
      </c>
      <c r="CT84" s="1482">
        <f t="shared" si="86"/>
        <v>3.9000000000000002E-9</v>
      </c>
      <c r="CU84" s="1484"/>
      <c r="CV84" s="172">
        <v>400</v>
      </c>
      <c r="CW84" s="1482">
        <f t="shared" si="87"/>
        <v>4.0000000000000003E-7</v>
      </c>
      <c r="CX84" s="379"/>
      <c r="DP84" s="7"/>
    </row>
    <row r="85" spans="1:120" ht="15.5" thickBot="1">
      <c r="A85" s="10"/>
      <c r="O85" s="8"/>
      <c r="S85" s="167">
        <v>2007</v>
      </c>
      <c r="T85" s="169">
        <f t="shared" si="92"/>
        <v>5.1385547953148552E-8</v>
      </c>
      <c r="W85" s="22"/>
      <c r="AB85" s="150"/>
      <c r="AC85" s="151"/>
      <c r="AD85" s="151"/>
      <c r="AE85" s="151"/>
      <c r="AF85" s="151"/>
      <c r="AG85" s="151"/>
      <c r="AH85" s="151"/>
      <c r="AI85" s="186"/>
      <c r="AJ85" s="186"/>
      <c r="AK85" s="186"/>
      <c r="AL85" s="186"/>
      <c r="AM85" s="186"/>
      <c r="AN85" s="186"/>
      <c r="AO85" s="187"/>
      <c r="AV85" s="2"/>
      <c r="AW85" s="2"/>
      <c r="AX85" s="2"/>
      <c r="AY85" s="2"/>
      <c r="AZ85" s="2"/>
      <c r="BA85" s="2"/>
      <c r="BB85" s="2"/>
      <c r="BC85" s="2"/>
      <c r="BD85" s="2"/>
      <c r="CO85" s="14"/>
      <c r="CR85" s="171">
        <v>2006</v>
      </c>
      <c r="CS85" s="172">
        <v>6</v>
      </c>
      <c r="CT85" s="1482">
        <f t="shared" si="86"/>
        <v>6E-9</v>
      </c>
      <c r="CU85" s="1484"/>
      <c r="CV85" s="172">
        <v>440</v>
      </c>
      <c r="CW85" s="1482">
        <f t="shared" si="87"/>
        <v>4.3999999999999997E-7</v>
      </c>
      <c r="CX85" s="379"/>
      <c r="DP85" s="7"/>
    </row>
    <row r="86" spans="1:120" ht="15.5" thickBot="1">
      <c r="A86" s="10"/>
      <c r="O86" s="8"/>
      <c r="S86" s="170">
        <v>2008</v>
      </c>
      <c r="T86" s="169">
        <f>T61/N61</f>
        <v>6.4187152133580709E-8</v>
      </c>
      <c r="W86" s="22"/>
      <c r="AI86" s="20"/>
      <c r="AJ86" s="20"/>
      <c r="AK86" s="20"/>
      <c r="AL86" s="20"/>
      <c r="AM86" s="20"/>
      <c r="AN86" s="20"/>
      <c r="AO86" s="20"/>
      <c r="AV86" s="2"/>
      <c r="AW86" s="2"/>
      <c r="AX86" s="2"/>
      <c r="AY86" s="2"/>
      <c r="AZ86" s="2"/>
      <c r="BA86" s="2"/>
      <c r="BB86" s="2"/>
      <c r="BC86" s="2"/>
      <c r="BD86" s="2"/>
      <c r="CO86" s="14"/>
      <c r="CR86" s="171">
        <v>2007</v>
      </c>
      <c r="CS86" s="172">
        <v>3.54</v>
      </c>
      <c r="CT86" s="1482">
        <f t="shared" si="86"/>
        <v>3.5399999999999998E-9</v>
      </c>
      <c r="CU86" s="1486"/>
      <c r="CV86" s="172">
        <v>464</v>
      </c>
      <c r="CW86" s="1482">
        <f t="shared" si="87"/>
        <v>4.6400000000000003E-7</v>
      </c>
      <c r="CX86" s="584"/>
      <c r="DP86" s="7"/>
    </row>
    <row r="87" spans="1:120" ht="15">
      <c r="A87" s="10"/>
      <c r="O87" s="8"/>
      <c r="S87" s="1796" t="s">
        <v>705</v>
      </c>
      <c r="T87" s="1796"/>
      <c r="W87" s="22"/>
      <c r="AI87" s="20"/>
      <c r="AJ87" s="20"/>
      <c r="AK87" s="20"/>
      <c r="AL87" s="20"/>
      <c r="AM87" s="20"/>
      <c r="AN87" s="20"/>
      <c r="AO87" s="20"/>
      <c r="AV87" s="2"/>
      <c r="AW87" s="2"/>
      <c r="AX87" s="2"/>
      <c r="AY87" s="2"/>
      <c r="AZ87" s="2"/>
      <c r="BA87" s="2"/>
      <c r="BB87" s="2"/>
      <c r="BC87" s="2"/>
      <c r="BD87" s="2"/>
      <c r="CO87" s="14"/>
      <c r="CR87" s="173">
        <v>2008</v>
      </c>
      <c r="CS87" s="172">
        <v>2.5</v>
      </c>
      <c r="CT87" s="1482">
        <f t="shared" si="86"/>
        <v>2.5000000000000001E-9</v>
      </c>
      <c r="CU87" s="1486"/>
      <c r="CV87" s="172">
        <v>520</v>
      </c>
      <c r="CW87" s="1482">
        <f t="shared" si="87"/>
        <v>5.2E-7</v>
      </c>
      <c r="CX87" s="584"/>
      <c r="DP87" s="7"/>
    </row>
    <row r="88" spans="1:120">
      <c r="A88" s="10"/>
      <c r="S88" s="1797"/>
      <c r="T88" s="1797"/>
      <c r="W88" s="22"/>
      <c r="X88" s="22"/>
      <c r="Y88" s="22"/>
      <c r="Z88" s="22"/>
      <c r="AA88" s="22"/>
      <c r="AD88" s="476"/>
      <c r="AE88" s="278"/>
      <c r="AF88" s="278"/>
      <c r="CO88" s="14"/>
      <c r="CR88" s="1786" t="s">
        <v>706</v>
      </c>
      <c r="CS88" s="1787"/>
      <c r="CT88" s="1787"/>
      <c r="CU88" s="1787"/>
      <c r="CV88" s="1787"/>
      <c r="CW88" s="1787"/>
      <c r="CX88" s="1788"/>
      <c r="DP88" s="7"/>
    </row>
    <row r="89" spans="1:120" ht="30" customHeight="1">
      <c r="A89" s="10"/>
      <c r="S89" s="1797"/>
      <c r="T89" s="1797"/>
      <c r="W89" s="22"/>
      <c r="X89" s="22"/>
      <c r="Y89" s="22"/>
      <c r="Z89" s="22"/>
      <c r="AA89" s="22"/>
      <c r="CR89" s="1789"/>
      <c r="CS89" s="1790"/>
      <c r="CT89" s="1790"/>
      <c r="CU89" s="1790"/>
      <c r="CV89" s="1790"/>
      <c r="CW89" s="1790"/>
      <c r="CX89" s="1791"/>
      <c r="DP89" s="7"/>
    </row>
    <row r="90" spans="1:120" ht="21" customHeight="1" thickBot="1">
      <c r="A90" s="10"/>
      <c r="S90" s="1797"/>
      <c r="T90" s="1797"/>
      <c r="W90" s="22"/>
      <c r="X90" s="22"/>
      <c r="Y90" s="22"/>
      <c r="Z90" s="22"/>
      <c r="AA90" s="22"/>
      <c r="CR90" s="585" t="s">
        <v>707</v>
      </c>
      <c r="CS90" s="1487"/>
      <c r="CT90" s="1487"/>
      <c r="CU90" s="1487"/>
      <c r="CV90" s="1487"/>
      <c r="CW90" s="1487"/>
      <c r="CX90" s="1488"/>
      <c r="DP90" s="7"/>
    </row>
    <row r="91" spans="1:120" ht="15.75" customHeight="1">
      <c r="A91" s="10"/>
      <c r="S91" s="1497"/>
      <c r="T91" s="1497"/>
      <c r="V91" s="22"/>
      <c r="W91" s="22"/>
      <c r="X91" s="22"/>
      <c r="Y91" s="22"/>
      <c r="Z91" s="22"/>
      <c r="AA91" s="22"/>
      <c r="DP91" s="7"/>
    </row>
    <row r="92" spans="1:120" ht="15.75" customHeight="1">
      <c r="A92" s="10"/>
      <c r="J92" s="59"/>
      <c r="K92" s="59"/>
      <c r="L92" s="59"/>
      <c r="M92" s="59"/>
      <c r="N92" s="59"/>
      <c r="S92" s="1497"/>
      <c r="T92" s="1497"/>
      <c r="U92" s="22"/>
      <c r="V92" s="22"/>
      <c r="W92" s="22"/>
      <c r="DP92" s="7"/>
    </row>
    <row r="93" spans="1:120" ht="15.5">
      <c r="A93" s="10"/>
      <c r="U93" s="22"/>
      <c r="V93" s="22"/>
      <c r="W93" s="22"/>
      <c r="DA93" s="41"/>
      <c r="DB93" s="43"/>
      <c r="DC93" s="43"/>
      <c r="DP93" s="7"/>
    </row>
    <row r="94" spans="1:120" ht="15.75" customHeight="1" thickBot="1">
      <c r="A94" s="150"/>
      <c r="B94" s="151"/>
      <c r="C94" s="151"/>
      <c r="D94" s="151"/>
      <c r="E94" s="151"/>
      <c r="F94" s="151"/>
      <c r="G94" s="151"/>
      <c r="H94" s="151"/>
      <c r="I94" s="151"/>
      <c r="J94" s="151"/>
      <c r="K94" s="151"/>
      <c r="L94" s="151"/>
      <c r="M94" s="151"/>
      <c r="N94" s="151"/>
      <c r="O94" s="151"/>
      <c r="P94" s="151"/>
      <c r="Q94" s="151"/>
      <c r="R94" s="151"/>
      <c r="S94" s="395"/>
      <c r="T94" s="395"/>
      <c r="U94" s="396"/>
      <c r="V94" s="396"/>
      <c r="W94" s="396"/>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c r="CZ94" s="151"/>
      <c r="DA94" s="397"/>
      <c r="DB94" s="398"/>
      <c r="DC94" s="398"/>
      <c r="DD94" s="151"/>
      <c r="DE94" s="151"/>
      <c r="DF94" s="151"/>
      <c r="DG94" s="151"/>
      <c r="DH94" s="151"/>
      <c r="DI94" s="151"/>
      <c r="DJ94" s="151"/>
      <c r="DK94" s="151"/>
      <c r="DL94" s="151"/>
      <c r="DM94" s="151"/>
      <c r="DN94" s="151"/>
      <c r="DO94" s="151"/>
      <c r="DP94" s="540"/>
    </row>
    <row r="95" spans="1:120" ht="15.75" customHeight="1">
      <c r="DA95" s="42"/>
      <c r="DB95" s="43"/>
      <c r="DC95" s="43"/>
    </row>
    <row r="96" spans="1:120" ht="16">
      <c r="AS96" s="4"/>
      <c r="AT96" s="4"/>
      <c r="AU96" s="4"/>
      <c r="AV96" s="4"/>
      <c r="BE96" s="8"/>
      <c r="DA96" s="41"/>
      <c r="DB96" s="43"/>
      <c r="DC96" s="43"/>
    </row>
    <row r="97" spans="8:57" ht="15">
      <c r="AC97" s="4"/>
      <c r="AD97" s="4"/>
      <c r="AE97" s="4"/>
      <c r="AF97" s="4"/>
      <c r="AW97" s="8"/>
      <c r="AX97" s="8"/>
      <c r="AY97" s="8"/>
      <c r="AZ97" s="8"/>
      <c r="BA97" s="8"/>
      <c r="BB97" s="8"/>
      <c r="BC97" s="8"/>
      <c r="BD97" s="8"/>
      <c r="BE97" s="9"/>
    </row>
    <row r="98" spans="8:57">
      <c r="AW98" s="8"/>
      <c r="AX98" s="8"/>
      <c r="AY98" s="8"/>
      <c r="AZ98" s="8"/>
      <c r="BA98" s="8"/>
      <c r="BB98" s="8"/>
      <c r="BC98" s="8"/>
      <c r="BD98" s="8"/>
      <c r="BE98" s="9"/>
    </row>
    <row r="99" spans="8:57">
      <c r="AW99" s="8"/>
      <c r="AX99" s="8"/>
      <c r="AY99" s="8"/>
      <c r="AZ99" s="8"/>
      <c r="BA99" s="8"/>
      <c r="BB99" s="8"/>
      <c r="BC99" s="8"/>
      <c r="BD99" s="8"/>
      <c r="BE99" s="9"/>
    </row>
    <row r="100" spans="8:57">
      <c r="AW100" s="8"/>
      <c r="AX100" s="8"/>
      <c r="AY100" s="8"/>
      <c r="AZ100" s="8"/>
      <c r="BA100" s="8"/>
      <c r="BB100" s="8"/>
      <c r="BC100" s="8"/>
      <c r="BD100" s="8"/>
      <c r="BE100" s="9"/>
    </row>
    <row r="105" spans="8:57" ht="15" customHeight="1"/>
    <row r="107" spans="8:57" ht="15" customHeight="1"/>
    <row r="109" spans="8:57" ht="15">
      <c r="Q109" s="4"/>
    </row>
    <row r="110" spans="8:57" ht="15">
      <c r="Q110" s="20"/>
      <c r="R110" s="4"/>
    </row>
    <row r="111" spans="8:57" ht="15">
      <c r="Q111" s="20"/>
      <c r="R111" s="20"/>
    </row>
    <row r="112" spans="8:57" ht="15">
      <c r="H112" s="20"/>
      <c r="I112" s="20"/>
      <c r="J112" s="20"/>
      <c r="K112" s="20"/>
      <c r="L112" s="20"/>
      <c r="M112" s="20"/>
      <c r="N112" s="20"/>
      <c r="O112" s="20"/>
      <c r="P112" s="20"/>
      <c r="Q112" s="20"/>
      <c r="R112" s="20"/>
    </row>
    <row r="113" spans="3:107" ht="15">
      <c r="H113" s="20"/>
      <c r="I113" s="20"/>
      <c r="J113" s="20"/>
      <c r="K113" s="20"/>
      <c r="L113" s="20"/>
      <c r="M113" s="20"/>
      <c r="N113" s="20"/>
      <c r="O113" s="20"/>
      <c r="P113" s="20"/>
      <c r="Q113" s="20"/>
      <c r="R113" s="20"/>
    </row>
    <row r="114" spans="3:107" ht="15">
      <c r="C114" s="20"/>
      <c r="D114" s="20"/>
      <c r="E114" s="20"/>
      <c r="F114" s="20"/>
      <c r="G114" s="20"/>
      <c r="H114" s="20"/>
      <c r="I114" s="20"/>
      <c r="J114" s="20"/>
      <c r="K114" s="20"/>
      <c r="L114" s="20"/>
      <c r="M114" s="20"/>
      <c r="N114" s="20"/>
      <c r="O114" s="20"/>
      <c r="P114" s="20"/>
      <c r="Q114" s="20"/>
      <c r="R114" s="20"/>
      <c r="S114" s="20"/>
      <c r="T114" s="20"/>
    </row>
    <row r="115" spans="3:107" ht="15">
      <c r="C115" s="20"/>
      <c r="D115" s="20"/>
      <c r="E115" s="20"/>
      <c r="F115" s="20"/>
      <c r="G115" s="20"/>
      <c r="H115" s="20"/>
      <c r="I115" s="20"/>
      <c r="J115" s="20"/>
      <c r="K115" s="20"/>
      <c r="L115" s="20"/>
      <c r="M115" s="20"/>
      <c r="N115" s="20"/>
      <c r="O115" s="20"/>
      <c r="P115" s="20"/>
      <c r="Q115" s="20"/>
      <c r="R115" s="20"/>
      <c r="S115" s="20"/>
      <c r="T115" s="20"/>
    </row>
    <row r="116" spans="3:107" ht="15">
      <c r="C116" s="20"/>
      <c r="D116" s="20"/>
      <c r="E116" s="20"/>
      <c r="F116" s="20"/>
      <c r="G116" s="20"/>
      <c r="H116" s="20"/>
      <c r="I116" s="20"/>
      <c r="J116" s="20"/>
      <c r="K116" s="20"/>
      <c r="L116" s="20"/>
      <c r="M116" s="20"/>
      <c r="N116" s="20"/>
      <c r="O116" s="20"/>
      <c r="P116" s="20"/>
      <c r="R116" s="20"/>
      <c r="S116" s="20"/>
      <c r="T116" s="20"/>
    </row>
    <row r="117" spans="3:107" ht="15">
      <c r="C117" s="20"/>
      <c r="D117" s="20"/>
      <c r="E117" s="20"/>
      <c r="F117" s="20"/>
      <c r="G117" s="20"/>
      <c r="H117" s="20"/>
      <c r="I117" s="20"/>
      <c r="J117" s="20"/>
      <c r="K117" s="20"/>
      <c r="L117" s="20"/>
      <c r="M117" s="20"/>
      <c r="N117" s="20"/>
      <c r="O117" s="20"/>
      <c r="P117" s="20"/>
    </row>
    <row r="118" spans="3:107" ht="15">
      <c r="C118" s="20"/>
      <c r="D118" s="20"/>
      <c r="E118" s="20"/>
      <c r="F118" s="20"/>
      <c r="G118" s="20"/>
      <c r="H118" s="20"/>
      <c r="I118" s="20"/>
      <c r="J118" s="20"/>
      <c r="K118" s="20"/>
      <c r="L118" s="20"/>
      <c r="M118" s="20"/>
      <c r="N118" s="20"/>
      <c r="O118" s="20"/>
      <c r="P118" s="20"/>
      <c r="Q118" s="20"/>
    </row>
    <row r="119" spans="3:107" ht="15">
      <c r="Q119" s="20"/>
      <c r="R119" s="20"/>
      <c r="S119" s="20"/>
      <c r="T119" s="20"/>
    </row>
    <row r="120" spans="3:107" ht="15">
      <c r="R120" s="20"/>
      <c r="S120" s="20"/>
      <c r="T120" s="20"/>
    </row>
    <row r="121" spans="3:107" ht="15">
      <c r="Q121" s="4"/>
      <c r="U121" s="4"/>
      <c r="V121" s="4"/>
      <c r="W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row>
    <row r="122" spans="3:107" ht="15">
      <c r="Q122" s="20"/>
      <c r="R122" s="4"/>
      <c r="S122" s="4"/>
      <c r="T122" s="4"/>
      <c r="U122" s="20"/>
      <c r="V122" s="20"/>
      <c r="W122" s="20"/>
      <c r="X122" s="4"/>
      <c r="Y122" s="4"/>
      <c r="Z122" s="4"/>
      <c r="AA122" s="4"/>
      <c r="AB122" s="4"/>
      <c r="AC122" s="4"/>
      <c r="AD122" s="4"/>
      <c r="AE122" s="4"/>
      <c r="AF122" s="4"/>
      <c r="AG122" s="4"/>
      <c r="AH122" s="4"/>
      <c r="AI122" s="4"/>
      <c r="AJ122" s="4"/>
      <c r="AK122" s="4"/>
      <c r="AL122" s="4"/>
      <c r="AM122" s="4"/>
      <c r="AN122" s="4"/>
      <c r="AO122" s="4"/>
    </row>
    <row r="123" spans="3:107" ht="15">
      <c r="Q123" s="20"/>
      <c r="R123" s="20"/>
      <c r="S123" s="20"/>
      <c r="T123" s="20"/>
      <c r="U123" s="20"/>
      <c r="V123" s="20"/>
      <c r="W123" s="20"/>
      <c r="X123" s="20"/>
      <c r="Y123" s="20"/>
      <c r="Z123" s="20"/>
      <c r="AA123" s="20"/>
      <c r="AB123" s="20"/>
      <c r="AC123" s="20"/>
      <c r="AD123" s="20"/>
    </row>
    <row r="124" spans="3:107" ht="15">
      <c r="C124" s="4"/>
      <c r="D124" s="4"/>
      <c r="E124" s="4"/>
      <c r="F124" s="4"/>
      <c r="G124" s="4"/>
      <c r="H124" s="4"/>
      <c r="I124" s="4"/>
      <c r="J124" s="4"/>
      <c r="K124" s="4"/>
      <c r="L124" s="4"/>
      <c r="M124" s="4"/>
      <c r="N124" s="4"/>
      <c r="O124" s="4"/>
      <c r="P124" s="4"/>
      <c r="Q124" s="20"/>
      <c r="R124" s="20"/>
      <c r="S124" s="20"/>
      <c r="T124" s="20"/>
      <c r="U124" s="20"/>
      <c r="V124" s="20"/>
      <c r="W124" s="20"/>
      <c r="X124" s="20"/>
      <c r="Y124" s="20"/>
      <c r="Z124" s="20"/>
      <c r="AA124" s="20"/>
      <c r="AB124" s="20"/>
      <c r="AC124" s="20"/>
      <c r="AD124" s="20"/>
    </row>
    <row r="125" spans="3:107" ht="15">
      <c r="C125" s="6"/>
      <c r="D125" s="6"/>
      <c r="E125" s="6"/>
      <c r="F125" s="6"/>
      <c r="G125" s="6"/>
      <c r="H125" s="6"/>
      <c r="I125" s="6"/>
      <c r="J125" s="6"/>
      <c r="K125" s="6"/>
      <c r="L125" s="6"/>
      <c r="M125" s="6"/>
      <c r="N125" s="6"/>
      <c r="O125" s="6"/>
      <c r="P125" s="6"/>
      <c r="Q125" s="20"/>
      <c r="R125" s="20"/>
      <c r="S125" s="20"/>
      <c r="T125" s="20"/>
      <c r="U125" s="20"/>
      <c r="V125" s="20"/>
      <c r="W125" s="20"/>
      <c r="X125" s="20"/>
      <c r="Y125" s="20"/>
      <c r="Z125" s="20"/>
      <c r="AA125" s="20"/>
      <c r="AB125" s="20"/>
      <c r="AC125" s="20"/>
      <c r="AD125" s="20"/>
    </row>
    <row r="126" spans="3:107" ht="15">
      <c r="C126" s="6"/>
      <c r="D126" s="6"/>
      <c r="E126" s="6"/>
      <c r="F126" s="6"/>
      <c r="G126" s="6"/>
      <c r="H126" s="6"/>
      <c r="I126" s="6"/>
      <c r="J126" s="6"/>
      <c r="K126" s="6"/>
      <c r="L126" s="6"/>
      <c r="M126" s="6"/>
      <c r="N126" s="6"/>
      <c r="O126" s="6"/>
      <c r="P126" s="6"/>
      <c r="Q126" s="20"/>
      <c r="R126" s="20"/>
      <c r="S126" s="20"/>
      <c r="T126" s="20"/>
      <c r="U126" s="20"/>
      <c r="V126" s="20"/>
      <c r="W126" s="20"/>
      <c r="X126" s="20"/>
      <c r="Y126" s="20"/>
      <c r="Z126" s="20"/>
      <c r="AA126" s="20"/>
      <c r="AB126" s="20"/>
      <c r="AC126" s="20"/>
      <c r="AD126" s="20"/>
    </row>
    <row r="127" spans="3:107" ht="15">
      <c r="C127" s="3"/>
      <c r="D127" s="3"/>
      <c r="E127" s="3"/>
      <c r="F127" s="3"/>
      <c r="G127" s="3"/>
      <c r="H127" s="3"/>
      <c r="I127" s="3"/>
      <c r="J127" s="3"/>
      <c r="K127" s="3"/>
      <c r="L127" s="3"/>
      <c r="M127" s="3"/>
      <c r="N127" s="3"/>
      <c r="O127" s="3"/>
      <c r="P127" s="3"/>
      <c r="Q127" s="20"/>
      <c r="R127" s="20"/>
      <c r="S127" s="20"/>
      <c r="T127" s="20"/>
      <c r="U127" s="20"/>
      <c r="V127" s="20"/>
      <c r="W127" s="20"/>
      <c r="X127" s="20"/>
      <c r="Y127" s="20"/>
      <c r="Z127" s="20"/>
      <c r="AA127" s="20"/>
      <c r="AB127" s="20"/>
      <c r="AC127" s="20"/>
      <c r="AD127" s="20"/>
    </row>
    <row r="128" spans="3:107" ht="15">
      <c r="P128" s="3"/>
      <c r="Q128" s="20"/>
      <c r="R128" s="20"/>
      <c r="S128" s="20"/>
      <c r="T128" s="20"/>
      <c r="U128" s="20"/>
      <c r="V128" s="20"/>
      <c r="W128" s="20"/>
      <c r="X128" s="20"/>
      <c r="Y128" s="20"/>
      <c r="Z128" s="20"/>
      <c r="AA128" s="20"/>
      <c r="AB128" s="20"/>
      <c r="AC128" s="20"/>
      <c r="AD128" s="20"/>
    </row>
    <row r="129" spans="16:66" ht="15">
      <c r="P129" s="3"/>
      <c r="R129" s="20"/>
      <c r="S129" s="20"/>
      <c r="T129" s="20"/>
      <c r="X129" s="20"/>
      <c r="Y129" s="20"/>
      <c r="Z129" s="20"/>
      <c r="AA129" s="20"/>
      <c r="AB129" s="20"/>
      <c r="AC129" s="20"/>
      <c r="AD129" s="20"/>
    </row>
    <row r="131" spans="16:66">
      <c r="P131" s="3"/>
    </row>
    <row r="132" spans="16:66">
      <c r="P132" s="3"/>
    </row>
    <row r="134" spans="16:66" ht="15">
      <c r="Q134" s="4"/>
      <c r="U134" s="4"/>
      <c r="V134" s="4"/>
      <c r="W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row>
    <row r="135" spans="16:66" ht="15">
      <c r="Q135" s="6"/>
      <c r="R135" s="4"/>
      <c r="S135" s="4"/>
      <c r="T135" s="4"/>
      <c r="U135" s="6"/>
      <c r="V135" s="6"/>
      <c r="W135" s="6"/>
      <c r="X135" s="4"/>
      <c r="Y135" s="4"/>
      <c r="Z135" s="4"/>
      <c r="AA135" s="4"/>
      <c r="AB135" s="4"/>
      <c r="AC135" s="4"/>
      <c r="AD135" s="4"/>
      <c r="AE135" s="4"/>
      <c r="AF135" s="4"/>
      <c r="AG135" s="4"/>
      <c r="AH135" s="4"/>
      <c r="AI135" s="4"/>
      <c r="AJ135" s="4"/>
      <c r="AK135" s="4"/>
      <c r="AL135" s="4"/>
      <c r="AM135" s="4"/>
      <c r="AN135" s="4"/>
      <c r="AO135" s="4"/>
      <c r="AP135" s="4"/>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row>
    <row r="136" spans="16:6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row>
    <row r="137" spans="16:66">
      <c r="Q137" s="3"/>
      <c r="R137" s="6"/>
      <c r="S137" s="6"/>
      <c r="T137" s="6"/>
      <c r="U137" s="3"/>
      <c r="V137" s="3"/>
      <c r="W137" s="3"/>
      <c r="X137" s="6"/>
      <c r="Y137" s="6"/>
      <c r="Z137" s="6"/>
      <c r="AA137" s="6"/>
      <c r="AB137" s="6"/>
      <c r="AC137" s="6"/>
      <c r="AD137" s="6"/>
      <c r="AE137" s="6"/>
      <c r="AF137" s="6"/>
      <c r="AG137" s="6"/>
      <c r="AH137" s="6"/>
      <c r="AI137" s="6"/>
      <c r="AJ137" s="6"/>
      <c r="AK137" s="6"/>
      <c r="AL137" s="6"/>
      <c r="AM137" s="6"/>
      <c r="AN137" s="6"/>
      <c r="AO137" s="6"/>
      <c r="AP137" s="6"/>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row>
    <row r="138" spans="16:66">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6:66">
      <c r="Q139" s="3"/>
      <c r="R139" s="3"/>
      <c r="S139" s="3"/>
      <c r="T139" s="3"/>
      <c r="U139" s="3"/>
      <c r="V139" s="3"/>
      <c r="W139" s="3"/>
      <c r="X139" s="3"/>
      <c r="Y139" s="3"/>
      <c r="Z139" s="3"/>
      <c r="AA139" s="3"/>
      <c r="AB139" s="3"/>
      <c r="AC139" s="3"/>
      <c r="AD139" s="3"/>
    </row>
    <row r="140" spans="16:66">
      <c r="R140" s="3"/>
      <c r="S140" s="3"/>
      <c r="T140" s="3"/>
      <c r="X140" s="3"/>
      <c r="Y140" s="3"/>
      <c r="Z140" s="3"/>
      <c r="AA140" s="3"/>
      <c r="AB140" s="3"/>
      <c r="AC140" s="3"/>
      <c r="AD140" s="3"/>
    </row>
    <row r="141" spans="16:66">
      <c r="Q141" s="3"/>
      <c r="U141" s="3"/>
      <c r="V141" s="3"/>
      <c r="W141" s="3"/>
    </row>
    <row r="142" spans="16:66">
      <c r="Q142" s="3"/>
      <c r="R142" s="3"/>
      <c r="S142" s="3"/>
      <c r="T142" s="3"/>
      <c r="U142" s="3"/>
      <c r="V142" s="3"/>
      <c r="W142" s="3"/>
      <c r="X142" s="3"/>
      <c r="Y142" s="3"/>
      <c r="Z142" s="3"/>
      <c r="AA142" s="3"/>
      <c r="AB142" s="3"/>
      <c r="AC142" s="3"/>
      <c r="AD142" s="3"/>
    </row>
    <row r="143" spans="16:66">
      <c r="R143" s="3"/>
      <c r="S143" s="3"/>
      <c r="T143" s="3"/>
      <c r="X143" s="3"/>
      <c r="Y143" s="3"/>
      <c r="Z143" s="3"/>
      <c r="AA143" s="3"/>
      <c r="AB143" s="3"/>
      <c r="AC143" s="3"/>
      <c r="AD143" s="3"/>
    </row>
  </sheetData>
  <mergeCells count="35">
    <mergeCell ref="H25:J25"/>
    <mergeCell ref="B26:F29"/>
    <mergeCell ref="O9:P9"/>
    <mergeCell ref="DO62:DP62"/>
    <mergeCell ref="D5:N5"/>
    <mergeCell ref="O5:P5"/>
    <mergeCell ref="H17:J18"/>
    <mergeCell ref="H21:J21"/>
    <mergeCell ref="H23:J23"/>
    <mergeCell ref="H27:J27"/>
    <mergeCell ref="AE5:AI5"/>
    <mergeCell ref="AB64:AO64"/>
    <mergeCell ref="S64:T66"/>
    <mergeCell ref="H29:R29"/>
    <mergeCell ref="CR65:CX65"/>
    <mergeCell ref="CR64:CX64"/>
    <mergeCell ref="H34:R36"/>
    <mergeCell ref="D40:I41"/>
    <mergeCell ref="P40:P41"/>
    <mergeCell ref="V40:V41"/>
    <mergeCell ref="J40:J41"/>
    <mergeCell ref="Q40:T41"/>
    <mergeCell ref="K40:L41"/>
    <mergeCell ref="M40:O41"/>
    <mergeCell ref="H31:R32"/>
    <mergeCell ref="CR88:CX89"/>
    <mergeCell ref="CV67:CX67"/>
    <mergeCell ref="CS67:CU67"/>
    <mergeCell ref="S87:T90"/>
    <mergeCell ref="AI66:AN66"/>
    <mergeCell ref="AJ69:AJ71"/>
    <mergeCell ref="AK69:AK71"/>
    <mergeCell ref="AL69:AL71"/>
    <mergeCell ref="AM69:AM72"/>
    <mergeCell ref="AC66:AG66"/>
  </mergeCells>
  <phoneticPr fontId="43" type="noConversion"/>
  <pageMargins left="0" right="0" top="0" bottom="0" header="0.3" footer="0"/>
  <pageSetup scale="41" fitToWidth="0" orientation="landscape" r:id="rId1"/>
  <headerFooter>
    <oddFooter>&amp;L&amp;F &amp;A &amp;RPage &amp;P of &amp;N</oddFooter>
  </headerFooter>
  <rowBreaks count="1" manualBreakCount="1">
    <brk id="14" max="16383" man="1"/>
  </rowBreaks>
  <colBreaks count="2" manualBreakCount="2">
    <brk id="60" max="1048575" man="1"/>
    <brk id="95" max="1048575" man="1"/>
  </col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N189"/>
  <sheetViews>
    <sheetView zoomScaleNormal="100" zoomScaleSheetLayoutView="100" workbookViewId="0"/>
  </sheetViews>
  <sheetFormatPr defaultColWidth="8.81640625" defaultRowHeight="14.5"/>
  <cols>
    <col min="1" max="1" width="5" customWidth="1"/>
    <col min="4" max="4" width="12" customWidth="1"/>
    <col min="5" max="5" width="13.453125" customWidth="1"/>
    <col min="6" max="7" width="10.54296875" customWidth="1"/>
    <col min="8" max="8" width="11.453125" customWidth="1"/>
    <col min="10" max="11" width="11.81640625" customWidth="1"/>
    <col min="12" max="12" width="11.453125" customWidth="1"/>
    <col min="13" max="13" width="10.54296875" customWidth="1"/>
    <col min="14" max="14" width="11.453125" customWidth="1"/>
    <col min="16" max="16" width="14.1796875" customWidth="1"/>
  </cols>
  <sheetData>
    <row r="1" spans="2:10" ht="6.75" customHeight="1" thickBot="1"/>
    <row r="2" spans="2:10">
      <c r="D2" s="1877" t="s">
        <v>708</v>
      </c>
      <c r="E2" s="1878"/>
      <c r="F2" s="1878"/>
      <c r="G2" s="1879"/>
    </row>
    <row r="3" spans="2:10" ht="15" thickBot="1">
      <c r="D3" s="1880"/>
      <c r="E3" s="1881"/>
      <c r="F3" s="1881"/>
      <c r="G3" s="1882"/>
    </row>
    <row r="4" spans="2:10" ht="4.5" customHeight="1" thickBot="1"/>
    <row r="5" spans="2:10">
      <c r="B5" s="1892" t="s">
        <v>709</v>
      </c>
      <c r="C5" s="1893"/>
      <c r="D5" s="1893"/>
      <c r="E5" s="1893"/>
      <c r="F5" s="1893"/>
      <c r="G5" s="1893"/>
      <c r="H5" s="1893"/>
      <c r="I5" s="1894"/>
      <c r="J5" s="276"/>
    </row>
    <row r="6" spans="2:10">
      <c r="B6" s="1895"/>
      <c r="C6" s="1896"/>
      <c r="D6" s="1896"/>
      <c r="E6" s="1896"/>
      <c r="F6" s="1896"/>
      <c r="G6" s="1896"/>
      <c r="H6" s="1896"/>
      <c r="I6" s="1897"/>
    </row>
    <row r="7" spans="2:10" ht="15" thickBot="1">
      <c r="B7" s="1898"/>
      <c r="C7" s="1899"/>
      <c r="D7" s="1899"/>
      <c r="E7" s="1899"/>
      <c r="F7" s="1899"/>
      <c r="G7" s="1899"/>
      <c r="H7" s="1899"/>
      <c r="I7" s="1900"/>
    </row>
    <row r="8" spans="2:10" ht="4.5" customHeight="1"/>
    <row r="9" spans="2:10" ht="12" customHeight="1">
      <c r="B9" s="581" t="s">
        <v>710</v>
      </c>
    </row>
    <row r="10" spans="2:10" ht="12" customHeight="1">
      <c r="B10" s="581" t="s">
        <v>711</v>
      </c>
    </row>
    <row r="11" spans="2:10" ht="4.5" customHeight="1" thickBot="1"/>
    <row r="12" spans="2:10" ht="13.5" customHeight="1" thickBot="1">
      <c r="B12" s="58"/>
      <c r="C12" s="383"/>
      <c r="D12" s="383"/>
      <c r="E12" s="383"/>
      <c r="F12" s="383"/>
      <c r="G12" s="383"/>
      <c r="H12" s="383"/>
      <c r="I12" s="384"/>
    </row>
    <row r="13" spans="2:10" ht="15" thickBot="1">
      <c r="B13" s="10"/>
      <c r="E13" s="1883" t="s">
        <v>712</v>
      </c>
      <c r="F13" s="1884"/>
      <c r="I13" s="7"/>
    </row>
    <row r="14" spans="2:10" ht="15" customHeight="1" thickBot="1">
      <c r="B14" s="10"/>
      <c r="I14" s="7"/>
    </row>
    <row r="15" spans="2:10" ht="59.25" customHeight="1">
      <c r="B15" s="10"/>
      <c r="C15" s="27" t="s">
        <v>626</v>
      </c>
      <c r="D15" s="136" t="s">
        <v>713</v>
      </c>
      <c r="E15" s="136" t="s">
        <v>714</v>
      </c>
      <c r="F15" s="136" t="s">
        <v>715</v>
      </c>
      <c r="G15" s="140" t="s">
        <v>716</v>
      </c>
      <c r="H15" s="137" t="s">
        <v>717</v>
      </c>
      <c r="I15" s="7"/>
    </row>
    <row r="16" spans="2:10">
      <c r="B16" s="10"/>
      <c r="C16" s="27">
        <v>1990</v>
      </c>
      <c r="D16" s="45">
        <v>39811011</v>
      </c>
      <c r="E16" s="27"/>
      <c r="F16" s="27"/>
      <c r="G16" s="141">
        <f t="shared" ref="G16:G24" si="0">G17</f>
        <v>4.5638848542935831E-2</v>
      </c>
      <c r="H16" s="582">
        <f>D16+(G16*D16)</f>
        <v>41627939.70137015</v>
      </c>
      <c r="I16" s="7"/>
    </row>
    <row r="17" spans="2:9">
      <c r="B17" s="10"/>
      <c r="C17" s="27">
        <v>1991</v>
      </c>
      <c r="D17" s="45">
        <v>41019791</v>
      </c>
      <c r="E17" s="27"/>
      <c r="F17" s="27"/>
      <c r="G17" s="141">
        <f t="shared" si="0"/>
        <v>4.5638848542935831E-2</v>
      </c>
      <c r="H17" s="582">
        <f t="shared" ref="H17:H34" si="1">D17+(G17*D17)</f>
        <v>42891887.028711885</v>
      </c>
      <c r="I17" s="7"/>
    </row>
    <row r="18" spans="2:9">
      <c r="B18" s="10"/>
      <c r="C18" s="27">
        <v>1992</v>
      </c>
      <c r="D18" s="45">
        <v>40087655</v>
      </c>
      <c r="E18" s="27"/>
      <c r="F18" s="27"/>
      <c r="G18" s="141">
        <f t="shared" si="0"/>
        <v>4.5638848542935831E-2</v>
      </c>
      <c r="H18" s="582">
        <f t="shared" si="1"/>
        <v>41917209.414986461</v>
      </c>
      <c r="I18" s="7"/>
    </row>
    <row r="19" spans="2:9">
      <c r="B19" s="10"/>
      <c r="C19" s="27">
        <v>1993</v>
      </c>
      <c r="D19" s="45">
        <v>37079208</v>
      </c>
      <c r="E19" s="27"/>
      <c r="F19" s="27"/>
      <c r="G19" s="141">
        <f t="shared" si="0"/>
        <v>4.5638848542935831E-2</v>
      </c>
      <c r="H19" s="582">
        <f t="shared" si="1"/>
        <v>38771460.358004011</v>
      </c>
      <c r="I19" s="7"/>
    </row>
    <row r="20" spans="2:9">
      <c r="B20" s="10"/>
      <c r="C20" s="27">
        <v>1994</v>
      </c>
      <c r="D20" s="45">
        <v>37939064</v>
      </c>
      <c r="E20" s="27"/>
      <c r="F20" s="27"/>
      <c r="G20" s="141">
        <f t="shared" si="0"/>
        <v>4.5638848542935831E-2</v>
      </c>
      <c r="H20" s="582">
        <f t="shared" si="1"/>
        <v>39670559.195756748</v>
      </c>
      <c r="I20" s="7"/>
    </row>
    <row r="21" spans="2:9">
      <c r="B21" s="10"/>
      <c r="C21" s="27">
        <v>1995</v>
      </c>
      <c r="D21" s="45">
        <v>37654481</v>
      </c>
      <c r="E21" s="27"/>
      <c r="F21" s="27"/>
      <c r="G21" s="141">
        <f t="shared" si="0"/>
        <v>4.5638848542935831E-2</v>
      </c>
      <c r="H21" s="582">
        <f t="shared" si="1"/>
        <v>39372988.155321851</v>
      </c>
      <c r="I21" s="7"/>
    </row>
    <row r="22" spans="2:9">
      <c r="B22" s="10"/>
      <c r="C22" s="27">
        <v>1996</v>
      </c>
      <c r="D22" s="45">
        <v>37954020</v>
      </c>
      <c r="E22" s="27"/>
      <c r="F22" s="27"/>
      <c r="G22" s="141">
        <f t="shared" si="0"/>
        <v>4.5638848542935831E-2</v>
      </c>
      <c r="H22" s="582">
        <f t="shared" si="1"/>
        <v>39686197.770375557</v>
      </c>
      <c r="I22" s="7"/>
    </row>
    <row r="23" spans="2:9">
      <c r="B23" s="10"/>
      <c r="C23" s="27">
        <v>1997</v>
      </c>
      <c r="D23" s="45">
        <v>44965328</v>
      </c>
      <c r="E23" s="27"/>
      <c r="F23" s="27"/>
      <c r="G23" s="141">
        <f t="shared" si="0"/>
        <v>4.5638848542935831E-2</v>
      </c>
      <c r="H23" s="582">
        <f t="shared" si="1"/>
        <v>47017493.794275433</v>
      </c>
      <c r="I23" s="7"/>
    </row>
    <row r="24" spans="2:9">
      <c r="B24" s="10"/>
      <c r="C24" s="27">
        <v>1998</v>
      </c>
      <c r="D24" s="45">
        <v>45683616</v>
      </c>
      <c r="E24" s="27"/>
      <c r="F24" s="27"/>
      <c r="G24" s="141">
        <f t="shared" si="0"/>
        <v>4.5638848542935831E-2</v>
      </c>
      <c r="H24" s="582">
        <f t="shared" si="1"/>
        <v>47768563.631517641</v>
      </c>
      <c r="I24" s="7"/>
    </row>
    <row r="25" spans="2:9" ht="15" thickBot="1">
      <c r="B25" s="10"/>
      <c r="C25" s="27">
        <v>1999</v>
      </c>
      <c r="D25" s="45">
        <v>40575392</v>
      </c>
      <c r="E25" s="27"/>
      <c r="F25" s="27"/>
      <c r="G25" s="141">
        <f>AVERAGE(G26:G34)</f>
        <v>4.5638848542935831E-2</v>
      </c>
      <c r="H25" s="583">
        <f t="shared" si="1"/>
        <v>42427206.17005825</v>
      </c>
      <c r="I25" s="7"/>
    </row>
    <row r="26" spans="2:9">
      <c r="B26" s="10"/>
      <c r="C26" s="27">
        <v>2000</v>
      </c>
      <c r="D26" s="45">
        <v>38697881</v>
      </c>
      <c r="E26" s="45">
        <v>41235000</v>
      </c>
      <c r="F26" s="45">
        <f>E26-D26</f>
        <v>2537119</v>
      </c>
      <c r="G26" s="1380">
        <f>F26/D26</f>
        <v>6.5562220318988521E-2</v>
      </c>
      <c r="H26" s="323">
        <f t="shared" si="1"/>
        <v>41235000</v>
      </c>
      <c r="I26" s="7"/>
    </row>
    <row r="27" spans="2:9">
      <c r="B27" s="10"/>
      <c r="C27" s="27">
        <v>2001</v>
      </c>
      <c r="D27" s="45">
        <v>38478434</v>
      </c>
      <c r="E27" s="45">
        <v>41481000</v>
      </c>
      <c r="F27" s="45">
        <f t="shared" ref="F27:F34" si="2">E27-D27</f>
        <v>3002566</v>
      </c>
      <c r="G27" s="1380">
        <f t="shared" ref="G27:G34" si="3">F27/D27</f>
        <v>7.8032437598681906E-2</v>
      </c>
      <c r="H27" s="45">
        <f t="shared" si="1"/>
        <v>41481000</v>
      </c>
      <c r="I27" s="7"/>
    </row>
    <row r="28" spans="2:9">
      <c r="B28" s="10"/>
      <c r="C28" s="27">
        <v>2002</v>
      </c>
      <c r="D28" s="45">
        <v>42027818</v>
      </c>
      <c r="E28" s="45">
        <v>44507000</v>
      </c>
      <c r="F28" s="45">
        <f t="shared" si="2"/>
        <v>2479182</v>
      </c>
      <c r="G28" s="1380">
        <f t="shared" si="3"/>
        <v>5.8989072428171266E-2</v>
      </c>
      <c r="H28" s="45">
        <f t="shared" si="1"/>
        <v>44507000</v>
      </c>
      <c r="I28" s="7"/>
    </row>
    <row r="29" spans="2:9">
      <c r="B29" s="10"/>
      <c r="C29" s="27">
        <v>2003</v>
      </c>
      <c r="D29" s="45">
        <v>48385024</v>
      </c>
      <c r="E29" s="45">
        <v>49336000</v>
      </c>
      <c r="F29" s="45">
        <f t="shared" si="2"/>
        <v>950976</v>
      </c>
      <c r="G29" s="1380">
        <f t="shared" si="3"/>
        <v>1.9654345939768472E-2</v>
      </c>
      <c r="H29" s="45">
        <f t="shared" si="1"/>
        <v>49336000</v>
      </c>
      <c r="I29" s="7"/>
    </row>
    <row r="30" spans="2:9">
      <c r="B30" s="10"/>
      <c r="C30" s="27">
        <v>2004</v>
      </c>
      <c r="D30" s="45">
        <v>47500483</v>
      </c>
      <c r="E30" s="45">
        <v>48657000</v>
      </c>
      <c r="F30" s="45">
        <f t="shared" si="2"/>
        <v>1156517</v>
      </c>
      <c r="G30" s="1380">
        <f t="shared" si="3"/>
        <v>2.434747874037407E-2</v>
      </c>
      <c r="H30" s="45">
        <f t="shared" si="1"/>
        <v>48657000</v>
      </c>
      <c r="I30" s="7"/>
    </row>
    <row r="31" spans="2:9">
      <c r="B31" s="10"/>
      <c r="C31" s="27">
        <v>2005</v>
      </c>
      <c r="D31" s="45">
        <v>47515443</v>
      </c>
      <c r="E31" s="45">
        <v>48635000</v>
      </c>
      <c r="F31" s="45">
        <f t="shared" si="2"/>
        <v>1119557</v>
      </c>
      <c r="G31" s="1380">
        <f t="shared" si="3"/>
        <v>2.3561960687181218E-2</v>
      </c>
      <c r="H31" s="45">
        <f>D31+(G31*D31)</f>
        <v>48635000</v>
      </c>
      <c r="I31" s="7"/>
    </row>
    <row r="32" spans="2:9">
      <c r="B32" s="10"/>
      <c r="C32" s="27">
        <v>2006</v>
      </c>
      <c r="D32" s="45">
        <v>45597775</v>
      </c>
      <c r="E32" s="45">
        <v>46977000</v>
      </c>
      <c r="F32" s="45">
        <f t="shared" si="2"/>
        <v>1379225</v>
      </c>
      <c r="G32" s="1380">
        <f t="shared" si="3"/>
        <v>3.0247638179713814E-2</v>
      </c>
      <c r="H32" s="45">
        <f t="shared" si="1"/>
        <v>46977000</v>
      </c>
      <c r="I32" s="7"/>
    </row>
    <row r="33" spans="2:13">
      <c r="B33" s="10"/>
      <c r="C33" s="27">
        <v>2007</v>
      </c>
      <c r="D33" s="45">
        <v>47075975</v>
      </c>
      <c r="E33" s="45">
        <v>49557000</v>
      </c>
      <c r="F33" s="45">
        <f t="shared" si="2"/>
        <v>2481025</v>
      </c>
      <c r="G33" s="1380">
        <f t="shared" si="3"/>
        <v>5.2702572809166459E-2</v>
      </c>
      <c r="H33" s="45">
        <f t="shared" si="1"/>
        <v>49557000</v>
      </c>
      <c r="I33" s="7"/>
    </row>
    <row r="34" spans="2:13">
      <c r="B34" s="10"/>
      <c r="C34" s="27">
        <v>2008</v>
      </c>
      <c r="D34" s="45">
        <v>42505478</v>
      </c>
      <c r="E34" s="45">
        <v>44956000</v>
      </c>
      <c r="F34" s="45">
        <f t="shared" si="2"/>
        <v>2450522</v>
      </c>
      <c r="G34" s="1380">
        <f t="shared" si="3"/>
        <v>5.7651910184376702E-2</v>
      </c>
      <c r="H34" s="45">
        <f t="shared" si="1"/>
        <v>44956000</v>
      </c>
      <c r="I34" s="7"/>
    </row>
    <row r="35" spans="2:13" ht="7.5" customHeight="1" thickBot="1">
      <c r="B35" s="150"/>
      <c r="C35" s="151"/>
      <c r="D35" s="151"/>
      <c r="E35" s="138"/>
      <c r="F35" s="151"/>
      <c r="G35" s="151"/>
      <c r="H35" s="151"/>
      <c r="I35" s="540"/>
    </row>
    <row r="36" spans="2:13" ht="5.25" customHeight="1" thickBot="1"/>
    <row r="37" spans="2:13" ht="15" customHeight="1" thickBot="1">
      <c r="B37" s="58"/>
      <c r="C37" s="383"/>
      <c r="D37" s="383"/>
      <c r="E37" s="383"/>
      <c r="F37" s="383"/>
      <c r="G37" s="383"/>
      <c r="H37" s="383"/>
      <c r="I37" s="384"/>
    </row>
    <row r="38" spans="2:13" ht="15" thickBot="1">
      <c r="B38" s="10"/>
      <c r="E38" s="1883" t="s">
        <v>718</v>
      </c>
      <c r="F38" s="1884"/>
      <c r="I38" s="7"/>
    </row>
    <row r="39" spans="2:13" ht="14.25" customHeight="1" thickBot="1">
      <c r="B39" s="10"/>
      <c r="I39" s="7"/>
    </row>
    <row r="40" spans="2:13" ht="58">
      <c r="B40" s="10"/>
      <c r="C40" s="27" t="s">
        <v>626</v>
      </c>
      <c r="D40" s="136" t="s">
        <v>719</v>
      </c>
      <c r="E40" s="136" t="s">
        <v>720</v>
      </c>
      <c r="F40" s="136" t="s">
        <v>715</v>
      </c>
      <c r="G40" s="140" t="s">
        <v>716</v>
      </c>
      <c r="H40" s="137" t="s">
        <v>721</v>
      </c>
      <c r="I40" s="7"/>
      <c r="K40" s="22"/>
      <c r="L40" s="22"/>
      <c r="M40" s="22"/>
    </row>
    <row r="41" spans="2:13">
      <c r="B41" s="10"/>
      <c r="C41" s="27">
        <v>1990</v>
      </c>
      <c r="D41" s="45">
        <v>15946014</v>
      </c>
      <c r="E41" s="27"/>
      <c r="F41" s="27"/>
      <c r="G41" s="141">
        <f t="shared" ref="G41:G49" si="4">G42</f>
        <v>-0.25315388696791441</v>
      </c>
      <c r="H41" s="582">
        <f>D41+(G41*D41)</f>
        <v>11909218.574255219</v>
      </c>
      <c r="I41" s="7"/>
      <c r="L41" s="24"/>
      <c r="M41" s="6"/>
    </row>
    <row r="42" spans="2:13">
      <c r="B42" s="10"/>
      <c r="C42" s="27">
        <v>1991</v>
      </c>
      <c r="D42" s="45">
        <v>17344783</v>
      </c>
      <c r="E42" s="27"/>
      <c r="F42" s="27"/>
      <c r="G42" s="141">
        <f t="shared" si="4"/>
        <v>-0.25315388696791441</v>
      </c>
      <c r="H42" s="582">
        <f t="shared" ref="H42:H59" si="5">D42+(G42*D42)</f>
        <v>12953883.764934996</v>
      </c>
      <c r="I42" s="7"/>
      <c r="L42" s="24"/>
      <c r="M42" s="6"/>
    </row>
    <row r="43" spans="2:13">
      <c r="B43" s="10"/>
      <c r="C43" s="27">
        <v>1992</v>
      </c>
      <c r="D43" s="45">
        <v>15683544</v>
      </c>
      <c r="E43" s="27"/>
      <c r="F43" s="27"/>
      <c r="G43" s="141">
        <f t="shared" si="4"/>
        <v>-0.25315388696791441</v>
      </c>
      <c r="H43" s="582">
        <f t="shared" si="5"/>
        <v>11713193.874967687</v>
      </c>
      <c r="I43" s="7"/>
      <c r="L43" s="24"/>
      <c r="M43" s="6"/>
    </row>
    <row r="44" spans="2:13">
      <c r="B44" s="10"/>
      <c r="C44" s="27">
        <v>1993</v>
      </c>
      <c r="D44" s="45">
        <v>15614272</v>
      </c>
      <c r="E44" s="27"/>
      <c r="F44" s="27"/>
      <c r="G44" s="141">
        <f t="shared" si="4"/>
        <v>-0.25315388696791441</v>
      </c>
      <c r="H44" s="582">
        <f t="shared" si="5"/>
        <v>11661458.351025729</v>
      </c>
      <c r="I44" s="7"/>
      <c r="L44" s="24"/>
      <c r="M44" s="6"/>
    </row>
    <row r="45" spans="2:13">
      <c r="B45" s="10"/>
      <c r="C45" s="27">
        <v>1994</v>
      </c>
      <c r="D45" s="45">
        <v>16456150</v>
      </c>
      <c r="E45" s="27"/>
      <c r="F45" s="27"/>
      <c r="G45" s="141">
        <f t="shared" si="4"/>
        <v>-0.25315388696791441</v>
      </c>
      <c r="H45" s="582">
        <f t="shared" si="5"/>
        <v>12290211.662972955</v>
      </c>
      <c r="I45" s="7"/>
      <c r="L45" s="24"/>
      <c r="M45" s="6"/>
    </row>
    <row r="46" spans="2:13">
      <c r="B46" s="10"/>
      <c r="C46" s="27">
        <v>1995</v>
      </c>
      <c r="D46" s="45">
        <v>9763051</v>
      </c>
      <c r="E46" s="27"/>
      <c r="F46" s="27"/>
      <c r="G46" s="141">
        <f t="shared" si="4"/>
        <v>-0.25315388696791441</v>
      </c>
      <c r="H46" s="582">
        <f t="shared" si="5"/>
        <v>7291496.6906840168</v>
      </c>
      <c r="I46" s="7"/>
      <c r="L46" s="24"/>
      <c r="M46" s="6"/>
    </row>
    <row r="47" spans="2:13">
      <c r="B47" s="10"/>
      <c r="C47" s="27">
        <v>1996</v>
      </c>
      <c r="D47" s="45">
        <v>14934373</v>
      </c>
      <c r="E47" s="27"/>
      <c r="F47" s="27"/>
      <c r="G47" s="141">
        <f t="shared" si="4"/>
        <v>-0.25315388696791441</v>
      </c>
      <c r="H47" s="582">
        <f t="shared" si="5"/>
        <v>11153678.425621327</v>
      </c>
      <c r="I47" s="7"/>
      <c r="L47" s="24"/>
      <c r="M47" s="6"/>
    </row>
    <row r="48" spans="2:13">
      <c r="B48" s="10"/>
      <c r="C48" s="27">
        <v>1997</v>
      </c>
      <c r="D48" s="45">
        <v>10333406</v>
      </c>
      <c r="E48" s="27"/>
      <c r="F48" s="27"/>
      <c r="G48" s="141">
        <f t="shared" si="4"/>
        <v>-0.25315388696791441</v>
      </c>
      <c r="H48" s="582">
        <f t="shared" si="5"/>
        <v>7717464.1054824311</v>
      </c>
      <c r="I48" s="7"/>
      <c r="L48" s="24"/>
      <c r="M48" s="6"/>
    </row>
    <row r="49" spans="2:14">
      <c r="B49" s="10"/>
      <c r="C49" s="27">
        <v>1998</v>
      </c>
      <c r="D49" s="45">
        <v>11003317</v>
      </c>
      <c r="E49" s="27"/>
      <c r="F49" s="27"/>
      <c r="G49" s="141">
        <f t="shared" si="4"/>
        <v>-0.25315388696791441</v>
      </c>
      <c r="H49" s="582">
        <f t="shared" si="5"/>
        <v>8217784.5319098691</v>
      </c>
      <c r="I49" s="7"/>
      <c r="L49" s="24"/>
      <c r="M49" s="6"/>
    </row>
    <row r="50" spans="2:14" ht="15" thickBot="1">
      <c r="B50" s="10"/>
      <c r="C50" s="27">
        <v>1999</v>
      </c>
      <c r="D50" s="45">
        <v>12673929</v>
      </c>
      <c r="E50" s="27"/>
      <c r="F50" s="27"/>
      <c r="G50" s="141">
        <f>AVERAGE(G51:G59)</f>
        <v>-0.25315388696791441</v>
      </c>
      <c r="H50" s="583">
        <f>D50+(G50*D50)</f>
        <v>9465474.6104946285</v>
      </c>
      <c r="I50" s="7"/>
      <c r="L50" s="24"/>
      <c r="M50" s="6"/>
    </row>
    <row r="51" spans="2:14">
      <c r="B51" s="10"/>
      <c r="C51" s="27">
        <v>2000</v>
      </c>
      <c r="D51" s="45">
        <v>14047947</v>
      </c>
      <c r="E51" s="45">
        <v>10355000</v>
      </c>
      <c r="F51" s="45">
        <f>E51-D51</f>
        <v>-3692947</v>
      </c>
      <c r="G51" s="1380">
        <f>F51/D51</f>
        <v>-0.26288161537055915</v>
      </c>
      <c r="H51" s="323">
        <f>D51+(G51*D51)</f>
        <v>10355000</v>
      </c>
      <c r="I51" s="7"/>
      <c r="J51" s="23"/>
      <c r="K51" s="8"/>
      <c r="L51" s="1381"/>
      <c r="M51" s="6"/>
    </row>
    <row r="52" spans="2:14">
      <c r="B52" s="10"/>
      <c r="C52" s="27">
        <v>2001</v>
      </c>
      <c r="D52" s="45">
        <v>19564821</v>
      </c>
      <c r="E52" s="45">
        <v>15669000</v>
      </c>
      <c r="F52" s="45">
        <f t="shared" ref="F52:F59" si="6">E52-D52</f>
        <v>-3895821</v>
      </c>
      <c r="G52" s="1380">
        <f>F52/D52</f>
        <v>-0.19912377424766625</v>
      </c>
      <c r="H52" s="45">
        <f t="shared" si="5"/>
        <v>15669000</v>
      </c>
      <c r="I52" s="7"/>
      <c r="J52" s="23"/>
      <c r="K52" s="8"/>
      <c r="L52" s="1381"/>
      <c r="M52" s="6"/>
    </row>
    <row r="53" spans="2:14">
      <c r="B53" s="10"/>
      <c r="C53" s="27">
        <v>2002</v>
      </c>
      <c r="D53" s="45">
        <v>22535033</v>
      </c>
      <c r="E53" s="45">
        <v>16065000</v>
      </c>
      <c r="F53" s="45">
        <f t="shared" si="6"/>
        <v>-6470033</v>
      </c>
      <c r="G53" s="1380">
        <f t="shared" ref="G53:G59" si="7">F53/D53</f>
        <v>-0.2871099855944298</v>
      </c>
      <c r="H53" s="45">
        <f t="shared" si="5"/>
        <v>16065000</v>
      </c>
      <c r="I53" s="7"/>
      <c r="J53" s="23"/>
      <c r="K53" s="8"/>
      <c r="L53" s="1381"/>
      <c r="M53" s="6"/>
    </row>
    <row r="54" spans="2:14">
      <c r="B54" s="10"/>
      <c r="C54" s="27">
        <v>2003</v>
      </c>
      <c r="D54" s="45">
        <v>18971635</v>
      </c>
      <c r="E54" s="45">
        <v>14736000</v>
      </c>
      <c r="F54" s="45">
        <f t="shared" si="6"/>
        <v>-4235635</v>
      </c>
      <c r="G54" s="1380">
        <f t="shared" si="7"/>
        <v>-0.2232614637589222</v>
      </c>
      <c r="H54" s="45">
        <f t="shared" si="5"/>
        <v>14736000</v>
      </c>
      <c r="I54" s="7"/>
      <c r="J54" s="23"/>
      <c r="K54" s="8"/>
      <c r="L54" s="1381"/>
      <c r="M54" s="6"/>
    </row>
    <row r="55" spans="2:14">
      <c r="B55" s="10"/>
      <c r="C55" s="27">
        <v>2004</v>
      </c>
      <c r="D55" s="45">
        <v>19098885</v>
      </c>
      <c r="E55" s="45">
        <v>14747000</v>
      </c>
      <c r="F55" s="45">
        <f t="shared" si="6"/>
        <v>-4351885</v>
      </c>
      <c r="G55" s="1380">
        <f t="shared" si="7"/>
        <v>-0.22786068401375265</v>
      </c>
      <c r="H55" s="45">
        <f t="shared" si="5"/>
        <v>14747000</v>
      </c>
      <c r="I55" s="7"/>
      <c r="J55" s="23"/>
      <c r="K55" s="8"/>
      <c r="L55" s="1381"/>
      <c r="M55" s="6"/>
    </row>
    <row r="56" spans="2:14">
      <c r="B56" s="10"/>
      <c r="C56" s="27">
        <v>2005</v>
      </c>
      <c r="D56" s="45">
        <v>18843978</v>
      </c>
      <c r="E56" s="45">
        <v>14249000</v>
      </c>
      <c r="F56" s="45">
        <f t="shared" si="6"/>
        <v>-4594978</v>
      </c>
      <c r="G56" s="1380">
        <f t="shared" si="7"/>
        <v>-0.24384331164046147</v>
      </c>
      <c r="H56" s="45">
        <f t="shared" si="5"/>
        <v>14249000</v>
      </c>
      <c r="I56" s="7"/>
      <c r="J56" s="8"/>
      <c r="K56" s="8"/>
      <c r="L56" s="1381"/>
      <c r="M56" s="6"/>
    </row>
    <row r="57" spans="2:14">
      <c r="B57" s="10"/>
      <c r="C57" s="27">
        <v>2006</v>
      </c>
      <c r="D57" s="45">
        <v>16816173</v>
      </c>
      <c r="E57" s="45">
        <v>12024000</v>
      </c>
      <c r="F57" s="45">
        <f t="shared" si="6"/>
        <v>-4792173</v>
      </c>
      <c r="G57" s="1380">
        <f t="shared" si="7"/>
        <v>-0.28497405444151891</v>
      </c>
      <c r="H57" s="45">
        <f t="shared" si="5"/>
        <v>12024000</v>
      </c>
      <c r="I57" s="7"/>
      <c r="J57" s="8"/>
      <c r="K57" s="8"/>
      <c r="L57" s="1381"/>
      <c r="M57" s="6"/>
    </row>
    <row r="58" spans="2:14">
      <c r="B58" s="10"/>
      <c r="C58" s="27">
        <v>2007</v>
      </c>
      <c r="D58" s="45">
        <v>16128567</v>
      </c>
      <c r="E58" s="45">
        <v>11551000</v>
      </c>
      <c r="F58" s="45">
        <f t="shared" si="6"/>
        <v>-4577567</v>
      </c>
      <c r="G58" s="1380">
        <f t="shared" si="7"/>
        <v>-0.28381734099501832</v>
      </c>
      <c r="H58" s="45">
        <f t="shared" si="5"/>
        <v>11551000</v>
      </c>
      <c r="I58" s="7"/>
      <c r="J58" s="8"/>
      <c r="K58" s="8"/>
      <c r="L58" s="1381"/>
      <c r="M58" s="6"/>
    </row>
    <row r="59" spans="2:14">
      <c r="B59" s="10"/>
      <c r="C59" s="27">
        <v>2008</v>
      </c>
      <c r="D59" s="45">
        <v>17094919</v>
      </c>
      <c r="E59" s="45">
        <v>12556000</v>
      </c>
      <c r="F59" s="45">
        <f t="shared" si="6"/>
        <v>-4538919</v>
      </c>
      <c r="G59" s="1380">
        <f t="shared" si="7"/>
        <v>-0.26551275264890112</v>
      </c>
      <c r="H59" s="45">
        <f t="shared" si="5"/>
        <v>12556000</v>
      </c>
      <c r="I59" s="7"/>
      <c r="J59" s="8"/>
    </row>
    <row r="60" spans="2:14" ht="6.75" customHeight="1" thickBot="1">
      <c r="B60" s="150"/>
      <c r="C60" s="151"/>
      <c r="D60" s="151"/>
      <c r="E60" s="138"/>
      <c r="F60" s="151"/>
      <c r="G60" s="151"/>
      <c r="H60" s="151"/>
      <c r="I60" s="540"/>
    </row>
    <row r="61" spans="2:14" ht="15" thickBot="1"/>
    <row r="62" spans="2:14" ht="15" thickBot="1">
      <c r="B62" s="58"/>
      <c r="C62" s="383"/>
      <c r="D62" s="383"/>
      <c r="E62" s="383"/>
      <c r="F62" s="383"/>
      <c r="G62" s="383"/>
      <c r="H62" s="383"/>
      <c r="I62" s="384"/>
    </row>
    <row r="63" spans="2:14" ht="15" thickBot="1">
      <c r="B63" s="10"/>
      <c r="E63" s="1883" t="s">
        <v>722</v>
      </c>
      <c r="F63" s="1884"/>
      <c r="I63" s="7"/>
      <c r="L63" s="8"/>
      <c r="M63" s="1381"/>
      <c r="N63" s="6"/>
    </row>
    <row r="64" spans="2:14" ht="15" thickBot="1">
      <c r="B64" s="10"/>
      <c r="I64" s="7"/>
    </row>
    <row r="65" spans="2:9" ht="58">
      <c r="B65" s="10"/>
      <c r="C65" s="27" t="s">
        <v>626</v>
      </c>
      <c r="D65" s="136" t="s">
        <v>723</v>
      </c>
      <c r="E65" s="136" t="s">
        <v>724</v>
      </c>
      <c r="F65" s="136" t="s">
        <v>715</v>
      </c>
      <c r="G65" s="140" t="s">
        <v>716</v>
      </c>
      <c r="H65" s="137" t="s">
        <v>725</v>
      </c>
      <c r="I65" s="7"/>
    </row>
    <row r="66" spans="2:9">
      <c r="B66" s="10"/>
      <c r="C66" s="27">
        <v>1990</v>
      </c>
      <c r="D66" s="45">
        <v>12405196</v>
      </c>
      <c r="E66" s="27"/>
      <c r="F66" s="27"/>
      <c r="G66" s="141">
        <f t="shared" ref="G66:G74" si="8">G67</f>
        <v>1.4487121984868253E-2</v>
      </c>
      <c r="H66" s="582">
        <f>D66+(G66*D66)</f>
        <v>12584911.587698199</v>
      </c>
      <c r="I66" s="7"/>
    </row>
    <row r="67" spans="2:9">
      <c r="B67" s="10"/>
      <c r="C67" s="27">
        <v>1991</v>
      </c>
      <c r="D67" s="45">
        <v>14221341</v>
      </c>
      <c r="E67" s="27"/>
      <c r="F67" s="27"/>
      <c r="G67" s="141">
        <f t="shared" si="8"/>
        <v>1.4487121984868253E-2</v>
      </c>
      <c r="H67" s="582">
        <f t="shared" ref="H67:H83" si="9">D67+(G67*D67)</f>
        <v>14427367.301855408</v>
      </c>
      <c r="I67" s="7"/>
    </row>
    <row r="68" spans="2:9">
      <c r="B68" s="10"/>
      <c r="C68" s="27">
        <v>1992</v>
      </c>
      <c r="D68" s="45">
        <v>15117253</v>
      </c>
      <c r="E68" s="27"/>
      <c r="F68" s="27"/>
      <c r="G68" s="141">
        <f t="shared" si="8"/>
        <v>1.4487121984868253E-2</v>
      </c>
      <c r="H68" s="582">
        <f t="shared" si="9"/>
        <v>15336258.488287115</v>
      </c>
      <c r="I68" s="7"/>
    </row>
    <row r="69" spans="2:9">
      <c r="B69" s="10"/>
      <c r="C69" s="27">
        <v>1993</v>
      </c>
      <c r="D69" s="45">
        <v>16242760</v>
      </c>
      <c r="E69" s="27"/>
      <c r="F69" s="27"/>
      <c r="G69" s="141">
        <f t="shared" si="8"/>
        <v>1.4487121984868253E-2</v>
      </c>
      <c r="H69" s="582">
        <f t="shared" si="9"/>
        <v>16478070.845490938</v>
      </c>
      <c r="I69" s="7"/>
    </row>
    <row r="70" spans="2:9">
      <c r="B70" s="10"/>
      <c r="C70" s="27">
        <v>1994</v>
      </c>
      <c r="D70" s="45">
        <v>13462499</v>
      </c>
      <c r="E70" s="27"/>
      <c r="F70" s="27"/>
      <c r="G70" s="141">
        <f t="shared" si="8"/>
        <v>1.4487121984868253E-2</v>
      </c>
      <c r="H70" s="582">
        <f t="shared" si="9"/>
        <v>13657531.865234166</v>
      </c>
      <c r="I70" s="7"/>
    </row>
    <row r="71" spans="2:9">
      <c r="B71" s="10"/>
      <c r="C71" s="27">
        <v>1995</v>
      </c>
      <c r="D71" s="45">
        <v>15434379</v>
      </c>
      <c r="E71" s="27"/>
      <c r="F71" s="27"/>
      <c r="G71" s="141">
        <f t="shared" si="8"/>
        <v>1.4487121984868253E-2</v>
      </c>
      <c r="H71" s="582">
        <f t="shared" si="9"/>
        <v>15657978.73133369</v>
      </c>
      <c r="I71" s="7"/>
    </row>
    <row r="72" spans="2:9">
      <c r="B72" s="10"/>
      <c r="C72" s="27">
        <v>1996</v>
      </c>
      <c r="D72" s="45">
        <v>17063649</v>
      </c>
      <c r="E72" s="27"/>
      <c r="F72" s="27"/>
      <c r="G72" s="141">
        <f t="shared" si="8"/>
        <v>1.4487121984868253E-2</v>
      </c>
      <c r="H72" s="582">
        <f t="shared" si="9"/>
        <v>17310852.164569974</v>
      </c>
      <c r="I72" s="7"/>
    </row>
    <row r="73" spans="2:9">
      <c r="B73" s="10"/>
      <c r="C73" s="27">
        <v>1997</v>
      </c>
      <c r="D73" s="45">
        <v>15880223</v>
      </c>
      <c r="E73" s="27"/>
      <c r="F73" s="27"/>
      <c r="G73" s="141">
        <f t="shared" si="8"/>
        <v>1.4487121984868253E-2</v>
      </c>
      <c r="H73" s="582">
        <f t="shared" si="9"/>
        <v>16110281.72774791</v>
      </c>
      <c r="I73" s="7"/>
    </row>
    <row r="74" spans="2:9">
      <c r="B74" s="10"/>
      <c r="C74" s="27">
        <v>1998</v>
      </c>
      <c r="D74" s="45">
        <v>16088853</v>
      </c>
      <c r="E74" s="27"/>
      <c r="F74" s="27"/>
      <c r="G74" s="141">
        <f t="shared" si="8"/>
        <v>1.4487121984868253E-2</v>
      </c>
      <c r="H74" s="582">
        <f t="shared" si="9"/>
        <v>16321934.176007614</v>
      </c>
      <c r="I74" s="7"/>
    </row>
    <row r="75" spans="2:9" ht="15" thickBot="1">
      <c r="B75" s="10"/>
      <c r="C75" s="27">
        <v>1999</v>
      </c>
      <c r="D75" s="45">
        <v>16189247</v>
      </c>
      <c r="E75" s="27"/>
      <c r="F75" s="27"/>
      <c r="G75" s="141">
        <f>AVERAGE(G76:G84)</f>
        <v>1.4487121984868253E-2</v>
      </c>
      <c r="H75" s="583">
        <f t="shared" si="9"/>
        <v>16423782.596132163</v>
      </c>
      <c r="I75" s="7"/>
    </row>
    <row r="76" spans="2:9">
      <c r="B76" s="10"/>
      <c r="C76" s="27">
        <v>2000</v>
      </c>
      <c r="D76" s="45">
        <v>15031499</v>
      </c>
      <c r="E76" s="45">
        <v>15061000</v>
      </c>
      <c r="F76" s="45">
        <f>E76-D76</f>
        <v>29501</v>
      </c>
      <c r="G76" s="1380">
        <f>F76/D76</f>
        <v>1.9626119790181937E-3</v>
      </c>
      <c r="H76" s="323">
        <f t="shared" si="9"/>
        <v>15061000</v>
      </c>
      <c r="I76" s="7"/>
    </row>
    <row r="77" spans="2:9">
      <c r="B77" s="10"/>
      <c r="C77" s="27">
        <v>2001</v>
      </c>
      <c r="D77" s="45">
        <v>15074624</v>
      </c>
      <c r="E77" s="45">
        <v>15030000</v>
      </c>
      <c r="F77" s="45">
        <f t="shared" ref="F77:F83" si="10">E77-D77</f>
        <v>-44624</v>
      </c>
      <c r="G77" s="1380">
        <f t="shared" ref="G77:G83" si="11">F77/D77</f>
        <v>-2.9602065033263849E-3</v>
      </c>
      <c r="H77" s="45">
        <f t="shared" si="9"/>
        <v>15030000</v>
      </c>
      <c r="I77" s="7"/>
    </row>
    <row r="78" spans="2:9">
      <c r="B78" s="10"/>
      <c r="C78" s="27">
        <v>2002</v>
      </c>
      <c r="D78" s="45">
        <v>15953078</v>
      </c>
      <c r="E78" s="45">
        <v>17199000</v>
      </c>
      <c r="F78" s="45">
        <f t="shared" si="10"/>
        <v>1245922</v>
      </c>
      <c r="G78" s="1380">
        <f t="shared" si="11"/>
        <v>7.809916055071002E-2</v>
      </c>
      <c r="H78" s="45">
        <f t="shared" si="9"/>
        <v>17199000</v>
      </c>
      <c r="I78" s="7"/>
    </row>
    <row r="79" spans="2:9">
      <c r="B79" s="10"/>
      <c r="C79" s="27">
        <v>2003</v>
      </c>
      <c r="D79" s="45">
        <v>21597107</v>
      </c>
      <c r="E79" s="45">
        <v>21881000</v>
      </c>
      <c r="F79" s="45">
        <f t="shared" si="10"/>
        <v>283893</v>
      </c>
      <c r="G79" s="1380">
        <f t="shared" si="11"/>
        <v>1.314495501642882E-2</v>
      </c>
      <c r="H79" s="45">
        <f t="shared" si="9"/>
        <v>21881000</v>
      </c>
      <c r="I79" s="7"/>
    </row>
    <row r="80" spans="2:9">
      <c r="B80" s="10"/>
      <c r="C80" s="27">
        <v>2004</v>
      </c>
      <c r="D80" s="45">
        <v>23875787</v>
      </c>
      <c r="E80" s="45">
        <v>23720000</v>
      </c>
      <c r="F80" s="45">
        <f t="shared" si="10"/>
        <v>-155787</v>
      </c>
      <c r="G80" s="1380">
        <f t="shared" si="11"/>
        <v>-6.5248948652456987E-3</v>
      </c>
      <c r="H80" s="45">
        <f t="shared" si="9"/>
        <v>23720000</v>
      </c>
      <c r="I80" s="7"/>
    </row>
    <row r="81" spans="2:9">
      <c r="B81" s="10"/>
      <c r="C81" s="27">
        <v>2005</v>
      </c>
      <c r="D81" s="45">
        <v>24470013</v>
      </c>
      <c r="E81" s="45">
        <v>24299000</v>
      </c>
      <c r="F81" s="45">
        <f t="shared" si="10"/>
        <v>-171013</v>
      </c>
      <c r="G81" s="1380">
        <f t="shared" si="11"/>
        <v>-6.9886763035230098E-3</v>
      </c>
      <c r="H81" s="45">
        <f t="shared" si="9"/>
        <v>24299000</v>
      </c>
      <c r="I81" s="7"/>
    </row>
    <row r="82" spans="2:9">
      <c r="B82" s="10"/>
      <c r="C82" s="27">
        <v>2006</v>
      </c>
      <c r="D82" s="45">
        <v>22063695</v>
      </c>
      <c r="E82" s="45">
        <v>22411000</v>
      </c>
      <c r="F82" s="45">
        <f t="shared" si="10"/>
        <v>347305</v>
      </c>
      <c r="G82" s="1380">
        <f t="shared" si="11"/>
        <v>1.5741017087119814E-2</v>
      </c>
      <c r="H82" s="45">
        <f t="shared" si="9"/>
        <v>22411000</v>
      </c>
      <c r="I82" s="7"/>
    </row>
    <row r="83" spans="2:9">
      <c r="B83" s="10"/>
      <c r="C83" s="27">
        <v>2007</v>
      </c>
      <c r="D83" s="45">
        <v>23277171</v>
      </c>
      <c r="E83" s="45">
        <v>23601000</v>
      </c>
      <c r="F83" s="45">
        <f t="shared" si="10"/>
        <v>323829</v>
      </c>
      <c r="G83" s="1380">
        <f t="shared" si="11"/>
        <v>1.3911870991539307E-2</v>
      </c>
      <c r="H83" s="45">
        <f t="shared" si="9"/>
        <v>23601000</v>
      </c>
      <c r="I83" s="7"/>
    </row>
    <row r="84" spans="2:9">
      <c r="B84" s="10"/>
      <c r="C84" s="27">
        <v>2008</v>
      </c>
      <c r="D84" s="45">
        <v>22876992</v>
      </c>
      <c r="E84" s="45">
        <v>23426000</v>
      </c>
      <c r="F84" s="45">
        <f>E84-D84</f>
        <v>549008</v>
      </c>
      <c r="G84" s="1380">
        <f>F84/D84</f>
        <v>2.3998259911093205E-2</v>
      </c>
      <c r="H84" s="45">
        <f>D84+(G84*D84)</f>
        <v>23426000</v>
      </c>
      <c r="I84" s="7"/>
    </row>
    <row r="85" spans="2:9" ht="15" thickBot="1">
      <c r="B85" s="150"/>
      <c r="C85" s="151"/>
      <c r="D85" s="151"/>
      <c r="E85" s="138"/>
      <c r="F85" s="151"/>
      <c r="G85" s="151"/>
      <c r="H85" s="151"/>
      <c r="I85" s="540"/>
    </row>
    <row r="86" spans="2:9" ht="15" thickBot="1"/>
    <row r="87" spans="2:9" ht="15" thickBot="1">
      <c r="B87" s="58"/>
      <c r="C87" s="383"/>
      <c r="D87" s="383"/>
      <c r="E87" s="383"/>
      <c r="F87" s="383"/>
      <c r="G87" s="383"/>
      <c r="H87" s="383"/>
      <c r="I87" s="384"/>
    </row>
    <row r="88" spans="2:9" ht="15" thickBot="1">
      <c r="B88" s="10"/>
      <c r="E88" s="1883" t="s">
        <v>726</v>
      </c>
      <c r="F88" s="1884"/>
      <c r="I88" s="7"/>
    </row>
    <row r="89" spans="2:9" ht="15" thickBot="1">
      <c r="B89" s="10"/>
      <c r="I89" s="7"/>
    </row>
    <row r="90" spans="2:9" ht="58">
      <c r="B90" s="10"/>
      <c r="C90" s="27" t="s">
        <v>626</v>
      </c>
      <c r="D90" s="136" t="s">
        <v>727</v>
      </c>
      <c r="E90" s="136" t="s">
        <v>728</v>
      </c>
      <c r="F90" s="136" t="s">
        <v>715</v>
      </c>
      <c r="G90" s="140" t="s">
        <v>716</v>
      </c>
      <c r="H90" s="137" t="s">
        <v>729</v>
      </c>
      <c r="I90" s="7"/>
    </row>
    <row r="91" spans="2:9">
      <c r="B91" s="10"/>
      <c r="C91" s="27">
        <v>1990</v>
      </c>
      <c r="D91" s="45">
        <v>5164108</v>
      </c>
      <c r="E91" s="27"/>
      <c r="F91" s="27"/>
      <c r="G91" s="141">
        <f t="shared" ref="G91:G99" si="12">G92</f>
        <v>-6.2635206208203439E-2</v>
      </c>
      <c r="H91" s="582">
        <f>D91+(G91*D91)</f>
        <v>4840653.0305385673</v>
      </c>
      <c r="I91" s="7"/>
    </row>
    <row r="92" spans="2:9">
      <c r="B92" s="10"/>
      <c r="C92" s="27">
        <v>1991</v>
      </c>
      <c r="D92" s="45">
        <v>5387985</v>
      </c>
      <c r="E92" s="27"/>
      <c r="F92" s="27"/>
      <c r="G92" s="141">
        <f t="shared" si="12"/>
        <v>-6.2635206208203439E-2</v>
      </c>
      <c r="H92" s="582">
        <f t="shared" ref="H92:H108" si="13">D92+(G92*D92)</f>
        <v>5050507.4484782927</v>
      </c>
      <c r="I92" s="7"/>
    </row>
    <row r="93" spans="2:9">
      <c r="B93" s="10"/>
      <c r="C93" s="27">
        <v>1992</v>
      </c>
      <c r="D93" s="45">
        <v>4870142</v>
      </c>
      <c r="E93" s="27"/>
      <c r="F93" s="27"/>
      <c r="G93" s="141">
        <f t="shared" si="12"/>
        <v>-6.2635206208203439E-2</v>
      </c>
      <c r="H93" s="582">
        <f t="shared" si="13"/>
        <v>4565099.6515667681</v>
      </c>
      <c r="I93" s="7"/>
    </row>
    <row r="94" spans="2:9">
      <c r="B94" s="10"/>
      <c r="C94" s="27">
        <v>1993</v>
      </c>
      <c r="D94" s="45">
        <v>4643765</v>
      </c>
      <c r="E94" s="27"/>
      <c r="F94" s="27"/>
      <c r="G94" s="141">
        <f t="shared" si="12"/>
        <v>-6.2635206208203439E-2</v>
      </c>
      <c r="H94" s="582">
        <f t="shared" si="13"/>
        <v>4352901.8216425618</v>
      </c>
      <c r="I94" s="7"/>
    </row>
    <row r="95" spans="2:9">
      <c r="B95" s="10"/>
      <c r="C95" s="27">
        <v>1994</v>
      </c>
      <c r="D95" s="45">
        <v>5617030</v>
      </c>
      <c r="E95" s="27"/>
      <c r="F95" s="27"/>
      <c r="G95" s="141">
        <f t="shared" si="12"/>
        <v>-6.2635206208203439E-2</v>
      </c>
      <c r="H95" s="582">
        <f t="shared" si="13"/>
        <v>5265206.1676723352</v>
      </c>
      <c r="I95" s="7"/>
    </row>
    <row r="96" spans="2:9">
      <c r="B96" s="10"/>
      <c r="C96" s="27">
        <v>1995</v>
      </c>
      <c r="D96" s="45">
        <v>5160062</v>
      </c>
      <c r="E96" s="27"/>
      <c r="F96" s="27"/>
      <c r="G96" s="141">
        <f t="shared" si="12"/>
        <v>-6.2635206208203439E-2</v>
      </c>
      <c r="H96" s="582">
        <f t="shared" si="13"/>
        <v>4836860.4525828855</v>
      </c>
      <c r="I96" s="7"/>
    </row>
    <row r="97" spans="2:9">
      <c r="B97" s="10"/>
      <c r="C97" s="27">
        <v>1996</v>
      </c>
      <c r="D97" s="45">
        <v>5350119</v>
      </c>
      <c r="E97" s="27"/>
      <c r="F97" s="27"/>
      <c r="G97" s="141">
        <f t="shared" si="12"/>
        <v>-6.2635206208203439E-2</v>
      </c>
      <c r="H97" s="582">
        <f t="shared" si="13"/>
        <v>5015013.1931965724</v>
      </c>
      <c r="I97" s="7"/>
    </row>
    <row r="98" spans="2:9">
      <c r="B98" s="10"/>
      <c r="C98" s="27">
        <v>1997</v>
      </c>
      <c r="D98" s="45">
        <v>5680538</v>
      </c>
      <c r="E98" s="27"/>
      <c r="F98" s="27"/>
      <c r="G98" s="141">
        <f t="shared" si="12"/>
        <v>-6.2635206208203439E-2</v>
      </c>
      <c r="H98" s="582">
        <f t="shared" si="13"/>
        <v>5324736.3309964649</v>
      </c>
      <c r="I98" s="7"/>
    </row>
    <row r="99" spans="2:9">
      <c r="B99" s="10"/>
      <c r="C99" s="27">
        <v>1998</v>
      </c>
      <c r="D99" s="45">
        <v>4946297</v>
      </c>
      <c r="E99" s="27"/>
      <c r="F99" s="27"/>
      <c r="G99" s="141">
        <f t="shared" si="12"/>
        <v>-6.2635206208203439E-2</v>
      </c>
      <c r="H99" s="582">
        <f t="shared" si="13"/>
        <v>4636484.6674379818</v>
      </c>
      <c r="I99" s="7"/>
    </row>
    <row r="100" spans="2:9" ht="15" thickBot="1">
      <c r="B100" s="10"/>
      <c r="C100" s="27">
        <v>1999</v>
      </c>
      <c r="D100" s="45">
        <v>5703593</v>
      </c>
      <c r="E100" s="27"/>
      <c r="F100" s="27"/>
      <c r="G100" s="141">
        <f>AVERAGE(G101:G109)</f>
        <v>-6.2635206208203439E-2</v>
      </c>
      <c r="H100" s="583">
        <f t="shared" si="13"/>
        <v>5346347.2763173347</v>
      </c>
      <c r="I100" s="7"/>
    </row>
    <row r="101" spans="2:9">
      <c r="B101" s="10"/>
      <c r="C101" s="27">
        <v>2000</v>
      </c>
      <c r="D101" s="45">
        <v>6303014</v>
      </c>
      <c r="E101" s="45">
        <v>5638000</v>
      </c>
      <c r="F101" s="45">
        <f>E101-D101</f>
        <v>-665014</v>
      </c>
      <c r="G101" s="1380">
        <f>F101/D101</f>
        <v>-0.10550730174484778</v>
      </c>
      <c r="H101" s="323">
        <f t="shared" si="13"/>
        <v>5638000</v>
      </c>
      <c r="I101" s="7"/>
    </row>
    <row r="102" spans="2:9">
      <c r="B102" s="10"/>
      <c r="C102" s="27">
        <v>2001</v>
      </c>
      <c r="D102" s="45">
        <v>5480614</v>
      </c>
      <c r="E102" s="45">
        <v>4923000</v>
      </c>
      <c r="F102" s="45">
        <f t="shared" ref="F102:F108" si="14">E102-D102</f>
        <v>-557614</v>
      </c>
      <c r="G102" s="1380">
        <f t="shared" ref="G102:G108" si="15">F102/D102</f>
        <v>-0.10174297989239892</v>
      </c>
      <c r="H102" s="45">
        <f t="shared" si="13"/>
        <v>4923000</v>
      </c>
      <c r="I102" s="7"/>
    </row>
    <row r="103" spans="2:9">
      <c r="B103" s="10"/>
      <c r="C103" s="27">
        <v>2002</v>
      </c>
      <c r="D103" s="45">
        <v>5456190</v>
      </c>
      <c r="E103" s="45">
        <v>4943000</v>
      </c>
      <c r="F103" s="45">
        <f t="shared" si="14"/>
        <v>-513190</v>
      </c>
      <c r="G103" s="1380">
        <f t="shared" si="15"/>
        <v>-9.4056475306028564E-2</v>
      </c>
      <c r="H103" s="45">
        <f t="shared" si="13"/>
        <v>4943000</v>
      </c>
      <c r="I103" s="7"/>
    </row>
    <row r="104" spans="2:9">
      <c r="B104" s="10"/>
      <c r="C104" s="27">
        <v>2003</v>
      </c>
      <c r="D104" s="45">
        <v>6027962</v>
      </c>
      <c r="E104" s="45">
        <v>5697000</v>
      </c>
      <c r="F104" s="45">
        <f t="shared" si="14"/>
        <v>-330962</v>
      </c>
      <c r="G104" s="1380">
        <f t="shared" si="15"/>
        <v>-5.4904460247095124E-2</v>
      </c>
      <c r="H104" s="45">
        <f t="shared" si="13"/>
        <v>5697000</v>
      </c>
      <c r="I104" s="7"/>
    </row>
    <row r="105" spans="2:9">
      <c r="B105" s="10"/>
      <c r="C105" s="27">
        <v>2004</v>
      </c>
      <c r="D105" s="45">
        <v>5470379</v>
      </c>
      <c r="E105" s="45">
        <v>5170000</v>
      </c>
      <c r="F105" s="45">
        <f t="shared" si="14"/>
        <v>-300379</v>
      </c>
      <c r="G105" s="1380">
        <f t="shared" si="15"/>
        <v>-5.4910089410624016E-2</v>
      </c>
      <c r="H105" s="45">
        <f t="shared" si="13"/>
        <v>5170000</v>
      </c>
      <c r="I105" s="7"/>
    </row>
    <row r="106" spans="2:9">
      <c r="B106" s="10"/>
      <c r="C106" s="27">
        <v>2005</v>
      </c>
      <c r="D106" s="45">
        <v>5716755</v>
      </c>
      <c r="E106" s="45">
        <v>5455000</v>
      </c>
      <c r="F106" s="45">
        <f t="shared" si="14"/>
        <v>-261755</v>
      </c>
      <c r="G106" s="1380">
        <f t="shared" si="15"/>
        <v>-4.5787339146071505E-2</v>
      </c>
      <c r="H106" s="45">
        <f t="shared" si="13"/>
        <v>5455000</v>
      </c>
      <c r="I106" s="7"/>
    </row>
    <row r="107" spans="2:9">
      <c r="B107" s="10"/>
      <c r="C107" s="27">
        <v>2006</v>
      </c>
      <c r="D107" s="45">
        <v>7084344</v>
      </c>
      <c r="E107" s="45">
        <v>6588000</v>
      </c>
      <c r="F107" s="45">
        <f t="shared" si="14"/>
        <v>-496344</v>
      </c>
      <c r="G107" s="1380">
        <f t="shared" si="15"/>
        <v>-7.0062097492724809E-2</v>
      </c>
      <c r="H107" s="45">
        <f t="shared" si="13"/>
        <v>6588000</v>
      </c>
      <c r="I107" s="7"/>
    </row>
    <row r="108" spans="2:9">
      <c r="B108" s="10"/>
      <c r="C108" s="27">
        <v>2007</v>
      </c>
      <c r="D108" s="45">
        <v>5823582</v>
      </c>
      <c r="E108" s="45">
        <v>6035000</v>
      </c>
      <c r="F108" s="45">
        <f t="shared" si="14"/>
        <v>211418</v>
      </c>
      <c r="G108" s="1380">
        <f t="shared" si="15"/>
        <v>3.6303773176028085E-2</v>
      </c>
      <c r="H108" s="45">
        <f t="shared" si="13"/>
        <v>6035000</v>
      </c>
      <c r="I108" s="7"/>
    </row>
    <row r="109" spans="2:9">
      <c r="B109" s="10"/>
      <c r="C109" s="27">
        <v>2008</v>
      </c>
      <c r="D109" s="45">
        <v>6820216</v>
      </c>
      <c r="E109" s="45">
        <v>6322000</v>
      </c>
      <c r="F109" s="45">
        <f>E109-D109</f>
        <v>-498216</v>
      </c>
      <c r="G109" s="1380">
        <f>F109/D109</f>
        <v>-7.3049885810068188E-2</v>
      </c>
      <c r="H109" s="45">
        <f>D109+(G109*D109)</f>
        <v>6322000</v>
      </c>
      <c r="I109" s="7"/>
    </row>
    <row r="110" spans="2:9" ht="15" thickBot="1">
      <c r="B110" s="150"/>
      <c r="C110" s="151"/>
      <c r="D110" s="151"/>
      <c r="E110" s="138"/>
      <c r="F110" s="151"/>
      <c r="G110" s="151"/>
      <c r="H110" s="151"/>
      <c r="I110" s="540"/>
    </row>
    <row r="111" spans="2:9" ht="15" thickBot="1"/>
    <row r="112" spans="2:9" ht="15" thickBot="1">
      <c r="B112" s="58"/>
      <c r="C112" s="383"/>
      <c r="D112" s="383"/>
      <c r="E112" s="383"/>
      <c r="F112" s="383"/>
      <c r="G112" s="383"/>
      <c r="H112" s="383"/>
      <c r="I112" s="384"/>
    </row>
    <row r="113" spans="2:9" ht="15" thickBot="1">
      <c r="B113" s="10"/>
      <c r="E113" s="1883" t="s">
        <v>730</v>
      </c>
      <c r="F113" s="1884"/>
      <c r="I113" s="7"/>
    </row>
    <row r="114" spans="2:9" ht="15" thickBot="1">
      <c r="B114" s="10"/>
      <c r="I114" s="7"/>
    </row>
    <row r="115" spans="2:9" ht="58">
      <c r="B115" s="10"/>
      <c r="C115" s="27" t="s">
        <v>626</v>
      </c>
      <c r="D115" s="136" t="s">
        <v>731</v>
      </c>
      <c r="E115" s="136" t="s">
        <v>732</v>
      </c>
      <c r="F115" s="136" t="s">
        <v>715</v>
      </c>
      <c r="G115" s="140" t="s">
        <v>716</v>
      </c>
      <c r="H115" s="137" t="s">
        <v>733</v>
      </c>
      <c r="I115" s="7"/>
    </row>
    <row r="116" spans="2:9">
      <c r="B116" s="10"/>
      <c r="C116" s="27">
        <v>1990</v>
      </c>
      <c r="D116" s="45">
        <v>35147247</v>
      </c>
      <c r="E116" s="27"/>
      <c r="F116" s="27"/>
      <c r="G116" s="141">
        <f t="shared" ref="G116:G124" si="16">G117</f>
        <v>-8.2682409089488526E-2</v>
      </c>
      <c r="H116" s="582">
        <f>D116+(G116*D116)</f>
        <v>32241187.945176702</v>
      </c>
      <c r="I116" s="7"/>
    </row>
    <row r="117" spans="2:9">
      <c r="B117" s="10"/>
      <c r="C117" s="27">
        <v>1991</v>
      </c>
      <c r="D117" s="45">
        <v>27036467</v>
      </c>
      <c r="E117" s="27"/>
      <c r="F117" s="27"/>
      <c r="G117" s="141">
        <f t="shared" si="16"/>
        <v>-8.2682409089488526E-2</v>
      </c>
      <c r="H117" s="582">
        <f t="shared" ref="H117:H133" si="17">D117+(G117*D117)</f>
        <v>24801026.775171544</v>
      </c>
      <c r="I117" s="7"/>
    </row>
    <row r="118" spans="2:9">
      <c r="B118" s="10"/>
      <c r="C118" s="27">
        <v>1992</v>
      </c>
      <c r="D118" s="45">
        <v>29211380</v>
      </c>
      <c r="E118" s="27"/>
      <c r="F118" s="27"/>
      <c r="G118" s="141">
        <f t="shared" si="16"/>
        <v>-8.2682409089488526E-2</v>
      </c>
      <c r="H118" s="582">
        <f t="shared" si="17"/>
        <v>26796112.728771497</v>
      </c>
      <c r="I118" s="7"/>
    </row>
    <row r="119" spans="2:9">
      <c r="B119" s="10"/>
      <c r="C119" s="27">
        <v>1993</v>
      </c>
      <c r="D119" s="45">
        <v>32884571</v>
      </c>
      <c r="E119" s="27"/>
      <c r="F119" s="27"/>
      <c r="G119" s="141">
        <f t="shared" si="16"/>
        <v>-8.2682409089488526E-2</v>
      </c>
      <c r="H119" s="582">
        <f t="shared" si="17"/>
        <v>30165595.447845668</v>
      </c>
      <c r="I119" s="7"/>
    </row>
    <row r="120" spans="2:9">
      <c r="B120" s="10"/>
      <c r="C120" s="27">
        <v>1994</v>
      </c>
      <c r="D120" s="45">
        <v>31178917</v>
      </c>
      <c r="E120" s="27"/>
      <c r="F120" s="27"/>
      <c r="G120" s="141">
        <f t="shared" si="16"/>
        <v>-8.2682409089488526E-2</v>
      </c>
      <c r="H120" s="582">
        <f t="shared" si="17"/>
        <v>28600969.02963879</v>
      </c>
      <c r="I120" s="7"/>
    </row>
    <row r="121" spans="2:9">
      <c r="B121" s="10"/>
      <c r="C121" s="27">
        <v>1995</v>
      </c>
      <c r="D121" s="45">
        <v>31472468</v>
      </c>
      <c r="E121" s="27"/>
      <c r="F121" s="27"/>
      <c r="G121" s="141">
        <f t="shared" si="16"/>
        <v>-8.2682409089488526E-2</v>
      </c>
      <c r="H121" s="582">
        <f t="shared" si="17"/>
        <v>28870248.525768165</v>
      </c>
      <c r="I121" s="7"/>
    </row>
    <row r="122" spans="2:9">
      <c r="B122" s="10"/>
      <c r="C122" s="27">
        <v>1996</v>
      </c>
      <c r="D122" s="45">
        <v>20211398</v>
      </c>
      <c r="E122" s="27"/>
      <c r="F122" s="27"/>
      <c r="G122" s="141">
        <f t="shared" si="16"/>
        <v>-8.2682409089488526E-2</v>
      </c>
      <c r="H122" s="582">
        <f t="shared" si="17"/>
        <v>18540270.922293529</v>
      </c>
      <c r="I122" s="7"/>
    </row>
    <row r="123" spans="2:9">
      <c r="B123" s="10"/>
      <c r="C123" s="27">
        <v>1997</v>
      </c>
      <c r="D123" s="45">
        <v>17674298</v>
      </c>
      <c r="E123" s="27"/>
      <c r="F123" s="27"/>
      <c r="G123" s="141">
        <f t="shared" si="16"/>
        <v>-8.2682409089488526E-2</v>
      </c>
      <c r="H123" s="582">
        <f t="shared" si="17"/>
        <v>16212944.46239447</v>
      </c>
      <c r="I123" s="7"/>
    </row>
    <row r="124" spans="2:9">
      <c r="B124" s="10"/>
      <c r="C124" s="27">
        <v>1998</v>
      </c>
      <c r="D124" s="45">
        <v>19691492</v>
      </c>
      <c r="E124" s="27"/>
      <c r="F124" s="27"/>
      <c r="G124" s="141">
        <f t="shared" si="16"/>
        <v>-8.2682409089488526E-2</v>
      </c>
      <c r="H124" s="582">
        <f t="shared" si="17"/>
        <v>18063352.002873611</v>
      </c>
      <c r="I124" s="7"/>
    </row>
    <row r="125" spans="2:9" ht="15" thickBot="1">
      <c r="B125" s="10"/>
      <c r="C125" s="27">
        <v>1999</v>
      </c>
      <c r="D125" s="45">
        <v>28596898</v>
      </c>
      <c r="E125" s="27"/>
      <c r="F125" s="27"/>
      <c r="G125" s="141">
        <f>AVERAGE(G126:G134)</f>
        <v>-8.2682409089488526E-2</v>
      </c>
      <c r="H125" s="583">
        <f t="shared" si="17"/>
        <v>26232437.580873623</v>
      </c>
      <c r="I125" s="7"/>
    </row>
    <row r="126" spans="2:9">
      <c r="B126" s="10"/>
      <c r="C126" s="27">
        <v>2000</v>
      </c>
      <c r="D126" s="45">
        <v>32967570</v>
      </c>
      <c r="E126" s="45">
        <v>31874000</v>
      </c>
      <c r="F126" s="45">
        <f>E126-D126</f>
        <v>-1093570</v>
      </c>
      <c r="G126" s="1380">
        <f>F126/D126</f>
        <v>-3.3171082976391646E-2</v>
      </c>
      <c r="H126" s="323">
        <f t="shared" si="17"/>
        <v>31874000</v>
      </c>
      <c r="I126" s="7"/>
    </row>
    <row r="127" spans="2:9">
      <c r="B127" s="10"/>
      <c r="C127" s="27">
        <v>2001</v>
      </c>
      <c r="D127" s="45">
        <v>30490646</v>
      </c>
      <c r="E127" s="45">
        <v>29904000</v>
      </c>
      <c r="F127" s="45">
        <f t="shared" ref="F127:F133" si="18">E127-D127</f>
        <v>-586646</v>
      </c>
      <c r="G127" s="1380">
        <f t="shared" ref="G127:G133" si="19">F127/D127</f>
        <v>-1.9240195829238908E-2</v>
      </c>
      <c r="H127" s="45">
        <f t="shared" si="17"/>
        <v>29904000</v>
      </c>
      <c r="I127" s="7"/>
    </row>
    <row r="128" spans="2:9">
      <c r="B128" s="10"/>
      <c r="C128" s="27">
        <v>2002</v>
      </c>
      <c r="D128" s="45">
        <v>31311219</v>
      </c>
      <c r="E128" s="45">
        <v>27111000</v>
      </c>
      <c r="F128" s="45">
        <f t="shared" si="18"/>
        <v>-4200219</v>
      </c>
      <c r="G128" s="1380">
        <f t="shared" si="19"/>
        <v>-0.13414421840299479</v>
      </c>
      <c r="H128" s="45">
        <f t="shared" si="17"/>
        <v>27111000</v>
      </c>
      <c r="I128" s="7"/>
    </row>
    <row r="129" spans="2:9">
      <c r="B129" s="10"/>
      <c r="C129" s="27">
        <v>2003</v>
      </c>
      <c r="D129" s="45">
        <v>29545050</v>
      </c>
      <c r="E129" s="45">
        <v>27825000</v>
      </c>
      <c r="F129" s="45">
        <f t="shared" si="18"/>
        <v>-1720050</v>
      </c>
      <c r="G129" s="1380">
        <f t="shared" si="19"/>
        <v>-5.8217874060121744E-2</v>
      </c>
      <c r="H129" s="45">
        <f t="shared" si="17"/>
        <v>27825000</v>
      </c>
      <c r="I129" s="7"/>
    </row>
    <row r="130" spans="2:9">
      <c r="B130" s="10"/>
      <c r="C130" s="27">
        <v>2004</v>
      </c>
      <c r="D130" s="45">
        <v>32633408</v>
      </c>
      <c r="E130" s="45">
        <v>30096000</v>
      </c>
      <c r="F130" s="45">
        <f t="shared" si="18"/>
        <v>-2537408</v>
      </c>
      <c r="G130" s="1380">
        <f t="shared" si="19"/>
        <v>-7.7754919130726408E-2</v>
      </c>
      <c r="H130" s="45">
        <f t="shared" si="17"/>
        <v>30096000</v>
      </c>
      <c r="I130" s="7"/>
    </row>
    <row r="131" spans="2:9">
      <c r="B131" s="10"/>
      <c r="C131" s="27">
        <v>2005</v>
      </c>
      <c r="D131" s="45">
        <v>33549747</v>
      </c>
      <c r="E131" s="45">
        <v>30453000</v>
      </c>
      <c r="F131" s="45">
        <f t="shared" si="18"/>
        <v>-3096747</v>
      </c>
      <c r="G131" s="1380">
        <f t="shared" si="19"/>
        <v>-9.2303140169730638E-2</v>
      </c>
      <c r="H131" s="45">
        <f t="shared" si="17"/>
        <v>30453000</v>
      </c>
      <c r="I131" s="7"/>
    </row>
    <row r="132" spans="2:9">
      <c r="B132" s="10"/>
      <c r="C132" s="27">
        <v>2006</v>
      </c>
      <c r="D132" s="45">
        <v>34681736</v>
      </c>
      <c r="E132" s="45">
        <v>30310000</v>
      </c>
      <c r="F132" s="45">
        <f t="shared" si="18"/>
        <v>-4371736</v>
      </c>
      <c r="G132" s="1380">
        <f t="shared" si="19"/>
        <v>-0.12605297497218709</v>
      </c>
      <c r="H132" s="45">
        <f t="shared" si="17"/>
        <v>30310000</v>
      </c>
      <c r="I132" s="7"/>
    </row>
    <row r="133" spans="2:9">
      <c r="B133" s="10"/>
      <c r="C133" s="27">
        <v>2007</v>
      </c>
      <c r="D133" s="45">
        <v>33171209</v>
      </c>
      <c r="E133" s="45">
        <v>29475000</v>
      </c>
      <c r="F133" s="45">
        <f t="shared" si="18"/>
        <v>-3696209</v>
      </c>
      <c r="G133" s="1380">
        <f t="shared" si="19"/>
        <v>-0.11142822680958056</v>
      </c>
      <c r="H133" s="45">
        <f t="shared" si="17"/>
        <v>29475000</v>
      </c>
      <c r="I133" s="7"/>
    </row>
    <row r="134" spans="2:9">
      <c r="B134" s="10"/>
      <c r="C134" s="27">
        <v>2008</v>
      </c>
      <c r="D134" s="45">
        <v>30409473</v>
      </c>
      <c r="E134" s="45">
        <v>27617000</v>
      </c>
      <c r="F134" s="45">
        <f>E134-D134</f>
        <v>-2792473</v>
      </c>
      <c r="G134" s="1380">
        <f>F134/D134</f>
        <v>-9.1829049454424938E-2</v>
      </c>
      <c r="H134" s="45">
        <f>D134+(G134*D134)</f>
        <v>27617000</v>
      </c>
      <c r="I134" s="7"/>
    </row>
    <row r="135" spans="2:9" ht="15" thickBot="1">
      <c r="B135" s="150"/>
      <c r="C135" s="151"/>
      <c r="D135" s="151"/>
      <c r="E135" s="138"/>
      <c r="F135" s="151"/>
      <c r="G135" s="151"/>
      <c r="H135" s="151"/>
      <c r="I135" s="540"/>
    </row>
    <row r="136" spans="2:9" ht="15.75" customHeight="1" thickBot="1"/>
    <row r="137" spans="2:9" ht="15" thickBot="1">
      <c r="B137" s="58"/>
      <c r="C137" s="383"/>
      <c r="D137" s="383"/>
      <c r="E137" s="383"/>
      <c r="F137" s="383"/>
      <c r="G137" s="383"/>
      <c r="H137" s="383"/>
      <c r="I137" s="384"/>
    </row>
    <row r="138" spans="2:9" ht="15" thickBot="1">
      <c r="B138" s="10"/>
      <c r="E138" s="1883" t="s">
        <v>734</v>
      </c>
      <c r="F138" s="1884"/>
      <c r="I138" s="7"/>
    </row>
    <row r="139" spans="2:9" ht="15" thickBot="1">
      <c r="B139" s="10"/>
      <c r="I139" s="7"/>
    </row>
    <row r="140" spans="2:9" ht="58">
      <c r="B140" s="10"/>
      <c r="C140" s="27" t="s">
        <v>626</v>
      </c>
      <c r="D140" s="136" t="s">
        <v>735</v>
      </c>
      <c r="E140" s="136" t="s">
        <v>736</v>
      </c>
      <c r="F140" s="136" t="s">
        <v>715</v>
      </c>
      <c r="G140" s="140" t="s">
        <v>716</v>
      </c>
      <c r="H140" s="137" t="s">
        <v>737</v>
      </c>
      <c r="I140" s="7"/>
    </row>
    <row r="141" spans="2:9">
      <c r="B141" s="10"/>
      <c r="C141" s="27">
        <v>1990</v>
      </c>
      <c r="D141" s="45">
        <v>1107316</v>
      </c>
      <c r="E141" s="27"/>
      <c r="F141" s="27"/>
      <c r="G141" s="141">
        <f t="shared" ref="G141:G149" si="20">G142</f>
        <v>0.36209795452506433</v>
      </c>
      <c r="H141" s="582">
        <f>D141+(G141*D141)</f>
        <v>1508272.8586128762</v>
      </c>
      <c r="I141" s="7"/>
    </row>
    <row r="142" spans="2:9">
      <c r="B142" s="10"/>
      <c r="C142" s="27">
        <v>1991</v>
      </c>
      <c r="D142" s="45">
        <v>2925819</v>
      </c>
      <c r="E142" s="27"/>
      <c r="F142" s="27"/>
      <c r="G142" s="141">
        <f t="shared" si="20"/>
        <v>0.36209795452506433</v>
      </c>
      <c r="H142" s="582">
        <f t="shared" ref="H142:H158" si="21">D142+(G142*D142)</f>
        <v>3985252.0752105694</v>
      </c>
      <c r="I142" s="7"/>
    </row>
    <row r="143" spans="2:9">
      <c r="B143" s="10"/>
      <c r="C143" s="27">
        <v>1992</v>
      </c>
      <c r="D143" s="45">
        <v>4785205</v>
      </c>
      <c r="E143" s="27"/>
      <c r="F143" s="27"/>
      <c r="G143" s="141">
        <f t="shared" si="20"/>
        <v>0.36209795452506433</v>
      </c>
      <c r="H143" s="582">
        <f t="shared" si="21"/>
        <v>6517917.9424831104</v>
      </c>
      <c r="I143" s="7"/>
    </row>
    <row r="144" spans="2:9">
      <c r="B144" s="10"/>
      <c r="C144" s="27">
        <v>1993</v>
      </c>
      <c r="D144" s="45">
        <v>4665296</v>
      </c>
      <c r="E144" s="27"/>
      <c r="F144" s="27"/>
      <c r="G144" s="141">
        <f t="shared" si="20"/>
        <v>0.36209795452506433</v>
      </c>
      <c r="H144" s="582">
        <f t="shared" si="21"/>
        <v>6354590.1388539644</v>
      </c>
      <c r="I144" s="7"/>
    </row>
    <row r="145" spans="2:9">
      <c r="B145" s="10"/>
      <c r="C145" s="27">
        <v>1994</v>
      </c>
      <c r="D145" s="45">
        <v>4732920</v>
      </c>
      <c r="E145" s="27"/>
      <c r="F145" s="27"/>
      <c r="G145" s="141">
        <f t="shared" si="20"/>
        <v>0.36209795452506433</v>
      </c>
      <c r="H145" s="582">
        <f t="shared" si="21"/>
        <v>6446700.6509307679</v>
      </c>
      <c r="I145" s="7"/>
    </row>
    <row r="146" spans="2:9">
      <c r="B146" s="10"/>
      <c r="C146" s="27">
        <v>1995</v>
      </c>
      <c r="D146" s="45">
        <v>4488213</v>
      </c>
      <c r="E146" s="27"/>
      <c r="F146" s="27"/>
      <c r="G146" s="141">
        <f t="shared" si="20"/>
        <v>0.36209795452506433</v>
      </c>
      <c r="H146" s="582">
        <f t="shared" si="21"/>
        <v>6113385.7467728024</v>
      </c>
      <c r="I146" s="7"/>
    </row>
    <row r="147" spans="2:9">
      <c r="B147" s="10"/>
      <c r="C147" s="27">
        <v>1996</v>
      </c>
      <c r="D147" s="45">
        <v>7720036</v>
      </c>
      <c r="E147" s="27"/>
      <c r="F147" s="27"/>
      <c r="G147" s="141">
        <f t="shared" si="20"/>
        <v>0.36209795452506433</v>
      </c>
      <c r="H147" s="582">
        <f t="shared" si="21"/>
        <v>10515445.24445986</v>
      </c>
      <c r="I147" s="7"/>
    </row>
    <row r="148" spans="2:9">
      <c r="B148" s="10"/>
      <c r="C148" s="27">
        <v>1997</v>
      </c>
      <c r="D148" s="45">
        <v>7709553</v>
      </c>
      <c r="E148" s="27"/>
      <c r="F148" s="27"/>
      <c r="G148" s="141">
        <f t="shared" si="20"/>
        <v>0.36209795452506433</v>
      </c>
      <c r="H148" s="582">
        <f t="shared" si="21"/>
        <v>10501166.371602573</v>
      </c>
      <c r="I148" s="7"/>
    </row>
    <row r="149" spans="2:9">
      <c r="B149" s="10"/>
      <c r="C149" s="27">
        <v>1998</v>
      </c>
      <c r="D149" s="45">
        <v>7674511</v>
      </c>
      <c r="E149" s="27"/>
      <c r="F149" s="27"/>
      <c r="G149" s="141">
        <f t="shared" si="20"/>
        <v>0.36209795452506433</v>
      </c>
      <c r="H149" s="582">
        <f t="shared" si="21"/>
        <v>10453435.735080106</v>
      </c>
      <c r="I149" s="7"/>
    </row>
    <row r="150" spans="2:9" ht="15" thickBot="1">
      <c r="B150" s="10"/>
      <c r="C150" s="27">
        <v>1999</v>
      </c>
      <c r="D150" s="45">
        <v>6376881</v>
      </c>
      <c r="E150" s="27"/>
      <c r="F150" s="27"/>
      <c r="G150" s="141">
        <f>AVERAGE(G151:G159)</f>
        <v>0.36209795452506433</v>
      </c>
      <c r="H150" s="583">
        <f t="shared" si="21"/>
        <v>8685936.5663497467</v>
      </c>
      <c r="I150" s="7"/>
    </row>
    <row r="151" spans="2:9">
      <c r="B151" s="10"/>
      <c r="C151" s="27">
        <v>2000</v>
      </c>
      <c r="D151" s="45">
        <v>5971545</v>
      </c>
      <c r="E151" s="45">
        <v>6035000</v>
      </c>
      <c r="F151" s="45">
        <f>E151-D151</f>
        <v>63455</v>
      </c>
      <c r="G151" s="1380">
        <f>F151/D151</f>
        <v>1.0626228220669861E-2</v>
      </c>
      <c r="H151" s="323">
        <f t="shared" si="21"/>
        <v>6035000</v>
      </c>
      <c r="I151" s="7"/>
    </row>
    <row r="152" spans="2:9">
      <c r="B152" s="10"/>
      <c r="C152" s="27">
        <v>2001</v>
      </c>
      <c r="D152" s="45">
        <v>7501892</v>
      </c>
      <c r="E152" s="45">
        <v>7620000</v>
      </c>
      <c r="F152" s="45">
        <f t="shared" ref="F152:F158" si="22">E152-D152</f>
        <v>118108</v>
      </c>
      <c r="G152" s="1380">
        <f t="shared" ref="G152:G158" si="23">F152/D152</f>
        <v>1.5743761707046701E-2</v>
      </c>
      <c r="H152" s="45">
        <f t="shared" si="21"/>
        <v>7620000</v>
      </c>
      <c r="I152" s="7"/>
    </row>
    <row r="153" spans="2:9">
      <c r="B153" s="10"/>
      <c r="C153" s="27">
        <v>2002</v>
      </c>
      <c r="D153" s="45">
        <v>7056765</v>
      </c>
      <c r="E153" s="45">
        <v>10714000</v>
      </c>
      <c r="F153" s="45">
        <f t="shared" si="22"/>
        <v>3657235</v>
      </c>
      <c r="G153" s="1380">
        <f t="shared" si="23"/>
        <v>0.51825942907266997</v>
      </c>
      <c r="H153" s="45">
        <f t="shared" si="21"/>
        <v>10714000</v>
      </c>
      <c r="I153" s="7"/>
    </row>
    <row r="154" spans="2:9">
      <c r="B154" s="10"/>
      <c r="C154" s="27">
        <v>2003</v>
      </c>
      <c r="D154" s="45">
        <v>5621145</v>
      </c>
      <c r="E154" s="45">
        <v>7720000</v>
      </c>
      <c r="F154" s="45">
        <f t="shared" si="22"/>
        <v>2098855</v>
      </c>
      <c r="G154" s="1380">
        <f t="shared" si="23"/>
        <v>0.37338567142459411</v>
      </c>
      <c r="H154" s="45">
        <f t="shared" si="21"/>
        <v>7720000</v>
      </c>
      <c r="I154" s="7"/>
    </row>
    <row r="155" spans="2:9">
      <c r="B155" s="10"/>
      <c r="C155" s="27">
        <v>2004</v>
      </c>
      <c r="D155" s="45">
        <v>4939420</v>
      </c>
      <c r="E155" s="45">
        <v>7068000</v>
      </c>
      <c r="F155" s="45">
        <f t="shared" si="22"/>
        <v>2128580</v>
      </c>
      <c r="G155" s="1380">
        <f t="shared" si="23"/>
        <v>0.43093723554587382</v>
      </c>
      <c r="H155" s="45">
        <f t="shared" si="21"/>
        <v>7068000</v>
      </c>
      <c r="I155" s="7"/>
    </row>
    <row r="156" spans="2:9">
      <c r="B156" s="10"/>
      <c r="C156" s="27">
        <v>2005</v>
      </c>
      <c r="D156" s="45">
        <v>6053294</v>
      </c>
      <c r="E156" s="45">
        <v>8788000</v>
      </c>
      <c r="F156" s="45">
        <f t="shared" si="22"/>
        <v>2734706</v>
      </c>
      <c r="G156" s="1380">
        <f t="shared" si="23"/>
        <v>0.4517715478547713</v>
      </c>
      <c r="H156" s="45">
        <f t="shared" si="21"/>
        <v>8788000</v>
      </c>
      <c r="I156" s="7"/>
    </row>
    <row r="157" spans="2:9">
      <c r="B157" s="10"/>
      <c r="C157" s="27">
        <v>2006</v>
      </c>
      <c r="D157" s="45">
        <v>5967725</v>
      </c>
      <c r="E157" s="45">
        <v>9740000</v>
      </c>
      <c r="F157" s="45">
        <f t="shared" si="22"/>
        <v>3772275</v>
      </c>
      <c r="G157" s="1380">
        <f t="shared" si="23"/>
        <v>0.63211273977939664</v>
      </c>
      <c r="H157" s="45">
        <f t="shared" si="21"/>
        <v>9740000</v>
      </c>
      <c r="I157" s="7"/>
    </row>
    <row r="158" spans="2:9">
      <c r="B158" s="10"/>
      <c r="C158" s="27">
        <v>2007</v>
      </c>
      <c r="D158" s="45">
        <v>7049844</v>
      </c>
      <c r="E158" s="45">
        <v>10504000</v>
      </c>
      <c r="F158" s="45">
        <f t="shared" si="22"/>
        <v>3454156</v>
      </c>
      <c r="G158" s="1380">
        <f t="shared" si="23"/>
        <v>0.48996204738714788</v>
      </c>
      <c r="H158" s="45">
        <f t="shared" si="21"/>
        <v>10504000</v>
      </c>
      <c r="I158" s="7"/>
    </row>
    <row r="159" spans="2:9">
      <c r="B159" s="10"/>
      <c r="C159" s="27">
        <v>2008</v>
      </c>
      <c r="D159" s="45">
        <v>7387266</v>
      </c>
      <c r="E159" s="45">
        <v>9870000</v>
      </c>
      <c r="F159" s="45">
        <f>E159-D159</f>
        <v>2482734</v>
      </c>
      <c r="G159" s="1380">
        <f>F159/D159</f>
        <v>0.33608292973340881</v>
      </c>
      <c r="H159" s="45">
        <f>D159+(G159*D159)</f>
        <v>9870000</v>
      </c>
      <c r="I159" s="7"/>
    </row>
    <row r="160" spans="2:9" ht="15" thickBot="1">
      <c r="B160" s="150"/>
      <c r="C160" s="151"/>
      <c r="D160" s="151"/>
      <c r="E160" s="138"/>
      <c r="F160" s="151"/>
      <c r="G160" s="151"/>
      <c r="H160" s="151"/>
      <c r="I160" s="540"/>
    </row>
    <row r="162" spans="2:14" ht="15" thickBot="1"/>
    <row r="163" spans="2:14" ht="15" thickBot="1">
      <c r="B163" s="58"/>
      <c r="C163" s="383"/>
      <c r="D163" s="383"/>
      <c r="E163" s="383"/>
      <c r="F163" s="383"/>
      <c r="G163" s="383"/>
      <c r="H163" s="383"/>
      <c r="I163" s="383"/>
      <c r="J163" s="383"/>
      <c r="K163" s="384"/>
    </row>
    <row r="164" spans="2:14" ht="15" thickBot="1">
      <c r="B164" s="10"/>
      <c r="D164" s="1"/>
      <c r="E164" s="1883" t="s">
        <v>738</v>
      </c>
      <c r="F164" s="1885"/>
      <c r="G164" s="1885"/>
      <c r="H164" s="1884"/>
      <c r="I164" s="1"/>
      <c r="J164" s="1"/>
      <c r="K164" s="12"/>
      <c r="L164" s="1"/>
      <c r="M164" s="1"/>
      <c r="N164" s="1"/>
    </row>
    <row r="165" spans="2:14" ht="15" thickBot="1">
      <c r="B165" s="10"/>
      <c r="K165" s="7"/>
    </row>
    <row r="166" spans="2:14" ht="43.5">
      <c r="B166" s="10"/>
      <c r="C166" s="27" t="s">
        <v>626</v>
      </c>
      <c r="D166" s="136" t="s">
        <v>713</v>
      </c>
      <c r="E166" s="27" t="s">
        <v>620</v>
      </c>
      <c r="F166" s="27" t="s">
        <v>617</v>
      </c>
      <c r="G166" s="27" t="s">
        <v>618</v>
      </c>
      <c r="H166" s="27" t="s">
        <v>621</v>
      </c>
      <c r="I166" s="145" t="s">
        <v>739</v>
      </c>
      <c r="J166" s="137" t="s">
        <v>740</v>
      </c>
      <c r="K166" s="147"/>
    </row>
    <row r="167" spans="2:14">
      <c r="B167" s="10"/>
      <c r="C167" s="27">
        <v>1990</v>
      </c>
      <c r="D167" s="1382">
        <f>H16</f>
        <v>41627939.70137015</v>
      </c>
      <c r="E167" s="1382">
        <f>H116</f>
        <v>32241187.945176702</v>
      </c>
      <c r="F167" s="1382">
        <f>H41</f>
        <v>11909218.574255219</v>
      </c>
      <c r="G167" s="1382">
        <f>H66</f>
        <v>12584911.587698199</v>
      </c>
      <c r="H167" s="1382">
        <f>H141</f>
        <v>1508272.8586128762</v>
      </c>
      <c r="I167" s="1383">
        <f>H91</f>
        <v>4840653.0305385673</v>
      </c>
      <c r="J167" s="143">
        <f>SUM(D167:I167)</f>
        <v>104712183.69765171</v>
      </c>
      <c r="K167" s="139"/>
    </row>
    <row r="168" spans="2:14">
      <c r="B168" s="10"/>
      <c r="C168" s="27">
        <v>1991</v>
      </c>
      <c r="D168" s="1382">
        <f t="shared" ref="D168:D184" si="24">H17</f>
        <v>42891887.028711885</v>
      </c>
      <c r="E168" s="1382">
        <f t="shared" ref="E168:E184" si="25">H117</f>
        <v>24801026.775171544</v>
      </c>
      <c r="F168" s="1382">
        <f t="shared" ref="F168:F184" si="26">H42</f>
        <v>12953883.764934996</v>
      </c>
      <c r="G168" s="1382">
        <f t="shared" ref="G168:G184" si="27">H67</f>
        <v>14427367.301855408</v>
      </c>
      <c r="H168" s="1382">
        <f t="shared" ref="H168:H185" si="28">H142</f>
        <v>3985252.0752105694</v>
      </c>
      <c r="I168" s="1383">
        <f t="shared" ref="I168:I184" si="29">H92</f>
        <v>5050507.4484782927</v>
      </c>
      <c r="J168" s="143">
        <f t="shared" ref="J168:J184" si="30">SUM(D168:I168)</f>
        <v>104109924.3943627</v>
      </c>
      <c r="K168" s="139"/>
    </row>
    <row r="169" spans="2:14">
      <c r="B169" s="10"/>
      <c r="C169" s="27">
        <v>1992</v>
      </c>
      <c r="D169" s="1382">
        <f t="shared" si="24"/>
        <v>41917209.414986461</v>
      </c>
      <c r="E169" s="1382">
        <f t="shared" si="25"/>
        <v>26796112.728771497</v>
      </c>
      <c r="F169" s="1382">
        <f t="shared" si="26"/>
        <v>11713193.874967687</v>
      </c>
      <c r="G169" s="1382">
        <f t="shared" si="27"/>
        <v>15336258.488287115</v>
      </c>
      <c r="H169" s="1382">
        <f t="shared" si="28"/>
        <v>6517917.9424831104</v>
      </c>
      <c r="I169" s="1383">
        <f t="shared" si="29"/>
        <v>4565099.6515667681</v>
      </c>
      <c r="J169" s="143">
        <f>SUM(D169:I169)</f>
        <v>106845792.10106264</v>
      </c>
      <c r="K169" s="139"/>
    </row>
    <row r="170" spans="2:14">
      <c r="B170" s="10"/>
      <c r="C170" s="27">
        <v>1993</v>
      </c>
      <c r="D170" s="1382">
        <f t="shared" si="24"/>
        <v>38771460.358004011</v>
      </c>
      <c r="E170" s="1382">
        <f t="shared" si="25"/>
        <v>30165595.447845668</v>
      </c>
      <c r="F170" s="1382">
        <f t="shared" si="26"/>
        <v>11661458.351025729</v>
      </c>
      <c r="G170" s="1382">
        <f t="shared" si="27"/>
        <v>16478070.845490938</v>
      </c>
      <c r="H170" s="1382">
        <f t="shared" si="28"/>
        <v>6354590.1388539644</v>
      </c>
      <c r="I170" s="1383">
        <f t="shared" si="29"/>
        <v>4352901.8216425618</v>
      </c>
      <c r="J170" s="143">
        <f t="shared" si="30"/>
        <v>107784076.96286286</v>
      </c>
      <c r="K170" s="139"/>
    </row>
    <row r="171" spans="2:14">
      <c r="B171" s="10"/>
      <c r="C171" s="27">
        <v>1994</v>
      </c>
      <c r="D171" s="1382">
        <f t="shared" si="24"/>
        <v>39670559.195756748</v>
      </c>
      <c r="E171" s="1382">
        <f t="shared" si="25"/>
        <v>28600969.02963879</v>
      </c>
      <c r="F171" s="1382">
        <f t="shared" si="26"/>
        <v>12290211.662972955</v>
      </c>
      <c r="G171" s="1382">
        <f t="shared" si="27"/>
        <v>13657531.865234166</v>
      </c>
      <c r="H171" s="1382">
        <f t="shared" si="28"/>
        <v>6446700.6509307679</v>
      </c>
      <c r="I171" s="1383">
        <f t="shared" si="29"/>
        <v>5265206.1676723352</v>
      </c>
      <c r="J171" s="143">
        <f t="shared" si="30"/>
        <v>105931178.57220575</v>
      </c>
      <c r="K171" s="139"/>
    </row>
    <row r="172" spans="2:14">
      <c r="B172" s="10"/>
      <c r="C172" s="27">
        <v>1995</v>
      </c>
      <c r="D172" s="1382">
        <f t="shared" si="24"/>
        <v>39372988.155321851</v>
      </c>
      <c r="E172" s="1382">
        <f t="shared" si="25"/>
        <v>28870248.525768165</v>
      </c>
      <c r="F172" s="1382">
        <f t="shared" si="26"/>
        <v>7291496.6906840168</v>
      </c>
      <c r="G172" s="1382">
        <f t="shared" si="27"/>
        <v>15657978.73133369</v>
      </c>
      <c r="H172" s="1382">
        <f t="shared" si="28"/>
        <v>6113385.7467728024</v>
      </c>
      <c r="I172" s="1383">
        <f t="shared" si="29"/>
        <v>4836860.4525828855</v>
      </c>
      <c r="J172" s="143">
        <f t="shared" si="30"/>
        <v>102142958.3024634</v>
      </c>
      <c r="K172" s="139"/>
    </row>
    <row r="173" spans="2:14">
      <c r="B173" s="10"/>
      <c r="C173" s="27">
        <v>1996</v>
      </c>
      <c r="D173" s="1382">
        <f t="shared" si="24"/>
        <v>39686197.770375557</v>
      </c>
      <c r="E173" s="1382">
        <f t="shared" si="25"/>
        <v>18540270.922293529</v>
      </c>
      <c r="F173" s="1382">
        <f t="shared" si="26"/>
        <v>11153678.425621327</v>
      </c>
      <c r="G173" s="1382">
        <f t="shared" si="27"/>
        <v>17310852.164569974</v>
      </c>
      <c r="H173" s="1382">
        <f t="shared" si="28"/>
        <v>10515445.24445986</v>
      </c>
      <c r="I173" s="1383">
        <f t="shared" si="29"/>
        <v>5015013.1931965724</v>
      </c>
      <c r="J173" s="143">
        <f t="shared" si="30"/>
        <v>102221457.7205168</v>
      </c>
      <c r="K173" s="139"/>
    </row>
    <row r="174" spans="2:14">
      <c r="B174" s="10"/>
      <c r="C174" s="27">
        <v>1997</v>
      </c>
      <c r="D174" s="1382">
        <f t="shared" si="24"/>
        <v>47017493.794275433</v>
      </c>
      <c r="E174" s="1382">
        <f t="shared" si="25"/>
        <v>16212944.46239447</v>
      </c>
      <c r="F174" s="1382">
        <f t="shared" si="26"/>
        <v>7717464.1054824311</v>
      </c>
      <c r="G174" s="1382">
        <f t="shared" si="27"/>
        <v>16110281.72774791</v>
      </c>
      <c r="H174" s="1382">
        <f t="shared" si="28"/>
        <v>10501166.371602573</v>
      </c>
      <c r="I174" s="1383">
        <f t="shared" si="29"/>
        <v>5324736.3309964649</v>
      </c>
      <c r="J174" s="143">
        <f t="shared" si="30"/>
        <v>102884086.79249929</v>
      </c>
      <c r="K174" s="139"/>
    </row>
    <row r="175" spans="2:14">
      <c r="B175" s="10"/>
      <c r="C175" s="27">
        <v>1998</v>
      </c>
      <c r="D175" s="1382">
        <f t="shared" si="24"/>
        <v>47768563.631517641</v>
      </c>
      <c r="E175" s="1382">
        <f t="shared" si="25"/>
        <v>18063352.002873611</v>
      </c>
      <c r="F175" s="1382">
        <f t="shared" si="26"/>
        <v>8217784.5319098691</v>
      </c>
      <c r="G175" s="1382">
        <f t="shared" si="27"/>
        <v>16321934.176007614</v>
      </c>
      <c r="H175" s="1382">
        <f t="shared" si="28"/>
        <v>10453435.735080106</v>
      </c>
      <c r="I175" s="1383">
        <f t="shared" si="29"/>
        <v>4636484.6674379818</v>
      </c>
      <c r="J175" s="143">
        <f t="shared" si="30"/>
        <v>105461554.74482682</v>
      </c>
      <c r="K175" s="139"/>
    </row>
    <row r="176" spans="2:14" ht="15" thickBot="1">
      <c r="B176" s="10"/>
      <c r="C176" s="27">
        <v>1999</v>
      </c>
      <c r="D176" s="1382">
        <f t="shared" si="24"/>
        <v>42427206.17005825</v>
      </c>
      <c r="E176" s="1382">
        <f t="shared" si="25"/>
        <v>26232437.580873623</v>
      </c>
      <c r="F176" s="1382">
        <f t="shared" si="26"/>
        <v>9465474.6104946285</v>
      </c>
      <c r="G176" s="1382">
        <f t="shared" si="27"/>
        <v>16423782.596132163</v>
      </c>
      <c r="H176" s="1382">
        <f t="shared" si="28"/>
        <v>8685936.5663497467</v>
      </c>
      <c r="I176" s="1383">
        <f t="shared" si="29"/>
        <v>5346347.2763173347</v>
      </c>
      <c r="J176" s="144">
        <f t="shared" si="30"/>
        <v>108581184.80022573</v>
      </c>
      <c r="K176" s="139"/>
    </row>
    <row r="177" spans="2:11">
      <c r="B177" s="10"/>
      <c r="C177" s="27">
        <v>2000</v>
      </c>
      <c r="D177" s="1382">
        <f t="shared" si="24"/>
        <v>41235000</v>
      </c>
      <c r="E177" s="1382">
        <f t="shared" si="25"/>
        <v>31874000</v>
      </c>
      <c r="F177" s="1382">
        <f t="shared" si="26"/>
        <v>10355000</v>
      </c>
      <c r="G177" s="1382">
        <f t="shared" si="27"/>
        <v>15061000</v>
      </c>
      <c r="H177" s="1382">
        <f t="shared" si="28"/>
        <v>6035000</v>
      </c>
      <c r="I177" s="1383">
        <f t="shared" si="29"/>
        <v>5638000</v>
      </c>
      <c r="J177" s="142">
        <f t="shared" si="30"/>
        <v>110198000</v>
      </c>
      <c r="K177" s="139"/>
    </row>
    <row r="178" spans="2:11">
      <c r="B178" s="10"/>
      <c r="C178" s="27">
        <v>2001</v>
      </c>
      <c r="D178" s="1382">
        <f t="shared" si="24"/>
        <v>41481000</v>
      </c>
      <c r="E178" s="1382">
        <f t="shared" si="25"/>
        <v>29904000</v>
      </c>
      <c r="F178" s="1382">
        <f t="shared" si="26"/>
        <v>15669000</v>
      </c>
      <c r="G178" s="1382">
        <f t="shared" si="27"/>
        <v>15030000</v>
      </c>
      <c r="H178" s="1382">
        <f t="shared" si="28"/>
        <v>7620000</v>
      </c>
      <c r="I178" s="1383">
        <f t="shared" si="29"/>
        <v>4923000</v>
      </c>
      <c r="J178" s="27">
        <f t="shared" si="30"/>
        <v>114627000</v>
      </c>
      <c r="K178" s="139"/>
    </row>
    <row r="179" spans="2:11">
      <c r="B179" s="10"/>
      <c r="C179" s="27">
        <v>2002</v>
      </c>
      <c r="D179" s="1382">
        <f t="shared" si="24"/>
        <v>44507000</v>
      </c>
      <c r="E179" s="1382">
        <f t="shared" si="25"/>
        <v>27111000</v>
      </c>
      <c r="F179" s="1382">
        <f t="shared" si="26"/>
        <v>16065000</v>
      </c>
      <c r="G179" s="1382">
        <f t="shared" si="27"/>
        <v>17199000</v>
      </c>
      <c r="H179" s="1382">
        <f t="shared" si="28"/>
        <v>10714000</v>
      </c>
      <c r="I179" s="1383">
        <f t="shared" si="29"/>
        <v>4943000</v>
      </c>
      <c r="J179" s="27">
        <f t="shared" si="30"/>
        <v>120539000</v>
      </c>
      <c r="K179" s="139"/>
    </row>
    <row r="180" spans="2:11">
      <c r="B180" s="10"/>
      <c r="C180" s="27">
        <v>2003</v>
      </c>
      <c r="D180" s="1382">
        <f t="shared" si="24"/>
        <v>49336000</v>
      </c>
      <c r="E180" s="1382">
        <f t="shared" si="25"/>
        <v>27825000</v>
      </c>
      <c r="F180" s="1382">
        <f t="shared" si="26"/>
        <v>14736000</v>
      </c>
      <c r="G180" s="1382">
        <f t="shared" si="27"/>
        <v>21881000</v>
      </c>
      <c r="H180" s="1382">
        <f t="shared" si="28"/>
        <v>7720000</v>
      </c>
      <c r="I180" s="1383">
        <f t="shared" si="29"/>
        <v>5697000</v>
      </c>
      <c r="J180" s="27">
        <f t="shared" si="30"/>
        <v>127195000</v>
      </c>
      <c r="K180" s="139"/>
    </row>
    <row r="181" spans="2:11">
      <c r="B181" s="10"/>
      <c r="C181" s="27">
        <v>2004</v>
      </c>
      <c r="D181" s="1382">
        <f t="shared" si="24"/>
        <v>48657000</v>
      </c>
      <c r="E181" s="1382">
        <f t="shared" si="25"/>
        <v>30096000</v>
      </c>
      <c r="F181" s="1382">
        <f t="shared" si="26"/>
        <v>14747000</v>
      </c>
      <c r="G181" s="1382">
        <f t="shared" si="27"/>
        <v>23720000</v>
      </c>
      <c r="H181" s="1382">
        <f t="shared" si="28"/>
        <v>7068000</v>
      </c>
      <c r="I181" s="1383">
        <f t="shared" si="29"/>
        <v>5170000</v>
      </c>
      <c r="J181" s="27">
        <f t="shared" si="30"/>
        <v>129458000</v>
      </c>
      <c r="K181" s="139"/>
    </row>
    <row r="182" spans="2:11">
      <c r="B182" s="10"/>
      <c r="C182" s="27">
        <v>2005</v>
      </c>
      <c r="D182" s="1382">
        <f t="shared" si="24"/>
        <v>48635000</v>
      </c>
      <c r="E182" s="1382">
        <f t="shared" si="25"/>
        <v>30453000</v>
      </c>
      <c r="F182" s="1382">
        <f t="shared" si="26"/>
        <v>14249000</v>
      </c>
      <c r="G182" s="1382">
        <f t="shared" si="27"/>
        <v>24299000</v>
      </c>
      <c r="H182" s="1382">
        <f t="shared" si="28"/>
        <v>8788000</v>
      </c>
      <c r="I182" s="1383">
        <f t="shared" si="29"/>
        <v>5455000</v>
      </c>
      <c r="J182" s="27">
        <f t="shared" si="30"/>
        <v>131879000</v>
      </c>
      <c r="K182" s="139"/>
    </row>
    <row r="183" spans="2:11">
      <c r="B183" s="10"/>
      <c r="C183" s="27">
        <v>2006</v>
      </c>
      <c r="D183" s="1382">
        <f t="shared" si="24"/>
        <v>46977000</v>
      </c>
      <c r="E183" s="1382">
        <f t="shared" si="25"/>
        <v>30310000</v>
      </c>
      <c r="F183" s="1382">
        <f t="shared" si="26"/>
        <v>12024000</v>
      </c>
      <c r="G183" s="1382">
        <f t="shared" si="27"/>
        <v>22411000</v>
      </c>
      <c r="H183" s="1382">
        <f t="shared" si="28"/>
        <v>9740000</v>
      </c>
      <c r="I183" s="1383">
        <f t="shared" si="29"/>
        <v>6588000</v>
      </c>
      <c r="J183" s="27">
        <f t="shared" si="30"/>
        <v>128050000</v>
      </c>
      <c r="K183" s="139"/>
    </row>
    <row r="184" spans="2:11">
      <c r="B184" s="10"/>
      <c r="C184" s="27">
        <v>2007</v>
      </c>
      <c r="D184" s="1382">
        <f t="shared" si="24"/>
        <v>49557000</v>
      </c>
      <c r="E184" s="1382">
        <f t="shared" si="25"/>
        <v>29475000</v>
      </c>
      <c r="F184" s="1382">
        <f t="shared" si="26"/>
        <v>11551000</v>
      </c>
      <c r="G184" s="1382">
        <f t="shared" si="27"/>
        <v>23601000</v>
      </c>
      <c r="H184" s="1382">
        <f t="shared" si="28"/>
        <v>10504000</v>
      </c>
      <c r="I184" s="1383">
        <f t="shared" si="29"/>
        <v>6035000</v>
      </c>
      <c r="J184" s="27">
        <f t="shared" si="30"/>
        <v>130723000</v>
      </c>
      <c r="K184" s="139"/>
    </row>
    <row r="185" spans="2:11">
      <c r="B185" s="10"/>
      <c r="C185" s="27">
        <v>2008</v>
      </c>
      <c r="D185" s="1382">
        <f>H34</f>
        <v>44956000</v>
      </c>
      <c r="E185" s="1382">
        <f>H134</f>
        <v>27617000</v>
      </c>
      <c r="F185" s="1382">
        <f>H59</f>
        <v>12556000</v>
      </c>
      <c r="G185" s="1382">
        <f>H84</f>
        <v>23426000</v>
      </c>
      <c r="H185" s="1382">
        <f t="shared" si="28"/>
        <v>9870000</v>
      </c>
      <c r="I185" s="1383">
        <f>H109</f>
        <v>6322000</v>
      </c>
      <c r="J185" s="27">
        <f>SUM(D185:I185)</f>
        <v>124747000</v>
      </c>
      <c r="K185" s="148"/>
    </row>
    <row r="186" spans="2:11">
      <c r="B186" s="10"/>
      <c r="K186" s="7"/>
    </row>
    <row r="187" spans="2:11">
      <c r="B187" s="10"/>
      <c r="D187" s="1886" t="s">
        <v>741</v>
      </c>
      <c r="E187" s="1887"/>
      <c r="F187" s="1887"/>
      <c r="G187" s="1887"/>
      <c r="H187" s="1887"/>
      <c r="I187" s="1888"/>
      <c r="J187" s="129"/>
      <c r="K187" s="7"/>
    </row>
    <row r="188" spans="2:11">
      <c r="B188" s="10"/>
      <c r="C188" s="129"/>
      <c r="D188" s="1889"/>
      <c r="E188" s="1890"/>
      <c r="F188" s="1890"/>
      <c r="G188" s="1890"/>
      <c r="H188" s="1890"/>
      <c r="I188" s="1891"/>
      <c r="J188" s="129"/>
      <c r="K188" s="7"/>
    </row>
    <row r="189" spans="2:11" ht="15" thickBot="1">
      <c r="B189" s="150"/>
      <c r="C189" s="151"/>
      <c r="D189" s="151"/>
      <c r="E189" s="151"/>
      <c r="F189" s="151"/>
      <c r="G189" s="151"/>
      <c r="H189" s="151"/>
      <c r="I189" s="151"/>
      <c r="J189" s="151"/>
      <c r="K189" s="540"/>
    </row>
  </sheetData>
  <mergeCells count="10">
    <mergeCell ref="D187:I188"/>
    <mergeCell ref="E138:F138"/>
    <mergeCell ref="E113:F113"/>
    <mergeCell ref="E88:F88"/>
    <mergeCell ref="B5:I7"/>
    <mergeCell ref="D2:G3"/>
    <mergeCell ref="E13:F13"/>
    <mergeCell ref="E164:H164"/>
    <mergeCell ref="E63:F63"/>
    <mergeCell ref="E38:F38"/>
  </mergeCells>
  <phoneticPr fontId="43" type="noConversion"/>
  <hyperlinks>
    <hyperlink ref="B9" r:id="rId1" xr:uid="{00000000-0004-0000-0F00-000000000000}"/>
    <hyperlink ref="B10" r:id="rId2" xr:uid="{00000000-0004-0000-0F00-000001000000}"/>
  </hyperlinks>
  <pageMargins left="0" right="0" top="0" bottom="0" header="0.3" footer="0"/>
  <pageSetup scale="77" fitToHeight="3" orientation="portrait" r:id="rId3"/>
  <headerFooter>
    <oddFooter>&amp;L&amp;F &amp;A&amp;R Page &amp;P of &amp;N</oddFooter>
  </headerFooter>
  <rowBreaks count="3" manualBreakCount="3">
    <brk id="61" max="16383" man="1"/>
    <brk id="111" max="16383" man="1"/>
    <brk id="1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J37"/>
  <sheetViews>
    <sheetView zoomScaleNormal="100" workbookViewId="0"/>
  </sheetViews>
  <sheetFormatPr defaultColWidth="8.81640625" defaultRowHeight="14.5"/>
  <cols>
    <col min="1" max="1" width="4.453125" customWidth="1"/>
    <col min="2" max="2" width="36.54296875" customWidth="1"/>
    <col min="3" max="3" width="5.81640625" customWidth="1"/>
    <col min="4" max="10" width="5.81640625" bestFit="1" customWidth="1"/>
    <col min="11" max="11" width="5.81640625" customWidth="1"/>
    <col min="12" max="15" width="5.81640625" bestFit="1" customWidth="1"/>
    <col min="16" max="16" width="5.81640625" customWidth="1"/>
    <col min="17" max="17" width="5.81640625" bestFit="1" customWidth="1"/>
    <col min="18" max="19" width="5.81640625" customWidth="1"/>
    <col min="20" max="21" width="5.81640625" bestFit="1" customWidth="1"/>
    <col min="22" max="27" width="5.81640625" customWidth="1"/>
    <col min="28" max="28" width="6" customWidth="1"/>
    <col min="29" max="29" width="7.1796875" customWidth="1"/>
    <col min="30" max="31" width="7" customWidth="1"/>
  </cols>
  <sheetData>
    <row r="1" spans="1:36" ht="21.5">
      <c r="B1" s="89" t="s">
        <v>743</v>
      </c>
      <c r="F1" s="235"/>
    </row>
    <row r="2" spans="1:36" ht="40.5" customHeight="1">
      <c r="A2" s="89"/>
      <c r="B2" s="1901" t="s">
        <v>744</v>
      </c>
      <c r="C2" s="1902"/>
      <c r="D2" s="1902"/>
      <c r="E2" s="1902"/>
      <c r="F2" s="1902"/>
      <c r="G2" s="1902"/>
      <c r="H2" s="1902"/>
      <c r="I2" s="1902"/>
      <c r="J2" s="1902"/>
      <c r="K2" s="1902"/>
      <c r="L2" s="1902"/>
      <c r="M2" s="1902"/>
      <c r="N2" s="1902"/>
      <c r="O2" s="1902"/>
      <c r="P2" s="1902"/>
      <c r="Q2" s="1902"/>
      <c r="R2" s="1902"/>
      <c r="S2" s="1902"/>
      <c r="T2" s="1902"/>
      <c r="U2" s="1903"/>
      <c r="V2" s="22"/>
      <c r="W2" s="22"/>
      <c r="X2" s="22"/>
    </row>
    <row r="3" spans="1:36" ht="15" thickBot="1">
      <c r="V3" s="242"/>
      <c r="W3" s="242"/>
      <c r="X3" s="242"/>
      <c r="Y3" s="242"/>
      <c r="AB3" s="785"/>
      <c r="AC3" s="785"/>
      <c r="AD3" s="785"/>
      <c r="AE3" s="785"/>
      <c r="AG3" s="785"/>
      <c r="AH3" s="234"/>
      <c r="AI3" s="234" t="s">
        <v>0</v>
      </c>
      <c r="AJ3" s="234" t="s">
        <v>0</v>
      </c>
    </row>
    <row r="4" spans="1:36" ht="15.5" thickBot="1">
      <c r="B4" s="92" t="s">
        <v>745</v>
      </c>
      <c r="C4" s="219">
        <v>1990</v>
      </c>
      <c r="D4" s="114">
        <v>1991</v>
      </c>
      <c r="E4" s="114">
        <v>1992</v>
      </c>
      <c r="F4" s="114">
        <v>1993</v>
      </c>
      <c r="G4" s="114">
        <v>1994</v>
      </c>
      <c r="H4" s="114">
        <v>1995</v>
      </c>
      <c r="I4" s="114">
        <v>1996</v>
      </c>
      <c r="J4" s="114">
        <v>1997</v>
      </c>
      <c r="K4" s="114">
        <v>1998</v>
      </c>
      <c r="L4" s="114">
        <v>1999</v>
      </c>
      <c r="M4" s="114">
        <v>2000</v>
      </c>
      <c r="N4" s="114">
        <v>2001</v>
      </c>
      <c r="O4" s="114">
        <v>2002</v>
      </c>
      <c r="P4" s="114">
        <v>2003</v>
      </c>
      <c r="Q4" s="114">
        <v>2004</v>
      </c>
      <c r="R4" s="114">
        <v>2005</v>
      </c>
      <c r="S4" s="114">
        <v>2006</v>
      </c>
      <c r="T4" s="114">
        <v>2007</v>
      </c>
      <c r="U4" s="114">
        <v>2008</v>
      </c>
      <c r="V4" s="114">
        <v>2009</v>
      </c>
      <c r="W4" s="114">
        <v>2010</v>
      </c>
      <c r="X4" s="114">
        <v>2011</v>
      </c>
      <c r="Y4" s="114">
        <v>2012</v>
      </c>
      <c r="Z4" s="114">
        <v>2013</v>
      </c>
      <c r="AA4" s="114">
        <v>2014</v>
      </c>
      <c r="AB4" s="114">
        <v>2015</v>
      </c>
      <c r="AC4" s="114">
        <v>2016</v>
      </c>
      <c r="AD4" s="114">
        <v>2017</v>
      </c>
      <c r="AE4" s="114">
        <v>2018</v>
      </c>
      <c r="AF4" s="114">
        <v>2019</v>
      </c>
      <c r="AG4" s="114">
        <v>2020</v>
      </c>
      <c r="AH4" s="114">
        <v>2021</v>
      </c>
      <c r="AI4" s="114">
        <v>2022</v>
      </c>
      <c r="AJ4" s="114">
        <v>2023</v>
      </c>
    </row>
    <row r="5" spans="1:36" ht="15">
      <c r="B5" s="4" t="s">
        <v>746</v>
      </c>
      <c r="C5" s="225">
        <f>C6+C7+C8+C9+C10+C15</f>
        <v>4.2898942199894421</v>
      </c>
      <c r="D5" s="655">
        <f>D6+D7+D8+D9+D10+D15</f>
        <v>4.4670610617110285</v>
      </c>
      <c r="E5" s="655">
        <f t="shared" ref="E5:Z5" si="0">E6+E7+E8+E9+E10+E15</f>
        <v>4.6907603316620046</v>
      </c>
      <c r="F5" s="655">
        <f t="shared" si="0"/>
        <v>4.8996687402203243</v>
      </c>
      <c r="G5" s="655">
        <f t="shared" si="0"/>
        <v>5.0352746731742508</v>
      </c>
      <c r="H5" s="655">
        <f t="shared" si="0"/>
        <v>5.0350560257022892</v>
      </c>
      <c r="I5" s="655">
        <f t="shared" si="0"/>
        <v>5.1930192692467454</v>
      </c>
      <c r="J5" s="655">
        <f t="shared" si="0"/>
        <v>4.7390743729975053</v>
      </c>
      <c r="K5" s="655">
        <f t="shared" si="0"/>
        <v>4.3026184556550726</v>
      </c>
      <c r="L5" s="655">
        <f t="shared" si="0"/>
        <v>4.3218889495904964</v>
      </c>
      <c r="M5" s="655">
        <f t="shared" si="0"/>
        <v>4.4050158022051438</v>
      </c>
      <c r="N5" s="655">
        <f t="shared" si="0"/>
        <v>4.5256238990391724</v>
      </c>
      <c r="O5" s="655">
        <f t="shared" si="0"/>
        <v>4.5133500976345413</v>
      </c>
      <c r="P5" s="655">
        <f t="shared" si="0"/>
        <v>4.225064272678039</v>
      </c>
      <c r="Q5" s="655">
        <f t="shared" si="0"/>
        <v>4.3044925332929704</v>
      </c>
      <c r="R5" s="655">
        <f t="shared" si="0"/>
        <v>4.3278740107807447</v>
      </c>
      <c r="S5" s="655">
        <f t="shared" si="0"/>
        <v>4.6738766249485062</v>
      </c>
      <c r="T5" s="655">
        <f t="shared" si="0"/>
        <v>5.7004725618207654</v>
      </c>
      <c r="U5" s="655">
        <f t="shared" si="0"/>
        <v>5.6964113066330633</v>
      </c>
      <c r="V5" s="655">
        <f t="shared" si="0"/>
        <v>6.2972753289302261</v>
      </c>
      <c r="W5" s="655">
        <f t="shared" si="0"/>
        <v>6.9445658358688434</v>
      </c>
      <c r="X5" s="655">
        <f t="shared" si="0"/>
        <v>6.7662454146807054</v>
      </c>
      <c r="Y5" s="655">
        <f t="shared" si="0"/>
        <v>6.4325338859825285</v>
      </c>
      <c r="Z5" s="655">
        <f t="shared" si="0"/>
        <v>6.9485714148202611</v>
      </c>
      <c r="AA5" s="655">
        <f t="shared" ref="AA5:AF5" si="1">AA6+AA7+AA8+AA9+AA10+AA15</f>
        <v>6.8585372541336307</v>
      </c>
      <c r="AB5" s="655">
        <f t="shared" si="1"/>
        <v>6.9740694474803142</v>
      </c>
      <c r="AC5" s="655">
        <f t="shared" si="1"/>
        <v>6.5690155806512873</v>
      </c>
      <c r="AD5" s="655">
        <f t="shared" si="1"/>
        <v>5.2573588080064795</v>
      </c>
      <c r="AE5" s="877">
        <f t="shared" si="1"/>
        <v>5.2604616044897394</v>
      </c>
      <c r="AF5" s="655">
        <f t="shared" si="1"/>
        <v>5.326315884640449</v>
      </c>
      <c r="AG5" s="655">
        <f t="shared" ref="AG5:AH5" si="2">AG6+AG7+AG8+AG9+AG10+AG15</f>
        <v>4.6313754559288176</v>
      </c>
      <c r="AH5" s="655">
        <f t="shared" si="2"/>
        <v>4.6625629178420951</v>
      </c>
      <c r="AI5" s="1702">
        <f t="shared" ref="AI5:AJ5" si="3">AI6+AI7+AI8+AI9+AI10+AI15</f>
        <v>4.6896189228576031</v>
      </c>
      <c r="AJ5" s="1702">
        <f t="shared" si="3"/>
        <v>5.0289759387255384E-2</v>
      </c>
    </row>
    <row r="6" spans="1:36" ht="15">
      <c r="B6" s="606" t="s">
        <v>747</v>
      </c>
      <c r="C6" s="657">
        <f>'Biogenic Combustion'!C182+'Biogenic Combustion'!C201</f>
        <v>1.6953303838603173</v>
      </c>
      <c r="D6" s="657">
        <f>'Biogenic Combustion'!D182+'Biogenic Combustion'!D201</f>
        <v>1.7772974555809522</v>
      </c>
      <c r="E6" s="657">
        <f>'Biogenic Combustion'!E182+'Biogenic Combustion'!E201</f>
        <v>1.8647039897269839</v>
      </c>
      <c r="F6" s="657">
        <f>'Biogenic Combustion'!F182+'Biogenic Combustion'!F201</f>
        <v>1.9294148358222223</v>
      </c>
      <c r="G6" s="657">
        <f>'Biogenic Combustion'!G182+'Biogenic Combustion'!G201</f>
        <v>1.8314107283301586</v>
      </c>
      <c r="H6" s="657">
        <f>'Biogenic Combustion'!H182+'Biogenic Combustion'!H201</f>
        <v>1.8314107283301586</v>
      </c>
      <c r="I6" s="657">
        <f>'Biogenic Combustion'!I182+'Biogenic Combustion'!I201</f>
        <v>1.9018423883555555</v>
      </c>
      <c r="J6" s="657">
        <f>'Biogenic Combustion'!J182+'Biogenic Combustion'!J201</f>
        <v>1.3625853375619048</v>
      </c>
      <c r="K6" s="657">
        <f>'Biogenic Combustion'!K182+'Biogenic Combustion'!K201</f>
        <v>1.2108430926603175</v>
      </c>
      <c r="L6" s="657">
        <f>'Biogenic Combustion'!L182+'Biogenic Combustion'!L201</f>
        <v>1.2427295965333334</v>
      </c>
      <c r="M6" s="657">
        <f>'Biogenic Combustion'!M182+'Biogenic Combustion'!M201</f>
        <v>1.3382953243174602</v>
      </c>
      <c r="N6" s="657">
        <f>'Biogenic Combustion'!N182+'Biogenic Combustion'!N201</f>
        <v>1.0783604480718365</v>
      </c>
      <c r="O6" s="657">
        <f>'Biogenic Combustion'!O182+'Biogenic Combustion'!O201</f>
        <v>1.0948264898975058</v>
      </c>
      <c r="P6" s="657">
        <f>'Biogenic Combustion'!P182+'Biogenic Combustion'!P201</f>
        <v>1.1523359372640363</v>
      </c>
      <c r="Q6" s="657">
        <f>'Biogenic Combustion'!Q182+'Biogenic Combustion'!Q201</f>
        <v>1.181422883683628</v>
      </c>
      <c r="R6" s="657">
        <f>'Biogenic Combustion'!R182+'Biogenic Combustion'!R201</f>
        <v>0.33755189776399092</v>
      </c>
      <c r="S6" s="657">
        <f>'Biogenic Combustion'!S182+'Biogenic Combustion'!S201</f>
        <v>0.30326080835809521</v>
      </c>
      <c r="T6" s="657">
        <f>'Biogenic Combustion'!T182+'Biogenic Combustion'!T201</f>
        <v>0.33661485927691609</v>
      </c>
      <c r="U6" s="657">
        <f>'Biogenic Combustion'!U182+'Biogenic Combustion'!U201</f>
        <v>0.37461530931773246</v>
      </c>
      <c r="V6" s="657">
        <f>'Biogenic Combustion'!V182+'Biogenic Combustion'!V201</f>
        <v>0.9639838426303855</v>
      </c>
      <c r="W6" s="657">
        <f>'Biogenic Combustion'!W182+'Biogenic Combustion'!W201</f>
        <v>1.0320180758889794</v>
      </c>
      <c r="X6" s="657">
        <f>'Biogenic Combustion'!X182+'Biogenic Combustion'!X201</f>
        <v>1.0148212400268481</v>
      </c>
      <c r="Y6" s="657">
        <f>'Biogenic Combustion'!Y182+'Biogenic Combustion'!Y201</f>
        <v>0.8462220206828116</v>
      </c>
      <c r="Z6" s="657">
        <f>'Biogenic Combustion'!Z182+'Biogenic Combustion'!Z201</f>
        <v>1.1649860368257594</v>
      </c>
      <c r="AA6" s="657">
        <f>'Biogenic Combustion'!AA182+'Biogenic Combustion'!AA201</f>
        <v>1.1685351850757371</v>
      </c>
      <c r="AB6" s="657">
        <f>'Biogenic Combustion'!AB182+'Biogenic Combustion'!AB201</f>
        <v>1.0697184976442629</v>
      </c>
      <c r="AC6" s="657">
        <f>'Biogenic Combustion'!AC182+'Biogenic Combustion'!AC201</f>
        <v>0.91193573391854876</v>
      </c>
      <c r="AD6" s="657">
        <f>'Biogenic Combustion'!AD182+'Biogenic Combustion'!AD201</f>
        <v>0.91405848802938772</v>
      </c>
      <c r="AE6" s="657">
        <f>'Biogenic Combustion'!AE182+'Biogenic Combustion'!AE201</f>
        <v>0.85253937179065764</v>
      </c>
      <c r="AF6" s="657">
        <f>'Biogenic Combustion'!AF182+'Biogenic Combustion'!AF201</f>
        <v>1.0113718345846712</v>
      </c>
      <c r="AG6" s="657">
        <f>'Biogenic Combustion'!AG182+'Biogenic Combustion'!AG201</f>
        <v>0.62626841305360537</v>
      </c>
      <c r="AH6" s="657">
        <f>'Biogenic Combustion'!AH182+'Biogenic Combustion'!AH201</f>
        <v>0.67169902239274371</v>
      </c>
      <c r="AI6" s="657">
        <f>'Biogenic Combustion'!AI182+'Biogenic Combustion'!AI201</f>
        <v>0.76888931015909301</v>
      </c>
      <c r="AJ6" s="1703">
        <f>'Biogenic Combustion'!AJ182+'Biogenic Combustion'!AJ201</f>
        <v>0</v>
      </c>
    </row>
    <row r="7" spans="1:36" ht="15">
      <c r="B7" s="479" t="s">
        <v>748</v>
      </c>
      <c r="C7" s="658">
        <f>'Biogenic Combustion'!C68+'Biogenic Combustion'!C87+'Biogenic Combustion'!C106</f>
        <v>0.18531685780317458</v>
      </c>
      <c r="D7" s="659">
        <f>'Biogenic Combustion'!D68+'Biogenic Combustion'!D87+'Biogenic Combustion'!D106</f>
        <v>0.19347605144126984</v>
      </c>
      <c r="E7" s="659">
        <f>'Biogenic Combustion'!E68+'Biogenic Combustion'!E87+'Biogenic Combustion'!E106</f>
        <v>0.20397984095238092</v>
      </c>
      <c r="F7" s="659">
        <f>'Biogenic Combustion'!F68+'Biogenic Combustion'!F87+'Biogenic Combustion'!F106</f>
        <v>0.25968743889523804</v>
      </c>
      <c r="G7" s="659">
        <f>'Biogenic Combustion'!G68+'Biogenic Combustion'!G87+'Biogenic Combustion'!G106</f>
        <v>0.24871473020952381</v>
      </c>
      <c r="H7" s="659">
        <f>'Biogenic Combustion'!H68+'Biogenic Combustion'!H87+'Biogenic Combustion'!H106</f>
        <v>0.25105932608253967</v>
      </c>
      <c r="I7" s="659">
        <f>'Biogenic Combustion'!I68+'Biogenic Combustion'!I87+'Biogenic Combustion'!I106</f>
        <v>0.26071906107936504</v>
      </c>
      <c r="J7" s="659">
        <f>'Biogenic Combustion'!J68+'Biogenic Combustion'!J87+'Biogenic Combustion'!J106</f>
        <v>0.22761336735238094</v>
      </c>
      <c r="K7" s="659">
        <f>'Biogenic Combustion'!K68+'Biogenic Combustion'!K87+'Biogenic Combustion'!K106</f>
        <v>0.19882173003174602</v>
      </c>
      <c r="L7" s="659">
        <f>'Biogenic Combustion'!L68+'Biogenic Combustion'!L87+'Biogenic Combustion'!L106</f>
        <v>0.20913795187301587</v>
      </c>
      <c r="M7" s="659">
        <f>'Biogenic Combustion'!M68+'Biogenic Combustion'!M87+'Biogenic Combustion'!M106</f>
        <v>0.26182484048136051</v>
      </c>
      <c r="N7" s="659">
        <f>'Biogenic Combustion'!N68+'Biogenic Combustion'!N87+'Biogenic Combustion'!N106</f>
        <v>0.22387673141877548</v>
      </c>
      <c r="O7" s="659">
        <f>'Biogenic Combustion'!O68+'Biogenic Combustion'!O87+'Biogenic Combustion'!O106</f>
        <v>0.23945701591827662</v>
      </c>
      <c r="P7" s="659">
        <f>'Biogenic Combustion'!P68+'Biogenic Combustion'!P87+'Biogenic Combustion'!P106</f>
        <v>0.24159780692018137</v>
      </c>
      <c r="Q7" s="659">
        <f>'Biogenic Combustion'!Q68+'Biogenic Combustion'!Q87+'Biogenic Combustion'!Q106</f>
        <v>0.28813235597841269</v>
      </c>
      <c r="R7" s="659">
        <f>'Biogenic Combustion'!R68+'Biogenic Combustion'!R87+'Biogenic Combustion'!R106</f>
        <v>0.10225727239435424</v>
      </c>
      <c r="S7" s="659">
        <f>'Biogenic Combustion'!S68+'Biogenic Combustion'!S87+'Biogenic Combustion'!S106</f>
        <v>0.10253096979114308</v>
      </c>
      <c r="T7" s="659">
        <f>'Biogenic Combustion'!T68+'Biogenic Combustion'!T87+'Biogenic Combustion'!T106</f>
        <v>0.10389064074891245</v>
      </c>
      <c r="U7" s="659">
        <f>'Biogenic Combustion'!U68+'Biogenic Combustion'!U87+'Biogenic Combustion'!U106</f>
        <v>0.1071128271854907</v>
      </c>
      <c r="V7" s="659">
        <f>'Biogenic Combustion'!V68+'Biogenic Combustion'!V87+'Biogenic Combustion'!V106</f>
        <v>0.18839204446473759</v>
      </c>
      <c r="W7" s="659">
        <f>'Biogenic Combustion'!W68+'Biogenic Combustion'!W87+'Biogenic Combustion'!W106</f>
        <v>0.18313075718010469</v>
      </c>
      <c r="X7" s="659">
        <f>'Biogenic Combustion'!X68+'Biogenic Combustion'!X87+'Biogenic Combustion'!X106</f>
        <v>0.18417583599584866</v>
      </c>
      <c r="Y7" s="659">
        <f>'Biogenic Combustion'!Y68+'Biogenic Combustion'!Y87+'Biogenic Combustion'!Y106</f>
        <v>0.1640137442610094</v>
      </c>
      <c r="Z7" s="659">
        <f>'Biogenic Combustion'!Z68+'Biogenic Combustion'!Z87+'Biogenic Combustion'!Z106</f>
        <v>0.1844783576265496</v>
      </c>
      <c r="AA7" s="659">
        <f>'Biogenic Combustion'!AA68+'Biogenic Combustion'!AA87+'Biogenic Combustion'!AA106</f>
        <v>0.19032762022809607</v>
      </c>
      <c r="AB7" s="659">
        <f>'Biogenic Combustion'!AB68+'Biogenic Combustion'!AB87+'Biogenic Combustion'!AB106</f>
        <v>0.23112570770970567</v>
      </c>
      <c r="AC7" s="659">
        <f>'Biogenic Combustion'!AC68+'Biogenic Combustion'!AC87+'Biogenic Combustion'!AC106</f>
        <v>0.22715258532088306</v>
      </c>
      <c r="AD7" s="659">
        <f>'Biogenic Combustion'!AD68+'Biogenic Combustion'!AD87+'Biogenic Combustion'!AD106</f>
        <v>0.23223909572959406</v>
      </c>
      <c r="AE7" s="878">
        <f>'Biogenic Combustion'!AE68+'Biogenic Combustion'!AE87+'Biogenic Combustion'!AE106</f>
        <v>0.20625459767011556</v>
      </c>
      <c r="AF7" s="659">
        <f>'Biogenic Combustion'!AF68+'Biogenic Combustion'!AF87+'Biogenic Combustion'!AF106</f>
        <v>0.2280774679930215</v>
      </c>
      <c r="AG7" s="659">
        <f>'Biogenic Combustion'!AG68+'Biogenic Combustion'!AG87+'Biogenic Combustion'!AG106</f>
        <v>0.21445253140307996</v>
      </c>
      <c r="AH7" s="659">
        <f>'Biogenic Combustion'!AH68+'Biogenic Combustion'!AH87+'Biogenic Combustion'!AH106</f>
        <v>0.2279092017652693</v>
      </c>
      <c r="AI7" s="659">
        <f>'Biogenic Combustion'!AI68+'Biogenic Combustion'!AI87+'Biogenic Combustion'!AI106</f>
        <v>0.22339646599607071</v>
      </c>
      <c r="AJ7" s="1704">
        <f>'Biogenic Combustion'!AJ68+'Biogenic Combustion'!AJ87+'Biogenic Combustion'!AJ106</f>
        <v>4.9587747681717531E-2</v>
      </c>
    </row>
    <row r="8" spans="1:36" ht="15">
      <c r="B8" s="480" t="s">
        <v>749</v>
      </c>
      <c r="C8" s="660">
        <f>'Biogenic Combustion'!C125+'Biogenic Combustion'!C143+'Biogenic Combustion'!C164</f>
        <v>0.7113118792281703</v>
      </c>
      <c r="D8" s="661">
        <f>'Biogenic Combustion'!D125+'Biogenic Combustion'!D143+'Biogenic Combustion'!D164</f>
        <v>0.72067566607458899</v>
      </c>
      <c r="E8" s="661">
        <f>'Biogenic Combustion'!E125+'Biogenic Combustion'!E143+'Biogenic Combustion'!E164</f>
        <v>0.72642167970519367</v>
      </c>
      <c r="F8" s="661">
        <f>'Biogenic Combustion'!F125+'Biogenic Combustion'!F143+'Biogenic Combustion'!F164</f>
        <v>0.69539289791064951</v>
      </c>
      <c r="G8" s="661">
        <f>'Biogenic Combustion'!G125+'Biogenic Combustion'!G143+'Biogenic Combustion'!G164</f>
        <v>0.75216093368281622</v>
      </c>
      <c r="H8" s="661">
        <f>'Biogenic Combustion'!H125+'Biogenic Combustion'!H143+'Biogenic Combustion'!H164</f>
        <v>0.84251819656638738</v>
      </c>
      <c r="I8" s="661">
        <f>'Biogenic Combustion'!I125+'Biogenic Combustion'!I143+'Biogenic Combustion'!I164</f>
        <v>0.84819414865637088</v>
      </c>
      <c r="J8" s="661">
        <f>'Biogenic Combustion'!J125+'Biogenic Combustion'!J143+'Biogenic Combustion'!J164</f>
        <v>0.89847356932866218</v>
      </c>
      <c r="K8" s="661">
        <f>'Biogenic Combustion'!K125+'Biogenic Combustion'!K143+'Biogenic Combustion'!K164</f>
        <v>0.66067680364084702</v>
      </c>
      <c r="L8" s="661">
        <f>'Biogenic Combustion'!L125+'Biogenic Combustion'!L143+'Biogenic Combustion'!L164</f>
        <v>0.64340181784905204</v>
      </c>
      <c r="M8" s="661">
        <f>'Biogenic Combustion'!M125+'Biogenic Combustion'!M143+'Biogenic Combustion'!M164</f>
        <v>0.61394211447982583</v>
      </c>
      <c r="N8" s="661">
        <f>'Biogenic Combustion'!N125+'Biogenic Combustion'!N143+'Biogenic Combustion'!N164</f>
        <v>0.4701093094652154</v>
      </c>
      <c r="O8" s="661">
        <f>'Biogenic Combustion'!O125+'Biogenic Combustion'!O143+'Biogenic Combustion'!O164</f>
        <v>0.3066445451192743</v>
      </c>
      <c r="P8" s="661">
        <f>'Biogenic Combustion'!P125+'Biogenic Combustion'!P143+'Biogenic Combustion'!P164</f>
        <v>0.31170899218430836</v>
      </c>
      <c r="Q8" s="661">
        <f>'Biogenic Combustion'!Q125+'Biogenic Combustion'!Q143+'Biogenic Combustion'!Q164</f>
        <v>0.32974522336380951</v>
      </c>
      <c r="R8" s="661">
        <f>'Biogenic Combustion'!R125+'Biogenic Combustion'!R143+'Biogenic Combustion'!R164</f>
        <v>0.3392203901737868</v>
      </c>
      <c r="S8" s="661">
        <f>'Biogenic Combustion'!S125+'Biogenic Combustion'!S143+'Biogenic Combustion'!S164</f>
        <v>0.39427225170285135</v>
      </c>
      <c r="T8" s="661">
        <f>'Biogenic Combustion'!T125+'Biogenic Combustion'!T143+'Biogenic Combustion'!T164</f>
        <v>0.41561929193373859</v>
      </c>
      <c r="U8" s="661">
        <f>'Biogenic Combustion'!U125+'Biogenic Combustion'!U143+'Biogenic Combustion'!U164</f>
        <v>0.40104450900065269</v>
      </c>
      <c r="V8" s="661">
        <f>'Biogenic Combustion'!V125+'Biogenic Combustion'!V143+'Biogenic Combustion'!V164</f>
        <v>0.36982602658391434</v>
      </c>
      <c r="W8" s="661">
        <f>'Biogenic Combustion'!W125+'Biogenic Combustion'!W143+'Biogenic Combustion'!W164</f>
        <v>0.54384678392272112</v>
      </c>
      <c r="X8" s="661">
        <f>'Biogenic Combustion'!X125+'Biogenic Combustion'!X143+'Biogenic Combustion'!X164</f>
        <v>0.72023291921632637</v>
      </c>
      <c r="Y8" s="661">
        <f>'Biogenic Combustion'!Y125+'Biogenic Combustion'!Y143+'Biogenic Combustion'!Y164</f>
        <v>0.71479663972535135</v>
      </c>
      <c r="Z8" s="661">
        <f>'Biogenic Combustion'!Z125+'Biogenic Combustion'!Z143+'Biogenic Combustion'!Z164</f>
        <v>0.71625647562702932</v>
      </c>
      <c r="AA8" s="661">
        <f>'Biogenic Combustion'!AA125+'Biogenic Combustion'!AA143+'Biogenic Combustion'!AA164</f>
        <v>0.68931105723356001</v>
      </c>
      <c r="AB8" s="661">
        <f>'Biogenic Combustion'!AB125+'Biogenic Combustion'!AB143+'Biogenic Combustion'!AB164</f>
        <v>0.69110237261750562</v>
      </c>
      <c r="AC8" s="661">
        <f>'Biogenic Combustion'!AC125+'Biogenic Combustion'!AC143+'Biogenic Combustion'!AC164</f>
        <v>0.68918600082285708</v>
      </c>
      <c r="AD8" s="661">
        <f>'Biogenic Combustion'!AD125+'Biogenic Combustion'!AD143+'Biogenic Combustion'!AD164</f>
        <v>0.3202513424105215</v>
      </c>
      <c r="AE8" s="879">
        <f>'Biogenic Combustion'!AE125+'Biogenic Combustion'!AE143+'Biogenic Combustion'!AE164</f>
        <v>0.30486682401922899</v>
      </c>
      <c r="AF8" s="661">
        <f>'Biogenic Combustion'!AF125+'Biogenic Combustion'!AF143+'Biogenic Combustion'!AF164</f>
        <v>0.32157134966204082</v>
      </c>
      <c r="AG8" s="661">
        <f>'Biogenic Combustion'!AG125+'Biogenic Combustion'!AG143+'Biogenic Combustion'!AG164</f>
        <v>0.31591246248344668</v>
      </c>
      <c r="AH8" s="661">
        <f>'Biogenic Combustion'!AH125+'Biogenic Combustion'!AH143+'Biogenic Combustion'!AH164</f>
        <v>0.30174266248344667</v>
      </c>
      <c r="AI8" s="661">
        <f>'Biogenic Combustion'!AI125+'Biogenic Combustion'!AI143+'Biogenic Combustion'!AI164</f>
        <v>0.28944910094766441</v>
      </c>
      <c r="AJ8" s="1705">
        <f>'Biogenic Combustion'!AJ125+'Biogenic Combustion'!AJ143+'Biogenic Combustion'!AJ164</f>
        <v>0</v>
      </c>
    </row>
    <row r="9" spans="1:36" ht="15">
      <c r="B9" s="481" t="s">
        <v>750</v>
      </c>
      <c r="C9" s="662">
        <f>'Biogenic Combustion'!C220+'Biogenic Combustion'!C239</f>
        <v>0</v>
      </c>
      <c r="D9" s="662">
        <f>'Biogenic Combustion'!D220+'Biogenic Combustion'!D239</f>
        <v>0</v>
      </c>
      <c r="E9" s="662">
        <f>'Biogenic Combustion'!E220+'Biogenic Combustion'!E239</f>
        <v>0</v>
      </c>
      <c r="F9" s="662">
        <f>'Biogenic Combustion'!F220+'Biogenic Combustion'!F239</f>
        <v>0</v>
      </c>
      <c r="G9" s="662">
        <f>'Biogenic Combustion'!G220+'Biogenic Combustion'!G239</f>
        <v>0</v>
      </c>
      <c r="H9" s="662">
        <f>'Biogenic Combustion'!H220+'Biogenic Combustion'!H239</f>
        <v>0</v>
      </c>
      <c r="I9" s="662">
        <f>'Biogenic Combustion'!I220+'Biogenic Combustion'!I239</f>
        <v>0</v>
      </c>
      <c r="J9" s="662">
        <f>'Biogenic Combustion'!J220+'Biogenic Combustion'!J239</f>
        <v>0</v>
      </c>
      <c r="K9" s="662">
        <f>'Biogenic Combustion'!K220+'Biogenic Combustion'!K239</f>
        <v>0</v>
      </c>
      <c r="L9" s="662">
        <f>'Biogenic Combustion'!L220+'Biogenic Combustion'!L239</f>
        <v>0</v>
      </c>
      <c r="M9" s="662">
        <f>'Biogenic Combustion'!M220+'Biogenic Combustion'!M239</f>
        <v>0</v>
      </c>
      <c r="N9" s="662">
        <f>'Biogenic Combustion'!N220+'Biogenic Combustion'!N239</f>
        <v>2.2148182421768706E-4</v>
      </c>
      <c r="O9" s="662">
        <f>'Biogenic Combustion'!O220+'Biogenic Combustion'!O239</f>
        <v>5.2959671590022675E-3</v>
      </c>
      <c r="P9" s="662">
        <f>'Biogenic Combustion'!P220+'Biogenic Combustion'!P239</f>
        <v>5.2221398842630384E-3</v>
      </c>
      <c r="Q9" s="662">
        <f>'Biogenic Combustion'!Q220+'Biogenic Combustion'!Q239</f>
        <v>4.7395510658321989E-2</v>
      </c>
      <c r="R9" s="662">
        <f>'Biogenic Combustion'!R220+'Biogenic Combustion'!R239</f>
        <v>0.4137942762231292</v>
      </c>
      <c r="S9" s="662">
        <f>'Biogenic Combustion'!S220+'Biogenic Combustion'!S239</f>
        <v>1.1187378884019954</v>
      </c>
      <c r="T9" s="662">
        <f>'Biogenic Combustion'!T220+'Biogenic Combustion'!T239</f>
        <v>1.4386171523149205</v>
      </c>
      <c r="U9" s="662">
        <f>'Biogenic Combustion'!U220+'Biogenic Combustion'!U239</f>
        <v>1.1999270142135148</v>
      </c>
      <c r="V9" s="662">
        <f>'Biogenic Combustion'!V220+'Biogenic Combustion'!V239</f>
        <v>1.3291833749014059</v>
      </c>
      <c r="W9" s="662">
        <f>'Biogenic Combustion'!W220+'Biogenic Combustion'!W239</f>
        <v>1.6582573739609978</v>
      </c>
      <c r="X9" s="662">
        <f>'Biogenic Combustion'!X220+'Biogenic Combustion'!X239</f>
        <v>1.6111511734356463</v>
      </c>
      <c r="Y9" s="662">
        <f>'Biogenic Combustion'!Y220+'Biogenic Combustion'!Y239</f>
        <v>1.5631634048620409</v>
      </c>
      <c r="Z9" s="662">
        <f>'Biogenic Combustion'!Z220+'Biogenic Combustion'!Z239</f>
        <v>1.6521920194176869</v>
      </c>
      <c r="AA9" s="662">
        <f>'Biogenic Combustion'!AA220+'Biogenic Combustion'!AA239</f>
        <v>1.6436632094886168</v>
      </c>
      <c r="AB9" s="662">
        <f>'Biogenic Combustion'!AB220+'Biogenic Combustion'!AB239</f>
        <v>1.6717164140894332</v>
      </c>
      <c r="AC9" s="662">
        <f>'Biogenic Combustion'!AC220+'Biogenic Combustion'!AC239</f>
        <v>1.7216663244578683</v>
      </c>
      <c r="AD9" s="662">
        <f>'Biogenic Combustion'!AD220+'Biogenic Combustion'!AD239</f>
        <v>1.7135841575430386</v>
      </c>
      <c r="AE9" s="880">
        <f>'Biogenic Combustion'!AE220+'Biogenic Combustion'!AE239</f>
        <v>1.6554308611537414</v>
      </c>
      <c r="AF9" s="662">
        <f>'Biogenic Combustion'!AF220+'Biogenic Combustion'!AF239</f>
        <v>1.637346698236009</v>
      </c>
      <c r="AG9" s="662">
        <f>'Biogenic Combustion'!AG220+'Biogenic Combustion'!AG239</f>
        <v>1.320269231390476</v>
      </c>
      <c r="AH9" s="662">
        <f>'Biogenic Combustion'!AH220+'Biogenic Combustion'!AH239</f>
        <v>1.4771421919346939</v>
      </c>
      <c r="AI9" s="662">
        <f>'Biogenic Combustion'!AI220+'Biogenic Combustion'!AI239</f>
        <v>1.4704780206066213</v>
      </c>
      <c r="AJ9" s="1706">
        <f>'Biogenic Combustion'!AJ220+'Biogenic Combustion'!AJ239</f>
        <v>0</v>
      </c>
    </row>
    <row r="10" spans="1:36" ht="15">
      <c r="B10" s="1161" t="s">
        <v>751</v>
      </c>
      <c r="C10" s="665">
        <f>C11+C12++C13+C14</f>
        <v>1.6979350990977795</v>
      </c>
      <c r="D10" s="664">
        <f>D11+D12+D13+D14</f>
        <v>1.7756118886142176</v>
      </c>
      <c r="E10" s="663">
        <f t="shared" ref="E10:AB10" si="4">E11+E12+E13+E14</f>
        <v>1.8956548212774458</v>
      </c>
      <c r="F10" s="663">
        <f t="shared" si="4"/>
        <v>2.015173567592214</v>
      </c>
      <c r="G10" s="663">
        <f t="shared" si="4"/>
        <v>2.202988280951752</v>
      </c>
      <c r="H10" s="663">
        <f t="shared" si="4"/>
        <v>2.1100677747232033</v>
      </c>
      <c r="I10" s="663">
        <f t="shared" si="4"/>
        <v>2.1822636711554533</v>
      </c>
      <c r="J10" s="663">
        <f t="shared" si="4"/>
        <v>2.2504020987545577</v>
      </c>
      <c r="K10" s="663">
        <f t="shared" si="4"/>
        <v>2.2322768293221618</v>
      </c>
      <c r="L10" s="663">
        <f t="shared" si="4"/>
        <v>2.2266195833350957</v>
      </c>
      <c r="M10" s="663">
        <f t="shared" si="4"/>
        <v>2.1909535229264967</v>
      </c>
      <c r="N10" s="663">
        <f t="shared" si="4"/>
        <v>2.7530559282591271</v>
      </c>
      <c r="O10" s="663">
        <f t="shared" si="4"/>
        <v>2.8671260795404825</v>
      </c>
      <c r="P10" s="663">
        <f t="shared" si="4"/>
        <v>2.5141993964252496</v>
      </c>
      <c r="Q10" s="663">
        <f t="shared" si="4"/>
        <v>2.4577965596087985</v>
      </c>
      <c r="R10" s="663">
        <f t="shared" si="4"/>
        <v>3.1310279271990007</v>
      </c>
      <c r="S10" s="663">
        <f t="shared" si="4"/>
        <v>2.7529710346598049</v>
      </c>
      <c r="T10" s="663">
        <f t="shared" si="4"/>
        <v>3.404525990573315</v>
      </c>
      <c r="U10" s="663">
        <f t="shared" si="4"/>
        <v>3.6128117654597283</v>
      </c>
      <c r="V10" s="663">
        <f t="shared" si="4"/>
        <v>3.4450591459853546</v>
      </c>
      <c r="W10" s="663">
        <f t="shared" si="4"/>
        <v>3.400274633960704</v>
      </c>
      <c r="X10" s="663">
        <f t="shared" si="4"/>
        <v>3.1201335249929389</v>
      </c>
      <c r="Y10" s="663">
        <f t="shared" si="4"/>
        <v>3.0384462859705095</v>
      </c>
      <c r="Z10" s="663">
        <f t="shared" si="4"/>
        <v>3.1175423377552769</v>
      </c>
      <c r="AA10" s="663">
        <f t="shared" si="4"/>
        <v>3.0758568702225508</v>
      </c>
      <c r="AB10" s="663">
        <f t="shared" si="4"/>
        <v>3.2851990095882404</v>
      </c>
      <c r="AC10" s="663">
        <f t="shared" ref="AC10:AH10" si="5">AC11+AC12+AC13+AC14</f>
        <v>2.9867985213313286</v>
      </c>
      <c r="AD10" s="663">
        <f t="shared" si="5"/>
        <v>2.0467655065340868</v>
      </c>
      <c r="AE10" s="872">
        <f t="shared" si="5"/>
        <v>2.2121943698514843</v>
      </c>
      <c r="AF10" s="663">
        <f t="shared" si="5"/>
        <v>2.1001964119385566</v>
      </c>
      <c r="AG10" s="663">
        <f t="shared" si="5"/>
        <v>2.1254829320007884</v>
      </c>
      <c r="AH10" s="663">
        <f t="shared" si="5"/>
        <v>1.9548880755963749</v>
      </c>
      <c r="AI10" s="1292">
        <f t="shared" ref="AI10:AJ10" si="6">AI11+AI12+AI13+AI14</f>
        <v>1.9101736823085842</v>
      </c>
      <c r="AJ10" s="1292">
        <f t="shared" si="6"/>
        <v>0</v>
      </c>
    </row>
    <row r="11" spans="1:36" ht="15">
      <c r="B11" s="482" t="s">
        <v>752</v>
      </c>
      <c r="C11" s="665">
        <f>'Biogenic Combustion'!C15</f>
        <v>0</v>
      </c>
      <c r="D11" s="664">
        <f>'Biogenic Combustion'!D15</f>
        <v>0</v>
      </c>
      <c r="E11" s="664">
        <f>'Biogenic Combustion'!E15</f>
        <v>0.1165733068063492</v>
      </c>
      <c r="F11" s="664">
        <f>'Biogenic Combustion'!F15</f>
        <v>0.12810871850158731</v>
      </c>
      <c r="G11" s="664">
        <f>'Biogenic Combustion'!G15</f>
        <v>0.14864737834920635</v>
      </c>
      <c r="H11" s="664">
        <f>'Biogenic Combustion'!H15</f>
        <v>0.16449684645079363</v>
      </c>
      <c r="I11" s="664">
        <f>'Biogenic Combustion'!I15</f>
        <v>0.16927982203174602</v>
      </c>
      <c r="J11" s="664">
        <f>'Biogenic Combustion'!J15</f>
        <v>0.1732187430984127</v>
      </c>
      <c r="K11" s="664">
        <f>'Biogenic Combustion'!K15</f>
        <v>0.23483472264126984</v>
      </c>
      <c r="L11" s="664">
        <f>'Biogenic Combustion'!L15</f>
        <v>0.13035953053968252</v>
      </c>
      <c r="M11" s="664">
        <f>'Biogenic Combustion'!M15</f>
        <v>0.16018279004444444</v>
      </c>
      <c r="N11" s="664">
        <f>'Biogenic Combustion'!N15</f>
        <v>0.15877603252063494</v>
      </c>
      <c r="O11" s="664">
        <f>'Biogenic Combustion'!O15</f>
        <v>0.14480224111746032</v>
      </c>
      <c r="P11" s="664">
        <f>'Biogenic Combustion'!P15</f>
        <v>0.17706388033015871</v>
      </c>
      <c r="Q11" s="664">
        <f>'Biogenic Combustion'!Q15</f>
        <v>0.16637252314920634</v>
      </c>
      <c r="R11" s="664">
        <f>'Biogenic Combustion'!R15</f>
        <v>0.17593847431111112</v>
      </c>
      <c r="S11" s="664">
        <f>'Biogenic Combustion'!S15</f>
        <v>0.17762658333968254</v>
      </c>
      <c r="T11" s="664">
        <f>'Biogenic Combustion'!T15</f>
        <v>0.16731036149841269</v>
      </c>
      <c r="U11" s="664">
        <f>'Biogenic Combustion'!U15</f>
        <v>0.17199955324444444</v>
      </c>
      <c r="V11" s="664">
        <f>'Biogenic Combustion'!V15</f>
        <v>0.15446197611428569</v>
      </c>
      <c r="W11" s="664">
        <f>'Biogenic Combustion'!W15</f>
        <v>0.14119156347301587</v>
      </c>
      <c r="X11" s="664">
        <f>'Biogenic Combustion'!X15</f>
        <v>0.14503670070476188</v>
      </c>
      <c r="Y11" s="664">
        <f>'Biogenic Combustion'!Y15</f>
        <v>0.14358305126349205</v>
      </c>
      <c r="Z11" s="664">
        <f>'Biogenic Combustion'!Z15</f>
        <v>0.1251826628520635</v>
      </c>
      <c r="AA11" s="664">
        <f>'Biogenic Combustion'!AA15</f>
        <v>0.21130435845968254</v>
      </c>
      <c r="AB11" s="664">
        <f>'Biogenic Combustion'!AB15</f>
        <v>0.18677988562793651</v>
      </c>
      <c r="AC11" s="664">
        <f>'Biogenic Combustion'!AC15</f>
        <v>0.21043216879492063</v>
      </c>
      <c r="AD11" s="664">
        <f>'Biogenic Combustion'!AD15</f>
        <v>0.21204525075555553</v>
      </c>
      <c r="AE11" s="871">
        <f>'Biogenic Combustion'!AE15</f>
        <v>0.18442591137142858</v>
      </c>
      <c r="AF11" s="664">
        <f>'Biogenic Combustion'!AF15</f>
        <v>0.17057403895365078</v>
      </c>
      <c r="AG11" s="664">
        <f>'Biogenic Combustion'!AG15</f>
        <v>0.19504739959536507</v>
      </c>
      <c r="AH11" s="664">
        <f>'Biogenic Combustion'!AH15</f>
        <v>0.13236416001111109</v>
      </c>
      <c r="AI11" s="664">
        <f>'Biogenic Combustion'!AI15</f>
        <v>8.2275901889028571E-2</v>
      </c>
      <c r="AJ11" s="1403">
        <f>'Biogenic Combustion'!AJ15</f>
        <v>0</v>
      </c>
    </row>
    <row r="12" spans="1:36" ht="15">
      <c r="B12" s="482" t="s">
        <v>753</v>
      </c>
      <c r="C12" s="665">
        <f>'Biogenic Combustion'!C51</f>
        <v>1.6979350990977795</v>
      </c>
      <c r="D12" s="664">
        <f>'Biogenic Combustion'!D51</f>
        <v>1.7756118886142176</v>
      </c>
      <c r="E12" s="664">
        <f>'Biogenic Combustion'!E51</f>
        <v>1.7790815144710965</v>
      </c>
      <c r="F12" s="664">
        <f>'Biogenic Combustion'!F51</f>
        <v>1.8802186291414202</v>
      </c>
      <c r="G12" s="664">
        <f>'Biogenic Combustion'!G51</f>
        <v>2.038256974913657</v>
      </c>
      <c r="H12" s="664">
        <f>'Biogenic Combustion'!H51</f>
        <v>1.923297267478759</v>
      </c>
      <c r="I12" s="664">
        <f>'Biogenic Combustion'!I51</f>
        <v>1.985648205840215</v>
      </c>
      <c r="J12" s="664">
        <f>'Biogenic Combustion'!J51</f>
        <v>2.0028465367446526</v>
      </c>
      <c r="K12" s="664">
        <f>'Biogenic Combustion'!K51</f>
        <v>1.9035365403425302</v>
      </c>
      <c r="L12" s="664">
        <f>'Biogenic Combustion'!L51</f>
        <v>1.9646795974008162</v>
      </c>
      <c r="M12" s="664">
        <f>'Biogenic Combustion'!M51</f>
        <v>1.8991902774874554</v>
      </c>
      <c r="N12" s="664">
        <f>'Biogenic Combustion'!N51</f>
        <v>1.8664288411671384</v>
      </c>
      <c r="O12" s="664">
        <f>'Biogenic Combustion'!O51</f>
        <v>1.7359847231019108</v>
      </c>
      <c r="P12" s="664">
        <f>'Biogenic Combustion'!P51</f>
        <v>1.7616616243782757</v>
      </c>
      <c r="Q12" s="664">
        <f>'Biogenic Combustion'!Q51</f>
        <v>1.8034436944420011</v>
      </c>
      <c r="R12" s="664">
        <f>'Biogenic Combustion'!R51</f>
        <v>1.8299516686910193</v>
      </c>
      <c r="S12" s="664">
        <f>'Biogenic Combustion'!S51</f>
        <v>1.8291042571457692</v>
      </c>
      <c r="T12" s="664">
        <f>'Biogenic Combustion'!T51</f>
        <v>1.738874785356247</v>
      </c>
      <c r="U12" s="664">
        <f>'Biogenic Combustion'!U51</f>
        <v>1.8849390714709355</v>
      </c>
      <c r="V12" s="664">
        <f>'Biogenic Combustion'!V51</f>
        <v>1.8524814547479607</v>
      </c>
      <c r="W12" s="664">
        <f>'Biogenic Combustion'!W51</f>
        <v>1.7429429999999999</v>
      </c>
      <c r="X12" s="664">
        <f>'Biogenic Combustion'!X51</f>
        <v>1.7277246000000002</v>
      </c>
      <c r="Y12" s="664">
        <f>'Biogenic Combustion'!Y51</f>
        <v>1.618303</v>
      </c>
      <c r="Z12" s="664">
        <f>'Biogenic Combustion'!Z51</f>
        <v>1.7030479999999999</v>
      </c>
      <c r="AA12" s="664">
        <f>'Biogenic Combustion'!AA51</f>
        <v>1.7152989999999999</v>
      </c>
      <c r="AB12" s="664">
        <f>'Biogenic Combustion'!AB51</f>
        <v>1.6561053999999999</v>
      </c>
      <c r="AC12" s="664">
        <f>'Biogenic Combustion'!AC51</f>
        <v>1.6287308999999999</v>
      </c>
      <c r="AD12" s="664">
        <f>'Biogenic Combustion'!AD51</f>
        <v>1.6707406</v>
      </c>
      <c r="AE12" s="664">
        <f>'Biogenic Combustion'!AE51</f>
        <v>1.6940913999999998</v>
      </c>
      <c r="AF12" s="664">
        <f>'Biogenic Combustion'!AF51</f>
        <v>1.7387703000000001</v>
      </c>
      <c r="AG12" s="664">
        <f>'Biogenic Combustion'!AG51</f>
        <v>1.5934241</v>
      </c>
      <c r="AH12" s="664">
        <f>'Biogenic Combustion'!AH51</f>
        <v>1.6504923</v>
      </c>
      <c r="AI12" s="664">
        <f>'Biogenic Combustion'!AI51</f>
        <v>1.7101503</v>
      </c>
      <c r="AJ12" s="1403">
        <f>'Biogenic Combustion'!AJ51</f>
        <v>0</v>
      </c>
    </row>
    <row r="13" spans="1:36" ht="15">
      <c r="B13" s="482" t="s">
        <v>754</v>
      </c>
      <c r="C13" s="665">
        <f>'Biogenic Combustion'!C32</f>
        <v>0</v>
      </c>
      <c r="D13" s="664">
        <f>'Biogenic Combustion'!D32</f>
        <v>0</v>
      </c>
      <c r="E13" s="664">
        <f>'Biogenic Combustion'!E32</f>
        <v>0</v>
      </c>
      <c r="F13" s="664">
        <f>'Biogenic Combustion'!F32</f>
        <v>6.8462199492063495E-3</v>
      </c>
      <c r="G13" s="664">
        <f>'Biogenic Combustion'!G32</f>
        <v>1.6083927688888888E-2</v>
      </c>
      <c r="H13" s="664">
        <f>'Biogenic Combustion'!H32</f>
        <v>2.2273660793650792E-2</v>
      </c>
      <c r="I13" s="664">
        <f>'Biogenic Combustion'!I32</f>
        <v>2.7335643283492063E-2</v>
      </c>
      <c r="J13" s="664">
        <f>'Biogenic Combustion'!J32</f>
        <v>7.4336818911492047E-2</v>
      </c>
      <c r="K13" s="664">
        <f>'Biogenic Combustion'!K32</f>
        <v>9.3905566338361904E-2</v>
      </c>
      <c r="L13" s="664">
        <f>'Biogenic Combustion'!L32</f>
        <v>0.13158045539459681</v>
      </c>
      <c r="M13" s="664">
        <f>'Biogenic Combustion'!M32</f>
        <v>0.13158045539459681</v>
      </c>
      <c r="N13" s="664">
        <f>'Biogenic Combustion'!N32</f>
        <v>0.16925534445083174</v>
      </c>
      <c r="O13" s="664">
        <f>'Biogenic Combustion'!O32</f>
        <v>0.14463896346086347</v>
      </c>
      <c r="P13" s="664">
        <f>'Biogenic Combustion'!P32</f>
        <v>0.17382758775471746</v>
      </c>
      <c r="Q13" s="664">
        <f>'Biogenic Combustion'!Q32</f>
        <v>0.15895572234834285</v>
      </c>
      <c r="R13" s="664">
        <f>'Biogenic Combustion'!R32</f>
        <v>0.17604257436787302</v>
      </c>
      <c r="S13" s="664">
        <f>'Biogenic Combustion'!S32</f>
        <v>0.16301975105079364</v>
      </c>
      <c r="T13" s="664">
        <f>'Biogenic Combustion'!T32</f>
        <v>0.17158080842152379</v>
      </c>
      <c r="U13" s="664">
        <f>'Biogenic Combustion'!U32</f>
        <v>0.18618248259949205</v>
      </c>
      <c r="V13" s="664">
        <f>'Biogenic Combustion'!V32</f>
        <v>0.16312825894779681</v>
      </c>
      <c r="W13" s="664">
        <f>'Biogenic Combustion'!W32</f>
        <v>0.1678412717878984</v>
      </c>
      <c r="X13" s="664">
        <f>'Biogenic Combustion'!X32</f>
        <v>0.16841804237266031</v>
      </c>
      <c r="Y13" s="664">
        <f>'Biogenic Combustion'!Y32</f>
        <v>0.16699684213827301</v>
      </c>
      <c r="Z13" s="664">
        <f>'Biogenic Combustion'!Z32</f>
        <v>0.17465035333847617</v>
      </c>
      <c r="AA13" s="664">
        <f>'Biogenic Combustion'!AA32</f>
        <v>0.19411650124994284</v>
      </c>
      <c r="AB13" s="664">
        <f>'Biogenic Combustion'!AB32</f>
        <v>0.17373943094989205</v>
      </c>
      <c r="AC13" s="664">
        <f>'Biogenic Combustion'!AC32</f>
        <v>0.19701714148020316</v>
      </c>
      <c r="AD13" s="664">
        <f>'Biogenic Combustion'!AD32</f>
        <v>0.16771072468968887</v>
      </c>
      <c r="AE13" s="664">
        <f>'Biogenic Combustion'!AE32</f>
        <v>0.18494406705936506</v>
      </c>
      <c r="AF13" s="664">
        <f>'Biogenic Combustion'!AF32</f>
        <v>0.16657415839428569</v>
      </c>
      <c r="AG13" s="664">
        <f>'Biogenic Combustion'!AG32</f>
        <v>0.16594139886007617</v>
      </c>
      <c r="AH13" s="664">
        <f>'Biogenic Combustion'!AH32</f>
        <v>0.15052661883334603</v>
      </c>
      <c r="AI13" s="664">
        <f>'Biogenic Combustion'!AI32</f>
        <v>0.11774748041955554</v>
      </c>
      <c r="AJ13" s="1403">
        <f>'Biogenic Combustion'!AJ32</f>
        <v>0</v>
      </c>
    </row>
    <row r="14" spans="1:36" ht="15">
      <c r="B14" s="482" t="s">
        <v>755</v>
      </c>
      <c r="C14" s="666">
        <f>ElecImport!D11</f>
        <v>0</v>
      </c>
      <c r="D14" s="486">
        <f>ElecImport!E11</f>
        <v>0</v>
      </c>
      <c r="E14" s="486">
        <f>ElecImport!F11</f>
        <v>0</v>
      </c>
      <c r="F14" s="486">
        <f>ElecImport!G11</f>
        <v>0</v>
      </c>
      <c r="G14" s="486">
        <f>ElecImport!H11</f>
        <v>0</v>
      </c>
      <c r="H14" s="486">
        <f>ElecImport!I11</f>
        <v>0</v>
      </c>
      <c r="I14" s="486">
        <f>ElecImport!J11</f>
        <v>0</v>
      </c>
      <c r="J14" s="486">
        <f>ElecImport!K11</f>
        <v>0</v>
      </c>
      <c r="K14" s="486">
        <f>ElecImport!L11</f>
        <v>0</v>
      </c>
      <c r="L14" s="486">
        <f>ElecImport!M11</f>
        <v>0</v>
      </c>
      <c r="M14" s="486">
        <f>ElecImport!N11</f>
        <v>0</v>
      </c>
      <c r="N14" s="664">
        <f>ElecImport!O11</f>
        <v>0.55859571012052256</v>
      </c>
      <c r="O14" s="664">
        <f>ElecImport!P11</f>
        <v>0.84170015186024771</v>
      </c>
      <c r="P14" s="664">
        <f>ElecImport!Q11</f>
        <v>0.40164630396209744</v>
      </c>
      <c r="Q14" s="664">
        <f>ElecImport!R11</f>
        <v>0.32902461966924834</v>
      </c>
      <c r="R14" s="664">
        <f>ElecImport!S11</f>
        <v>0.94909520982899687</v>
      </c>
      <c r="S14" s="664">
        <f>ElecImport!T11</f>
        <v>0.58322044312355947</v>
      </c>
      <c r="T14" s="664">
        <f>ElecImport!U11</f>
        <v>1.3267600352971316</v>
      </c>
      <c r="U14" s="664">
        <f>ElecImport!V11</f>
        <v>1.369690658144856</v>
      </c>
      <c r="V14" s="664">
        <f>ElecImport!W11</f>
        <v>1.2749874561753112</v>
      </c>
      <c r="W14" s="664">
        <f>ElecImport!X11</f>
        <v>1.3482987986997899</v>
      </c>
      <c r="X14" s="664">
        <f>ElecImport!Y11</f>
        <v>1.0789541819155164</v>
      </c>
      <c r="Y14" s="664">
        <f>ElecImport!Z11</f>
        <v>1.1095633925687443</v>
      </c>
      <c r="Z14" s="664">
        <f>ElecImport!AA11</f>
        <v>1.1146613215647374</v>
      </c>
      <c r="AA14" s="664">
        <f>ElecImport!AB11</f>
        <v>0.95513701051292543</v>
      </c>
      <c r="AB14" s="664">
        <f>ElecImport!AC11</f>
        <v>1.268574293010412</v>
      </c>
      <c r="AC14" s="664">
        <f>ElecImport!AD11</f>
        <v>0.95061831105620487</v>
      </c>
      <c r="AD14" s="838">
        <f>ElecImport!AE11</f>
        <v>-3.7310689111573763E-3</v>
      </c>
      <c r="AE14" s="871">
        <f>ElecImport!AF11</f>
        <v>0.14873299142069088</v>
      </c>
      <c r="AF14" s="664">
        <f>ElecImport!AG11</f>
        <v>2.4277914590619825E-2</v>
      </c>
      <c r="AG14" s="664">
        <f>ElecImport!AH11</f>
        <v>0.17107003354534717</v>
      </c>
      <c r="AH14" s="1578">
        <f>ElecImport!AI11</f>
        <v>2.1504996751917593E-2</v>
      </c>
      <c r="AI14" s="1403">
        <f>ElecImport!AJ11</f>
        <v>0</v>
      </c>
      <c r="AJ14" s="1403">
        <f>ElecImport!AK11</f>
        <v>0</v>
      </c>
    </row>
    <row r="15" spans="1:36" ht="15">
      <c r="B15" s="1162" t="s">
        <v>756</v>
      </c>
      <c r="C15" s="667">
        <f t="shared" ref="C15:Y15" si="7">C16+C17</f>
        <v>0</v>
      </c>
      <c r="D15" s="447">
        <f t="shared" si="7"/>
        <v>0</v>
      </c>
      <c r="E15" s="447">
        <f t="shared" si="7"/>
        <v>0</v>
      </c>
      <c r="F15" s="447">
        <f t="shared" si="7"/>
        <v>0</v>
      </c>
      <c r="G15" s="447">
        <f t="shared" si="7"/>
        <v>0</v>
      </c>
      <c r="H15" s="447">
        <f t="shared" si="7"/>
        <v>0</v>
      </c>
      <c r="I15" s="447">
        <f t="shared" si="7"/>
        <v>0</v>
      </c>
      <c r="J15" s="447">
        <f t="shared" si="7"/>
        <v>0</v>
      </c>
      <c r="K15" s="447">
        <f t="shared" si="7"/>
        <v>0</v>
      </c>
      <c r="L15" s="447">
        <f t="shared" si="7"/>
        <v>0</v>
      </c>
      <c r="M15" s="447">
        <f t="shared" si="7"/>
        <v>0</v>
      </c>
      <c r="N15" s="447">
        <f t="shared" si="7"/>
        <v>0</v>
      </c>
      <c r="O15" s="447">
        <f t="shared" si="7"/>
        <v>0</v>
      </c>
      <c r="P15" s="447">
        <f t="shared" si="7"/>
        <v>0</v>
      </c>
      <c r="Q15" s="447">
        <f t="shared" si="7"/>
        <v>0</v>
      </c>
      <c r="R15" s="668">
        <f t="shared" si="7"/>
        <v>4.0222470264825727E-3</v>
      </c>
      <c r="S15" s="668">
        <f t="shared" si="7"/>
        <v>2.1036720346162231E-3</v>
      </c>
      <c r="T15" s="668">
        <f t="shared" si="7"/>
        <v>1.2046269729633005E-3</v>
      </c>
      <c r="U15" s="668">
        <f t="shared" si="7"/>
        <v>8.9988145594436879E-4</v>
      </c>
      <c r="V15" s="668">
        <f t="shared" si="7"/>
        <v>8.3089436442852175E-4</v>
      </c>
      <c r="W15" s="668">
        <f t="shared" si="7"/>
        <v>0.12703821095533696</v>
      </c>
      <c r="X15" s="668">
        <f t="shared" si="7"/>
        <v>0.11573072101309732</v>
      </c>
      <c r="Y15" s="668">
        <f t="shared" si="7"/>
        <v>0.1058917904808058</v>
      </c>
      <c r="Z15" s="668">
        <f t="shared" ref="Z15:AE15" si="8">Z16+Z17</f>
        <v>0.11311618756795899</v>
      </c>
      <c r="AA15" s="668">
        <f t="shared" si="8"/>
        <v>9.0843311885069125E-2</v>
      </c>
      <c r="AB15" s="668">
        <f t="shared" si="8"/>
        <v>2.5207445831165527E-2</v>
      </c>
      <c r="AC15" s="668">
        <f t="shared" si="8"/>
        <v>3.2276414799801277E-2</v>
      </c>
      <c r="AD15" s="668">
        <f t="shared" si="8"/>
        <v>3.0460217759851187E-2</v>
      </c>
      <c r="AE15" s="873">
        <f t="shared" si="8"/>
        <v>2.917558000451231E-2</v>
      </c>
      <c r="AF15" s="668">
        <f t="shared" ref="AF15:AG15" si="9">AF16+AF17</f>
        <v>2.7752122226150248E-2</v>
      </c>
      <c r="AG15" s="668">
        <f t="shared" si="9"/>
        <v>2.898988559742156E-2</v>
      </c>
      <c r="AH15" s="668">
        <f t="shared" ref="AH15:AI15" si="10">AH16+AH17</f>
        <v>2.918176366956593E-2</v>
      </c>
      <c r="AI15" s="668">
        <f t="shared" si="10"/>
        <v>2.7232342839569944E-2</v>
      </c>
      <c r="AJ15" s="1707">
        <f t="shared" ref="AJ15" si="11">AJ16+AJ17</f>
        <v>7.0201170553785025E-4</v>
      </c>
    </row>
    <row r="16" spans="1:36" ht="15">
      <c r="B16" s="445" t="s">
        <v>757</v>
      </c>
      <c r="C16" s="667">
        <f>'Solid Waste'!C31</f>
        <v>0</v>
      </c>
      <c r="D16" s="446">
        <f>'Solid Waste'!D31</f>
        <v>0</v>
      </c>
      <c r="E16" s="446">
        <f>'Solid Waste'!E31</f>
        <v>0</v>
      </c>
      <c r="F16" s="446">
        <f>'Solid Waste'!F31</f>
        <v>0</v>
      </c>
      <c r="G16" s="446">
        <f>'Solid Waste'!G31</f>
        <v>0</v>
      </c>
      <c r="H16" s="446">
        <f>'Solid Waste'!H31</f>
        <v>0</v>
      </c>
      <c r="I16" s="446">
        <f>'Solid Waste'!I31</f>
        <v>0</v>
      </c>
      <c r="J16" s="446">
        <f>'Solid Waste'!J31</f>
        <v>0</v>
      </c>
      <c r="K16" s="446">
        <f>'Solid Waste'!K31</f>
        <v>0</v>
      </c>
      <c r="L16" s="446">
        <f>'Solid Waste'!L31</f>
        <v>0</v>
      </c>
      <c r="M16" s="446">
        <f>'Solid Waste'!M31</f>
        <v>0</v>
      </c>
      <c r="N16" s="446">
        <f>'Solid Waste'!N31</f>
        <v>0</v>
      </c>
      <c r="O16" s="446">
        <f>'Solid Waste'!O31</f>
        <v>0</v>
      </c>
      <c r="P16" s="446">
        <f>'Solid Waste'!P31</f>
        <v>0</v>
      </c>
      <c r="Q16" s="446">
        <f>'Solid Waste'!Q31</f>
        <v>0</v>
      </c>
      <c r="R16" s="447">
        <f>'Solid Waste'!R31</f>
        <v>0</v>
      </c>
      <c r="S16" s="447">
        <f>'Solid Waste'!S31</f>
        <v>0</v>
      </c>
      <c r="T16" s="447">
        <f>'Solid Waste'!T31</f>
        <v>0</v>
      </c>
      <c r="U16" s="447">
        <f>'Solid Waste'!U31</f>
        <v>0</v>
      </c>
      <c r="V16" s="447">
        <f>'Solid Waste'!V31</f>
        <v>0</v>
      </c>
      <c r="W16" s="669">
        <f>'Solid Waste'!W31</f>
        <v>0.12526950000000001</v>
      </c>
      <c r="X16" s="669">
        <f>'Solid Waste'!X31</f>
        <v>0.11466989999999999</v>
      </c>
      <c r="Y16" s="669">
        <f>'Solid Waste'!Y31</f>
        <v>0.10458160000000001</v>
      </c>
      <c r="Z16" s="669">
        <f>'Solid Waste'!Z31</f>
        <v>0.11190853491</v>
      </c>
      <c r="AA16" s="669">
        <f>'Solid Waste'!AA31</f>
        <v>8.9273399999999989E-2</v>
      </c>
      <c r="AB16" s="669">
        <f>'Solid Waste'!AB31</f>
        <v>2.4317800000000001E-2</v>
      </c>
      <c r="AC16" s="669">
        <f>'Solid Waste'!AC31</f>
        <v>3.08101E-2</v>
      </c>
      <c r="AD16" s="669">
        <f>'Solid Waste'!AD31</f>
        <v>2.9499000000000001E-2</v>
      </c>
      <c r="AE16" s="874">
        <f>'Solid Waste'!AE31</f>
        <v>2.8656999999999998E-2</v>
      </c>
      <c r="AF16" s="669">
        <f>'Solid Waste'!AF31</f>
        <v>2.6148000000000001E-2</v>
      </c>
      <c r="AG16" s="669">
        <f>'Solid Waste'!AG31</f>
        <v>2.8234099999999998E-2</v>
      </c>
      <c r="AH16" s="669">
        <f>'Solid Waste'!AH31</f>
        <v>2.8145799999999999E-2</v>
      </c>
      <c r="AI16" s="669">
        <f>'Solid Waste'!AI31</f>
        <v>2.6423499999999999E-2</v>
      </c>
      <c r="AJ16" s="1708">
        <f>'Solid Waste'!AJ31</f>
        <v>0</v>
      </c>
    </row>
    <row r="17" spans="1:36" ht="15.5" thickBot="1">
      <c r="B17" s="740" t="s">
        <v>758</v>
      </c>
      <c r="C17" s="741">
        <f>'Biogenic Combustion'!C257</f>
        <v>0</v>
      </c>
      <c r="D17" s="742">
        <f>'Biogenic Combustion'!D257</f>
        <v>0</v>
      </c>
      <c r="E17" s="742">
        <f>'Biogenic Combustion'!E257</f>
        <v>0</v>
      </c>
      <c r="F17" s="742">
        <f>'Biogenic Combustion'!F257</f>
        <v>0</v>
      </c>
      <c r="G17" s="742">
        <f>'Biogenic Combustion'!G257</f>
        <v>0</v>
      </c>
      <c r="H17" s="742">
        <f>'Biogenic Combustion'!H257</f>
        <v>0</v>
      </c>
      <c r="I17" s="742">
        <f>'Biogenic Combustion'!I257</f>
        <v>0</v>
      </c>
      <c r="J17" s="742">
        <f>'Biogenic Combustion'!J257</f>
        <v>0</v>
      </c>
      <c r="K17" s="742">
        <f>'Biogenic Combustion'!K257</f>
        <v>0</v>
      </c>
      <c r="L17" s="742">
        <f>'Biogenic Combustion'!L257</f>
        <v>0</v>
      </c>
      <c r="M17" s="742">
        <f>'Biogenic Combustion'!M257</f>
        <v>0</v>
      </c>
      <c r="N17" s="742">
        <f>'Biogenic Combustion'!N257</f>
        <v>0</v>
      </c>
      <c r="O17" s="742">
        <f>'Biogenic Combustion'!O257</f>
        <v>0</v>
      </c>
      <c r="P17" s="742">
        <f>'Biogenic Combustion'!P257</f>
        <v>0</v>
      </c>
      <c r="Q17" s="742">
        <f>'Biogenic Combustion'!Q257</f>
        <v>0</v>
      </c>
      <c r="R17" s="743">
        <f>'Biogenic Combustion'!R257</f>
        <v>4.0222470264825727E-3</v>
      </c>
      <c r="S17" s="743">
        <f>'Biogenic Combustion'!S257</f>
        <v>2.1036720346162231E-3</v>
      </c>
      <c r="T17" s="743">
        <f>'Biogenic Combustion'!T257</f>
        <v>1.2046269729633005E-3</v>
      </c>
      <c r="U17" s="743">
        <f>'Biogenic Combustion'!U257</f>
        <v>8.9988145594436879E-4</v>
      </c>
      <c r="V17" s="743">
        <f>'Biogenic Combustion'!V257</f>
        <v>8.3089436442852175E-4</v>
      </c>
      <c r="W17" s="743">
        <f>'Biogenic Combustion'!W257</f>
        <v>1.7687109553369469E-3</v>
      </c>
      <c r="X17" s="743">
        <f>'Biogenic Combustion'!X257</f>
        <v>1.0608210130973279E-3</v>
      </c>
      <c r="Y17" s="743">
        <f>'Biogenic Combustion'!Y257</f>
        <v>1.3101904808057846E-3</v>
      </c>
      <c r="Z17" s="743">
        <f>'Biogenic Combustion'!Z257</f>
        <v>1.2076526579589894E-3</v>
      </c>
      <c r="AA17" s="743">
        <f>'Biogenic Combustion'!AA257</f>
        <v>1.5699118850691391E-3</v>
      </c>
      <c r="AB17" s="743">
        <f>'Biogenic Combustion'!AB257</f>
        <v>8.8964583116552822E-4</v>
      </c>
      <c r="AC17" s="743">
        <f>'Biogenic Combustion'!AC257</f>
        <v>1.4663147998012791E-3</v>
      </c>
      <c r="AD17" s="743">
        <f>'Biogenic Combustion'!AD257</f>
        <v>9.6121775985118652E-4</v>
      </c>
      <c r="AE17" s="875">
        <f>'Biogenic Combustion'!AE257</f>
        <v>5.1858000451231016E-4</v>
      </c>
      <c r="AF17" s="743">
        <f>'Biogenic Combustion'!AF257</f>
        <v>1.6041222261502473E-3</v>
      </c>
      <c r="AG17" s="743">
        <f>'Biogenic Combustion'!AG257</f>
        <v>7.5578559742156201E-4</v>
      </c>
      <c r="AH17" s="743">
        <f>'Biogenic Combustion'!AH257</f>
        <v>1.0359636695659311E-3</v>
      </c>
      <c r="AI17" s="743">
        <f>'Biogenic Combustion'!AI257</f>
        <v>8.0884283956994389E-4</v>
      </c>
      <c r="AJ17" s="1709">
        <f>'Biogenic Combustion'!AJ257</f>
        <v>7.0201170553785025E-4</v>
      </c>
    </row>
    <row r="18" spans="1:36" s="235" customFormat="1" ht="15">
      <c r="B18" s="4" t="s">
        <v>759</v>
      </c>
      <c r="C18" s="1507">
        <f t="shared" ref="C18:Z18" si="12">C19</f>
        <v>0.25113150022924269</v>
      </c>
      <c r="D18" s="1455">
        <f t="shared" si="12"/>
        <v>0.25855438518659679</v>
      </c>
      <c r="E18" s="1455">
        <f t="shared" si="12"/>
        <v>0.24735768996364499</v>
      </c>
      <c r="F18" s="1455">
        <f t="shared" si="12"/>
        <v>0.2342843174649096</v>
      </c>
      <c r="G18" s="1455">
        <f t="shared" si="12"/>
        <v>0.23249709337209454</v>
      </c>
      <c r="H18" s="1455">
        <f t="shared" si="12"/>
        <v>0.23373916273821557</v>
      </c>
      <c r="I18" s="1455">
        <f t="shared" si="12"/>
        <v>0.19121859270884423</v>
      </c>
      <c r="J18" s="1455">
        <f t="shared" si="12"/>
        <v>0.13932813729911742</v>
      </c>
      <c r="K18" s="1455">
        <f t="shared" si="12"/>
        <v>0.13007057847074824</v>
      </c>
      <c r="L18" s="1455">
        <f t="shared" si="12"/>
        <v>0.13087688160402314</v>
      </c>
      <c r="M18" s="1455">
        <f t="shared" si="12"/>
        <v>8.9402563993659673E-2</v>
      </c>
      <c r="N18" s="1455">
        <f t="shared" si="12"/>
        <v>5.1083141055043357E-2</v>
      </c>
      <c r="O18" s="1455">
        <f t="shared" si="12"/>
        <v>9.3211128618972072E-2</v>
      </c>
      <c r="P18" s="1455">
        <f t="shared" si="12"/>
        <v>0.14705978377865625</v>
      </c>
      <c r="Q18" s="1455">
        <f t="shared" si="12"/>
        <v>0.12034914433982681</v>
      </c>
      <c r="R18" s="1455">
        <f t="shared" si="12"/>
        <v>0.1205911553534582</v>
      </c>
      <c r="S18" s="1455">
        <f t="shared" si="12"/>
        <v>0.1072732252125921</v>
      </c>
      <c r="T18" s="1455">
        <f t="shared" si="12"/>
        <v>9.7056063366856529E-2</v>
      </c>
      <c r="U18" s="1455">
        <f t="shared" si="12"/>
        <v>9.8264271012898557E-2</v>
      </c>
      <c r="V18" s="1455">
        <f t="shared" si="12"/>
        <v>0.10168974434676181</v>
      </c>
      <c r="W18" s="1455">
        <f t="shared" si="12"/>
        <v>9.9247600000000005E-2</v>
      </c>
      <c r="X18" s="1455">
        <f t="shared" si="12"/>
        <v>4.8098000000000002E-2</v>
      </c>
      <c r="Y18" s="1455">
        <f t="shared" si="12"/>
        <v>4.8571000000000003E-2</v>
      </c>
      <c r="Z18" s="1455">
        <f t="shared" si="12"/>
        <v>6.4255371800000002E-2</v>
      </c>
      <c r="AA18" s="1455">
        <f>AA19</f>
        <v>6.8777600000000008E-2</v>
      </c>
      <c r="AB18" s="1455">
        <f t="shared" ref="AB18:AJ18" si="13">AB19</f>
        <v>4.0063896000000002E-2</v>
      </c>
      <c r="AC18" s="1455">
        <f t="shared" si="13"/>
        <v>3.62522448E-2</v>
      </c>
      <c r="AD18" s="1455">
        <f t="shared" si="13"/>
        <v>3.4434198000000006E-2</v>
      </c>
      <c r="AE18" s="1455">
        <f t="shared" si="13"/>
        <v>3.3789288000000001E-2</v>
      </c>
      <c r="AF18" s="1455">
        <f t="shared" si="13"/>
        <v>3.3758652E-2</v>
      </c>
      <c r="AG18" s="1455">
        <f t="shared" si="13"/>
        <v>3.0219417000000002E-2</v>
      </c>
      <c r="AH18" s="1455">
        <f t="shared" si="13"/>
        <v>1.9660098000000001E-2</v>
      </c>
      <c r="AI18" s="1455">
        <f t="shared" si="13"/>
        <v>1.8224535E-2</v>
      </c>
      <c r="AJ18" s="1710">
        <f t="shared" si="13"/>
        <v>0</v>
      </c>
    </row>
    <row r="19" spans="1:36" s="235" customFormat="1" ht="15">
      <c r="B19" s="1456" t="s">
        <v>760</v>
      </c>
      <c r="C19" s="1458">
        <f>'Solid Waste'!C30</f>
        <v>0.25113150022924269</v>
      </c>
      <c r="D19" s="1457">
        <f>'Solid Waste'!D30</f>
        <v>0.25855438518659679</v>
      </c>
      <c r="E19" s="1457">
        <f>'Solid Waste'!E30</f>
        <v>0.24735768996364499</v>
      </c>
      <c r="F19" s="1457">
        <f>'Solid Waste'!F30</f>
        <v>0.2342843174649096</v>
      </c>
      <c r="G19" s="1457">
        <f>'Solid Waste'!G30</f>
        <v>0.23249709337209454</v>
      </c>
      <c r="H19" s="1457">
        <f>'Solid Waste'!H30</f>
        <v>0.23373916273821557</v>
      </c>
      <c r="I19" s="1457">
        <f>'Solid Waste'!I30</f>
        <v>0.19121859270884423</v>
      </c>
      <c r="J19" s="1457">
        <f>'Solid Waste'!J30</f>
        <v>0.13932813729911742</v>
      </c>
      <c r="K19" s="1457">
        <f>'Solid Waste'!K30</f>
        <v>0.13007057847074824</v>
      </c>
      <c r="L19" s="1457">
        <f>'Solid Waste'!L30</f>
        <v>0.13087688160402314</v>
      </c>
      <c r="M19" s="1457">
        <f>'Solid Waste'!M30</f>
        <v>8.9402563993659673E-2</v>
      </c>
      <c r="N19" s="1457">
        <f>'Solid Waste'!N30</f>
        <v>5.1083141055043357E-2</v>
      </c>
      <c r="O19" s="1457">
        <f>'Solid Waste'!O30</f>
        <v>9.3211128618972072E-2</v>
      </c>
      <c r="P19" s="1457">
        <f>'Solid Waste'!P30</f>
        <v>0.14705978377865625</v>
      </c>
      <c r="Q19" s="1457">
        <f>'Solid Waste'!Q30</f>
        <v>0.12034914433982681</v>
      </c>
      <c r="R19" s="1457">
        <f>'Solid Waste'!R30</f>
        <v>0.1205911553534582</v>
      </c>
      <c r="S19" s="1457">
        <f>'Solid Waste'!S30</f>
        <v>0.1072732252125921</v>
      </c>
      <c r="T19" s="1457">
        <f>'Solid Waste'!T30</f>
        <v>9.7056063366856529E-2</v>
      </c>
      <c r="U19" s="1457">
        <f>'Solid Waste'!U30</f>
        <v>9.8264271012898557E-2</v>
      </c>
      <c r="V19" s="1457">
        <f>'Solid Waste'!V30</f>
        <v>0.10168974434676181</v>
      </c>
      <c r="W19" s="1457">
        <f>'Solid Waste'!W30</f>
        <v>9.9247600000000005E-2</v>
      </c>
      <c r="X19" s="1457">
        <f>'Solid Waste'!X30</f>
        <v>4.8098000000000002E-2</v>
      </c>
      <c r="Y19" s="1457">
        <f>'Solid Waste'!Y30</f>
        <v>4.8571000000000003E-2</v>
      </c>
      <c r="Z19" s="1457">
        <f>'Solid Waste'!Z30</f>
        <v>6.4255371800000002E-2</v>
      </c>
      <c r="AA19" s="1457">
        <f>'Solid Waste'!AA30</f>
        <v>6.8777600000000008E-2</v>
      </c>
      <c r="AB19" s="1457">
        <f>'Solid Waste'!AB30</f>
        <v>4.0063896000000002E-2</v>
      </c>
      <c r="AC19" s="1457">
        <f>'Solid Waste'!AC30</f>
        <v>3.62522448E-2</v>
      </c>
      <c r="AD19" s="1457">
        <f>'Solid Waste'!AD30</f>
        <v>3.4434198000000006E-2</v>
      </c>
      <c r="AE19" s="1457">
        <f>'Solid Waste'!AE30</f>
        <v>3.3789288000000001E-2</v>
      </c>
      <c r="AF19" s="1457">
        <f>'Solid Waste'!AF30</f>
        <v>3.3758652E-2</v>
      </c>
      <c r="AG19" s="1457">
        <f>'Solid Waste'!AG30</f>
        <v>3.0219417000000002E-2</v>
      </c>
      <c r="AH19" s="1457">
        <f>'Solid Waste'!AH30</f>
        <v>1.9660098000000001E-2</v>
      </c>
      <c r="AI19" s="1457">
        <f>'Solid Waste'!AI30</f>
        <v>1.8224535E-2</v>
      </c>
      <c r="AJ19" s="1711">
        <f>'Solid Waste'!AJ30</f>
        <v>0</v>
      </c>
    </row>
    <row r="20" spans="1:36" ht="15.5" thickBot="1">
      <c r="B20" s="739" t="s">
        <v>761</v>
      </c>
      <c r="C20" s="670">
        <f t="shared" ref="C20:Y20" si="14">C5+C18</f>
        <v>4.541025720218685</v>
      </c>
      <c r="D20" s="671">
        <f t="shared" si="14"/>
        <v>4.725615446897625</v>
      </c>
      <c r="E20" s="671">
        <f t="shared" si="14"/>
        <v>4.9381180216256499</v>
      </c>
      <c r="F20" s="671">
        <f t="shared" si="14"/>
        <v>5.1339530576852335</v>
      </c>
      <c r="G20" s="671">
        <f t="shared" si="14"/>
        <v>5.2677717665463453</v>
      </c>
      <c r="H20" s="671">
        <f t="shared" si="14"/>
        <v>5.2687951884405049</v>
      </c>
      <c r="I20" s="671">
        <f t="shared" si="14"/>
        <v>5.3842378619555893</v>
      </c>
      <c r="J20" s="671">
        <f t="shared" si="14"/>
        <v>4.8784025102966231</v>
      </c>
      <c r="K20" s="671">
        <f t="shared" si="14"/>
        <v>4.4326890341258212</v>
      </c>
      <c r="L20" s="671">
        <f t="shared" si="14"/>
        <v>4.4527658311945197</v>
      </c>
      <c r="M20" s="671">
        <f t="shared" si="14"/>
        <v>4.4944183661988033</v>
      </c>
      <c r="N20" s="671">
        <f t="shared" si="14"/>
        <v>4.5767070400942158</v>
      </c>
      <c r="O20" s="671">
        <f t="shared" si="14"/>
        <v>4.6065612262535129</v>
      </c>
      <c r="P20" s="671">
        <f t="shared" si="14"/>
        <v>4.3721240564566948</v>
      </c>
      <c r="Q20" s="671">
        <f t="shared" si="14"/>
        <v>4.4248416776327977</v>
      </c>
      <c r="R20" s="671">
        <f t="shared" si="14"/>
        <v>4.448465166134203</v>
      </c>
      <c r="S20" s="671">
        <f t="shared" si="14"/>
        <v>4.7811498501610981</v>
      </c>
      <c r="T20" s="671">
        <f t="shared" si="14"/>
        <v>5.7975286251876224</v>
      </c>
      <c r="U20" s="671">
        <f t="shared" si="14"/>
        <v>5.794675577645962</v>
      </c>
      <c r="V20" s="671">
        <f t="shared" si="14"/>
        <v>6.3989650732769876</v>
      </c>
      <c r="W20" s="671">
        <f t="shared" si="14"/>
        <v>7.0438134358688433</v>
      </c>
      <c r="X20" s="671">
        <f t="shared" si="14"/>
        <v>6.8143434146807058</v>
      </c>
      <c r="Y20" s="671">
        <f t="shared" si="14"/>
        <v>6.4811048859825284</v>
      </c>
      <c r="Z20" s="671">
        <f t="shared" ref="Z20:AE20" si="15">Z5+Z18</f>
        <v>7.0128267866202609</v>
      </c>
      <c r="AA20" s="671">
        <f t="shared" si="15"/>
        <v>6.9273148541336305</v>
      </c>
      <c r="AB20" s="671">
        <f t="shared" si="15"/>
        <v>7.0141333434803146</v>
      </c>
      <c r="AC20" s="671">
        <f t="shared" si="15"/>
        <v>6.6052678254512873</v>
      </c>
      <c r="AD20" s="671">
        <f t="shared" si="15"/>
        <v>5.2917930060064791</v>
      </c>
      <c r="AE20" s="881">
        <f t="shared" si="15"/>
        <v>5.2942508924897398</v>
      </c>
      <c r="AF20" s="671">
        <f t="shared" ref="AF20:AH20" si="16">AF5+AF18</f>
        <v>5.3600745366404494</v>
      </c>
      <c r="AG20" s="671">
        <f t="shared" si="16"/>
        <v>4.6615948729288172</v>
      </c>
      <c r="AH20" s="671">
        <f t="shared" si="16"/>
        <v>4.6822230158420952</v>
      </c>
      <c r="AI20" s="1712">
        <f t="shared" ref="AI20:AJ20" si="17">AI5+AI18</f>
        <v>4.7078434578576029</v>
      </c>
      <c r="AJ20" s="1712">
        <f t="shared" si="17"/>
        <v>5.0289759387255384E-2</v>
      </c>
    </row>
    <row r="21" spans="1:36" ht="15">
      <c r="B21" s="738"/>
      <c r="C21" s="738"/>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row>
    <row r="22" spans="1:36" ht="15">
      <c r="B22" s="4"/>
      <c r="C22" s="738"/>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738"/>
      <c r="AB22" s="738"/>
    </row>
    <row r="23" spans="1:36" ht="21" customHeight="1" thickBot="1">
      <c r="B23" s="89" t="s">
        <v>762</v>
      </c>
      <c r="C23" s="738"/>
      <c r="D23" s="738"/>
      <c r="E23" s="738"/>
      <c r="F23" s="738"/>
      <c r="G23" s="738"/>
      <c r="H23" s="738"/>
      <c r="I23" s="738"/>
      <c r="J23" s="738"/>
      <c r="K23" s="738"/>
      <c r="L23" s="738"/>
      <c r="M23" s="738"/>
      <c r="N23" s="738"/>
      <c r="O23" s="738"/>
      <c r="P23" s="738"/>
      <c r="Q23" s="738"/>
      <c r="R23" s="738"/>
      <c r="S23" s="738"/>
      <c r="T23" s="738"/>
      <c r="U23" s="738"/>
      <c r="V23" s="738"/>
      <c r="W23" s="738"/>
      <c r="X23" s="738"/>
      <c r="Y23" s="738"/>
      <c r="Z23" s="738"/>
      <c r="AA23" s="738"/>
      <c r="AB23" s="738"/>
    </row>
    <row r="24" spans="1:36" ht="15.75" customHeight="1" thickBot="1">
      <c r="A24" s="89"/>
      <c r="B24" s="744" t="s">
        <v>745</v>
      </c>
      <c r="C24" s="219">
        <v>1990</v>
      </c>
      <c r="D24" s="114">
        <v>1991</v>
      </c>
      <c r="E24" s="114">
        <v>1992</v>
      </c>
      <c r="F24" s="114">
        <v>1993</v>
      </c>
      <c r="G24" s="114">
        <v>1994</v>
      </c>
      <c r="H24" s="114">
        <v>1995</v>
      </c>
      <c r="I24" s="114">
        <v>1996</v>
      </c>
      <c r="J24" s="114">
        <v>1997</v>
      </c>
      <c r="K24" s="114">
        <v>1998</v>
      </c>
      <c r="L24" s="114">
        <v>1999</v>
      </c>
      <c r="M24" s="114">
        <v>2000</v>
      </c>
      <c r="N24" s="114">
        <v>2001</v>
      </c>
      <c r="O24" s="114">
        <v>2002</v>
      </c>
      <c r="P24" s="114">
        <v>2003</v>
      </c>
      <c r="Q24" s="114">
        <v>2004</v>
      </c>
      <c r="R24" s="114">
        <v>2005</v>
      </c>
      <c r="S24" s="114">
        <v>2006</v>
      </c>
      <c r="T24" s="114">
        <v>2007</v>
      </c>
      <c r="U24" s="114">
        <v>2008</v>
      </c>
      <c r="V24" s="114">
        <v>2009</v>
      </c>
      <c r="W24" s="114">
        <v>2010</v>
      </c>
      <c r="X24" s="114">
        <v>2011</v>
      </c>
      <c r="Y24" s="114">
        <v>2012</v>
      </c>
      <c r="Z24" s="114">
        <v>2013</v>
      </c>
      <c r="AA24" s="114">
        <v>2014</v>
      </c>
      <c r="AB24" s="114">
        <v>2015</v>
      </c>
      <c r="AC24" s="114">
        <v>2016</v>
      </c>
      <c r="AD24" s="114">
        <v>2017</v>
      </c>
      <c r="AE24" s="114">
        <v>2018</v>
      </c>
      <c r="AF24" s="114">
        <v>2019</v>
      </c>
      <c r="AG24" s="114">
        <v>2020</v>
      </c>
      <c r="AH24" s="114">
        <v>2021</v>
      </c>
    </row>
    <row r="25" spans="1:36">
      <c r="B25" s="1409" t="s">
        <v>763</v>
      </c>
      <c r="C25" s="1410">
        <f>NWL!C3</f>
        <v>-4.9076768905666128</v>
      </c>
      <c r="D25" s="1410">
        <f>NWL!D3</f>
        <v>-4.9276768905666124</v>
      </c>
      <c r="E25" s="1410">
        <f>NWL!E3</f>
        <v>-4.9476768905666129</v>
      </c>
      <c r="F25" s="1410">
        <f>NWL!F3</f>
        <v>-5.0797651136523783</v>
      </c>
      <c r="G25" s="1410">
        <f>NWL!G3</f>
        <v>-5.1197651136523783</v>
      </c>
      <c r="H25" s="1410">
        <f>NWL!H3</f>
        <v>-5.1497651136523785</v>
      </c>
      <c r="I25" s="1410">
        <f>NWL!I3</f>
        <v>-5.1997651136523784</v>
      </c>
      <c r="J25" s="1410">
        <f>NWL!J3</f>
        <v>-5.2397651136523784</v>
      </c>
      <c r="K25" s="1410">
        <f>NWL!K3</f>
        <v>-5.2797651136523784</v>
      </c>
      <c r="L25" s="1410">
        <f>NWL!L3</f>
        <v>-5.3097651136523787</v>
      </c>
      <c r="M25" s="1410">
        <f>NWL!M3</f>
        <v>-5.2997651136523789</v>
      </c>
      <c r="N25" s="1410">
        <f>NWL!N3</f>
        <v>-5.3397651136523789</v>
      </c>
      <c r="O25" s="1410">
        <f>NWL!O3</f>
        <v>-5.3597651136523785</v>
      </c>
      <c r="P25" s="1410">
        <f>NWL!P3</f>
        <v>-5.4097651136523783</v>
      </c>
      <c r="Q25" s="1410">
        <f>NWL!Q3</f>
        <v>-5.419765113652379</v>
      </c>
      <c r="R25" s="1410">
        <f>NWL!R3</f>
        <v>-5.4497651136523784</v>
      </c>
      <c r="S25" s="1410">
        <f>NWL!S3</f>
        <v>-5.4997651136523791</v>
      </c>
      <c r="T25" s="1410">
        <f>NWL!T3</f>
        <v>-5.5297651136523784</v>
      </c>
      <c r="U25" s="1410">
        <f>NWL!U3</f>
        <v>-5.5497651136523789</v>
      </c>
      <c r="V25" s="1410">
        <f>NWL!V3</f>
        <v>-5.5897651136523789</v>
      </c>
      <c r="W25" s="1410">
        <f>NWL!W3</f>
        <v>-5.629765113652379</v>
      </c>
      <c r="X25" s="1410">
        <f>NWL!X3</f>
        <v>-5.669765113652379</v>
      </c>
      <c r="Y25" s="1410">
        <f>NWL!Y3</f>
        <v>-5.709765113652379</v>
      </c>
      <c r="Z25" s="1410">
        <f>NWL!Z3</f>
        <v>-5.7397651136523784</v>
      </c>
      <c r="AA25" s="1410">
        <f>NWL!AA3</f>
        <v>-5.7797651136523776</v>
      </c>
      <c r="AB25" s="1410">
        <f>NWL!AB3</f>
        <v>-5.8097651136523778</v>
      </c>
      <c r="AC25" s="1410">
        <f>NWL!AC3</f>
        <v>-5.8097651136523778</v>
      </c>
      <c r="AD25" s="1410">
        <f>NWL!AD3</f>
        <v>-5.7897651136523782</v>
      </c>
      <c r="AE25" s="1410">
        <f>NWL!AE3</f>
        <v>-5.799765113652378</v>
      </c>
      <c r="AF25" s="1410">
        <f>NWL!AF3</f>
        <v>-5.7897651136523782</v>
      </c>
      <c r="AG25" s="1410">
        <f>NWL!AG3</f>
        <v>-5.7797651136523776</v>
      </c>
      <c r="AH25" s="1410">
        <f>NWL!AH3</f>
        <v>-5.7797651136523776</v>
      </c>
    </row>
    <row r="26" spans="1:36">
      <c r="B26" s="1412" t="s">
        <v>764</v>
      </c>
      <c r="C26" s="1489">
        <f>NWL!C9</f>
        <v>0.28978702310560001</v>
      </c>
      <c r="D26" s="1489">
        <f>NWL!D9</f>
        <v>0.30046698151260004</v>
      </c>
      <c r="E26" s="1489">
        <f>NWL!E9</f>
        <v>0.26979463935530001</v>
      </c>
      <c r="F26" s="1489">
        <f>NWL!F9</f>
        <v>0.28551053537109999</v>
      </c>
      <c r="G26" s="1489">
        <f>NWL!G9</f>
        <v>0.27143371585099996</v>
      </c>
      <c r="H26" s="1489">
        <f>NWL!H9</f>
        <v>0.26360081351260001</v>
      </c>
      <c r="I26" s="1489">
        <f>NWL!I9</f>
        <v>0.26174698088670001</v>
      </c>
      <c r="J26" s="1489">
        <f>NWL!J9</f>
        <v>0.24125841543590001</v>
      </c>
      <c r="K26" s="1489">
        <f>NWL!K9</f>
        <v>0.25571400048340004</v>
      </c>
      <c r="L26" s="1489">
        <f>NWL!L9</f>
        <v>0.23268648722169999</v>
      </c>
      <c r="M26" s="1489">
        <f>NWL!M9</f>
        <v>0.30953517288330001</v>
      </c>
      <c r="N26" s="1489">
        <f>NWL!N9</f>
        <v>0.28330836780590002</v>
      </c>
      <c r="O26" s="1489">
        <f>NWL!O9</f>
        <v>0.2838346253813</v>
      </c>
      <c r="P26" s="1489">
        <f>NWL!P9</f>
        <v>0.27816865413269998</v>
      </c>
      <c r="Q26" s="1489">
        <f>NWL!Q9</f>
        <v>0.2981598121465</v>
      </c>
      <c r="R26" s="1489">
        <f>NWL!R9</f>
        <v>0.22517721354000003</v>
      </c>
      <c r="S26" s="1489">
        <f>NWL!S9</f>
        <v>0.21536012199120003</v>
      </c>
      <c r="T26" s="1489">
        <f>NWL!T9</f>
        <v>0.22735671178019998</v>
      </c>
      <c r="U26" s="1489">
        <f>NWL!U9</f>
        <v>0.2608287179371</v>
      </c>
      <c r="V26" s="1489">
        <f>NWL!V9</f>
        <v>0.29591659239920004</v>
      </c>
      <c r="W26" s="1489">
        <f>NWL!W9</f>
        <v>0.26099809392119999</v>
      </c>
      <c r="X26" s="1489">
        <f>NWL!X9</f>
        <v>0.2563052145345</v>
      </c>
      <c r="Y26" s="1489">
        <f>NWL!Y9</f>
        <v>0.2523459240682</v>
      </c>
      <c r="Z26" s="1489">
        <f>NWL!Z9</f>
        <v>0.27834175921420001</v>
      </c>
      <c r="AA26" s="1489">
        <f>NWL!AA9</f>
        <v>0.28444429139360006</v>
      </c>
      <c r="AB26" s="1489">
        <f>NWL!AB9</f>
        <v>0.24042800620539997</v>
      </c>
      <c r="AC26" s="1489">
        <f>NWL!AC9</f>
        <v>0.25895812800950002</v>
      </c>
      <c r="AD26" s="1489">
        <f>NWL!AD9</f>
        <v>0.27081783066769999</v>
      </c>
      <c r="AE26" s="1489">
        <f>NWL!AE9</f>
        <v>0.27479130450050004</v>
      </c>
      <c r="AF26" s="1489">
        <f>NWL!AF9</f>
        <v>0.27635183497850002</v>
      </c>
      <c r="AG26" s="1489">
        <f>NWL!AG9</f>
        <v>0.27636179565230001</v>
      </c>
      <c r="AH26" s="1489">
        <f>NWL!AH9</f>
        <v>0.2769859872955</v>
      </c>
    </row>
    <row r="27" spans="1:36">
      <c r="B27" s="1413" t="s">
        <v>765</v>
      </c>
      <c r="C27" s="1440">
        <f>NWL!C16</f>
        <v>7.9161219477199965E-2</v>
      </c>
      <c r="D27" s="1440">
        <f>NWL!D16</f>
        <v>7.5639151131400004E-2</v>
      </c>
      <c r="E27" s="1440">
        <f>NWL!E16</f>
        <v>7.3852744419999991E-2</v>
      </c>
      <c r="F27" s="1440">
        <f>NWL!F16</f>
        <v>7.4202946167700012E-2</v>
      </c>
      <c r="G27" s="1440">
        <f>NWL!G16</f>
        <v>7.2713172091900008E-2</v>
      </c>
      <c r="H27" s="1440">
        <f>NWL!H16</f>
        <v>7.5141272146499988E-2</v>
      </c>
      <c r="I27" s="1440">
        <f>NWL!I16</f>
        <v>7.0660668598099996E-2</v>
      </c>
      <c r="J27" s="1440">
        <f>NWL!J16</f>
        <v>7.4928919787399989E-2</v>
      </c>
      <c r="K27" s="1440">
        <f>NWL!K16</f>
        <v>7.4472834159899998E-2</v>
      </c>
      <c r="L27" s="1440">
        <f>NWL!L16</f>
        <v>7.6323808444699964E-2</v>
      </c>
      <c r="M27" s="1440">
        <f>NWL!M16</f>
        <v>7.7802728788699982E-2</v>
      </c>
      <c r="N27" s="1440">
        <f>NWL!N16</f>
        <v>8.0112403677399996E-2</v>
      </c>
      <c r="O27" s="1440">
        <f>NWL!O16</f>
        <v>7.6298821827700036E-2</v>
      </c>
      <c r="P27" s="1440">
        <f>NWL!P16</f>
        <v>7.5725315558599987E-2</v>
      </c>
      <c r="Q27" s="1440">
        <f>NWL!Q16</f>
        <v>7.7764213371699989E-2</v>
      </c>
      <c r="R27" s="1440">
        <f>NWL!R16</f>
        <v>7.6903455339100021E-2</v>
      </c>
      <c r="S27" s="1440">
        <f>NWL!S16</f>
        <v>7.9459336996399996E-2</v>
      </c>
      <c r="T27" s="1440">
        <f>NWL!T16</f>
        <v>8.3116101311900004E-2</v>
      </c>
      <c r="U27" s="1440">
        <f>NWL!U16</f>
        <v>8.2724922095100017E-2</v>
      </c>
      <c r="V27" s="1440">
        <f>NWL!V16</f>
        <v>8.21669477393E-2</v>
      </c>
      <c r="W27" s="1440">
        <f>NWL!W16</f>
        <v>8.4117234552400014E-2</v>
      </c>
      <c r="X27" s="1440">
        <f>NWL!X16</f>
        <v>7.264064191910001E-2</v>
      </c>
      <c r="Y27" s="1440">
        <f>NWL!Y16</f>
        <v>6.9757187211800006E-2</v>
      </c>
      <c r="Z27" s="1440">
        <f>NWL!Z16</f>
        <v>7.1630844382900016E-2</v>
      </c>
      <c r="AA27" s="1440">
        <f>NWL!AA16</f>
        <v>7.3030609059599988E-2</v>
      </c>
      <c r="AB27" s="1440">
        <f>NWL!AB16</f>
        <v>7.2667445020299995E-2</v>
      </c>
      <c r="AC27" s="1440">
        <f>NWL!AC16</f>
        <v>7.2251007459700006E-2</v>
      </c>
      <c r="AD27" s="1440">
        <f>NWL!AD16</f>
        <v>7.417031378860002E-2</v>
      </c>
      <c r="AE27" s="1440">
        <f>NWL!AE16</f>
        <v>7.3331760052699979E-2</v>
      </c>
      <c r="AF27" s="1440">
        <f>NWL!AF16</f>
        <v>7.2490651950900001E-2</v>
      </c>
      <c r="AG27" s="1440">
        <f>NWL!AG16</f>
        <v>7.2110015527699994E-2</v>
      </c>
      <c r="AH27" s="1440">
        <f>NWL!AH16</f>
        <v>7.1433277902600012E-2</v>
      </c>
    </row>
    <row r="28" spans="1:36">
      <c r="B28" s="1420" t="s">
        <v>766</v>
      </c>
      <c r="C28" s="1490">
        <f>NWL!C25</f>
        <v>-1.1454179257269832</v>
      </c>
      <c r="D28" s="1490">
        <f>NWL!D25</f>
        <v>-1.1430593718748079</v>
      </c>
      <c r="E28" s="1490">
        <f>NWL!E25</f>
        <v>-1.1530090121479271</v>
      </c>
      <c r="F28" s="1490">
        <f>NWL!F25</f>
        <v>-1.1585748364226691</v>
      </c>
      <c r="G28" s="1490">
        <f>NWL!G25</f>
        <v>-1.1633325320271455</v>
      </c>
      <c r="H28" s="1490">
        <f>NWL!H25</f>
        <v>-1.1713006558608419</v>
      </c>
      <c r="I28" s="1490">
        <f>NWL!I25</f>
        <v>-1.1882673219216933</v>
      </c>
      <c r="J28" s="1490">
        <f>NWL!J25</f>
        <v>-1.2229448716438389</v>
      </c>
      <c r="K28" s="1490">
        <f>NWL!K25</f>
        <v>-1.2311766904948203</v>
      </c>
      <c r="L28" s="1490">
        <f>NWL!L25</f>
        <v>-1.2342939058213673</v>
      </c>
      <c r="M28" s="1490">
        <f>NWL!M25</f>
        <v>-1.2531334030172829</v>
      </c>
      <c r="N28" s="1490">
        <f>NWL!N25</f>
        <v>-1.2567457878843864</v>
      </c>
      <c r="O28" s="1490">
        <f>NWL!O25</f>
        <v>-1.2623614455748076</v>
      </c>
      <c r="P28" s="1490">
        <f>NWL!P25</f>
        <v>-1.2707765225426035</v>
      </c>
      <c r="Q28" s="1490">
        <f>NWL!Q25</f>
        <v>-1.2972769474918953</v>
      </c>
      <c r="R28" s="1490">
        <f>NWL!R25</f>
        <v>-1.3180083497299573</v>
      </c>
      <c r="S28" s="1490">
        <f>NWL!S25</f>
        <v>-1.3343009821492982</v>
      </c>
      <c r="T28" s="1490">
        <f>NWL!T25</f>
        <v>-1.3583312320194252</v>
      </c>
      <c r="U28" s="1490">
        <f>NWL!U25</f>
        <v>-1.3357002837578615</v>
      </c>
      <c r="V28" s="1490">
        <f>NWL!V25</f>
        <v>-1.3819834086279228</v>
      </c>
      <c r="W28" s="1490">
        <f>NWL!W25</f>
        <v>-1.3994370169927701</v>
      </c>
      <c r="X28" s="1490">
        <f>NWL!X25</f>
        <v>-1.4008962808020939</v>
      </c>
      <c r="Y28" s="1490">
        <f>NWL!Y25</f>
        <v>-1.4046341420053516</v>
      </c>
      <c r="Z28" s="1490">
        <f>NWL!Z25</f>
        <v>-1.4139106695810997</v>
      </c>
      <c r="AA28" s="1490">
        <f>NWL!AA25</f>
        <v>-1.425362352888383</v>
      </c>
      <c r="AB28" s="1490">
        <f>NWL!AB25</f>
        <v>-1.4523758355129994</v>
      </c>
      <c r="AC28" s="1490">
        <f>NWL!AC25</f>
        <v>-1.4242748173710091</v>
      </c>
      <c r="AD28" s="1490">
        <f>NWL!AD25</f>
        <v>-1.421112856598449</v>
      </c>
      <c r="AE28" s="1490">
        <f>NWL!AE25</f>
        <v>-1.4488200792786954</v>
      </c>
      <c r="AF28" s="1490">
        <f>NWL!AF25</f>
        <v>-1.4457120244844244</v>
      </c>
      <c r="AG28" s="1490">
        <f>NWL!AG25</f>
        <v>-1.665003946209636</v>
      </c>
      <c r="AH28" s="1490">
        <f>NWL!AH25</f>
        <v>-1.6839923561929644</v>
      </c>
    </row>
    <row r="29" spans="1:36">
      <c r="B29" s="1421" t="s">
        <v>767</v>
      </c>
      <c r="C29" s="1441">
        <f>NWL!C33</f>
        <v>0</v>
      </c>
      <c r="D29" s="1441">
        <f>NWL!D33</f>
        <v>0</v>
      </c>
      <c r="E29" s="1441">
        <f>NWL!E33</f>
        <v>0</v>
      </c>
      <c r="F29" s="1441">
        <f>NWL!F33</f>
        <v>0</v>
      </c>
      <c r="G29" s="1441">
        <f>NWL!G33</f>
        <v>0</v>
      </c>
      <c r="H29" s="1441">
        <f>NWL!H33</f>
        <v>0</v>
      </c>
      <c r="I29" s="1441">
        <f>NWL!I33</f>
        <v>0</v>
      </c>
      <c r="J29" s="1441">
        <f>NWL!J33</f>
        <v>0</v>
      </c>
      <c r="K29" s="1441">
        <f>NWL!K33</f>
        <v>0</v>
      </c>
      <c r="L29" s="1441">
        <f>NWL!L33</f>
        <v>0</v>
      </c>
      <c r="M29" s="1441">
        <f>NWL!M33</f>
        <v>0</v>
      </c>
      <c r="N29" s="1441">
        <f>NWL!N33</f>
        <v>0</v>
      </c>
      <c r="O29" s="1441">
        <f>NWL!O33</f>
        <v>0</v>
      </c>
      <c r="P29" s="1441">
        <f>NWL!P33</f>
        <v>0</v>
      </c>
      <c r="Q29" s="1441">
        <f>NWL!Q33</f>
        <v>0</v>
      </c>
      <c r="R29" s="1441">
        <f>NWL!R33</f>
        <v>0</v>
      </c>
      <c r="S29" s="1441">
        <f>NWL!S33</f>
        <v>0</v>
      </c>
      <c r="T29" s="1441">
        <f>NWL!T33</f>
        <v>0</v>
      </c>
      <c r="U29" s="1441">
        <f>NWL!U33</f>
        <v>0</v>
      </c>
      <c r="V29" s="1441">
        <f>NWL!V33</f>
        <v>0</v>
      </c>
      <c r="W29" s="1441">
        <f>NWL!W33</f>
        <v>0</v>
      </c>
      <c r="X29" s="1441">
        <f>NWL!X33</f>
        <v>0</v>
      </c>
      <c r="Y29" s="1441">
        <f>NWL!Y33</f>
        <v>0</v>
      </c>
      <c r="Z29" s="1441">
        <f>NWL!Z33</f>
        <v>0</v>
      </c>
      <c r="AA29" s="1441">
        <f>NWL!AA33</f>
        <v>0</v>
      </c>
      <c r="AB29" s="1441">
        <f>NWL!AB33</f>
        <v>0</v>
      </c>
      <c r="AC29" s="1441">
        <f>NWL!AC33</f>
        <v>0</v>
      </c>
      <c r="AD29" s="1441">
        <f>NWL!AD33</f>
        <v>0</v>
      </c>
      <c r="AE29" s="1441">
        <f>NWL!AE33</f>
        <v>0</v>
      </c>
      <c r="AF29" s="1441">
        <f>NWL!AF33</f>
        <v>0</v>
      </c>
      <c r="AG29" s="1441">
        <f>NWL!AG33</f>
        <v>0</v>
      </c>
      <c r="AH29" s="1441">
        <f>NWL!AH33</f>
        <v>0</v>
      </c>
    </row>
    <row r="30" spans="1:36">
      <c r="B30" s="1422" t="s">
        <v>768</v>
      </c>
      <c r="C30" s="1442">
        <f>NWL!C34</f>
        <v>-5.6841465737107963</v>
      </c>
      <c r="D30" s="1442">
        <f>NWL!D34</f>
        <v>-5.6946301297974209</v>
      </c>
      <c r="E30" s="1442">
        <f>NWL!E34</f>
        <v>-5.7570385189392397</v>
      </c>
      <c r="F30" s="1442">
        <f>NWL!F34</f>
        <v>-5.8786264685362468</v>
      </c>
      <c r="G30" s="1442">
        <f>NWL!G34</f>
        <v>-5.9389507577366238</v>
      </c>
      <c r="H30" s="1442">
        <f>NWL!H34</f>
        <v>-5.9823236838541201</v>
      </c>
      <c r="I30" s="1442">
        <f>NWL!I34</f>
        <v>-6.0556247860892718</v>
      </c>
      <c r="J30" s="1442">
        <f>NWL!J34</f>
        <v>-6.1465226500729173</v>
      </c>
      <c r="K30" s="1442">
        <f>NWL!K34</f>
        <v>-6.1807549695038979</v>
      </c>
      <c r="L30" s="1442">
        <f>NWL!L34</f>
        <v>-6.2350487238073464</v>
      </c>
      <c r="M30" s="1442">
        <f>NWL!M34</f>
        <v>-6.1655606149976618</v>
      </c>
      <c r="N30" s="1442">
        <f>NWL!N34</f>
        <v>-6.2330901300534656</v>
      </c>
      <c r="O30" s="1442">
        <f>NWL!O34</f>
        <v>-6.2619931120181862</v>
      </c>
      <c r="P30" s="1442">
        <f>NWL!P34</f>
        <v>-6.3266476665036819</v>
      </c>
      <c r="Q30" s="1442">
        <f>NWL!Q34</f>
        <v>-6.3411180356260743</v>
      </c>
      <c r="R30" s="1442">
        <f>NWL!R34</f>
        <v>-6.4656927945032354</v>
      </c>
      <c r="S30" s="1442">
        <f>NWL!S34</f>
        <v>-6.5392466368140774</v>
      </c>
      <c r="T30" s="1442">
        <f>NWL!T34</f>
        <v>-6.5776235325797039</v>
      </c>
      <c r="U30" s="1442">
        <f>NWL!U34</f>
        <v>-6.541911757378041</v>
      </c>
      <c r="V30" s="1442">
        <f>NWL!V34</f>
        <v>-6.5936649821418012</v>
      </c>
      <c r="W30" s="1442">
        <f>NWL!W34</f>
        <v>-6.6840868021715494</v>
      </c>
      <c r="X30" s="1442">
        <f>NWL!X34</f>
        <v>-6.7417155380008733</v>
      </c>
      <c r="Y30" s="1442">
        <f>NWL!Y34</f>
        <v>-6.7922961443777314</v>
      </c>
      <c r="Z30" s="1442">
        <f>NWL!Z34</f>
        <v>-6.8037031796363774</v>
      </c>
      <c r="AA30" s="1442">
        <f>NWL!AA34</f>
        <v>-6.8476525660875609</v>
      </c>
      <c r="AB30" s="1442">
        <f>NWL!AB34</f>
        <v>-6.949045497939677</v>
      </c>
      <c r="AC30" s="1442">
        <f>NWL!AC34</f>
        <v>-6.9028307955541877</v>
      </c>
      <c r="AD30" s="1442">
        <f>NWL!AD34</f>
        <v>-6.8658898257945271</v>
      </c>
      <c r="AE30" s="1442">
        <f>NWL!AE34</f>
        <v>-6.9004621283778729</v>
      </c>
      <c r="AF30" s="1442">
        <f>NWL!AF34</f>
        <v>-6.8866346512074035</v>
      </c>
      <c r="AG30" s="1442">
        <f>NWL!AG34</f>
        <v>-7.0962972486820135</v>
      </c>
      <c r="AH30" s="1442">
        <f>NWL!AH34</f>
        <v>-7.1153382046472409</v>
      </c>
    </row>
    <row r="31" spans="1:36" ht="15">
      <c r="B31" s="90"/>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row>
    <row r="32" spans="1:36">
      <c r="B32" t="s">
        <v>769</v>
      </c>
      <c r="S32" s="234"/>
    </row>
    <row r="33" spans="5:23">
      <c r="E33" s="234"/>
    </row>
    <row r="37" spans="5:23" ht="15">
      <c r="U37" s="20"/>
      <c r="V37" s="20"/>
      <c r="W37" s="20"/>
    </row>
  </sheetData>
  <mergeCells count="1">
    <mergeCell ref="B2:U2"/>
  </mergeCells>
  <pageMargins left="0.7" right="0.7" top="0.75" bottom="0.75" header="0.3" footer="0.3"/>
  <pageSetup scale="55" orientation="landscape" r:id="rId1"/>
  <headerFooter>
    <oddFooter>&amp;L&amp;F&amp;A&amp;RPage &amp;P of &amp;N</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54"/>
  <sheetViews>
    <sheetView showGridLines="0" zoomScaleNormal="100" workbookViewId="0"/>
  </sheetViews>
  <sheetFormatPr defaultColWidth="8.81640625" defaultRowHeight="14.5"/>
  <sheetData>
    <row r="1" spans="1:22">
      <c r="A1" s="285"/>
      <c r="B1" s="285"/>
      <c r="C1" s="285"/>
      <c r="D1" s="285"/>
      <c r="E1" s="285"/>
      <c r="F1" s="285"/>
      <c r="G1" s="285"/>
      <c r="H1" s="285"/>
      <c r="I1" s="285"/>
      <c r="J1" s="285"/>
      <c r="K1" s="285"/>
      <c r="L1" s="285"/>
      <c r="M1" s="285"/>
      <c r="N1" s="285"/>
      <c r="O1" s="285"/>
      <c r="P1" s="285"/>
      <c r="Q1" s="285"/>
      <c r="R1" s="285"/>
      <c r="S1" s="285"/>
      <c r="T1" s="285"/>
      <c r="U1" s="285"/>
      <c r="V1" s="285"/>
    </row>
    <row r="2" spans="1:22">
      <c r="A2" s="285"/>
      <c r="B2" s="285"/>
      <c r="C2" s="285"/>
      <c r="D2" s="285"/>
      <c r="E2" s="285"/>
      <c r="F2" s="285"/>
      <c r="G2" s="285"/>
      <c r="H2" s="285"/>
      <c r="I2" s="285"/>
      <c r="J2" s="285"/>
      <c r="K2" s="285"/>
      <c r="L2" s="285"/>
      <c r="M2" s="285"/>
      <c r="N2" s="285"/>
      <c r="O2" s="285"/>
      <c r="P2" s="285"/>
      <c r="Q2" s="285"/>
      <c r="R2" s="285"/>
      <c r="S2" s="285"/>
      <c r="T2" s="285"/>
      <c r="U2" s="285"/>
      <c r="V2" s="285"/>
    </row>
    <row r="3" spans="1:22">
      <c r="A3" s="285"/>
      <c r="B3" s="285"/>
      <c r="C3" s="285"/>
      <c r="D3" s="285"/>
      <c r="E3" s="285"/>
      <c r="F3" s="285"/>
      <c r="G3" s="285"/>
      <c r="H3" s="285"/>
      <c r="I3" s="285"/>
      <c r="J3" s="285"/>
      <c r="K3" s="285"/>
      <c r="L3" s="285"/>
      <c r="M3" s="285"/>
      <c r="N3" s="285"/>
      <c r="O3" s="285"/>
      <c r="P3" s="285"/>
      <c r="Q3" s="285"/>
      <c r="R3" s="285"/>
      <c r="S3" s="285"/>
      <c r="T3" s="285"/>
      <c r="U3" s="285"/>
      <c r="V3" s="285"/>
    </row>
    <row r="4" spans="1:22">
      <c r="A4" s="285"/>
      <c r="B4" s="285"/>
      <c r="C4" s="285"/>
      <c r="D4" s="285"/>
      <c r="E4" s="285"/>
      <c r="F4" s="285"/>
      <c r="G4" s="285"/>
      <c r="H4" s="285"/>
      <c r="I4" s="285"/>
      <c r="J4" s="285"/>
      <c r="K4" s="285"/>
      <c r="L4" s="285"/>
      <c r="M4" s="285"/>
      <c r="N4" s="285"/>
      <c r="O4" s="285"/>
      <c r="P4" s="285"/>
      <c r="Q4" s="285"/>
      <c r="R4" s="285"/>
      <c r="S4" s="285"/>
      <c r="T4" s="285"/>
      <c r="U4" s="285"/>
      <c r="V4" s="285"/>
    </row>
    <row r="5" spans="1:22">
      <c r="A5" s="285"/>
      <c r="B5" s="285"/>
      <c r="C5" s="285"/>
      <c r="D5" s="285"/>
      <c r="E5" s="285"/>
      <c r="F5" s="285"/>
      <c r="G5" s="285"/>
      <c r="H5" s="285"/>
      <c r="I5" s="285"/>
      <c r="J5" s="285"/>
      <c r="K5" s="285"/>
      <c r="L5" s="285"/>
      <c r="M5" s="285"/>
      <c r="N5" s="285"/>
      <c r="O5" s="285"/>
      <c r="P5" s="285"/>
      <c r="Q5" s="285"/>
      <c r="R5" s="285"/>
      <c r="S5" s="285"/>
      <c r="T5" s="285"/>
      <c r="U5" s="285"/>
      <c r="V5" s="285"/>
    </row>
    <row r="6" spans="1:22">
      <c r="A6" s="285"/>
      <c r="B6" s="285"/>
      <c r="C6" s="285"/>
      <c r="D6" s="285"/>
      <c r="E6" s="285"/>
      <c r="F6" s="285"/>
      <c r="G6" s="285"/>
      <c r="H6" s="285"/>
      <c r="I6" s="285"/>
      <c r="J6" s="285"/>
      <c r="K6" s="285"/>
      <c r="L6" s="285"/>
      <c r="M6" s="285"/>
      <c r="N6" s="285"/>
      <c r="O6" s="285"/>
      <c r="P6" s="285"/>
      <c r="Q6" s="285"/>
      <c r="R6" s="285"/>
      <c r="S6" s="285"/>
      <c r="T6" s="285"/>
      <c r="U6" s="285"/>
      <c r="V6" s="285"/>
    </row>
    <row r="7" spans="1:22">
      <c r="A7" s="285"/>
      <c r="B7" s="285"/>
      <c r="C7" s="285"/>
      <c r="D7" s="285"/>
      <c r="E7" s="285"/>
      <c r="F7" s="285"/>
      <c r="G7" s="285"/>
      <c r="H7" s="285"/>
      <c r="I7" s="285"/>
      <c r="J7" s="285"/>
      <c r="K7" s="285"/>
      <c r="L7" s="285"/>
      <c r="M7" s="285"/>
      <c r="N7" s="285"/>
      <c r="O7" s="285"/>
      <c r="P7" s="285"/>
      <c r="Q7" s="285"/>
      <c r="R7" s="285"/>
      <c r="S7" s="285"/>
      <c r="T7" s="285"/>
      <c r="U7" s="285"/>
      <c r="V7" s="285"/>
    </row>
    <row r="8" spans="1:22">
      <c r="A8" s="285"/>
      <c r="B8" s="285"/>
      <c r="C8" s="285"/>
      <c r="D8" s="285"/>
      <c r="E8" s="285"/>
      <c r="F8" s="285"/>
      <c r="G8" s="285"/>
      <c r="H8" s="285"/>
      <c r="I8" s="285"/>
      <c r="J8" s="285"/>
      <c r="K8" s="285"/>
      <c r="L8" s="285"/>
      <c r="M8" s="285"/>
      <c r="N8" s="285"/>
      <c r="O8" s="285"/>
      <c r="P8" s="285"/>
      <c r="Q8" s="285"/>
      <c r="R8" s="285"/>
      <c r="S8" s="285"/>
      <c r="T8" s="285"/>
      <c r="U8" s="285"/>
      <c r="V8" s="285"/>
    </row>
    <row r="9" spans="1:22">
      <c r="A9" s="285"/>
      <c r="B9" s="285"/>
      <c r="C9" s="285"/>
      <c r="D9" s="285"/>
      <c r="E9" s="285"/>
      <c r="F9" s="285"/>
      <c r="G9" s="285"/>
      <c r="H9" s="285"/>
      <c r="I9" s="285"/>
      <c r="J9" s="285"/>
      <c r="K9" s="285"/>
      <c r="L9" s="285"/>
      <c r="M9" s="285"/>
      <c r="N9" s="285"/>
      <c r="O9" s="285"/>
      <c r="P9" s="285"/>
      <c r="Q9" s="285"/>
      <c r="R9" s="285"/>
      <c r="S9" s="285"/>
      <c r="T9" s="285"/>
      <c r="U9" s="285"/>
      <c r="V9" s="285"/>
    </row>
    <row r="10" spans="1:22">
      <c r="A10" s="285"/>
      <c r="B10" s="285"/>
      <c r="C10" s="285"/>
      <c r="D10" s="285"/>
      <c r="E10" s="285"/>
      <c r="F10" s="285"/>
      <c r="G10" s="285"/>
      <c r="H10" s="285"/>
      <c r="I10" s="285"/>
      <c r="J10" s="285"/>
      <c r="K10" s="285"/>
      <c r="L10" s="285"/>
      <c r="M10" s="285"/>
      <c r="N10" s="285"/>
      <c r="O10" s="285"/>
      <c r="P10" s="285"/>
      <c r="Q10" s="285"/>
      <c r="R10" s="285"/>
      <c r="S10" s="285"/>
      <c r="T10" s="285"/>
      <c r="U10" s="285"/>
      <c r="V10" s="285"/>
    </row>
    <row r="11" spans="1:22">
      <c r="A11" s="285"/>
      <c r="B11" s="285"/>
      <c r="C11" s="285"/>
      <c r="D11" s="285"/>
      <c r="E11" s="285"/>
      <c r="F11" s="285"/>
      <c r="G11" s="285"/>
      <c r="H11" s="285"/>
      <c r="I11" s="285"/>
      <c r="J11" s="285"/>
      <c r="K11" s="285"/>
      <c r="L11" s="285"/>
      <c r="M11" s="285"/>
      <c r="N11" s="285"/>
      <c r="O11" s="285"/>
      <c r="P11" s="285"/>
      <c r="Q11" s="285"/>
      <c r="R11" s="285"/>
      <c r="S11" s="285"/>
      <c r="T11" s="285"/>
      <c r="U11" s="285"/>
      <c r="V11" s="285"/>
    </row>
    <row r="12" spans="1:22">
      <c r="A12" s="285"/>
      <c r="B12" s="285"/>
      <c r="C12" s="285"/>
      <c r="D12" s="285"/>
      <c r="E12" s="285"/>
      <c r="F12" s="285"/>
      <c r="G12" s="285"/>
      <c r="H12" s="285"/>
      <c r="I12" s="285"/>
      <c r="J12" s="285"/>
      <c r="K12" s="285"/>
      <c r="L12" s="285"/>
      <c r="M12" s="285"/>
      <c r="N12" s="285"/>
      <c r="O12" s="285"/>
      <c r="P12" s="285"/>
      <c r="Q12" s="285"/>
      <c r="R12" s="285"/>
      <c r="S12" s="285"/>
      <c r="T12" s="285"/>
      <c r="U12" s="285"/>
      <c r="V12" s="285"/>
    </row>
    <row r="13" spans="1:22">
      <c r="A13" s="285"/>
      <c r="B13" s="285"/>
      <c r="C13" s="285"/>
      <c r="D13" s="285"/>
      <c r="E13" s="285"/>
      <c r="F13" s="285"/>
      <c r="G13" s="285"/>
      <c r="H13" s="285"/>
      <c r="I13" s="285"/>
      <c r="J13" s="285"/>
      <c r="K13" s="285"/>
      <c r="L13" s="285"/>
      <c r="M13" s="285"/>
      <c r="N13" s="285"/>
      <c r="O13" s="285"/>
      <c r="P13" s="285"/>
      <c r="Q13" s="285"/>
      <c r="R13" s="285"/>
      <c r="S13" s="285"/>
      <c r="T13" s="285"/>
      <c r="U13" s="285"/>
      <c r="V13" s="285"/>
    </row>
    <row r="14" spans="1:22">
      <c r="A14" s="285"/>
      <c r="B14" s="285"/>
      <c r="C14" s="285"/>
      <c r="D14" s="285"/>
      <c r="E14" s="285"/>
      <c r="F14" s="285"/>
      <c r="G14" s="285"/>
      <c r="H14" s="285"/>
      <c r="I14" s="285"/>
      <c r="J14" s="285"/>
      <c r="K14" s="285"/>
      <c r="L14" s="285"/>
      <c r="M14" s="285"/>
      <c r="N14" s="285"/>
      <c r="O14" s="285"/>
      <c r="P14" s="285"/>
      <c r="Q14" s="285"/>
      <c r="R14" s="285"/>
      <c r="S14" s="285"/>
      <c r="T14" s="285"/>
      <c r="U14" s="285"/>
      <c r="V14" s="285"/>
    </row>
    <row r="15" spans="1:22">
      <c r="A15" s="285"/>
      <c r="B15" s="285"/>
      <c r="C15" s="285"/>
      <c r="D15" s="285"/>
      <c r="E15" s="285"/>
      <c r="F15" s="285"/>
      <c r="G15" s="285"/>
      <c r="H15" s="285"/>
      <c r="I15" s="285"/>
      <c r="J15" s="285"/>
      <c r="K15" s="285"/>
      <c r="L15" s="285"/>
      <c r="M15" s="285"/>
      <c r="N15" s="285"/>
      <c r="O15" s="285"/>
      <c r="P15" s="285"/>
      <c r="Q15" s="285"/>
      <c r="R15" s="285"/>
      <c r="S15" s="285"/>
      <c r="T15" s="285"/>
      <c r="U15" s="285"/>
      <c r="V15" s="285"/>
    </row>
    <row r="16" spans="1:22">
      <c r="A16" s="285"/>
      <c r="B16" s="285"/>
      <c r="C16" s="285"/>
      <c r="D16" s="285"/>
      <c r="E16" s="285"/>
      <c r="F16" s="285"/>
      <c r="G16" s="285"/>
      <c r="H16" s="285"/>
      <c r="I16" s="285"/>
      <c r="J16" s="285"/>
      <c r="K16" s="285"/>
      <c r="L16" s="285"/>
      <c r="M16" s="285"/>
      <c r="N16" s="285"/>
      <c r="O16" s="285"/>
      <c r="P16" s="285"/>
      <c r="Q16" s="285"/>
      <c r="R16" s="285"/>
      <c r="S16" s="285"/>
      <c r="T16" s="285"/>
      <c r="U16" s="285"/>
      <c r="V16" s="285"/>
    </row>
    <row r="17" spans="1:22">
      <c r="A17" s="285"/>
      <c r="B17" s="285"/>
      <c r="C17" s="285"/>
      <c r="D17" s="285"/>
      <c r="E17" s="285"/>
      <c r="F17" s="285"/>
      <c r="G17" s="285"/>
      <c r="H17" s="285"/>
      <c r="I17" s="285"/>
      <c r="J17" s="285"/>
      <c r="K17" s="285"/>
      <c r="L17" s="285"/>
      <c r="M17" s="285"/>
      <c r="N17" s="1904" t="s">
        <v>742</v>
      </c>
      <c r="O17" s="1904"/>
      <c r="P17" s="1904"/>
      <c r="Q17" s="1904"/>
      <c r="R17" s="1904"/>
      <c r="S17" s="1904"/>
      <c r="T17" s="285"/>
      <c r="U17" s="285"/>
      <c r="V17" s="285"/>
    </row>
    <row r="18" spans="1:22">
      <c r="A18" s="285"/>
      <c r="B18" s="285"/>
      <c r="C18" s="285"/>
      <c r="D18" s="285"/>
      <c r="E18" s="285"/>
      <c r="F18" s="285"/>
      <c r="G18" s="285"/>
      <c r="H18" s="285"/>
      <c r="I18" s="285"/>
      <c r="J18" s="285"/>
      <c r="K18" s="285"/>
      <c r="L18" s="285"/>
      <c r="M18" s="285"/>
      <c r="N18" s="1904"/>
      <c r="O18" s="1904"/>
      <c r="P18" s="1904"/>
      <c r="Q18" s="1904"/>
      <c r="R18" s="1904"/>
      <c r="S18" s="1904"/>
      <c r="T18" s="285"/>
      <c r="U18" s="285"/>
      <c r="V18" s="285"/>
    </row>
    <row r="19" spans="1:22">
      <c r="A19" s="285"/>
      <c r="B19" s="285"/>
      <c r="C19" s="285"/>
      <c r="D19" s="285"/>
      <c r="E19" s="285"/>
      <c r="F19" s="285"/>
      <c r="G19" s="285"/>
      <c r="H19" s="285"/>
      <c r="I19" s="285"/>
      <c r="J19" s="285"/>
      <c r="K19" s="285"/>
      <c r="L19" s="285"/>
      <c r="M19" s="285"/>
      <c r="N19" s="1904"/>
      <c r="O19" s="1904"/>
      <c r="P19" s="1904"/>
      <c r="Q19" s="1904"/>
      <c r="R19" s="1904"/>
      <c r="S19" s="1904"/>
      <c r="T19" s="285"/>
      <c r="U19" s="285"/>
      <c r="V19" s="285"/>
    </row>
    <row r="20" spans="1:22">
      <c r="A20" s="285"/>
      <c r="B20" s="285"/>
      <c r="C20" s="285"/>
      <c r="D20" s="285"/>
      <c r="E20" s="285"/>
      <c r="F20" s="285"/>
      <c r="G20" s="285"/>
      <c r="H20" s="285"/>
      <c r="I20" s="285"/>
      <c r="J20" s="285"/>
      <c r="K20" s="285"/>
      <c r="L20" s="285"/>
      <c r="M20" s="285"/>
      <c r="N20" s="285"/>
      <c r="O20" s="762"/>
      <c r="P20" s="285"/>
      <c r="Q20" s="285"/>
      <c r="R20" s="285"/>
      <c r="S20" s="285"/>
      <c r="T20" s="285"/>
      <c r="U20" s="285"/>
      <c r="V20" s="285"/>
    </row>
    <row r="21" spans="1:22">
      <c r="A21" s="285"/>
      <c r="B21" s="285"/>
      <c r="C21" s="285"/>
      <c r="D21" s="285"/>
      <c r="E21" s="285"/>
      <c r="F21" s="285"/>
      <c r="G21" s="285"/>
      <c r="H21" s="285"/>
      <c r="I21" s="285"/>
      <c r="J21" s="285"/>
      <c r="K21" s="285"/>
      <c r="L21" s="285"/>
      <c r="M21" s="285"/>
      <c r="N21" s="285"/>
      <c r="O21" s="285"/>
      <c r="P21" s="285"/>
      <c r="Q21" s="285"/>
      <c r="R21" s="285"/>
      <c r="S21" s="285"/>
      <c r="T21" s="285"/>
      <c r="U21" s="285"/>
      <c r="V21" s="285"/>
    </row>
    <row r="22" spans="1:22">
      <c r="A22" s="285"/>
      <c r="B22" s="285"/>
      <c r="C22" s="285"/>
      <c r="D22" s="285"/>
      <c r="E22" s="285"/>
      <c r="F22" s="285"/>
      <c r="G22" s="285"/>
      <c r="H22" s="285"/>
      <c r="I22" s="285"/>
      <c r="J22" s="285"/>
      <c r="K22" s="285"/>
      <c r="L22" s="285"/>
      <c r="M22" s="285"/>
      <c r="N22" s="285"/>
      <c r="O22" s="285"/>
      <c r="P22" s="285"/>
      <c r="Q22" s="285"/>
      <c r="R22" s="285"/>
      <c r="S22" s="285"/>
      <c r="T22" s="285"/>
      <c r="U22" s="285"/>
      <c r="V22" s="285"/>
    </row>
    <row r="23" spans="1:22">
      <c r="A23" s="285"/>
      <c r="B23" s="285"/>
      <c r="C23" s="285"/>
      <c r="D23" s="285"/>
      <c r="E23" s="285"/>
      <c r="F23" s="285"/>
      <c r="G23" s="285"/>
      <c r="H23" s="285"/>
      <c r="I23" s="285"/>
      <c r="J23" s="285"/>
      <c r="K23" s="285"/>
      <c r="L23" s="285"/>
      <c r="M23" s="285"/>
      <c r="N23" s="285"/>
      <c r="O23" s="285"/>
      <c r="P23" s="285"/>
      <c r="Q23" s="285"/>
      <c r="R23" s="285"/>
      <c r="S23" s="285"/>
      <c r="T23" s="285"/>
      <c r="U23" s="285"/>
      <c r="V23" s="285"/>
    </row>
    <row r="24" spans="1:22">
      <c r="A24" s="285"/>
      <c r="B24" s="285"/>
      <c r="C24" s="285"/>
      <c r="D24" s="285"/>
      <c r="E24" s="285"/>
      <c r="F24" s="285"/>
      <c r="G24" s="285"/>
      <c r="H24" s="285"/>
      <c r="I24" s="285"/>
      <c r="J24" s="285"/>
      <c r="K24" s="285"/>
      <c r="L24" s="285"/>
      <c r="M24" s="285"/>
      <c r="N24" s="285"/>
      <c r="O24" s="285"/>
      <c r="P24" s="285"/>
      <c r="Q24" s="285"/>
      <c r="R24" s="285"/>
      <c r="S24" s="285"/>
      <c r="T24" s="285"/>
      <c r="U24" s="285"/>
      <c r="V24" s="285"/>
    </row>
    <row r="25" spans="1:22">
      <c r="A25" s="285"/>
      <c r="B25" s="285"/>
      <c r="C25" s="285"/>
      <c r="D25" s="285"/>
      <c r="E25" s="285"/>
      <c r="F25" s="285"/>
      <c r="G25" s="285"/>
      <c r="H25" s="285"/>
      <c r="I25" s="285"/>
      <c r="J25" s="285"/>
      <c r="K25" s="285"/>
      <c r="L25" s="285"/>
      <c r="M25" s="285"/>
      <c r="N25" s="285"/>
      <c r="O25" s="285"/>
      <c r="P25" s="285"/>
      <c r="Q25" s="285"/>
      <c r="R25" s="285"/>
      <c r="S25" s="285"/>
      <c r="T25" s="285"/>
      <c r="U25" s="285"/>
      <c r="V25" s="285"/>
    </row>
    <row r="26" spans="1:22">
      <c r="A26" s="285"/>
      <c r="B26" s="285"/>
      <c r="C26" s="285"/>
      <c r="D26" s="285"/>
      <c r="E26" s="285"/>
      <c r="F26" s="285"/>
      <c r="G26" s="285"/>
      <c r="H26" s="285"/>
      <c r="I26" s="285"/>
      <c r="J26" s="285"/>
      <c r="K26" s="285"/>
      <c r="L26" s="285"/>
      <c r="M26" s="285"/>
      <c r="N26" s="285"/>
      <c r="O26" s="285"/>
      <c r="P26" s="285"/>
      <c r="Q26" s="285"/>
      <c r="R26" s="285"/>
      <c r="S26" s="285"/>
      <c r="T26" s="285"/>
      <c r="U26" s="285"/>
      <c r="V26" s="285"/>
    </row>
    <row r="27" spans="1:22">
      <c r="A27" s="285"/>
      <c r="B27" s="285"/>
      <c r="C27" s="285"/>
      <c r="D27" s="285"/>
      <c r="E27" s="285"/>
      <c r="F27" s="285"/>
      <c r="G27" s="285"/>
      <c r="H27" s="285"/>
      <c r="I27" s="285"/>
      <c r="J27" s="285"/>
      <c r="K27" s="285"/>
      <c r="L27" s="285"/>
      <c r="M27" s="285"/>
      <c r="N27" s="285"/>
      <c r="O27" s="285"/>
      <c r="P27" s="285"/>
      <c r="Q27" s="285"/>
      <c r="R27" s="285"/>
      <c r="S27" s="285"/>
      <c r="T27" s="285"/>
      <c r="U27" s="285"/>
      <c r="V27" s="285"/>
    </row>
    <row r="28" spans="1:22">
      <c r="A28" s="285"/>
      <c r="B28" s="285"/>
      <c r="C28" s="285"/>
      <c r="D28" s="285"/>
      <c r="E28" s="285"/>
      <c r="F28" s="285"/>
      <c r="G28" s="285"/>
      <c r="H28" s="285"/>
      <c r="I28" s="285"/>
      <c r="J28" s="285"/>
      <c r="K28" s="285"/>
      <c r="L28" s="285"/>
      <c r="M28" s="285"/>
      <c r="N28" s="285"/>
      <c r="O28" s="285"/>
      <c r="P28" s="285"/>
      <c r="Q28" s="285"/>
      <c r="R28" s="285"/>
      <c r="S28" s="285"/>
      <c r="T28" s="285"/>
      <c r="U28" s="285"/>
      <c r="V28" s="285"/>
    </row>
    <row r="29" spans="1:22">
      <c r="A29" s="285"/>
      <c r="B29" s="285"/>
      <c r="C29" s="285"/>
      <c r="D29" s="285"/>
      <c r="E29" s="285"/>
      <c r="F29" s="285"/>
      <c r="G29" s="285"/>
      <c r="H29" s="285"/>
      <c r="I29" s="285"/>
      <c r="J29" s="285"/>
      <c r="K29" s="285"/>
      <c r="L29" s="285"/>
      <c r="M29" s="285"/>
      <c r="N29" s="285"/>
      <c r="O29" s="285"/>
      <c r="P29" s="285"/>
      <c r="Q29" s="285"/>
      <c r="R29" s="285"/>
      <c r="S29" s="285"/>
      <c r="T29" s="285"/>
      <c r="U29" s="285"/>
      <c r="V29" s="285"/>
    </row>
    <row r="30" spans="1:22">
      <c r="A30" s="285"/>
      <c r="B30" s="285"/>
      <c r="C30" s="285"/>
      <c r="D30" s="285"/>
      <c r="E30" s="285"/>
      <c r="F30" s="285"/>
      <c r="G30" s="285"/>
      <c r="H30" s="285"/>
      <c r="I30" s="285"/>
      <c r="J30" s="285"/>
      <c r="K30" s="285"/>
      <c r="L30" s="285"/>
      <c r="M30" s="285"/>
      <c r="N30" s="285"/>
      <c r="O30" s="285"/>
      <c r="P30" s="285"/>
      <c r="Q30" s="285"/>
      <c r="R30" s="285"/>
      <c r="S30" s="285"/>
      <c r="T30" s="285"/>
      <c r="U30" s="285"/>
      <c r="V30" s="285"/>
    </row>
    <row r="31" spans="1:22">
      <c r="A31" s="285"/>
      <c r="B31" s="285"/>
      <c r="C31" s="285"/>
      <c r="D31" s="285"/>
      <c r="E31" s="285"/>
      <c r="F31" s="285"/>
      <c r="G31" s="285"/>
      <c r="H31" s="285"/>
      <c r="I31" s="285"/>
      <c r="J31" s="285"/>
      <c r="K31" s="285"/>
      <c r="L31" s="285"/>
      <c r="M31" s="285"/>
      <c r="N31" s="285"/>
      <c r="O31" s="285"/>
      <c r="P31" s="285"/>
      <c r="Q31" s="285"/>
      <c r="R31" s="285"/>
      <c r="S31" s="285"/>
      <c r="T31" s="285"/>
      <c r="U31" s="285"/>
      <c r="V31" s="285"/>
    </row>
    <row r="32" spans="1:22">
      <c r="A32" s="285"/>
      <c r="B32" s="285"/>
      <c r="C32" s="285"/>
      <c r="D32" s="285"/>
      <c r="E32" s="285"/>
      <c r="F32" s="285"/>
      <c r="G32" s="285"/>
      <c r="H32" s="285"/>
      <c r="I32" s="285"/>
      <c r="J32" s="285"/>
      <c r="K32" s="285"/>
      <c r="L32" s="285"/>
      <c r="M32" s="285"/>
      <c r="N32" s="285"/>
      <c r="O32" s="285"/>
      <c r="P32" s="285"/>
      <c r="Q32" s="285"/>
      <c r="R32" s="285"/>
      <c r="S32" s="285"/>
      <c r="T32" s="285"/>
      <c r="U32" s="285"/>
      <c r="V32" s="285"/>
    </row>
    <row r="33" spans="1:22">
      <c r="A33" s="285"/>
      <c r="B33" s="285"/>
      <c r="C33" s="285"/>
      <c r="D33" s="285"/>
      <c r="E33" s="285"/>
      <c r="F33" s="285"/>
      <c r="G33" s="285"/>
      <c r="H33" s="285"/>
      <c r="I33" s="285"/>
      <c r="J33" s="285"/>
      <c r="K33" s="285"/>
      <c r="L33" s="285"/>
      <c r="M33" s="285"/>
      <c r="N33" s="285"/>
      <c r="O33" s="285"/>
      <c r="P33" s="285"/>
      <c r="Q33" s="285"/>
      <c r="R33" s="285"/>
      <c r="S33" s="285"/>
      <c r="T33" s="285"/>
      <c r="U33" s="285"/>
      <c r="V33" s="285"/>
    </row>
    <row r="34" spans="1:22">
      <c r="A34" s="285"/>
      <c r="B34" s="285"/>
      <c r="C34" s="285"/>
      <c r="D34" s="285"/>
      <c r="E34" s="285"/>
      <c r="F34" s="285"/>
      <c r="G34" s="285"/>
      <c r="H34" s="285"/>
      <c r="I34" s="285"/>
      <c r="J34" s="285"/>
      <c r="K34" s="285"/>
      <c r="L34" s="285"/>
      <c r="M34" s="285"/>
      <c r="N34" s="285"/>
      <c r="O34" s="285"/>
      <c r="P34" s="285"/>
      <c r="Q34" s="285"/>
      <c r="R34" s="285"/>
      <c r="S34" s="285"/>
      <c r="T34" s="285"/>
      <c r="U34" s="285"/>
      <c r="V34" s="285"/>
    </row>
    <row r="35" spans="1:22">
      <c r="A35" s="285"/>
      <c r="B35" s="285"/>
      <c r="C35" s="285"/>
      <c r="D35" s="285"/>
      <c r="E35" s="285"/>
      <c r="F35" s="285"/>
      <c r="G35" s="285"/>
      <c r="H35" s="285"/>
      <c r="I35" s="285"/>
      <c r="J35" s="285"/>
      <c r="K35" s="285"/>
      <c r="L35" s="285"/>
      <c r="M35" s="285"/>
      <c r="N35" s="287"/>
      <c r="O35" s="286"/>
      <c r="P35" s="285"/>
      <c r="Q35" s="285"/>
      <c r="R35" s="285"/>
      <c r="S35" s="285"/>
      <c r="T35" s="285"/>
      <c r="U35" s="285"/>
      <c r="V35" s="285"/>
    </row>
    <row r="36" spans="1:22">
      <c r="A36" s="285"/>
      <c r="B36" s="285"/>
      <c r="C36" s="285"/>
      <c r="D36" s="285"/>
      <c r="E36" s="285"/>
      <c r="F36" s="285"/>
      <c r="G36" s="285"/>
      <c r="H36" s="285"/>
      <c r="I36" s="285"/>
      <c r="J36" s="285"/>
      <c r="K36" s="285"/>
      <c r="L36" s="285"/>
      <c r="M36" s="285"/>
      <c r="N36" s="285"/>
      <c r="O36" s="285"/>
      <c r="P36" s="285"/>
      <c r="Q36" s="285"/>
      <c r="R36" s="285"/>
      <c r="S36" s="285"/>
      <c r="T36" s="285"/>
      <c r="U36" s="285"/>
      <c r="V36" s="285"/>
    </row>
    <row r="37" spans="1:22">
      <c r="A37" s="285"/>
      <c r="B37" s="285"/>
      <c r="C37" s="285"/>
      <c r="D37" s="285"/>
      <c r="E37" s="285"/>
      <c r="F37" s="285"/>
      <c r="G37" s="285"/>
      <c r="H37" s="285"/>
      <c r="I37" s="285"/>
      <c r="J37" s="285"/>
      <c r="K37" s="285"/>
      <c r="L37" s="285"/>
      <c r="M37" s="285"/>
      <c r="N37" s="285"/>
      <c r="O37" s="285"/>
      <c r="P37" s="285"/>
      <c r="Q37" s="285"/>
      <c r="R37" s="285"/>
      <c r="S37" s="285"/>
      <c r="T37" s="285"/>
      <c r="U37" s="285"/>
      <c r="V37" s="285"/>
    </row>
    <row r="38" spans="1:22">
      <c r="A38" s="285"/>
      <c r="B38" s="285"/>
      <c r="C38" s="285"/>
      <c r="D38" s="285"/>
      <c r="E38" s="285"/>
      <c r="F38" s="285"/>
      <c r="G38" s="285"/>
      <c r="H38" s="285"/>
      <c r="I38" s="285"/>
      <c r="J38" s="285"/>
      <c r="K38" s="285"/>
      <c r="L38" s="285"/>
      <c r="M38" s="285"/>
      <c r="N38" s="285"/>
      <c r="O38" s="285"/>
      <c r="P38" s="285"/>
      <c r="Q38" s="285"/>
      <c r="R38" s="285"/>
      <c r="S38" s="285"/>
      <c r="T38" s="285"/>
      <c r="U38" s="285"/>
      <c r="V38" s="285"/>
    </row>
    <row r="39" spans="1:22">
      <c r="A39" s="285"/>
      <c r="B39" s="285"/>
      <c r="C39" s="285"/>
      <c r="D39" s="285"/>
      <c r="E39" s="285"/>
      <c r="F39" s="285"/>
      <c r="G39" s="285"/>
      <c r="H39" s="285"/>
      <c r="I39" s="285"/>
      <c r="J39" s="285"/>
      <c r="K39" s="285"/>
      <c r="L39" s="285"/>
      <c r="M39" s="285"/>
      <c r="N39" s="285"/>
      <c r="O39" s="285"/>
      <c r="P39" s="285"/>
      <c r="Q39" s="285"/>
      <c r="R39" s="285"/>
      <c r="S39" s="285"/>
      <c r="T39" s="285"/>
      <c r="U39" s="285"/>
      <c r="V39" s="285"/>
    </row>
    <row r="40" spans="1:22">
      <c r="A40" s="285"/>
      <c r="B40" s="285"/>
      <c r="C40" s="285"/>
      <c r="D40" s="285"/>
      <c r="E40" s="285"/>
      <c r="F40" s="285"/>
      <c r="G40" s="285"/>
      <c r="H40" s="285"/>
      <c r="I40" s="285"/>
      <c r="J40" s="285"/>
      <c r="K40" s="285"/>
      <c r="L40" s="285"/>
      <c r="M40" s="285"/>
      <c r="N40" s="285"/>
      <c r="O40" s="285"/>
      <c r="P40" s="285"/>
      <c r="Q40" s="285"/>
      <c r="R40" s="285"/>
      <c r="S40" s="285"/>
      <c r="T40" s="285"/>
      <c r="U40" s="285"/>
      <c r="V40" s="285"/>
    </row>
    <row r="41" spans="1:22">
      <c r="A41" s="285"/>
      <c r="B41" s="285"/>
      <c r="C41" s="285"/>
      <c r="D41" s="285"/>
      <c r="E41" s="285"/>
      <c r="F41" s="285"/>
      <c r="G41" s="285"/>
      <c r="H41" s="285"/>
      <c r="I41" s="285"/>
      <c r="J41" s="285"/>
      <c r="K41" s="285"/>
      <c r="L41" s="285"/>
      <c r="M41" s="285"/>
      <c r="N41" s="285"/>
      <c r="O41" s="285"/>
      <c r="P41" s="285"/>
      <c r="Q41" s="285"/>
      <c r="R41" s="285"/>
      <c r="S41" s="285"/>
      <c r="T41" s="285"/>
      <c r="U41" s="285"/>
      <c r="V41" s="285"/>
    </row>
    <row r="42" spans="1:22">
      <c r="A42" s="285"/>
      <c r="B42" s="285"/>
      <c r="C42" s="285"/>
      <c r="D42" s="285"/>
      <c r="E42" s="285"/>
      <c r="F42" s="285"/>
      <c r="G42" s="285"/>
      <c r="H42" s="285"/>
      <c r="I42" s="285"/>
      <c r="J42" s="285"/>
      <c r="K42" s="285"/>
      <c r="L42" s="285"/>
      <c r="M42" s="285"/>
      <c r="N42" s="285"/>
      <c r="O42" s="285"/>
      <c r="P42" s="285"/>
      <c r="Q42" s="285"/>
      <c r="R42" s="285"/>
      <c r="S42" s="285"/>
      <c r="T42" s="285"/>
      <c r="U42" s="285"/>
      <c r="V42" s="285"/>
    </row>
    <row r="43" spans="1:22">
      <c r="A43" s="285"/>
      <c r="B43" s="285"/>
      <c r="C43" s="285"/>
      <c r="D43" s="285"/>
      <c r="E43" s="285"/>
      <c r="F43" s="285"/>
      <c r="G43" s="285"/>
      <c r="H43" s="285"/>
      <c r="I43" s="285"/>
      <c r="J43" s="285"/>
      <c r="K43" s="285"/>
      <c r="L43" s="285"/>
      <c r="M43" s="285"/>
      <c r="N43" s="285"/>
      <c r="O43" s="285"/>
      <c r="P43" s="285"/>
      <c r="Q43" s="285"/>
      <c r="R43" s="285"/>
      <c r="S43" s="285"/>
      <c r="T43" s="285"/>
      <c r="U43" s="285"/>
      <c r="V43" s="285"/>
    </row>
    <row r="44" spans="1:22">
      <c r="A44" s="285"/>
      <c r="B44" s="285"/>
      <c r="C44" s="285"/>
      <c r="D44" s="285"/>
      <c r="E44" s="285"/>
      <c r="F44" s="285"/>
      <c r="G44" s="285"/>
      <c r="H44" s="285"/>
      <c r="I44" s="285"/>
      <c r="J44" s="285"/>
      <c r="K44" s="285"/>
      <c r="L44" s="285"/>
      <c r="M44" s="285"/>
      <c r="N44" s="285"/>
      <c r="O44" s="285"/>
      <c r="P44" s="285"/>
      <c r="Q44" s="285"/>
      <c r="R44" s="285"/>
      <c r="S44" s="285"/>
      <c r="T44" s="285"/>
      <c r="U44" s="285"/>
      <c r="V44" s="285"/>
    </row>
    <row r="45" spans="1:22">
      <c r="A45" s="285"/>
      <c r="B45" s="285"/>
      <c r="C45" s="285"/>
      <c r="D45" s="285"/>
      <c r="E45" s="285"/>
      <c r="F45" s="285"/>
      <c r="G45" s="285"/>
      <c r="H45" s="285"/>
      <c r="I45" s="285"/>
      <c r="J45" s="285"/>
      <c r="K45" s="285"/>
      <c r="L45" s="285"/>
      <c r="M45" s="285"/>
      <c r="N45" s="285"/>
      <c r="O45" s="285"/>
      <c r="P45" s="285"/>
      <c r="Q45" s="285"/>
      <c r="R45" s="285"/>
      <c r="S45" s="285"/>
      <c r="T45" s="285"/>
      <c r="U45" s="285"/>
      <c r="V45" s="285"/>
    </row>
    <row r="46" spans="1:22">
      <c r="A46" s="285"/>
      <c r="B46" s="285"/>
      <c r="C46" s="285"/>
      <c r="D46" s="285"/>
      <c r="E46" s="285"/>
      <c r="F46" s="285"/>
      <c r="G46" s="285"/>
      <c r="H46" s="285"/>
      <c r="I46" s="285"/>
      <c r="J46" s="285"/>
      <c r="K46" s="285"/>
      <c r="L46" s="285"/>
      <c r="M46" s="285"/>
      <c r="N46" s="285"/>
      <c r="O46" s="285"/>
      <c r="P46" s="285"/>
      <c r="Q46" s="285"/>
      <c r="R46" s="285"/>
      <c r="S46" s="285"/>
      <c r="T46" s="285"/>
      <c r="U46" s="285"/>
      <c r="V46" s="285"/>
    </row>
    <row r="47" spans="1:22">
      <c r="A47" s="285"/>
      <c r="B47" s="285"/>
      <c r="C47" s="285"/>
      <c r="D47" s="285"/>
      <c r="E47" s="285"/>
      <c r="F47" s="285"/>
      <c r="G47" s="285"/>
      <c r="H47" s="285"/>
      <c r="I47" s="285"/>
      <c r="J47" s="285"/>
      <c r="K47" s="285"/>
      <c r="L47" s="285"/>
      <c r="M47" s="285"/>
      <c r="N47" s="285"/>
      <c r="O47" s="285"/>
      <c r="P47" s="285"/>
      <c r="Q47" s="285"/>
      <c r="R47" s="285"/>
      <c r="S47" s="285"/>
      <c r="T47" s="285"/>
      <c r="U47" s="285"/>
      <c r="V47" s="285"/>
    </row>
    <row r="48" spans="1:22">
      <c r="A48" s="285"/>
      <c r="B48" s="285"/>
      <c r="C48" s="285"/>
      <c r="D48" s="285"/>
      <c r="E48" s="285"/>
      <c r="F48" s="285"/>
      <c r="G48" s="285"/>
      <c r="H48" s="285"/>
      <c r="I48" s="285"/>
      <c r="J48" s="285"/>
      <c r="K48" s="285"/>
      <c r="L48" s="285"/>
      <c r="M48" s="285"/>
      <c r="N48" s="285"/>
      <c r="O48" s="285"/>
      <c r="P48" s="285"/>
      <c r="Q48" s="285"/>
      <c r="R48" s="285"/>
      <c r="S48" s="285"/>
      <c r="T48" s="285"/>
      <c r="U48" s="285"/>
      <c r="V48" s="285"/>
    </row>
    <row r="49" spans="1:22">
      <c r="A49" s="285"/>
      <c r="B49" s="285"/>
      <c r="C49" s="285"/>
      <c r="D49" s="285"/>
      <c r="E49" s="285"/>
      <c r="F49" s="285"/>
      <c r="G49" s="285"/>
      <c r="H49" s="285"/>
      <c r="I49" s="285"/>
      <c r="J49" s="285"/>
      <c r="K49" s="285"/>
      <c r="L49" s="285"/>
      <c r="M49" s="285"/>
      <c r="N49" s="285"/>
      <c r="O49" s="285"/>
      <c r="P49" s="285"/>
      <c r="Q49" s="285"/>
      <c r="R49" s="285"/>
      <c r="S49" s="285"/>
      <c r="T49" s="285"/>
      <c r="U49" s="285"/>
      <c r="V49" s="285"/>
    </row>
    <row r="50" spans="1:22">
      <c r="A50" s="285"/>
      <c r="B50" s="285"/>
      <c r="C50" s="285"/>
      <c r="D50" s="285"/>
      <c r="E50" s="285"/>
      <c r="F50" s="285"/>
      <c r="G50" s="285"/>
      <c r="H50" s="285"/>
      <c r="I50" s="285"/>
      <c r="J50" s="285"/>
      <c r="K50" s="285"/>
      <c r="L50" s="285"/>
      <c r="M50" s="285"/>
      <c r="N50" s="285"/>
      <c r="O50" s="285"/>
      <c r="P50" s="285"/>
      <c r="Q50" s="285"/>
      <c r="R50" s="285"/>
      <c r="S50" s="285"/>
      <c r="T50" s="285"/>
      <c r="U50" s="285"/>
      <c r="V50" s="285"/>
    </row>
    <row r="51" spans="1:22">
      <c r="A51" s="285"/>
      <c r="B51" s="285"/>
      <c r="C51" s="285"/>
      <c r="D51" s="285"/>
      <c r="E51" s="285"/>
      <c r="F51" s="285"/>
      <c r="G51" s="285"/>
      <c r="H51" s="285"/>
      <c r="I51" s="285"/>
      <c r="J51" s="285"/>
      <c r="K51" s="285"/>
      <c r="L51" s="285"/>
      <c r="M51" s="285"/>
      <c r="N51" s="285"/>
      <c r="O51" s="285"/>
      <c r="P51" s="285"/>
      <c r="Q51" s="285"/>
      <c r="R51" s="285"/>
      <c r="S51" s="285"/>
      <c r="T51" s="285"/>
      <c r="U51" s="285"/>
      <c r="V51" s="285"/>
    </row>
    <row r="52" spans="1:22">
      <c r="A52" s="285"/>
      <c r="B52" s="285"/>
      <c r="C52" s="285"/>
      <c r="D52" s="285"/>
      <c r="E52" s="285"/>
      <c r="F52" s="285"/>
      <c r="G52" s="285"/>
      <c r="H52" s="285"/>
      <c r="I52" s="285"/>
      <c r="J52" s="285"/>
      <c r="K52" s="285"/>
      <c r="L52" s="285"/>
      <c r="M52" s="285"/>
      <c r="N52" s="285"/>
      <c r="O52" s="285"/>
      <c r="P52" s="285"/>
      <c r="Q52" s="285"/>
      <c r="R52" s="285"/>
      <c r="S52" s="285"/>
      <c r="T52" s="285"/>
      <c r="U52" s="285"/>
      <c r="V52" s="285"/>
    </row>
    <row r="53" spans="1:22">
      <c r="A53" s="285"/>
      <c r="B53" s="285"/>
      <c r="C53" s="285"/>
      <c r="D53" s="285"/>
      <c r="E53" s="285"/>
      <c r="F53" s="285"/>
      <c r="G53" s="285"/>
      <c r="H53" s="285"/>
      <c r="I53" s="285"/>
      <c r="J53" s="285"/>
      <c r="K53" s="285"/>
      <c r="L53" s="285"/>
      <c r="M53" s="285"/>
      <c r="N53" s="285"/>
      <c r="O53" s="285"/>
      <c r="P53" s="285"/>
      <c r="Q53" s="285"/>
      <c r="R53" s="285"/>
      <c r="S53" s="285"/>
      <c r="T53" s="285"/>
      <c r="U53" s="285"/>
      <c r="V53" s="285"/>
    </row>
    <row r="54" spans="1:22">
      <c r="A54" s="285"/>
      <c r="B54" s="285"/>
      <c r="C54" s="285"/>
      <c r="D54" s="285"/>
      <c r="E54" s="285"/>
      <c r="F54" s="285"/>
      <c r="G54" s="285"/>
      <c r="H54" s="285"/>
      <c r="I54" s="285"/>
      <c r="J54" s="285"/>
      <c r="K54" s="285"/>
      <c r="L54" s="285"/>
      <c r="M54" s="285"/>
      <c r="N54" s="285"/>
      <c r="O54" s="285"/>
      <c r="P54" s="285"/>
      <c r="Q54" s="285"/>
      <c r="R54" s="285"/>
      <c r="S54" s="285"/>
      <c r="T54" s="285"/>
      <c r="U54" s="285"/>
      <c r="V54" s="285"/>
    </row>
  </sheetData>
  <mergeCells count="1">
    <mergeCell ref="N17:S19"/>
  </mergeCells>
  <pageMargins left="0.7" right="0.7" top="0.75" bottom="0.75" header="0.3" footer="0.3"/>
  <pageSetup scale="63" orientation="landscape" r:id="rId1"/>
  <headerFooter>
    <oddFooter>&amp;L&amp;F&amp;A&amp;RPage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R65"/>
  <sheetViews>
    <sheetView tabSelected="1" zoomScale="115" zoomScaleNormal="100" zoomScaleSheetLayoutView="30" workbookViewId="0"/>
  </sheetViews>
  <sheetFormatPr defaultColWidth="8.81640625" defaultRowHeight="14.5"/>
  <cols>
    <col min="1" max="1" width="2.81640625" customWidth="1"/>
    <col min="2" max="2" width="4.54296875" customWidth="1"/>
    <col min="3" max="3" width="34.453125" customWidth="1"/>
    <col min="4" max="4" width="6.1796875" customWidth="1"/>
    <col min="5" max="5" width="4.54296875" customWidth="1"/>
    <col min="6" max="32" width="4.453125" customWidth="1"/>
    <col min="33" max="33" width="5.54296875" customWidth="1"/>
    <col min="34" max="34" width="5.26953125" customWidth="1"/>
    <col min="35" max="44" width="6.26953125" customWidth="1"/>
    <col min="45" max="45" width="4.7265625" customWidth="1"/>
    <col min="46" max="46" width="18.453125" customWidth="1"/>
    <col min="54" max="54" width="17.26953125" customWidth="1"/>
  </cols>
  <sheetData>
    <row r="1" spans="1:96" ht="15.75" customHeight="1" thickBot="1"/>
    <row r="2" spans="1:96" ht="21" customHeight="1" thickBot="1">
      <c r="C2" s="1725" t="s">
        <v>935</v>
      </c>
      <c r="D2" s="1726"/>
      <c r="E2" s="1726"/>
      <c r="F2" s="1726"/>
      <c r="G2" s="1726"/>
      <c r="H2" s="1726"/>
      <c r="I2" s="1726"/>
      <c r="J2" s="1726"/>
      <c r="K2" s="1726"/>
      <c r="L2" s="1727"/>
      <c r="BB2" s="234"/>
    </row>
    <row r="3" spans="1:96" ht="17.149999999999999" customHeight="1">
      <c r="C3" s="1399"/>
      <c r="D3" s="383"/>
      <c r="BD3" s="341" t="s">
        <v>907</v>
      </c>
    </row>
    <row r="4" spans="1:96">
      <c r="B4" s="562"/>
      <c r="C4" s="615"/>
      <c r="D4" s="1546"/>
      <c r="E4" s="615"/>
      <c r="F4" s="615"/>
      <c r="G4" s="615"/>
      <c r="H4" s="615"/>
      <c r="I4" s="615"/>
      <c r="J4" s="615"/>
      <c r="K4" s="615"/>
      <c r="L4" s="615"/>
      <c r="M4" s="615"/>
      <c r="N4" s="615"/>
      <c r="O4" s="615"/>
      <c r="P4" s="615"/>
      <c r="Q4" s="615"/>
      <c r="R4" s="615"/>
      <c r="S4" s="615"/>
      <c r="T4" s="615"/>
      <c r="U4" s="615"/>
      <c r="V4" s="615"/>
      <c r="W4" s="1163"/>
      <c r="X4" s="1163"/>
      <c r="Y4" s="1163"/>
      <c r="Z4" s="1163"/>
      <c r="AA4" s="700"/>
      <c r="AB4" s="700"/>
      <c r="AC4" s="700"/>
      <c r="AD4" s="700"/>
      <c r="AE4" s="700"/>
      <c r="AF4" s="700"/>
      <c r="AG4" s="700"/>
      <c r="AH4" s="700"/>
      <c r="AI4" s="1389"/>
      <c r="AJ4" s="1389" t="s">
        <v>0</v>
      </c>
      <c r="AK4" s="1389" t="s">
        <v>0</v>
      </c>
      <c r="AL4" s="700"/>
      <c r="AM4" s="700"/>
      <c r="AN4" s="700"/>
      <c r="AO4" s="700"/>
      <c r="AP4" s="700"/>
      <c r="AQ4" s="700"/>
      <c r="AR4" s="700"/>
      <c r="AS4" s="1164"/>
      <c r="BB4" s="680" t="s">
        <v>1</v>
      </c>
      <c r="BC4" s="289">
        <f t="shared" ref="BC4:BC10" si="0">AI7</f>
        <v>23.337639042465355</v>
      </c>
      <c r="BD4" s="619">
        <f t="shared" ref="BD4:BD10" si="1">BC4/$BC$11</f>
        <v>0.34811812205254605</v>
      </c>
    </row>
    <row r="5" spans="1:96" ht="15" thickBot="1">
      <c r="B5" s="565"/>
      <c r="C5" s="206" t="s">
        <v>2</v>
      </c>
      <c r="D5" s="207">
        <v>1990</v>
      </c>
      <c r="E5" s="207">
        <v>1991</v>
      </c>
      <c r="F5" s="207">
        <v>1992</v>
      </c>
      <c r="G5" s="207">
        <v>1993</v>
      </c>
      <c r="H5" s="207">
        <v>1994</v>
      </c>
      <c r="I5" s="207">
        <v>1995</v>
      </c>
      <c r="J5" s="207">
        <v>1996</v>
      </c>
      <c r="K5" s="207">
        <v>1997</v>
      </c>
      <c r="L5" s="207">
        <v>1998</v>
      </c>
      <c r="M5" s="207">
        <v>1999</v>
      </c>
      <c r="N5" s="207">
        <v>2000</v>
      </c>
      <c r="O5" s="207">
        <v>2001</v>
      </c>
      <c r="P5" s="207">
        <v>2002</v>
      </c>
      <c r="Q5" s="207">
        <v>2003</v>
      </c>
      <c r="R5" s="207">
        <v>2004</v>
      </c>
      <c r="S5" s="207">
        <v>2005</v>
      </c>
      <c r="T5" s="207">
        <v>2006</v>
      </c>
      <c r="U5" s="207">
        <v>2007</v>
      </c>
      <c r="V5" s="207">
        <v>2008</v>
      </c>
      <c r="W5" s="207">
        <v>2009</v>
      </c>
      <c r="X5" s="207">
        <v>2010</v>
      </c>
      <c r="Y5" s="207">
        <v>2011</v>
      </c>
      <c r="Z5" s="207">
        <v>2012</v>
      </c>
      <c r="AA5" s="207">
        <v>2013</v>
      </c>
      <c r="AB5" s="207">
        <v>2014</v>
      </c>
      <c r="AC5" s="207">
        <v>2015</v>
      </c>
      <c r="AD5" s="207">
        <v>2016</v>
      </c>
      <c r="AE5" s="207">
        <v>2017</v>
      </c>
      <c r="AF5" s="207">
        <v>2018</v>
      </c>
      <c r="AG5" s="207">
        <v>2019</v>
      </c>
      <c r="AH5" s="207">
        <v>2020</v>
      </c>
      <c r="AI5" s="207">
        <v>2021</v>
      </c>
      <c r="AJ5" s="207">
        <v>2022</v>
      </c>
      <c r="AK5" s="207">
        <v>2023</v>
      </c>
      <c r="AL5" s="207">
        <v>2024</v>
      </c>
      <c r="AM5" s="207">
        <v>2025</v>
      </c>
      <c r="AN5" s="207">
        <v>2026</v>
      </c>
      <c r="AO5" s="207">
        <v>2027</v>
      </c>
      <c r="AP5" s="207">
        <v>2028</v>
      </c>
      <c r="AQ5" s="207">
        <v>2029</v>
      </c>
      <c r="AR5" s="207">
        <v>2030</v>
      </c>
      <c r="AS5" s="1165"/>
      <c r="BB5" s="680" t="s">
        <v>3</v>
      </c>
      <c r="BC5" s="289">
        <f t="shared" si="0"/>
        <v>12.487183768517799</v>
      </c>
      <c r="BD5" s="619">
        <f t="shared" si="1"/>
        <v>0.18626626949331027</v>
      </c>
    </row>
    <row r="6" spans="1:96" ht="15" thickBot="1">
      <c r="B6" s="565"/>
      <c r="C6" s="559" t="s">
        <v>4</v>
      </c>
      <c r="D6" s="262">
        <f t="shared" ref="D6:AH6" si="2">SUM(D7:D9)</f>
        <v>87.113209003522158</v>
      </c>
      <c r="E6" s="262">
        <f t="shared" si="2"/>
        <v>84.756364306906903</v>
      </c>
      <c r="F6" s="262">
        <f t="shared" si="2"/>
        <v>86.739005675897715</v>
      </c>
      <c r="G6" s="262">
        <f t="shared" si="2"/>
        <v>84.661512847509201</v>
      </c>
      <c r="H6" s="262">
        <f t="shared" si="2"/>
        <v>84.82537610339071</v>
      </c>
      <c r="I6" s="262">
        <f t="shared" si="2"/>
        <v>82.49059236058946</v>
      </c>
      <c r="J6" s="262">
        <f t="shared" si="2"/>
        <v>83.020910558134773</v>
      </c>
      <c r="K6" s="262">
        <f t="shared" si="2"/>
        <v>87.746639485159704</v>
      </c>
      <c r="L6" s="262">
        <f t="shared" si="2"/>
        <v>85.754899419704273</v>
      </c>
      <c r="M6" s="262">
        <f t="shared" si="2"/>
        <v>84.611373964856028</v>
      </c>
      <c r="N6" s="262">
        <f t="shared" si="2"/>
        <v>87.108983558592911</v>
      </c>
      <c r="O6" s="262">
        <f t="shared" si="2"/>
        <v>86.530454289963089</v>
      </c>
      <c r="P6" s="262">
        <f t="shared" si="2"/>
        <v>88.208160435717588</v>
      </c>
      <c r="Q6" s="262">
        <f t="shared" si="2"/>
        <v>89.757960003614784</v>
      </c>
      <c r="R6" s="262">
        <f t="shared" si="2"/>
        <v>87.800793258590218</v>
      </c>
      <c r="S6" s="262">
        <f t="shared" si="2"/>
        <v>89.431069078148269</v>
      </c>
      <c r="T6" s="262">
        <f t="shared" si="2"/>
        <v>80.854630167865679</v>
      </c>
      <c r="U6" s="262">
        <f t="shared" si="2"/>
        <v>83.69451159082945</v>
      </c>
      <c r="V6" s="262">
        <f t="shared" si="2"/>
        <v>80.772966719911068</v>
      </c>
      <c r="W6" s="262">
        <f t="shared" si="2"/>
        <v>75.198738944045317</v>
      </c>
      <c r="X6" s="262">
        <f t="shared" si="2"/>
        <v>77.197881889193766</v>
      </c>
      <c r="Y6" s="262">
        <f t="shared" si="2"/>
        <v>72.004475165661177</v>
      </c>
      <c r="Z6" s="262">
        <f t="shared" si="2"/>
        <v>65.499567025092958</v>
      </c>
      <c r="AA6" s="262">
        <f t="shared" si="2"/>
        <v>69.554016742931097</v>
      </c>
      <c r="AB6" s="262">
        <f t="shared" si="2"/>
        <v>67.763431292959353</v>
      </c>
      <c r="AC6" s="262">
        <f t="shared" si="2"/>
        <v>69.291884845092127</v>
      </c>
      <c r="AD6" s="813">
        <f t="shared" si="2"/>
        <v>65.630657007327201</v>
      </c>
      <c r="AE6" s="813">
        <f t="shared" si="2"/>
        <v>65.316435427659059</v>
      </c>
      <c r="AF6" s="1078">
        <f t="shared" si="2"/>
        <v>66.094659043356401</v>
      </c>
      <c r="AG6" s="813">
        <f t="shared" si="2"/>
        <v>65.046649968319173</v>
      </c>
      <c r="AH6" s="813">
        <f t="shared" si="2"/>
        <v>58.403397738248614</v>
      </c>
      <c r="AI6" s="813">
        <f t="shared" ref="AI6:AJ6" si="3">SUM(AI7:AI9)</f>
        <v>61.431596662419985</v>
      </c>
      <c r="AJ6" s="571">
        <f t="shared" si="3"/>
        <v>58.637003721128302</v>
      </c>
      <c r="AK6" s="571"/>
      <c r="AL6" s="571"/>
      <c r="AM6" s="571"/>
      <c r="AN6" s="571"/>
      <c r="AO6" s="571"/>
      <c r="AP6" s="571"/>
      <c r="AQ6" s="571"/>
      <c r="AR6" s="571"/>
      <c r="AS6" s="1166"/>
      <c r="BB6" s="680" t="s">
        <v>5</v>
      </c>
      <c r="BC6" s="289">
        <f t="shared" si="0"/>
        <v>25.606773851436834</v>
      </c>
      <c r="BD6" s="619">
        <f t="shared" si="1"/>
        <v>0.38196588818458099</v>
      </c>
    </row>
    <row r="7" spans="1:96">
      <c r="B7" s="565"/>
      <c r="C7" s="556" t="s">
        <v>1</v>
      </c>
      <c r="D7" s="208">
        <f>Process!D12+Process!D15+Process!D18+Process!D19</f>
        <v>29.369032172200857</v>
      </c>
      <c r="E7" s="208">
        <f>Process!E12+Process!E15+Process!E18+Process!E19</f>
        <v>28.484120299972609</v>
      </c>
      <c r="F7" s="208">
        <f>Process!F12+Process!F15+Process!F18+Process!F19</f>
        <v>32.092126470351417</v>
      </c>
      <c r="G7" s="208">
        <f>Process!G12+Process!G15+Process!G18+Process!G19</f>
        <v>31.437036521231601</v>
      </c>
      <c r="H7" s="208">
        <f>Process!H12+Process!H15+Process!H18+Process!H19</f>
        <v>31.240221083692848</v>
      </c>
      <c r="I7" s="208">
        <f>Process!I12+Process!I15+Process!I18+Process!I19</f>
        <v>29.055006014243872</v>
      </c>
      <c r="J7" s="208">
        <f>Process!J12+Process!J15+Process!J18+Process!J19</f>
        <v>28.939078171359775</v>
      </c>
      <c r="K7" s="208">
        <f>Process!K12+Process!K15+Process!K18+Process!K19</f>
        <v>29.211025882124979</v>
      </c>
      <c r="L7" s="208">
        <f>Process!L12+Process!L15+Process!L18+Process!L19</f>
        <v>26.298952028503727</v>
      </c>
      <c r="M7" s="208">
        <f>Process!M12+Process!M15+Process!M18+Process!M19</f>
        <v>25.947505253545565</v>
      </c>
      <c r="N7" s="208">
        <f>Process!N12+Process!N15+Process!N18+Process!N19</f>
        <v>28.099908572354696</v>
      </c>
      <c r="O7" s="208">
        <f>Process!O12+Process!O15+Process!O18+Process!O19</f>
        <v>28.540538994006372</v>
      </c>
      <c r="P7" s="208">
        <f>Process!P12+Process!P15+Process!P18+Process!P19</f>
        <v>28.485554573593809</v>
      </c>
      <c r="Q7" s="208">
        <f>Process!Q12+Process!Q15+Process!Q18+Process!Q19</f>
        <v>28.145016129708985</v>
      </c>
      <c r="R7" s="208">
        <f>Process!R12+Process!R15+Process!R18+Process!R19</f>
        <v>26.057100556393397</v>
      </c>
      <c r="S7" s="208">
        <f>Process!S12+Process!S15+Process!S18+Process!S19</f>
        <v>26.27851275730281</v>
      </c>
      <c r="T7" s="208">
        <f>Process!T12+Process!T15+Process!T18+Process!T19</f>
        <v>22.376133989054942</v>
      </c>
      <c r="U7" s="208">
        <f>Process!U12+Process!U15+Process!U18+Process!U19</f>
        <v>23.308641212354804</v>
      </c>
      <c r="V7" s="208">
        <f>Process!V12+Process!V15+Process!V18+Process!V19</f>
        <v>24.102601915589155</v>
      </c>
      <c r="W7" s="208">
        <f>Process!W12+Process!W15+Process!W18+Process!W19</f>
        <v>23.107360085174079</v>
      </c>
      <c r="X7" s="208">
        <f>Process!X12+Process!X15+Process!X18+Process!X19</f>
        <v>24.209162883001547</v>
      </c>
      <c r="Y7" s="208">
        <f>Process!Y12+Process!Y15+Process!Y18+Process!Y19</f>
        <v>24.008476724062515</v>
      </c>
      <c r="Z7" s="208">
        <f>Process!Z12+Process!Z15+Process!Z18+Process!Z19</f>
        <v>20.509075301309991</v>
      </c>
      <c r="AA7" s="208">
        <f>Process!AA12+Process!AA15+Process!AA18+Process!AA19</f>
        <v>22.733604682115413</v>
      </c>
      <c r="AB7" s="208">
        <f>Process!AB12+Process!AB15+Process!AB18+Process!AB19</f>
        <v>24.352199120674609</v>
      </c>
      <c r="AC7" s="208">
        <f>Process!AC12+Process!AC15+Process!AC18+Process!AC19</f>
        <v>24.669656922183343</v>
      </c>
      <c r="AD7" s="208">
        <f>Process!AD12+Process!AD15+Process!AD18+Process!AD19</f>
        <v>21.625648028614421</v>
      </c>
      <c r="AE7" s="208">
        <f>Process!AE12+Process!AE15+Process!AE18+Process!AE19</f>
        <v>23.016071965499631</v>
      </c>
      <c r="AF7" s="208">
        <f>Process!AF12+Process!AF15+Process!AF18+Process!AF19</f>
        <v>24.635788310641409</v>
      </c>
      <c r="AG7" s="208">
        <f>Process!AG12+Process!AG15+Process!AG18+Process!AG19</f>
        <v>25.246624195773123</v>
      </c>
      <c r="AH7" s="208">
        <f>Process!AH12+Process!AH15+Process!AH18+Process!AH19</f>
        <v>22.654145402916306</v>
      </c>
      <c r="AI7" s="208">
        <f>Process!AI12+Process!AI15+Process!AI18+Process!AI19</f>
        <v>23.337639042465355</v>
      </c>
      <c r="AJ7" s="749">
        <f>Process!AJ12+Process!AJ15+Process!AJ18+Process!AJ19</f>
        <v>24.597998011143048</v>
      </c>
      <c r="AK7" s="208"/>
      <c r="AL7" s="208"/>
      <c r="AM7" s="208"/>
      <c r="AN7" s="208"/>
      <c r="AO7" s="208"/>
      <c r="AP7" s="208"/>
      <c r="AQ7" s="208"/>
      <c r="AR7" s="208"/>
      <c r="AS7" s="1166"/>
      <c r="BB7" s="681" t="s">
        <v>6</v>
      </c>
      <c r="BC7" s="289">
        <f t="shared" si="0"/>
        <v>0.71541075756581629</v>
      </c>
      <c r="BD7" s="619">
        <f t="shared" si="1"/>
        <v>1.0671492903238093E-2</v>
      </c>
    </row>
    <row r="8" spans="1:96">
      <c r="B8" s="565"/>
      <c r="C8" s="556" t="s">
        <v>3</v>
      </c>
      <c r="D8" s="208">
        <f>Process!D27</f>
        <v>28.162431330116149</v>
      </c>
      <c r="E8" s="208">
        <f>Process!E27</f>
        <v>28.264086112233116</v>
      </c>
      <c r="F8" s="208">
        <f>Process!F27</f>
        <v>27.083465220071602</v>
      </c>
      <c r="G8" s="208">
        <f>Process!G27</f>
        <v>25.451998026482251</v>
      </c>
      <c r="H8" s="208">
        <f>Process!H27</f>
        <v>25.542371596902726</v>
      </c>
      <c r="I8" s="208">
        <f>Process!I27</f>
        <v>24.730600517332238</v>
      </c>
      <c r="J8" s="208">
        <f>Process!J27</f>
        <v>24.518556551976403</v>
      </c>
      <c r="K8" s="208">
        <f>Process!K27</f>
        <v>28.637910619201154</v>
      </c>
      <c r="L8" s="208">
        <f>Process!L27</f>
        <v>29.274838185751442</v>
      </c>
      <c r="M8" s="208">
        <f>Process!M27</f>
        <v>27.873815490312378</v>
      </c>
      <c r="N8" s="208">
        <f>Process!N27</f>
        <v>27.075557122322671</v>
      </c>
      <c r="O8" s="208">
        <f>Process!O27</f>
        <v>26.559330292919292</v>
      </c>
      <c r="P8" s="208">
        <f>Process!P27</f>
        <v>28.147865293131488</v>
      </c>
      <c r="Q8" s="208">
        <f>Process!Q27</f>
        <v>29.637442609853473</v>
      </c>
      <c r="R8" s="208">
        <f>Process!R27</f>
        <v>28.528546079837444</v>
      </c>
      <c r="S8" s="208">
        <f>Process!S27</f>
        <v>29.976864897845587</v>
      </c>
      <c r="T8" s="208">
        <f>Process!T27</f>
        <v>26.19038906719242</v>
      </c>
      <c r="U8" s="208">
        <f>Process!U27</f>
        <v>27.844045358831437</v>
      </c>
      <c r="V8" s="208">
        <f>Process!V27</f>
        <v>25.13013733492188</v>
      </c>
      <c r="W8" s="208">
        <f>Process!W27</f>
        <v>22.503797074130041</v>
      </c>
      <c r="X8" s="208">
        <f>Process!X27</f>
        <v>23.211385774661306</v>
      </c>
      <c r="Y8" s="208">
        <f>Process!Y27</f>
        <v>18.281940039005288</v>
      </c>
      <c r="Z8" s="208">
        <f>Process!Z27</f>
        <v>15.861730129389429</v>
      </c>
      <c r="AA8" s="208">
        <f>Process!AA27</f>
        <v>16.451256344134194</v>
      </c>
      <c r="AB8" s="208">
        <f>Process!AB27</f>
        <v>14.884632747448642</v>
      </c>
      <c r="AC8" s="208">
        <f>Process!AC27</f>
        <v>15.686193143295164</v>
      </c>
      <c r="AD8" s="208">
        <f>Process!AD27</f>
        <v>14.734080530776255</v>
      </c>
      <c r="AE8" s="208">
        <f>Process!AE27</f>
        <v>13.614624372124677</v>
      </c>
      <c r="AF8" s="1079">
        <f>Process!AF27</f>
        <v>12.134257177687315</v>
      </c>
      <c r="AG8" s="208">
        <f>Process!AG27</f>
        <v>10.722427179823482</v>
      </c>
      <c r="AH8" s="208">
        <f>Process!AH27</f>
        <v>12.806025117602701</v>
      </c>
      <c r="AI8" s="208">
        <f>Process!AI27</f>
        <v>12.487183768517799</v>
      </c>
      <c r="AJ8" s="749">
        <f>Process!AJ27</f>
        <v>8.0966232379189282</v>
      </c>
      <c r="AK8" s="749">
        <f>Process!AK27</f>
        <v>5.86</v>
      </c>
      <c r="AL8" s="208"/>
      <c r="AM8" s="208"/>
      <c r="AN8" s="208"/>
      <c r="AO8" s="208"/>
      <c r="AP8" s="208"/>
      <c r="AQ8" s="208"/>
      <c r="AR8" s="208"/>
      <c r="AS8" s="1166"/>
      <c r="BB8" s="681" t="s">
        <v>7</v>
      </c>
      <c r="BC8" s="289">
        <f t="shared" si="0"/>
        <v>4.1022563243660644</v>
      </c>
      <c r="BD8" s="619">
        <f t="shared" si="1"/>
        <v>6.1191698321238386E-2</v>
      </c>
    </row>
    <row r="9" spans="1:96" ht="15" thickBot="1">
      <c r="B9" s="565"/>
      <c r="C9" s="1148" t="s">
        <v>5</v>
      </c>
      <c r="D9" s="1251">
        <f>Process!D24</f>
        <v>29.581745501205152</v>
      </c>
      <c r="E9" s="237">
        <f>Process!E24</f>
        <v>28.008157894701178</v>
      </c>
      <c r="F9" s="237">
        <f>Process!F24</f>
        <v>27.563413985474689</v>
      </c>
      <c r="G9" s="237">
        <f>Process!G24</f>
        <v>27.772478299795356</v>
      </c>
      <c r="H9" s="237">
        <f>Process!H24</f>
        <v>28.042783422795132</v>
      </c>
      <c r="I9" s="237">
        <f>Process!I24</f>
        <v>28.704985829013353</v>
      </c>
      <c r="J9" s="237">
        <f>Process!J24</f>
        <v>29.563275834798592</v>
      </c>
      <c r="K9" s="237">
        <f>Process!K24</f>
        <v>29.897702983833565</v>
      </c>
      <c r="L9" s="237">
        <f>Process!L24</f>
        <v>30.181109205449104</v>
      </c>
      <c r="M9" s="237">
        <f>Process!M24</f>
        <v>30.790053220998082</v>
      </c>
      <c r="N9" s="237">
        <f>Process!N24</f>
        <v>31.933517863915544</v>
      </c>
      <c r="O9" s="237">
        <f>Process!O24</f>
        <v>31.430585003037418</v>
      </c>
      <c r="P9" s="237">
        <f>Process!P24</f>
        <v>31.574740568992283</v>
      </c>
      <c r="Q9" s="237">
        <f>Process!Q24</f>
        <v>31.975501264052333</v>
      </c>
      <c r="R9" s="237">
        <f>Process!R24</f>
        <v>33.215146622359377</v>
      </c>
      <c r="S9" s="237">
        <f>Process!S24</f>
        <v>33.175691422999876</v>
      </c>
      <c r="T9" s="237">
        <f>Process!T24</f>
        <v>32.288107111618324</v>
      </c>
      <c r="U9" s="237">
        <f>Process!U24</f>
        <v>32.541825019643213</v>
      </c>
      <c r="V9" s="237">
        <f>Process!V24</f>
        <v>31.54022746940004</v>
      </c>
      <c r="W9" s="237">
        <f>Process!W24</f>
        <v>29.587581784741189</v>
      </c>
      <c r="X9" s="237">
        <f>Process!X24</f>
        <v>29.777333231530921</v>
      </c>
      <c r="Y9" s="237">
        <f>Process!Y24</f>
        <v>29.714058402593366</v>
      </c>
      <c r="Z9" s="237">
        <f>Process!Z24</f>
        <v>29.128761594393538</v>
      </c>
      <c r="AA9" s="237">
        <f>Process!AA24</f>
        <v>30.369155716681494</v>
      </c>
      <c r="AB9" s="237">
        <f>Process!AB24</f>
        <v>28.526599424836107</v>
      </c>
      <c r="AC9" s="237">
        <f>Process!AC24</f>
        <v>28.936034779613621</v>
      </c>
      <c r="AD9" s="814">
        <f>Process!AD24</f>
        <v>29.270928447936527</v>
      </c>
      <c r="AE9" s="814">
        <f>Process!AE24</f>
        <v>28.685739090034748</v>
      </c>
      <c r="AF9" s="814">
        <f>Process!AF24</f>
        <v>29.324613555027671</v>
      </c>
      <c r="AG9" s="814">
        <f>Process!AG24</f>
        <v>29.077598592722559</v>
      </c>
      <c r="AH9" s="814">
        <f>Process!AH24</f>
        <v>22.943227217729611</v>
      </c>
      <c r="AI9" s="814">
        <f>Process!AI24</f>
        <v>25.606773851436834</v>
      </c>
      <c r="AJ9" s="827">
        <f>Process!AJ24</f>
        <v>25.942382472066328</v>
      </c>
      <c r="AK9" s="827"/>
      <c r="AL9" s="827"/>
      <c r="AM9" s="827"/>
      <c r="AN9" s="827"/>
      <c r="AO9" s="827"/>
      <c r="AP9" s="827"/>
      <c r="AQ9" s="827"/>
      <c r="AR9" s="827"/>
      <c r="AS9" s="1166"/>
      <c r="BB9" s="681" t="s">
        <v>8</v>
      </c>
      <c r="BC9" s="289">
        <f t="shared" si="0"/>
        <v>0.19358342282429983</v>
      </c>
      <c r="BD9" s="619">
        <f t="shared" si="1"/>
        <v>2.88760561818083E-3</v>
      </c>
    </row>
    <row r="10" spans="1:96" ht="15" thickBot="1">
      <c r="B10" s="565"/>
      <c r="C10" s="557" t="s">
        <v>6</v>
      </c>
      <c r="D10" s="209">
        <f>Process!D32</f>
        <v>1.8677651258656023</v>
      </c>
      <c r="E10" s="209">
        <f>Process!E32</f>
        <v>1.8459141852462597</v>
      </c>
      <c r="F10" s="209">
        <f>Process!F32</f>
        <v>1.8328011148242493</v>
      </c>
      <c r="G10" s="209">
        <f>Process!G32</f>
        <v>1.754371218422466</v>
      </c>
      <c r="H10" s="209">
        <f>Process!H32</f>
        <v>1.6979421175482081</v>
      </c>
      <c r="I10" s="209">
        <f>Process!I32</f>
        <v>1.6639970217391518</v>
      </c>
      <c r="J10" s="209">
        <f>Process!J32</f>
        <v>1.5854815983319805</v>
      </c>
      <c r="K10" s="209">
        <f>Process!K32</f>
        <v>1.5341953490807867</v>
      </c>
      <c r="L10" s="209">
        <f>Process!L32</f>
        <v>1.4749217365566851</v>
      </c>
      <c r="M10" s="209">
        <f>Process!M32</f>
        <v>1.4159240794319685</v>
      </c>
      <c r="N10" s="209">
        <f>Process!N32</f>
        <v>1.3779308860348727</v>
      </c>
      <c r="O10" s="209">
        <f>Process!O32</f>
        <v>1.3078896113878109</v>
      </c>
      <c r="P10" s="209">
        <f>Process!P32</f>
        <v>1.2705904514515338</v>
      </c>
      <c r="Q10" s="209">
        <f>Process!Q32</f>
        <v>1.217910217108797</v>
      </c>
      <c r="R10" s="209">
        <f>Process!R32</f>
        <v>1.2026721581526407</v>
      </c>
      <c r="S10" s="209">
        <f>Process!S32</f>
        <v>1.109795717263852</v>
      </c>
      <c r="T10" s="209">
        <f>Process!T32</f>
        <v>1.0704121650190279</v>
      </c>
      <c r="U10" s="209">
        <f>Process!U32</f>
        <v>1.0271288082702621</v>
      </c>
      <c r="V10" s="209">
        <f>Process!V32</f>
        <v>1.010590335679201</v>
      </c>
      <c r="W10" s="209">
        <f>Process!W32</f>
        <v>0.96019685439515889</v>
      </c>
      <c r="X10" s="209">
        <f>Process!X32</f>
        <v>0.96322373008061823</v>
      </c>
      <c r="Y10" s="209">
        <f>Process!Y32</f>
        <v>0.79967539204563709</v>
      </c>
      <c r="Z10" s="209">
        <f>Process!Z32</f>
        <v>0.7993683187669699</v>
      </c>
      <c r="AA10" s="209">
        <f>Process!AA32</f>
        <v>0.78443741397921429</v>
      </c>
      <c r="AB10" s="209">
        <f>Process!AB32</f>
        <v>0.7596547163364249</v>
      </c>
      <c r="AC10" s="209">
        <f>Process!AC32</f>
        <v>0.7888767209069355</v>
      </c>
      <c r="AD10" s="809">
        <f>Process!AD32</f>
        <v>0.76847695919838299</v>
      </c>
      <c r="AE10" s="809">
        <f>Process!AE32</f>
        <v>0.73513424394234506</v>
      </c>
      <c r="AF10" s="809">
        <f>Process!AF32</f>
        <v>0.71995390570325668</v>
      </c>
      <c r="AG10" s="809">
        <f>Process!AG32</f>
        <v>0.71637272821169318</v>
      </c>
      <c r="AH10" s="809">
        <f>Process!AH32</f>
        <v>0.74058749016049774</v>
      </c>
      <c r="AI10" s="809">
        <f>Process!AI32</f>
        <v>0.71541075756581629</v>
      </c>
      <c r="AJ10" s="809">
        <f>Process!AJ32</f>
        <v>0.73417706876001998</v>
      </c>
      <c r="AK10" s="570">
        <f>Process!AK32</f>
        <v>0.30688175378731297</v>
      </c>
      <c r="AL10" s="809"/>
      <c r="AM10" s="809"/>
      <c r="AN10" s="809"/>
      <c r="AO10" s="809"/>
      <c r="AP10" s="809"/>
      <c r="AQ10" s="809"/>
      <c r="AR10" s="809"/>
      <c r="AS10" s="1166"/>
      <c r="BB10" s="681" t="s">
        <v>9</v>
      </c>
      <c r="BC10" s="289">
        <f t="shared" si="0"/>
        <v>0.59657871753171521</v>
      </c>
      <c r="BD10" s="619">
        <f t="shared" si="1"/>
        <v>8.8989234269053995E-3</v>
      </c>
    </row>
    <row r="11" spans="1:96" ht="15" thickBot="1">
      <c r="B11" s="565"/>
      <c r="C11" s="557" t="s">
        <v>7</v>
      </c>
      <c r="D11" s="209">
        <f>Process!D35</f>
        <v>0.65625199051509786</v>
      </c>
      <c r="E11" s="209">
        <f>Process!E35</f>
        <v>0.63331644452695712</v>
      </c>
      <c r="F11" s="209">
        <f>Process!F35</f>
        <v>0.65299274390212458</v>
      </c>
      <c r="G11" s="209">
        <f>Process!G35</f>
        <v>0.72753199127029544</v>
      </c>
      <c r="H11" s="209">
        <f>Process!H35</f>
        <v>0.87114460853075537</v>
      </c>
      <c r="I11" s="209">
        <f>Process!I35</f>
        <v>1.1874764653811856</v>
      </c>
      <c r="J11" s="209">
        <f>Process!J35</f>
        <v>1.3818297182829506</v>
      </c>
      <c r="K11" s="209">
        <f>Process!K35</f>
        <v>1.5914306750343177</v>
      </c>
      <c r="L11" s="209">
        <f>Process!L35</f>
        <v>1.8072839076805174</v>
      </c>
      <c r="M11" s="209">
        <f>Process!M35</f>
        <v>2.0319751903293111</v>
      </c>
      <c r="N11" s="209">
        <f>Process!N35</f>
        <v>2.1782494890373849</v>
      </c>
      <c r="O11" s="209">
        <f>Process!O35</f>
        <v>2.2546007709387683</v>
      </c>
      <c r="P11" s="209">
        <f>Process!P35</f>
        <v>2.4083019604011335</v>
      </c>
      <c r="Q11" s="209">
        <f>Process!Q35</f>
        <v>2.4356834976929873</v>
      </c>
      <c r="R11" s="209">
        <f>Process!R35</f>
        <v>2.4599951742250012</v>
      </c>
      <c r="S11" s="209">
        <f>Process!S35</f>
        <v>2.4957903789544686</v>
      </c>
      <c r="T11" s="209">
        <f>Process!T35</f>
        <v>2.57163703562829</v>
      </c>
      <c r="U11" s="209">
        <f>Process!U35</f>
        <v>2.6579478960926655</v>
      </c>
      <c r="V11" s="209">
        <f>Process!V35</f>
        <v>2.8299968705084821</v>
      </c>
      <c r="W11" s="209">
        <f>Process!W35</f>
        <v>2.8897573864573465</v>
      </c>
      <c r="X11" s="209">
        <f>Process!X35</f>
        <v>2.7452187654011122</v>
      </c>
      <c r="Y11" s="209">
        <f>Process!Y35</f>
        <v>2.9694502142508616</v>
      </c>
      <c r="Z11" s="209">
        <f>Process!Z35</f>
        <v>3.1868544050475593</v>
      </c>
      <c r="AA11" s="209">
        <f>Process!AA35</f>
        <v>3.6349955572434878</v>
      </c>
      <c r="AB11" s="209">
        <f>Process!AB35</f>
        <v>4.0223671955770204</v>
      </c>
      <c r="AC11" s="209">
        <f>Process!AC35</f>
        <v>3.9056941429484664</v>
      </c>
      <c r="AD11" s="809">
        <f>Process!AD35</f>
        <v>3.9218385184312834</v>
      </c>
      <c r="AE11" s="809">
        <f>Process!AE35</f>
        <v>3.4253895318876237</v>
      </c>
      <c r="AF11" s="809">
        <f>Process!AF35</f>
        <v>3.7961568247384667</v>
      </c>
      <c r="AG11" s="809">
        <f>Process!AG35</f>
        <v>3.6341921007072808</v>
      </c>
      <c r="AH11" s="809">
        <f>Process!AH35</f>
        <v>3.9345079101963329</v>
      </c>
      <c r="AI11" s="809">
        <f>Process!AI35</f>
        <v>4.1022563243660644</v>
      </c>
      <c r="AJ11" s="570">
        <f>Process!AJ35</f>
        <v>8.6354E-2</v>
      </c>
      <c r="AK11" s="570"/>
      <c r="AL11" s="570"/>
      <c r="AM11" s="570"/>
      <c r="AN11" s="570"/>
      <c r="AO11" s="570"/>
      <c r="AP11" s="570"/>
      <c r="AQ11" s="570"/>
      <c r="AR11" s="570"/>
      <c r="AS11" s="1166"/>
      <c r="BC11" s="289">
        <f>SUM(BC4:BC10)</f>
        <v>67.039425884707882</v>
      </c>
      <c r="BD11" s="619">
        <f>SUM(BD4:BD10)</f>
        <v>1</v>
      </c>
    </row>
    <row r="12" spans="1:96" ht="15" thickBot="1">
      <c r="B12" s="565"/>
      <c r="C12" s="746" t="s">
        <v>10</v>
      </c>
      <c r="D12" s="209">
        <f>Process!D38</f>
        <v>0.44610076900597256</v>
      </c>
      <c r="E12" s="209">
        <f>Process!E38</f>
        <v>0.39821865849902877</v>
      </c>
      <c r="F12" s="209">
        <f>Process!F38</f>
        <v>0.4024590137738116</v>
      </c>
      <c r="G12" s="209">
        <f>Process!G38</f>
        <v>0.41723952078982274</v>
      </c>
      <c r="H12" s="209">
        <f>Process!H38</f>
        <v>0.38537380629380164</v>
      </c>
      <c r="I12" s="209">
        <f>Process!I38</f>
        <v>0.38959088733546887</v>
      </c>
      <c r="J12" s="209">
        <f>Process!J38</f>
        <v>0.3853494467228562</v>
      </c>
      <c r="K12" s="209">
        <f>Process!K38</f>
        <v>0.37954245865357722</v>
      </c>
      <c r="L12" s="209">
        <f>Process!L38</f>
        <v>0.36089604709262979</v>
      </c>
      <c r="M12" s="209">
        <f>Process!M38</f>
        <v>0.35534423332749382</v>
      </c>
      <c r="N12" s="209">
        <f>Process!N38</f>
        <v>0.35808927940321517</v>
      </c>
      <c r="O12" s="209">
        <f>Process!O38</f>
        <v>0.34835342208127046</v>
      </c>
      <c r="P12" s="209">
        <f>Process!P38</f>
        <v>0.40121522100556378</v>
      </c>
      <c r="Q12" s="209">
        <f>Process!Q38</f>
        <v>0.35371034819730651</v>
      </c>
      <c r="R12" s="209">
        <f>Process!R38</f>
        <v>0.34502939445979169</v>
      </c>
      <c r="S12" s="209">
        <f>Process!S38</f>
        <v>0.36828267265399622</v>
      </c>
      <c r="T12" s="209">
        <f>Process!T38</f>
        <v>0.46627193708306636</v>
      </c>
      <c r="U12" s="209">
        <f>Process!U38</f>
        <v>0.45487124021948133</v>
      </c>
      <c r="V12" s="209">
        <f>Process!V38</f>
        <v>0.33823094475600562</v>
      </c>
      <c r="W12" s="209">
        <f>Process!W38</f>
        <v>0.31042290716519921</v>
      </c>
      <c r="X12" s="209">
        <f>Process!X38</f>
        <v>0.32504807625862253</v>
      </c>
      <c r="Y12" s="209">
        <f>Process!Y38</f>
        <v>0.3007991811743016</v>
      </c>
      <c r="Z12" s="209">
        <f>Process!Z38</f>
        <v>0.29086338314162158</v>
      </c>
      <c r="AA12" s="209">
        <f>Process!AA38</f>
        <v>0.3021658883193768</v>
      </c>
      <c r="AB12" s="209">
        <f>Process!AB38</f>
        <v>0.3051908156739303</v>
      </c>
      <c r="AC12" s="209">
        <f>Process!AC38</f>
        <v>0.28371044472182944</v>
      </c>
      <c r="AD12" s="809">
        <f>Process!AD38</f>
        <v>0.2298891465170948</v>
      </c>
      <c r="AE12" s="809">
        <f>Process!AE38</f>
        <v>0.26630917520767899</v>
      </c>
      <c r="AF12" s="809">
        <f>Process!AF38</f>
        <v>0.25754276630837303</v>
      </c>
      <c r="AG12" s="809">
        <f>Process!AG38</f>
        <v>0.24873056149142708</v>
      </c>
      <c r="AH12" s="809">
        <f>Process!AH38</f>
        <v>0.21212335344157099</v>
      </c>
      <c r="AI12" s="809">
        <f>Process!AI38</f>
        <v>0.19358342282429983</v>
      </c>
      <c r="AJ12" s="570">
        <f>Process!AJ38</f>
        <v>0</v>
      </c>
      <c r="AK12" s="570"/>
      <c r="AL12" s="570"/>
      <c r="AM12" s="570"/>
      <c r="AN12" s="570"/>
      <c r="AO12" s="570"/>
      <c r="AP12" s="570"/>
      <c r="AQ12" s="570"/>
      <c r="AR12" s="570"/>
      <c r="AS12" s="1166"/>
    </row>
    <row r="13" spans="1:96" ht="15" thickBot="1">
      <c r="B13" s="565"/>
      <c r="C13" s="558" t="s">
        <v>9</v>
      </c>
      <c r="D13" s="209">
        <f>Process!D39</f>
        <v>2.921734225476742</v>
      </c>
      <c r="E13" s="209">
        <f>Process!E39</f>
        <v>2.9659237839785577</v>
      </c>
      <c r="F13" s="209">
        <f>Process!F39</f>
        <v>2.862401582676589</v>
      </c>
      <c r="G13" s="209">
        <f>Process!G39</f>
        <v>2.7443824174725342</v>
      </c>
      <c r="H13" s="209">
        <f>Process!H39</f>
        <v>2.7282481528419806</v>
      </c>
      <c r="I13" s="209">
        <f>Process!I39</f>
        <v>2.7404670425365389</v>
      </c>
      <c r="J13" s="209">
        <f>Process!J39</f>
        <v>2.3611615270182389</v>
      </c>
      <c r="K13" s="209">
        <f>Process!K39</f>
        <v>1.8982744470184132</v>
      </c>
      <c r="L13" s="209">
        <f>Process!L39</f>
        <v>1.8189713480355501</v>
      </c>
      <c r="M13" s="209">
        <f>Process!M39</f>
        <v>1.8304455997009095</v>
      </c>
      <c r="N13" s="209">
        <f>Process!N39</f>
        <v>1.2371687987727549</v>
      </c>
      <c r="O13" s="209">
        <f>Process!O39</f>
        <v>0.89743217109974038</v>
      </c>
      <c r="P13" s="209">
        <f>Process!P39</f>
        <v>1.27497069222323</v>
      </c>
      <c r="Q13" s="209">
        <f>Process!Q39</f>
        <v>1.7601777880702902</v>
      </c>
      <c r="R13" s="209">
        <f>Process!R39</f>
        <v>1.5207752370939525</v>
      </c>
      <c r="S13" s="209">
        <f>Process!S39</f>
        <v>1.5359182375503033</v>
      </c>
      <c r="T13" s="209">
        <f>Process!T39</f>
        <v>1.4076566810886841</v>
      </c>
      <c r="U13" s="209">
        <f>Process!U39</f>
        <v>1.3183546181258532</v>
      </c>
      <c r="V13" s="209">
        <f>Process!V39</f>
        <v>1.3279645075594892</v>
      </c>
      <c r="W13" s="209">
        <f>Process!W39</f>
        <v>1.3630454187701677</v>
      </c>
      <c r="X13" s="209">
        <f>Process!X39</f>
        <v>0.86249816472906293</v>
      </c>
      <c r="Y13" s="209">
        <f>Process!Y39</f>
        <v>0.87727465455725784</v>
      </c>
      <c r="Z13" s="209">
        <f>Process!Z39</f>
        <v>0.92211897945822274</v>
      </c>
      <c r="AA13" s="209">
        <f>Process!AA39</f>
        <v>0.82485157614183069</v>
      </c>
      <c r="AB13" s="209">
        <f>Process!AB39</f>
        <v>0.76936372223646177</v>
      </c>
      <c r="AC13" s="209">
        <f>Process!AC39</f>
        <v>0.7797514032990327</v>
      </c>
      <c r="AD13" s="809">
        <f>Process!AD39</f>
        <v>0.74798897998549485</v>
      </c>
      <c r="AE13" s="809">
        <f>Process!AE39</f>
        <v>0.72211531342011004</v>
      </c>
      <c r="AF13" s="809">
        <f>Process!AF39</f>
        <v>0.72011659953318352</v>
      </c>
      <c r="AG13" s="809">
        <f>Process!AG39</f>
        <v>0.72173904594467819</v>
      </c>
      <c r="AH13" s="809">
        <f>Process!AH39</f>
        <v>0.69724852674260518</v>
      </c>
      <c r="AI13" s="809">
        <f>Process!AI39</f>
        <v>0.59657871753171521</v>
      </c>
      <c r="AJ13" s="809">
        <f>Process!AJ39</f>
        <v>0.58348316947643197</v>
      </c>
      <c r="AK13" s="570">
        <f>Process!AK39</f>
        <v>0.42048044254554079</v>
      </c>
      <c r="AL13" s="809"/>
      <c r="AM13" s="809"/>
      <c r="AN13" s="809"/>
      <c r="AO13" s="809"/>
      <c r="AP13" s="809"/>
      <c r="AQ13" s="809"/>
      <c r="AR13" s="809"/>
      <c r="AS13" s="1166"/>
    </row>
    <row r="14" spans="1:96" s="5" customFormat="1" ht="15" thickBot="1">
      <c r="A14"/>
      <c r="B14" s="565"/>
      <c r="C14" s="559" t="s">
        <v>11</v>
      </c>
      <c r="D14" s="821">
        <f t="shared" ref="D14:AI14" si="4">SUM(D6,D10,D11,D12,D13)</f>
        <v>93.005061114385569</v>
      </c>
      <c r="E14" s="821">
        <f t="shared" si="4"/>
        <v>90.599737379157702</v>
      </c>
      <c r="F14" s="821">
        <f t="shared" si="4"/>
        <v>92.489660131074473</v>
      </c>
      <c r="G14" s="821">
        <f t="shared" si="4"/>
        <v>90.305037995464318</v>
      </c>
      <c r="H14" s="821">
        <f t="shared" si="4"/>
        <v>90.508084788605458</v>
      </c>
      <c r="I14" s="821">
        <f t="shared" si="4"/>
        <v>88.4721237775818</v>
      </c>
      <c r="J14" s="821">
        <f t="shared" si="4"/>
        <v>88.734732848490793</v>
      </c>
      <c r="K14" s="821">
        <f t="shared" si="4"/>
        <v>93.150082414946795</v>
      </c>
      <c r="L14" s="821">
        <f t="shared" si="4"/>
        <v>91.216972459069638</v>
      </c>
      <c r="M14" s="821">
        <f t="shared" si="4"/>
        <v>90.245063067645717</v>
      </c>
      <c r="N14" s="821">
        <f t="shared" si="4"/>
        <v>92.260422011841143</v>
      </c>
      <c r="O14" s="821">
        <f t="shared" si="4"/>
        <v>91.338730265470673</v>
      </c>
      <c r="P14" s="821">
        <f t="shared" si="4"/>
        <v>93.563238760799052</v>
      </c>
      <c r="Q14" s="821">
        <f t="shared" si="4"/>
        <v>95.525441854684175</v>
      </c>
      <c r="R14" s="821">
        <f t="shared" si="4"/>
        <v>93.329265222521599</v>
      </c>
      <c r="S14" s="821">
        <f t="shared" si="4"/>
        <v>94.940856084570882</v>
      </c>
      <c r="T14" s="821">
        <f t="shared" si="4"/>
        <v>86.370607986684732</v>
      </c>
      <c r="U14" s="821">
        <f t="shared" si="4"/>
        <v>89.152814153537705</v>
      </c>
      <c r="V14" s="821">
        <f t="shared" si="4"/>
        <v>86.279749378414238</v>
      </c>
      <c r="W14" s="821">
        <f t="shared" si="4"/>
        <v>80.722161510833203</v>
      </c>
      <c r="X14" s="821">
        <f t="shared" si="4"/>
        <v>82.093870625663172</v>
      </c>
      <c r="Y14" s="821">
        <f t="shared" si="4"/>
        <v>76.951674607689228</v>
      </c>
      <c r="Z14" s="821">
        <f t="shared" si="4"/>
        <v>70.698772111507324</v>
      </c>
      <c r="AA14" s="821">
        <f t="shared" si="4"/>
        <v>75.100467178615006</v>
      </c>
      <c r="AB14" s="821">
        <f t="shared" si="4"/>
        <v>73.620007742783187</v>
      </c>
      <c r="AC14" s="821">
        <f t="shared" si="4"/>
        <v>75.049917556968396</v>
      </c>
      <c r="AD14" s="821">
        <f t="shared" si="4"/>
        <v>71.298850611459457</v>
      </c>
      <c r="AE14" s="821">
        <f t="shared" si="4"/>
        <v>70.465383692116802</v>
      </c>
      <c r="AF14" s="821">
        <f t="shared" si="4"/>
        <v>71.588429139639686</v>
      </c>
      <c r="AG14" s="1248">
        <f t="shared" si="4"/>
        <v>70.36768440467425</v>
      </c>
      <c r="AH14" s="1248">
        <f t="shared" si="4"/>
        <v>63.98786501878962</v>
      </c>
      <c r="AI14" s="1248">
        <f t="shared" si="4"/>
        <v>67.039425884707882</v>
      </c>
      <c r="AJ14" s="1248"/>
      <c r="AK14" s="1248"/>
      <c r="AL14" s="1248"/>
      <c r="AM14" s="1248"/>
      <c r="AN14" s="1248"/>
      <c r="AO14" s="1248"/>
      <c r="AP14" s="1248"/>
      <c r="AQ14" s="1248"/>
      <c r="AR14" s="1248"/>
      <c r="AS14" s="1167"/>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row>
    <row r="15" spans="1:96" s="5" customFormat="1" ht="15" thickBot="1">
      <c r="A15"/>
      <c r="B15" s="565"/>
      <c r="C15" s="560" t="s">
        <v>12</v>
      </c>
      <c r="D15" s="532"/>
      <c r="E15" s="561">
        <f>-(100-((E14/D14)*100))</f>
        <v>-2.5862288636847381</v>
      </c>
      <c r="F15" s="561">
        <f t="shared" ref="F15:AC15" si="5">-(100-((F14/E14)*100))</f>
        <v>2.0860134991423678</v>
      </c>
      <c r="G15" s="561">
        <f t="shared" si="5"/>
        <v>-2.3620176920470328</v>
      </c>
      <c r="H15" s="561">
        <f t="shared" si="5"/>
        <v>0.2248454766735648</v>
      </c>
      <c r="I15" s="561">
        <f t="shared" si="5"/>
        <v>-2.2494797186118092</v>
      </c>
      <c r="J15" s="561">
        <f t="shared" si="5"/>
        <v>0.29682690964804692</v>
      </c>
      <c r="K15" s="561">
        <f t="shared" si="5"/>
        <v>4.9758977400596223</v>
      </c>
      <c r="L15" s="561">
        <f t="shared" si="5"/>
        <v>-2.0752638170151272</v>
      </c>
      <c r="M15" s="561">
        <f t="shared" si="5"/>
        <v>-1.0654918325205642</v>
      </c>
      <c r="N15" s="561">
        <f t="shared" si="5"/>
        <v>2.2332068654933153</v>
      </c>
      <c r="O15" s="561">
        <f t="shared" si="5"/>
        <v>-0.99901098030115065</v>
      </c>
      <c r="P15" s="561">
        <f t="shared" si="5"/>
        <v>2.4354493311467849</v>
      </c>
      <c r="Q15" s="561">
        <f t="shared" si="5"/>
        <v>2.0971944963359164</v>
      </c>
      <c r="R15" s="561">
        <f t="shared" si="5"/>
        <v>-2.2990489125435829</v>
      </c>
      <c r="S15" s="561">
        <f t="shared" si="5"/>
        <v>1.7267797600322154</v>
      </c>
      <c r="T15" s="561">
        <f t="shared" si="5"/>
        <v>-9.0269336630501726</v>
      </c>
      <c r="U15" s="561">
        <f t="shared" si="5"/>
        <v>3.2212418457004333</v>
      </c>
      <c r="V15" s="561">
        <f t="shared" si="5"/>
        <v>-3.2226293722770407</v>
      </c>
      <c r="W15" s="561">
        <f t="shared" si="5"/>
        <v>-6.4413583808710655</v>
      </c>
      <c r="X15" s="561">
        <f t="shared" si="5"/>
        <v>1.6992968091493594</v>
      </c>
      <c r="Y15" s="561">
        <f t="shared" si="5"/>
        <v>-6.263800182381047</v>
      </c>
      <c r="Z15" s="561">
        <f t="shared" si="5"/>
        <v>-8.1257523349038223</v>
      </c>
      <c r="AA15" s="561">
        <f t="shared" si="5"/>
        <v>6.2259851701034421</v>
      </c>
      <c r="AB15" s="561">
        <f t="shared" si="5"/>
        <v>-1.9713052281163215</v>
      </c>
      <c r="AC15" s="561">
        <f t="shared" si="5"/>
        <v>1.942284248571525</v>
      </c>
      <c r="AD15" s="561">
        <f>-(100-((AD14/AC14)*100))</f>
        <v>-4.9980960241050241</v>
      </c>
      <c r="AE15" s="561">
        <f>-(100-((AE14/AD14)*100))</f>
        <v>-1.1689766555769694</v>
      </c>
      <c r="AF15" s="1075">
        <f>-(100-((AF14/AE14)*100))</f>
        <v>1.5937548178688559</v>
      </c>
      <c r="AG15" s="1075">
        <f t="shared" ref="AG15:AI15" si="6">-(100-((AG14/AF14)*100))</f>
        <v>-1.7052263188849395</v>
      </c>
      <c r="AH15" s="1075">
        <f t="shared" si="6"/>
        <v>-9.0664051828041181</v>
      </c>
      <c r="AI15" s="561">
        <f t="shared" si="6"/>
        <v>4.7689680926566069</v>
      </c>
      <c r="AJ15" s="1075"/>
      <c r="AK15" s="1075"/>
      <c r="AL15" s="1075"/>
      <c r="AM15" s="1075"/>
      <c r="AN15" s="1075"/>
      <c r="AO15" s="1075"/>
      <c r="AP15" s="1075"/>
      <c r="AQ15" s="1075"/>
      <c r="AR15" s="1075"/>
      <c r="AS15" s="1168"/>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row>
    <row r="16" spans="1:96" s="5" customFormat="1" ht="15" thickBot="1">
      <c r="A16"/>
      <c r="B16" s="565"/>
      <c r="C16" s="560" t="s">
        <v>13</v>
      </c>
      <c r="D16" s="532"/>
      <c r="E16" s="561">
        <f>-(100-((E14/$D$14)*100))</f>
        <v>-2.5862288636847381</v>
      </c>
      <c r="F16" s="561">
        <f t="shared" ref="F16:Y16" si="7">-(100-((F14/$D$14)*100))</f>
        <v>-0.55416444775754314</v>
      </c>
      <c r="G16" s="561">
        <f t="shared" si="7"/>
        <v>-2.9030926775055121</v>
      </c>
      <c r="H16" s="561">
        <f t="shared" si="7"/>
        <v>-2.6847746734009519</v>
      </c>
      <c r="I16" s="561">
        <f t="shared" si="7"/>
        <v>-4.8738609302441915</v>
      </c>
      <c r="J16" s="561">
        <f t="shared" si="7"/>
        <v>-4.5915009513759202</v>
      </c>
      <c r="K16" s="561">
        <f t="shared" si="7"/>
        <v>0.15592839660936875</v>
      </c>
      <c r="L16" s="561">
        <f t="shared" si="7"/>
        <v>-1.9225713460010354</v>
      </c>
      <c r="M16" s="561">
        <f t="shared" si="7"/>
        <v>-2.9675783378555849</v>
      </c>
      <c r="N16" s="561">
        <f t="shared" si="7"/>
        <v>-0.80064363554215845</v>
      </c>
      <c r="O16" s="561">
        <f t="shared" si="7"/>
        <v>-1.7916560980111598</v>
      </c>
      <c r="P16" s="561">
        <f t="shared" si="7"/>
        <v>0.60015835668016848</v>
      </c>
      <c r="Q16" s="561">
        <f t="shared" si="7"/>
        <v>2.7099393410416894</v>
      </c>
      <c r="R16" s="561">
        <f t="shared" si="7"/>
        <v>0.34858759754729363</v>
      </c>
      <c r="S16" s="561">
        <f t="shared" si="7"/>
        <v>2.0813866976599371</v>
      </c>
      <c r="T16" s="561">
        <f t="shared" si="7"/>
        <v>-7.1334323618595619</v>
      </c>
      <c r="U16" s="561">
        <f t="shared" si="7"/>
        <v>-4.1419756244340817</v>
      </c>
      <c r="V16" s="561">
        <f t="shared" si="7"/>
        <v>-7.2311244736455507</v>
      </c>
      <c r="W16" s="561">
        <f t="shared" si="7"/>
        <v>-13.206700212202222</v>
      </c>
      <c r="X16" s="561">
        <f t="shared" si="7"/>
        <v>-11.73182443835276</v>
      </c>
      <c r="Y16" s="561">
        <f t="shared" si="7"/>
        <v>-17.260766580167626</v>
      </c>
      <c r="Z16" s="561">
        <f t="shared" ref="Z16:AE16" si="8">-(100-((Z14/$D$14)*100))</f>
        <v>-23.983951771661182</v>
      </c>
      <c r="AA16" s="561">
        <f t="shared" si="8"/>
        <v>-19.251203882066122</v>
      </c>
      <c r="AB16" s="561">
        <f t="shared" si="8"/>
        <v>-20.843009121579939</v>
      </c>
      <c r="AC16" s="561">
        <f t="shared" si="8"/>
        <v>-19.305555356105202</v>
      </c>
      <c r="AD16" s="561">
        <f t="shared" si="8"/>
        <v>-23.338741185525336</v>
      </c>
      <c r="AE16" s="561">
        <f t="shared" si="8"/>
        <v>-24.234893404937992</v>
      </c>
      <c r="AF16" s="1075">
        <f t="shared" ref="AF16:AG16" si="9">-(100-((AF14/$D$14)*100))</f>
        <v>-23.027383368315711</v>
      </c>
      <c r="AG16" s="1075">
        <f t="shared" si="9"/>
        <v>-24.339940685453598</v>
      </c>
      <c r="AH16" s="1075">
        <f t="shared" ref="AH16:AI16" si="10">-(100-((AH14/$D$14)*100))</f>
        <v>-31.1995882244603</v>
      </c>
      <c r="AI16" s="1075">
        <f t="shared" si="10"/>
        <v>-27.918518539268462</v>
      </c>
      <c r="AJ16" s="1075"/>
      <c r="AK16" s="1075"/>
      <c r="AL16" s="1075"/>
      <c r="AM16" s="1075"/>
      <c r="AN16" s="1075"/>
      <c r="AO16" s="1075"/>
      <c r="AP16" s="1075"/>
      <c r="AQ16" s="1075"/>
      <c r="AR16" s="1075"/>
      <c r="AS16" s="1168"/>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row>
    <row r="17" spans="1:96" s="1471" customFormat="1" ht="15" thickBot="1">
      <c r="A17" s="235"/>
      <c r="B17" s="1469"/>
      <c r="C17" s="560" t="s">
        <v>14</v>
      </c>
      <c r="D17" s="580">
        <f>$D$14*(1-0.25)</f>
        <v>69.753795835789177</v>
      </c>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80">
        <f>$D$14*(1-0.25)</f>
        <v>69.753795835789177</v>
      </c>
      <c r="AI17" s="555"/>
      <c r="AJ17" s="555"/>
      <c r="AK17" s="555"/>
      <c r="AL17" s="555"/>
      <c r="AM17" s="555"/>
      <c r="AN17" s="555"/>
      <c r="AO17" s="555"/>
      <c r="AP17" s="555"/>
      <c r="AQ17" s="555"/>
      <c r="AR17" s="555"/>
      <c r="AS17" s="1169"/>
      <c r="AT17" s="235"/>
      <c r="AU17" s="235"/>
      <c r="AV17" s="235"/>
      <c r="AW17" s="235"/>
      <c r="AX17" s="235"/>
      <c r="AY17" s="235"/>
      <c r="AZ17" s="235"/>
      <c r="BA17" s="235"/>
      <c r="BB17" s="235"/>
      <c r="BC17" s="235"/>
      <c r="BD17" s="1470" t="s">
        <v>15</v>
      </c>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c r="CF17" s="235"/>
      <c r="CG17" s="235"/>
      <c r="CH17" s="235"/>
      <c r="CI17" s="235"/>
      <c r="CJ17" s="235"/>
      <c r="CK17" s="235"/>
      <c r="CL17" s="235"/>
      <c r="CM17" s="235"/>
      <c r="CN17" s="235"/>
      <c r="CO17" s="235"/>
      <c r="CP17" s="235"/>
      <c r="CQ17" s="235"/>
      <c r="CR17" s="235"/>
    </row>
    <row r="18" spans="1:96" s="1471" customFormat="1" ht="15" thickBot="1">
      <c r="A18" s="235"/>
      <c r="B18" s="1469"/>
      <c r="C18" s="1287" t="s">
        <v>16</v>
      </c>
      <c r="D18" s="1396">
        <v>63.2</v>
      </c>
      <c r="E18" s="580"/>
      <c r="F18" s="1288"/>
      <c r="G18" s="1288"/>
      <c r="H18" s="1288"/>
      <c r="I18" s="1288"/>
      <c r="J18" s="1288"/>
      <c r="K18" s="1288"/>
      <c r="L18" s="1288"/>
      <c r="M18" s="1288"/>
      <c r="N18" s="1288"/>
      <c r="O18" s="1288"/>
      <c r="P18" s="1288"/>
      <c r="Q18" s="1288"/>
      <c r="R18" s="1288"/>
      <c r="S18" s="1288"/>
      <c r="T18" s="1288"/>
      <c r="U18" s="1288"/>
      <c r="V18" s="1288"/>
      <c r="W18" s="1288"/>
      <c r="X18" s="1288"/>
      <c r="Y18" s="1288"/>
      <c r="Z18" s="1288"/>
      <c r="AA18" s="1288"/>
      <c r="AB18" s="1288"/>
      <c r="AC18" s="1288"/>
      <c r="AD18" s="1288"/>
      <c r="AE18" s="1288"/>
      <c r="AF18" s="1288"/>
      <c r="AG18" s="1288"/>
      <c r="AH18" s="1288"/>
      <c r="AI18" s="1288"/>
      <c r="AJ18" s="1288"/>
      <c r="AK18" s="1288"/>
      <c r="AL18" s="1288"/>
      <c r="AM18" s="1396">
        <v>63.2</v>
      </c>
      <c r="AN18" s="1288"/>
      <c r="AO18" s="1288"/>
      <c r="AP18" s="1288"/>
      <c r="AQ18" s="1288"/>
      <c r="AR18" s="1288"/>
      <c r="AS18" s="1169"/>
      <c r="AT18" s="235"/>
      <c r="AU18" s="235"/>
      <c r="AV18" s="235"/>
      <c r="AW18" s="235"/>
      <c r="AX18" s="235"/>
      <c r="AY18" s="235"/>
      <c r="AZ18" s="235"/>
      <c r="BA18" s="235"/>
      <c r="BB18" s="235"/>
      <c r="BC18" s="235"/>
      <c r="BD18" s="1470"/>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row>
    <row r="19" spans="1:96" s="1471" customFormat="1" ht="15" thickBot="1">
      <c r="A19" s="235"/>
      <c r="B19" s="1469"/>
      <c r="C19" s="1286" t="s">
        <v>17</v>
      </c>
      <c r="D19" s="580">
        <v>47</v>
      </c>
      <c r="E19" s="580"/>
      <c r="F19" s="555"/>
      <c r="G19" s="555"/>
      <c r="H19" s="555"/>
      <c r="I19" s="555"/>
      <c r="J19" s="555"/>
      <c r="K19" s="555"/>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1288"/>
      <c r="AJ19" s="1288"/>
      <c r="AK19" s="1288"/>
      <c r="AL19" s="1288"/>
      <c r="AM19" s="1396"/>
      <c r="AN19" s="1288"/>
      <c r="AO19" s="1288"/>
      <c r="AP19" s="1288"/>
      <c r="AQ19" s="1288"/>
      <c r="AR19" s="580">
        <v>47</v>
      </c>
      <c r="AS19" s="1169"/>
      <c r="AT19" s="235"/>
      <c r="AU19" s="235"/>
      <c r="AV19" s="235"/>
      <c r="AW19" s="235"/>
      <c r="AX19" s="235"/>
      <c r="AY19" s="235"/>
      <c r="AZ19" s="235"/>
      <c r="BA19" s="235"/>
      <c r="BB19" s="235"/>
      <c r="BC19" s="235"/>
      <c r="BD19" s="1470"/>
      <c r="BE19" s="235"/>
      <c r="BF19" s="235"/>
      <c r="BG19" s="235"/>
      <c r="BH19" s="235"/>
      <c r="BI19" s="235"/>
      <c r="BJ19" s="235"/>
      <c r="BK19" s="235"/>
      <c r="BL19" s="235"/>
      <c r="BM19" s="235"/>
      <c r="BN19" s="235"/>
      <c r="BO19" s="235"/>
      <c r="BP19" s="235"/>
      <c r="BQ19" s="235"/>
      <c r="BR19" s="235"/>
      <c r="BS19" s="235"/>
      <c r="BT19" s="235"/>
      <c r="BU19" s="235"/>
      <c r="BV19" s="235"/>
      <c r="BW19" s="235"/>
      <c r="BX19" s="235"/>
      <c r="BY19" s="235"/>
      <c r="BZ19" s="235"/>
      <c r="CA19" s="235"/>
      <c r="CB19" s="235"/>
      <c r="CC19" s="235"/>
      <c r="CD19" s="235"/>
      <c r="CE19" s="235"/>
      <c r="CF19" s="235"/>
      <c r="CG19" s="235"/>
      <c r="CH19" s="235"/>
      <c r="CI19" s="235"/>
      <c r="CJ19" s="235"/>
      <c r="CK19" s="235"/>
      <c r="CL19" s="235"/>
      <c r="CM19" s="235"/>
      <c r="CN19" s="235"/>
      <c r="CO19" s="235"/>
      <c r="CP19" s="235"/>
      <c r="CQ19" s="235"/>
      <c r="CR19" s="235"/>
    </row>
    <row r="20" spans="1:96" s="1471" customFormat="1" ht="15" thickBot="1">
      <c r="A20" s="235"/>
      <c r="B20" s="1469"/>
      <c r="C20" s="1286" t="s">
        <v>900</v>
      </c>
      <c r="D20" s="580">
        <f>D14*(1-0.85)</f>
        <v>13.950759167157837</v>
      </c>
      <c r="E20" s="580"/>
      <c r="F20" s="555"/>
      <c r="G20" s="555"/>
      <c r="H20" s="555"/>
      <c r="I20" s="555"/>
      <c r="J20" s="555"/>
      <c r="K20" s="555"/>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5"/>
      <c r="AI20" s="1288"/>
      <c r="AJ20" s="1288"/>
      <c r="AK20" s="1288"/>
      <c r="AL20" s="1288"/>
      <c r="AM20" s="1288"/>
      <c r="AN20" s="1288"/>
      <c r="AO20" s="1288"/>
      <c r="AP20" s="1288"/>
      <c r="AQ20" s="1288"/>
      <c r="AR20" s="580"/>
      <c r="AS20" s="1169"/>
      <c r="AT20" s="235"/>
      <c r="AU20" s="235"/>
      <c r="AV20" s="235"/>
      <c r="AW20" s="235"/>
      <c r="AX20" s="235"/>
      <c r="AY20" s="235"/>
      <c r="AZ20" s="235"/>
      <c r="BA20" s="235"/>
      <c r="BB20" s="235"/>
      <c r="BC20" s="235"/>
      <c r="BD20" s="1470"/>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c r="CF20" s="235"/>
      <c r="CG20" s="235"/>
      <c r="CH20" s="235"/>
      <c r="CI20" s="235"/>
      <c r="CJ20" s="235"/>
      <c r="CK20" s="235"/>
      <c r="CL20" s="235"/>
      <c r="CM20" s="235"/>
      <c r="CN20" s="235"/>
      <c r="CO20" s="235"/>
      <c r="CP20" s="235"/>
      <c r="CQ20" s="235"/>
      <c r="CR20" s="235"/>
    </row>
    <row r="21" spans="1:96">
      <c r="B21" s="567"/>
      <c r="C21" s="1398"/>
      <c r="D21" s="139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7"/>
      <c r="AD21" s="617"/>
      <c r="AE21" s="617"/>
      <c r="AF21" s="617"/>
      <c r="AG21" s="617"/>
      <c r="AH21" s="617"/>
      <c r="AI21" s="617"/>
      <c r="AJ21" s="617"/>
      <c r="AK21" s="617"/>
      <c r="AL21" s="617"/>
      <c r="AM21" s="617"/>
      <c r="AN21" s="617"/>
      <c r="AO21" s="617"/>
      <c r="AP21" s="617"/>
      <c r="AQ21" s="617"/>
      <c r="AR21" s="617"/>
      <c r="AS21" s="618"/>
      <c r="BB21" s="680" t="s">
        <v>1</v>
      </c>
      <c r="BC21" s="289">
        <f t="shared" ref="BC21:BC27" si="11">D7</f>
        <v>29.369032172200857</v>
      </c>
      <c r="BD21" s="619">
        <f t="shared" ref="BD21:BD27" si="12">BC21/$BC$28</f>
        <v>0.31577885999214939</v>
      </c>
    </row>
    <row r="22" spans="1:96">
      <c r="BB22" s="680" t="s">
        <v>3</v>
      </c>
      <c r="BC22" s="289">
        <f t="shared" si="11"/>
        <v>28.162431330116149</v>
      </c>
      <c r="BD22" s="619">
        <f t="shared" si="12"/>
        <v>0.30280536341435854</v>
      </c>
    </row>
    <row r="23" spans="1:96" ht="15" customHeight="1">
      <c r="C23" s="288"/>
      <c r="Y23" s="590"/>
      <c r="Z23" s="590"/>
      <c r="AA23" s="590"/>
      <c r="AB23" s="590"/>
      <c r="AC23" s="590"/>
      <c r="BB23" s="680" t="s">
        <v>5</v>
      </c>
      <c r="BC23" s="289">
        <f t="shared" si="11"/>
        <v>29.581745501205152</v>
      </c>
      <c r="BD23" s="619">
        <f t="shared" si="12"/>
        <v>0.31806597562279965</v>
      </c>
    </row>
    <row r="24" spans="1:96" ht="28.5" customHeight="1">
      <c r="C24" s="288"/>
      <c r="Y24" s="590"/>
      <c r="Z24" s="590"/>
      <c r="AA24" s="590"/>
      <c r="AB24" s="590"/>
      <c r="AC24" s="590"/>
      <c r="BB24" s="680" t="s">
        <v>6</v>
      </c>
      <c r="BC24" s="289">
        <f t="shared" si="11"/>
        <v>1.8677651258656023</v>
      </c>
      <c r="BD24" s="619">
        <f t="shared" si="12"/>
        <v>2.0082403080929814E-2</v>
      </c>
    </row>
    <row r="25" spans="1:96">
      <c r="AA25" s="591"/>
      <c r="AB25" s="591"/>
      <c r="AC25" s="591"/>
      <c r="BB25" s="680" t="s">
        <v>7</v>
      </c>
      <c r="BC25" s="289">
        <f t="shared" si="11"/>
        <v>0.65625199051509786</v>
      </c>
      <c r="BD25" s="619">
        <f t="shared" si="12"/>
        <v>7.0560890198005793E-3</v>
      </c>
    </row>
    <row r="26" spans="1:96">
      <c r="AA26" s="235"/>
      <c r="AB26" s="235"/>
      <c r="AC26" s="235"/>
      <c r="BB26" s="680" t="s">
        <v>8</v>
      </c>
      <c r="BC26" s="289">
        <f t="shared" si="11"/>
        <v>0.44610076900597256</v>
      </c>
      <c r="BD26" s="619">
        <f t="shared" si="12"/>
        <v>4.7965214329284698E-3</v>
      </c>
    </row>
    <row r="27" spans="1:96">
      <c r="E27" s="289"/>
      <c r="F27" s="289"/>
      <c r="G27" s="289"/>
      <c r="H27" s="289"/>
      <c r="BB27" s="680" t="s">
        <v>9</v>
      </c>
      <c r="BC27" s="289">
        <f t="shared" si="11"/>
        <v>2.921734225476742</v>
      </c>
      <c r="BD27" s="619">
        <f t="shared" si="12"/>
        <v>3.1414787437033603E-2</v>
      </c>
    </row>
    <row r="28" spans="1:96">
      <c r="E28" s="289"/>
      <c r="F28" s="289"/>
      <c r="G28" s="289"/>
      <c r="H28" s="289"/>
      <c r="AA28" s="1473"/>
      <c r="AB28" s="347"/>
      <c r="AC28" s="347"/>
      <c r="BC28" s="289">
        <f>SUM(BC21:BC27)</f>
        <v>93.005061114385569</v>
      </c>
      <c r="BD28" s="619">
        <f>SUM(BD21:BD27)</f>
        <v>1.0000000000000002</v>
      </c>
    </row>
    <row r="29" spans="1:96">
      <c r="AA29" s="347"/>
      <c r="AB29" s="576"/>
      <c r="AC29" s="576"/>
    </row>
    <row r="30" spans="1:96">
      <c r="AA30" s="347"/>
      <c r="AB30" s="576"/>
      <c r="AC30" s="576"/>
    </row>
    <row r="31" spans="1:96">
      <c r="AA31" s="347"/>
      <c r="AB31" s="576"/>
      <c r="AC31" s="576"/>
    </row>
    <row r="32" spans="1:96">
      <c r="AA32" s="347"/>
    </row>
    <row r="33" spans="2:56">
      <c r="AA33" s="347"/>
    </row>
    <row r="34" spans="2:56">
      <c r="AA34" s="347"/>
    </row>
    <row r="37" spans="2:56">
      <c r="BD37" s="341" t="s">
        <v>907</v>
      </c>
    </row>
    <row r="38" spans="2:56" ht="15" thickBot="1">
      <c r="B38" s="562"/>
      <c r="C38" s="1551" t="s">
        <v>18</v>
      </c>
      <c r="D38" s="1546"/>
      <c r="E38" s="615"/>
      <c r="F38" s="615"/>
      <c r="G38" s="615"/>
      <c r="H38" s="615"/>
      <c r="I38" s="615"/>
      <c r="J38" s="615"/>
      <c r="K38" s="615"/>
      <c r="L38" s="615"/>
      <c r="M38" s="615"/>
      <c r="N38" s="615"/>
      <c r="O38" s="615"/>
      <c r="P38" s="615"/>
      <c r="Q38" s="615"/>
      <c r="R38" s="615"/>
      <c r="S38" s="615"/>
      <c r="T38" s="615"/>
      <c r="U38" s="615"/>
      <c r="V38" s="615"/>
      <c r="W38" s="1163"/>
      <c r="X38" s="1163"/>
      <c r="Y38" s="1163"/>
      <c r="Z38" s="1163"/>
      <c r="AA38" s="700"/>
      <c r="AB38" s="700"/>
      <c r="AC38" s="700"/>
      <c r="AD38" s="700"/>
      <c r="AE38" s="700"/>
      <c r="AF38" s="700"/>
      <c r="AG38" s="700"/>
      <c r="AH38" s="700"/>
      <c r="AI38" s="1389"/>
      <c r="AJ38" s="1389" t="s">
        <v>0</v>
      </c>
      <c r="AK38" s="1389" t="s">
        <v>0</v>
      </c>
      <c r="AL38" s="700"/>
      <c r="AM38" s="700"/>
      <c r="AN38" s="700"/>
      <c r="AO38" s="700"/>
      <c r="AP38" s="700"/>
      <c r="AQ38" s="700"/>
      <c r="AR38" s="700"/>
      <c r="AS38" s="564"/>
      <c r="BB38" s="1177" t="s">
        <v>19</v>
      </c>
      <c r="BC38" s="289">
        <f>Summary!AI40</f>
        <v>12.487183768517799</v>
      </c>
      <c r="BD38" s="619">
        <f t="shared" ref="BD38:BD47" si="13">BC38/$BC$47</f>
        <v>0.18626626949331027</v>
      </c>
    </row>
    <row r="39" spans="2:56" ht="15" thickBot="1">
      <c r="B39" s="565"/>
      <c r="C39" s="206" t="s">
        <v>2</v>
      </c>
      <c r="D39" s="207">
        <v>1990</v>
      </c>
      <c r="E39" s="207">
        <v>1991</v>
      </c>
      <c r="F39" s="207">
        <v>1992</v>
      </c>
      <c r="G39" s="207">
        <v>1993</v>
      </c>
      <c r="H39" s="207">
        <v>1994</v>
      </c>
      <c r="I39" s="207">
        <v>1995</v>
      </c>
      <c r="J39" s="207">
        <v>1996</v>
      </c>
      <c r="K39" s="207">
        <v>1997</v>
      </c>
      <c r="L39" s="207">
        <v>1998</v>
      </c>
      <c r="M39" s="207">
        <v>1999</v>
      </c>
      <c r="N39" s="207">
        <v>2000</v>
      </c>
      <c r="O39" s="207">
        <v>2001</v>
      </c>
      <c r="P39" s="207">
        <v>2002</v>
      </c>
      <c r="Q39" s="207">
        <v>2003</v>
      </c>
      <c r="R39" s="207">
        <v>2004</v>
      </c>
      <c r="S39" s="207">
        <v>2005</v>
      </c>
      <c r="T39" s="207">
        <v>2006</v>
      </c>
      <c r="U39" s="207">
        <v>2007</v>
      </c>
      <c r="V39" s="207">
        <v>2008</v>
      </c>
      <c r="W39" s="207">
        <v>2009</v>
      </c>
      <c r="X39" s="207">
        <v>2010</v>
      </c>
      <c r="Y39" s="207">
        <v>2011</v>
      </c>
      <c r="Z39" s="207">
        <v>2012</v>
      </c>
      <c r="AA39" s="207">
        <v>2013</v>
      </c>
      <c r="AB39" s="207">
        <v>2014</v>
      </c>
      <c r="AC39" s="207">
        <v>2015</v>
      </c>
      <c r="AD39" s="207">
        <v>2016</v>
      </c>
      <c r="AE39" s="207">
        <v>2017</v>
      </c>
      <c r="AF39" s="207">
        <v>2018</v>
      </c>
      <c r="AG39" s="207">
        <v>2019</v>
      </c>
      <c r="AH39" s="1545">
        <v>2020</v>
      </c>
      <c r="AI39" s="207">
        <v>2021</v>
      </c>
      <c r="AJ39" s="207">
        <v>2022</v>
      </c>
      <c r="AK39" s="207">
        <v>2023</v>
      </c>
      <c r="AL39" s="207">
        <v>2024</v>
      </c>
      <c r="AM39" s="207">
        <v>2025</v>
      </c>
      <c r="AN39" s="207">
        <v>2026</v>
      </c>
      <c r="AO39" s="207">
        <v>2027</v>
      </c>
      <c r="AP39" s="207">
        <v>2028</v>
      </c>
      <c r="AQ39" s="207">
        <v>2029</v>
      </c>
      <c r="AR39" s="207">
        <v>2030</v>
      </c>
      <c r="AS39" s="616"/>
      <c r="BB39" s="1177" t="s">
        <v>20</v>
      </c>
      <c r="BC39" s="289">
        <f>Summary!AI41</f>
        <v>25.606773851436834</v>
      </c>
      <c r="BD39" s="619">
        <f t="shared" si="13"/>
        <v>0.38196588818458099</v>
      </c>
    </row>
    <row r="40" spans="2:56" ht="15" thickBot="1">
      <c r="B40" s="565"/>
      <c r="C40" s="1185" t="s">
        <v>19</v>
      </c>
      <c r="D40" s="208">
        <f>Process!D27</f>
        <v>28.162431330116149</v>
      </c>
      <c r="E40" s="208">
        <f>Process!E27</f>
        <v>28.264086112233116</v>
      </c>
      <c r="F40" s="208">
        <f>Process!F27</f>
        <v>27.083465220071602</v>
      </c>
      <c r="G40" s="208">
        <f>Process!G27</f>
        <v>25.451998026482251</v>
      </c>
      <c r="H40" s="208">
        <f>Process!H27</f>
        <v>25.542371596902726</v>
      </c>
      <c r="I40" s="208">
        <f>Process!I27</f>
        <v>24.730600517332238</v>
      </c>
      <c r="J40" s="208">
        <f>Process!J27</f>
        <v>24.518556551976403</v>
      </c>
      <c r="K40" s="208">
        <f>Process!K27</f>
        <v>28.637910619201154</v>
      </c>
      <c r="L40" s="208">
        <f>Process!L27</f>
        <v>29.274838185751442</v>
      </c>
      <c r="M40" s="208">
        <f>Process!M27</f>
        <v>27.873815490312378</v>
      </c>
      <c r="N40" s="208">
        <f>Process!N27</f>
        <v>27.075557122322671</v>
      </c>
      <c r="O40" s="208">
        <f>Process!O27</f>
        <v>26.559330292919292</v>
      </c>
      <c r="P40" s="208">
        <f>Process!P27</f>
        <v>28.147865293131488</v>
      </c>
      <c r="Q40" s="208">
        <f>Process!Q27</f>
        <v>29.637442609853473</v>
      </c>
      <c r="R40" s="208">
        <f>Process!R27</f>
        <v>28.528546079837444</v>
      </c>
      <c r="S40" s="208">
        <f>Process!S27</f>
        <v>29.976864897845587</v>
      </c>
      <c r="T40" s="208">
        <f>Process!T27</f>
        <v>26.19038906719242</v>
      </c>
      <c r="U40" s="208">
        <f>Process!U27</f>
        <v>27.844045358831437</v>
      </c>
      <c r="V40" s="208">
        <f>Process!V27</f>
        <v>25.13013733492188</v>
      </c>
      <c r="W40" s="208">
        <f>Process!W27</f>
        <v>22.503797074130041</v>
      </c>
      <c r="X40" s="208">
        <f>Process!X27</f>
        <v>23.211385774661306</v>
      </c>
      <c r="Y40" s="208">
        <f>Process!Y27</f>
        <v>18.281940039005288</v>
      </c>
      <c r="Z40" s="208">
        <f>Process!Z27</f>
        <v>15.861730129389429</v>
      </c>
      <c r="AA40" s="208">
        <f>Process!AA27</f>
        <v>16.451256344134194</v>
      </c>
      <c r="AB40" s="208">
        <f>Process!AB27</f>
        <v>14.884632747448642</v>
      </c>
      <c r="AC40" s="208">
        <f>Process!AC27</f>
        <v>15.686193143295164</v>
      </c>
      <c r="AD40" s="208">
        <f>Process!AD27</f>
        <v>14.734080530776255</v>
      </c>
      <c r="AE40" s="208">
        <f>Process!AE27</f>
        <v>13.614624372124677</v>
      </c>
      <c r="AF40" s="1079">
        <f>Process!AF27</f>
        <v>12.134257177687315</v>
      </c>
      <c r="AG40" s="208">
        <f>Process!AG27</f>
        <v>10.722427179823482</v>
      </c>
      <c r="AH40" s="208">
        <f>Process!AH27</f>
        <v>12.806025117602701</v>
      </c>
      <c r="AI40" s="208">
        <f>Process!AI27</f>
        <v>12.487183768517799</v>
      </c>
      <c r="AJ40" s="749">
        <f>Process!AJ27</f>
        <v>8.0966232379189282</v>
      </c>
      <c r="AK40" s="749">
        <f>Process!AK27</f>
        <v>5.86</v>
      </c>
      <c r="AL40" s="1289"/>
      <c r="AM40" s="1289"/>
      <c r="AN40" s="1289"/>
      <c r="AO40" s="1289"/>
      <c r="AP40" s="1289"/>
      <c r="AQ40" s="1289"/>
      <c r="AR40" s="1289"/>
      <c r="AS40" s="616"/>
      <c r="BB40" s="1177" t="s">
        <v>21</v>
      </c>
      <c r="BC40" s="289">
        <f>Summary!AI42</f>
        <v>10.750426620917228</v>
      </c>
      <c r="BD40" s="619">
        <f t="shared" si="13"/>
        <v>0.16035976560129625</v>
      </c>
    </row>
    <row r="41" spans="2:56" ht="15" thickBot="1">
      <c r="B41" s="565"/>
      <c r="C41" s="1185" t="s">
        <v>20</v>
      </c>
      <c r="D41" s="1170">
        <f>Process!D24</f>
        <v>29.581745501205152</v>
      </c>
      <c r="E41" s="1171">
        <f>Process!E24</f>
        <v>28.008157894701178</v>
      </c>
      <c r="F41" s="1171">
        <f>Process!F24</f>
        <v>27.563413985474689</v>
      </c>
      <c r="G41" s="1171">
        <f>Process!G24</f>
        <v>27.772478299795356</v>
      </c>
      <c r="H41" s="1171">
        <f>Process!H24</f>
        <v>28.042783422795132</v>
      </c>
      <c r="I41" s="1171">
        <f>Process!I24</f>
        <v>28.704985829013353</v>
      </c>
      <c r="J41" s="1171">
        <f>Process!J24</f>
        <v>29.563275834798592</v>
      </c>
      <c r="K41" s="1171">
        <f>Process!K24</f>
        <v>29.897702983833565</v>
      </c>
      <c r="L41" s="1171">
        <f>Process!L24</f>
        <v>30.181109205449104</v>
      </c>
      <c r="M41" s="1171">
        <f>Process!M24</f>
        <v>30.790053220998082</v>
      </c>
      <c r="N41" s="1171">
        <f>Process!N24</f>
        <v>31.933517863915544</v>
      </c>
      <c r="O41" s="1171">
        <f>Process!O24</f>
        <v>31.430585003037418</v>
      </c>
      <c r="P41" s="1171">
        <f>Process!P24</f>
        <v>31.574740568992283</v>
      </c>
      <c r="Q41" s="1171">
        <f>Process!Q24</f>
        <v>31.975501264052333</v>
      </c>
      <c r="R41" s="1171">
        <f>Process!R24</f>
        <v>33.215146622359377</v>
      </c>
      <c r="S41" s="1171">
        <f>Process!S24</f>
        <v>33.175691422999876</v>
      </c>
      <c r="T41" s="1171">
        <f>Process!T24</f>
        <v>32.288107111618324</v>
      </c>
      <c r="U41" s="1171">
        <f>Process!U24</f>
        <v>32.541825019643213</v>
      </c>
      <c r="V41" s="1171">
        <f>Process!V24</f>
        <v>31.54022746940004</v>
      </c>
      <c r="W41" s="1171">
        <f>Process!W24</f>
        <v>29.587581784741189</v>
      </c>
      <c r="X41" s="1171">
        <f>Process!X24</f>
        <v>29.777333231530921</v>
      </c>
      <c r="Y41" s="1171">
        <f>Process!Y24</f>
        <v>29.714058402593366</v>
      </c>
      <c r="Z41" s="1171">
        <f>Process!Z24</f>
        <v>29.128761594393538</v>
      </c>
      <c r="AA41" s="1171">
        <f>Process!AA24</f>
        <v>30.369155716681494</v>
      </c>
      <c r="AB41" s="1171">
        <f>Process!AB24</f>
        <v>28.526599424836107</v>
      </c>
      <c r="AC41" s="1171">
        <f>Process!AC24</f>
        <v>28.936034779613621</v>
      </c>
      <c r="AD41" s="1172">
        <f>Process!AD24</f>
        <v>29.270928447936527</v>
      </c>
      <c r="AE41" s="1172">
        <f>Process!AE24</f>
        <v>28.685739090034748</v>
      </c>
      <c r="AF41" s="1172">
        <f>Process!AF24</f>
        <v>29.324613555027671</v>
      </c>
      <c r="AG41" s="1172">
        <f>Process!AG24</f>
        <v>29.077598592722559</v>
      </c>
      <c r="AH41" s="1172">
        <f>Process!AH24</f>
        <v>22.943227217729611</v>
      </c>
      <c r="AI41" s="1172">
        <f>Process!AI24</f>
        <v>25.606773851436834</v>
      </c>
      <c r="AJ41" s="1173">
        <f>Process!AJ24</f>
        <v>25.942382472066328</v>
      </c>
      <c r="AK41" s="1173"/>
      <c r="AL41" s="1289"/>
      <c r="AM41" s="1289"/>
      <c r="AN41" s="1289"/>
      <c r="AO41" s="1289"/>
      <c r="AP41" s="1289"/>
      <c r="AQ41" s="1289"/>
      <c r="AR41" s="1289"/>
      <c r="AS41" s="616"/>
      <c r="BB41" s="1177" t="s">
        <v>22</v>
      </c>
      <c r="BC41" s="289">
        <f>Summary!AI43</f>
        <v>12.587212421548125</v>
      </c>
      <c r="BD41" s="619">
        <f t="shared" si="13"/>
        <v>0.1877583564512498</v>
      </c>
    </row>
    <row r="42" spans="2:56" ht="15" thickBot="1">
      <c r="B42" s="565"/>
      <c r="C42" s="1185" t="s">
        <v>21</v>
      </c>
      <c r="D42" s="208">
        <f>Process!D15+Process!D18+Process!D19</f>
        <v>14.055381766855493</v>
      </c>
      <c r="E42" s="208">
        <f>Process!E15+Process!E18+Process!E19</f>
        <v>13.965558398901575</v>
      </c>
      <c r="F42" s="208">
        <f>Process!F15+Process!F18+Process!F19</f>
        <v>15.454769724684319</v>
      </c>
      <c r="G42" s="208">
        <f>Process!G15+Process!G18+Process!G19</f>
        <v>14.67203489478517</v>
      </c>
      <c r="H42" s="208">
        <f>Process!H15+Process!H18+Process!H19</f>
        <v>14.660335216953548</v>
      </c>
      <c r="I42" s="208">
        <f>Process!I15+Process!I18+Process!I19</f>
        <v>14.073623515161968</v>
      </c>
      <c r="J42" s="208">
        <f>Process!J15+Process!J18+Process!J19</f>
        <v>14.15621980544649</v>
      </c>
      <c r="K42" s="208">
        <f>Process!K15+Process!K18+Process!K19</f>
        <v>14.646433540028744</v>
      </c>
      <c r="L42" s="208">
        <f>Process!L15+Process!L18+Process!L19</f>
        <v>12.944191510867268</v>
      </c>
      <c r="M42" s="208">
        <f>Process!M15+Process!M18+Process!M19</f>
        <v>11.762979696742423</v>
      </c>
      <c r="N42" s="208">
        <f>Process!N15+Process!N18+Process!N19</f>
        <v>12.226723049190603</v>
      </c>
      <c r="O42" s="208">
        <f>Process!O15+Process!O18+Process!O19</f>
        <v>12.341527856577594</v>
      </c>
      <c r="P42" s="208">
        <f>Process!P15+Process!P18+Process!P19</f>
        <v>12.365749464250435</v>
      </c>
      <c r="Q42" s="208">
        <f>Process!Q15+Process!Q18+Process!Q19</f>
        <v>11.543804403142637</v>
      </c>
      <c r="R42" s="208">
        <f>Process!R15+Process!R18+Process!R19</f>
        <v>10.859946077193735</v>
      </c>
      <c r="S42" s="208">
        <f>Process!S15+Process!S18+Process!S19</f>
        <v>11.251302307188087</v>
      </c>
      <c r="T42" s="208">
        <f>Process!T15+Process!T18+Process!T19</f>
        <v>9.445686993980253</v>
      </c>
      <c r="U42" s="208">
        <f>Process!U15+Process!U18+Process!U19</f>
        <v>9.694596477951098</v>
      </c>
      <c r="V42" s="208">
        <f>Process!V15+Process!V18+Process!V19</f>
        <v>9.611009602596063</v>
      </c>
      <c r="W42" s="208">
        <f>Process!W15+Process!W18+Process!W19</f>
        <v>9.1116623697373953</v>
      </c>
      <c r="X42" s="208">
        <f>Process!X15+Process!X18+Process!X19</f>
        <v>10.471446418321657</v>
      </c>
      <c r="Y42" s="208">
        <f>Process!Y15+Process!Y18+Process!Y19</f>
        <v>10.238267466139469</v>
      </c>
      <c r="Z42" s="208">
        <f>Process!Z15+Process!Z18+Process!Z19</f>
        <v>8.5874396613112118</v>
      </c>
      <c r="AA42" s="208">
        <f>Process!AA15+Process!AA18+Process!AA19</f>
        <v>10.306058888553265</v>
      </c>
      <c r="AB42" s="208">
        <f>Process!AB15+Process!AB18+Process!AB19</f>
        <v>10.615654374570585</v>
      </c>
      <c r="AC42" s="208">
        <f>Process!AC15+Process!AC18+Process!AC19</f>
        <v>11.032681748556765</v>
      </c>
      <c r="AD42" s="208">
        <f>Process!AD15+Process!AD18+Process!AD19</f>
        <v>10.234608706845753</v>
      </c>
      <c r="AE42" s="208">
        <f>Process!AE15+Process!AE18+Process!AE19</f>
        <v>10.661053991425302</v>
      </c>
      <c r="AF42" s="208">
        <f>Process!AF15+Process!AF18+Process!AF19</f>
        <v>11.234541401531541</v>
      </c>
      <c r="AG42" s="208">
        <f>Process!AG15+Process!AG18+Process!AG19</f>
        <v>11.503669098737809</v>
      </c>
      <c r="AH42" s="208">
        <f>Process!AH15+Process!AH18+Process!AH19</f>
        <v>10.450612711543293</v>
      </c>
      <c r="AI42" s="208">
        <f>Process!AI15+Process!AI18+Process!AI19</f>
        <v>10.750426620917228</v>
      </c>
      <c r="AJ42" s="749">
        <f>Process!AJ15+Process!AJ18+Process!AJ19</f>
        <v>11.597388798468089</v>
      </c>
      <c r="AK42" s="749"/>
      <c r="AL42" s="1289"/>
      <c r="AM42" s="1289"/>
      <c r="AN42" s="1289"/>
      <c r="AO42" s="1289"/>
      <c r="AP42" s="1289"/>
      <c r="AQ42" s="1289"/>
      <c r="AR42" s="1289"/>
      <c r="AS42" s="616"/>
      <c r="BB42" s="1177" t="s">
        <v>7</v>
      </c>
      <c r="BC42" s="289">
        <f>Summary!AI44</f>
        <v>4.1022563243660644</v>
      </c>
      <c r="BD42" s="619">
        <f t="shared" si="13"/>
        <v>6.1191698321238386E-2</v>
      </c>
    </row>
    <row r="43" spans="2:56" ht="15" thickBot="1">
      <c r="B43" s="565"/>
      <c r="C43" s="1185" t="s">
        <v>22</v>
      </c>
      <c r="D43" s="208">
        <f>Process!D12</f>
        <v>15.31365040534536</v>
      </c>
      <c r="E43" s="208">
        <f>Process!E12</f>
        <v>14.518561901071035</v>
      </c>
      <c r="F43" s="208">
        <f>Process!F12</f>
        <v>16.637356745667098</v>
      </c>
      <c r="G43" s="208">
        <f>Process!G12</f>
        <v>16.765001626446431</v>
      </c>
      <c r="H43" s="208">
        <f>Process!H12</f>
        <v>16.5798858667393</v>
      </c>
      <c r="I43" s="208">
        <f>Process!I12</f>
        <v>14.981382499081906</v>
      </c>
      <c r="J43" s="208">
        <f>Process!J12</f>
        <v>14.782858365913285</v>
      </c>
      <c r="K43" s="208">
        <f>Process!K12</f>
        <v>14.564592342096233</v>
      </c>
      <c r="L43" s="208">
        <f>Process!L12</f>
        <v>13.354760517636457</v>
      </c>
      <c r="M43" s="208">
        <f>Process!M12</f>
        <v>14.184525556803141</v>
      </c>
      <c r="N43" s="208">
        <f>Process!N12</f>
        <v>15.873185523164093</v>
      </c>
      <c r="O43" s="208">
        <f>Process!O12</f>
        <v>16.199011137428776</v>
      </c>
      <c r="P43" s="208">
        <f>Process!P12</f>
        <v>16.119805109343375</v>
      </c>
      <c r="Q43" s="208">
        <f>Process!Q12</f>
        <v>16.601211726566344</v>
      </c>
      <c r="R43" s="208">
        <f>Process!R12</f>
        <v>15.197154479199662</v>
      </c>
      <c r="S43" s="208">
        <f>Process!S12</f>
        <v>15.027210450114723</v>
      </c>
      <c r="T43" s="208">
        <f>Process!T12</f>
        <v>12.930446995074689</v>
      </c>
      <c r="U43" s="208">
        <f>Process!U12</f>
        <v>13.614044734403702</v>
      </c>
      <c r="V43" s="208">
        <f>Process!V12</f>
        <v>14.49159231299309</v>
      </c>
      <c r="W43" s="208">
        <f>Process!W12</f>
        <v>13.995697715436682</v>
      </c>
      <c r="X43" s="208">
        <f>Process!X12</f>
        <v>13.737716464679892</v>
      </c>
      <c r="Y43" s="208">
        <f>Process!Y12</f>
        <v>13.770209257923048</v>
      </c>
      <c r="Z43" s="208">
        <f>Process!Z12</f>
        <v>11.921635639998783</v>
      </c>
      <c r="AA43" s="208">
        <f>Process!AA12</f>
        <v>12.427545793562148</v>
      </c>
      <c r="AB43" s="208">
        <f>Process!AB12</f>
        <v>13.736544746104025</v>
      </c>
      <c r="AC43" s="208">
        <f>Process!AC12</f>
        <v>13.636975173626578</v>
      </c>
      <c r="AD43" s="208">
        <f>Process!AD12</f>
        <v>11.39103932176867</v>
      </c>
      <c r="AE43" s="208">
        <f>Process!AE12</f>
        <v>12.355017974074329</v>
      </c>
      <c r="AF43" s="208">
        <f>Process!AF12</f>
        <v>13.40124690910987</v>
      </c>
      <c r="AG43" s="208">
        <f>Process!AG12</f>
        <v>13.74295509703531</v>
      </c>
      <c r="AH43" s="208">
        <f>Process!AH12</f>
        <v>12.203532691373011</v>
      </c>
      <c r="AI43" s="208">
        <f>Process!AI12</f>
        <v>12.587212421548125</v>
      </c>
      <c r="AJ43" s="208">
        <f>Process!AJ12</f>
        <v>13.000609212674958</v>
      </c>
      <c r="AK43" s="749"/>
      <c r="AL43" s="1289"/>
      <c r="AM43" s="1289"/>
      <c r="AN43" s="1289"/>
      <c r="AO43" s="1289"/>
      <c r="AP43" s="1289"/>
      <c r="AQ43" s="1289"/>
      <c r="AR43" s="1289"/>
      <c r="AS43" s="616"/>
      <c r="BB43" s="1177" t="s">
        <v>23</v>
      </c>
      <c r="BC43" s="289">
        <f>Summary!AI45</f>
        <v>0.62668511331774612</v>
      </c>
      <c r="BD43" s="619">
        <f t="shared" si="13"/>
        <v>9.3480083554936429E-3</v>
      </c>
    </row>
    <row r="44" spans="2:56" ht="15" thickBot="1">
      <c r="B44" s="565"/>
      <c r="C44" s="1185" t="s">
        <v>7</v>
      </c>
      <c r="D44" s="1170">
        <f>Process!D35</f>
        <v>0.65625199051509786</v>
      </c>
      <c r="E44" s="1176">
        <f>Process!E35</f>
        <v>0.63331644452695712</v>
      </c>
      <c r="F44" s="1171">
        <f>Process!F35</f>
        <v>0.65299274390212458</v>
      </c>
      <c r="G44" s="1171">
        <f>Process!G35</f>
        <v>0.72753199127029544</v>
      </c>
      <c r="H44" s="1171">
        <f>Process!H35</f>
        <v>0.87114460853075537</v>
      </c>
      <c r="I44" s="1171">
        <f>Process!I35</f>
        <v>1.1874764653811856</v>
      </c>
      <c r="J44" s="1171">
        <f>Process!J35</f>
        <v>1.3818297182829506</v>
      </c>
      <c r="K44" s="1171">
        <f>Process!K35</f>
        <v>1.5914306750343177</v>
      </c>
      <c r="L44" s="1171">
        <f>Process!L35</f>
        <v>1.8072839076805174</v>
      </c>
      <c r="M44" s="1171">
        <f>Process!M35</f>
        <v>2.0319751903293111</v>
      </c>
      <c r="N44" s="1171">
        <f>Process!N35</f>
        <v>2.1782494890373849</v>
      </c>
      <c r="O44" s="1171">
        <f>Process!O35</f>
        <v>2.2546007709387683</v>
      </c>
      <c r="P44" s="1171">
        <f>Process!P35</f>
        <v>2.4083019604011335</v>
      </c>
      <c r="Q44" s="1171">
        <f>Process!Q35</f>
        <v>2.4356834976929873</v>
      </c>
      <c r="R44" s="1171">
        <f>Process!R35</f>
        <v>2.4599951742250012</v>
      </c>
      <c r="S44" s="1171">
        <f>Process!S35</f>
        <v>2.4957903789544686</v>
      </c>
      <c r="T44" s="1171">
        <f>Process!T35</f>
        <v>2.57163703562829</v>
      </c>
      <c r="U44" s="1171">
        <f>Process!U35</f>
        <v>2.6579478960926655</v>
      </c>
      <c r="V44" s="1171">
        <f>Process!V35</f>
        <v>2.8299968705084821</v>
      </c>
      <c r="W44" s="1171">
        <f>Process!W35</f>
        <v>2.8897573864573465</v>
      </c>
      <c r="X44" s="1171">
        <f>Process!X35</f>
        <v>2.7452187654011122</v>
      </c>
      <c r="Y44" s="1171">
        <f>Process!Y35</f>
        <v>2.9694502142508616</v>
      </c>
      <c r="Z44" s="1171">
        <f>Process!Z35</f>
        <v>3.1868544050475593</v>
      </c>
      <c r="AA44" s="1171">
        <f>Process!AA35</f>
        <v>3.6349955572434878</v>
      </c>
      <c r="AB44" s="1171">
        <f>Process!AB35</f>
        <v>4.0223671955770204</v>
      </c>
      <c r="AC44" s="1171">
        <f>Process!AC35</f>
        <v>3.9056941429484664</v>
      </c>
      <c r="AD44" s="1172">
        <f>Process!AD35</f>
        <v>3.9218385184312834</v>
      </c>
      <c r="AE44" s="1172">
        <f>Process!AE35</f>
        <v>3.4253895318876237</v>
      </c>
      <c r="AF44" s="1172">
        <f>Process!AF35</f>
        <v>3.7961568247384667</v>
      </c>
      <c r="AG44" s="1172">
        <f>Process!AG35</f>
        <v>3.6341921007072808</v>
      </c>
      <c r="AH44" s="1172">
        <f>Process!AH35</f>
        <v>3.9345079101963329</v>
      </c>
      <c r="AI44" s="1172">
        <f>Process!AI35</f>
        <v>4.1022563243660644</v>
      </c>
      <c r="AJ44" s="1173">
        <f>Process!AJ35</f>
        <v>8.6354E-2</v>
      </c>
      <c r="AK44" s="1173"/>
      <c r="AL44" s="1289"/>
      <c r="AM44" s="1289"/>
      <c r="AN44" s="1289"/>
      <c r="AO44" s="1289"/>
      <c r="AP44" s="1289"/>
      <c r="AQ44" s="1289"/>
      <c r="AR44" s="1289"/>
      <c r="AS44" s="616"/>
      <c r="BB44" s="1177" t="s">
        <v>24</v>
      </c>
      <c r="BC44" s="289">
        <f>Summary!AI46</f>
        <v>8.8725644248070154E-2</v>
      </c>
      <c r="BD44" s="619">
        <f t="shared" si="13"/>
        <v>1.3234845477444496E-3</v>
      </c>
    </row>
    <row r="45" spans="2:56" ht="15" thickBot="1">
      <c r="B45" s="565"/>
      <c r="C45" s="1185" t="s">
        <v>23</v>
      </c>
      <c r="D45" s="1170">
        <f>Process!D33</f>
        <v>1.6981171446349697</v>
      </c>
      <c r="E45" s="1171">
        <f>Process!E33</f>
        <v>1.6781368503696887</v>
      </c>
      <c r="F45" s="1171">
        <f>Process!F33</f>
        <v>1.6650160146858348</v>
      </c>
      <c r="G45" s="1171">
        <f>Process!G33</f>
        <v>1.5886060588676603</v>
      </c>
      <c r="H45" s="1171">
        <f>Process!H33</f>
        <v>1.5341390258270899</v>
      </c>
      <c r="I45" s="1171">
        <f>Process!I33</f>
        <v>1.5022669886244335</v>
      </c>
      <c r="J45" s="1171">
        <f>Process!J33</f>
        <v>1.425467376127973</v>
      </c>
      <c r="K45" s="1171">
        <f>Process!K33</f>
        <v>1.3761942204657134</v>
      </c>
      <c r="L45" s="1171">
        <f>Process!L33</f>
        <v>1.3188501590234014</v>
      </c>
      <c r="M45" s="1171">
        <f>Process!M33</f>
        <v>1.2616415488771622</v>
      </c>
      <c r="N45" s="1171">
        <f>Process!N33</f>
        <v>1.2234268228376644</v>
      </c>
      <c r="O45" s="1171">
        <f>Process!O33</f>
        <v>1.1548456256403654</v>
      </c>
      <c r="P45" s="1171">
        <f>Process!P33</f>
        <v>1.1192932542656782</v>
      </c>
      <c r="Q45" s="1171">
        <f>Process!Q33</f>
        <v>1.0689397263294129</v>
      </c>
      <c r="R45" s="1171">
        <f>Process!R33</f>
        <v>1.0549659757958127</v>
      </c>
      <c r="S45" s="1171">
        <f>Process!S33</f>
        <v>0.96388581295203768</v>
      </c>
      <c r="T45" s="1171">
        <f>Process!T33</f>
        <v>0.92709111626173912</v>
      </c>
      <c r="U45" s="1171">
        <f>Process!U33</f>
        <v>0.88512738029058702</v>
      </c>
      <c r="V45" s="1171">
        <f>Process!V33</f>
        <v>0.83374515920712244</v>
      </c>
      <c r="W45" s="1171">
        <f>Process!W33</f>
        <v>0.78517646934640628</v>
      </c>
      <c r="X45" s="1171">
        <f>Process!X33</f>
        <v>0.75292583432142179</v>
      </c>
      <c r="Y45" s="1171">
        <f>Process!Y33</f>
        <v>0.69892539643020735</v>
      </c>
      <c r="Z45" s="1171">
        <f>Process!Z33</f>
        <v>0.69397194514018645</v>
      </c>
      <c r="AA45" s="1171">
        <f>Process!AA33</f>
        <v>0.67896910883578931</v>
      </c>
      <c r="AB45" s="1171">
        <f>Process!AB33</f>
        <v>0.65553191641877306</v>
      </c>
      <c r="AC45" s="1171">
        <f>Process!AC33</f>
        <v>0.65849530228214259</v>
      </c>
      <c r="AD45" s="1171">
        <f>Process!AD33</f>
        <v>0.65450594465976542</v>
      </c>
      <c r="AE45" s="1171">
        <f>Process!AE33</f>
        <v>0.66705800983925934</v>
      </c>
      <c r="AF45" s="1171">
        <f>Process!AF33</f>
        <v>0.65440896196676102</v>
      </c>
      <c r="AG45" s="1172">
        <f>Process!AG33</f>
        <v>0.6409510730212864</v>
      </c>
      <c r="AH45" s="1172">
        <f>Process!AH33</f>
        <v>0.66932286638484029</v>
      </c>
      <c r="AI45" s="1172">
        <f>Process!AI33</f>
        <v>0.62668511331774612</v>
      </c>
      <c r="AJ45" s="1172">
        <f>Process!AJ33</f>
        <v>0.64276940943466943</v>
      </c>
      <c r="AK45" s="1173">
        <f>Process!AK33</f>
        <v>0.30657800682244174</v>
      </c>
      <c r="AL45" s="1289"/>
      <c r="AM45" s="1289"/>
      <c r="AN45" s="1289"/>
      <c r="AO45" s="1289"/>
      <c r="AP45" s="1289"/>
      <c r="AQ45" s="1289"/>
      <c r="AR45" s="1289"/>
      <c r="AS45" s="616"/>
      <c r="BB45" s="1177" t="s">
        <v>10</v>
      </c>
      <c r="BC45" s="289">
        <f>Summary!AI47</f>
        <v>0.19358342282429983</v>
      </c>
      <c r="BD45" s="619">
        <f t="shared" si="13"/>
        <v>2.88760561818083E-3</v>
      </c>
    </row>
    <row r="46" spans="2:56" ht="15" thickBot="1">
      <c r="B46" s="565"/>
      <c r="C46" s="557" t="s">
        <v>24</v>
      </c>
      <c r="D46" s="1170">
        <f>Process!D34</f>
        <v>0.16964798123063266</v>
      </c>
      <c r="E46" s="1175">
        <f>Process!E34</f>
        <v>0.16777733487657098</v>
      </c>
      <c r="F46" s="1175">
        <f>Process!F34</f>
        <v>0.16778510013841447</v>
      </c>
      <c r="G46" s="1175">
        <f>Process!G34</f>
        <v>0.16576515955480578</v>
      </c>
      <c r="H46" s="1175">
        <f>Process!H34</f>
        <v>0.16380309172111826</v>
      </c>
      <c r="I46" s="1175">
        <f>Process!I34</f>
        <v>0.16173003311471829</v>
      </c>
      <c r="J46" s="1175">
        <f>Process!J34</f>
        <v>0.16001422220400752</v>
      </c>
      <c r="K46" s="1175">
        <f>Process!K34</f>
        <v>0.15800112861507337</v>
      </c>
      <c r="L46" s="1175">
        <f>Process!L34</f>
        <v>0.1560715775332838</v>
      </c>
      <c r="M46" s="1175">
        <f>Process!M34</f>
        <v>0.15428253055480623</v>
      </c>
      <c r="N46" s="1175">
        <f>Process!N34</f>
        <v>0.15450406319720827</v>
      </c>
      <c r="O46" s="1175">
        <f>Process!O34</f>
        <v>0.1530439857474456</v>
      </c>
      <c r="P46" s="1175">
        <f>Process!P34</f>
        <v>0.15129719718585574</v>
      </c>
      <c r="Q46" s="1175">
        <f>Process!Q34</f>
        <v>0.14897049077938418</v>
      </c>
      <c r="R46" s="1175">
        <f>Process!R34</f>
        <v>0.14770618235682798</v>
      </c>
      <c r="S46" s="1175">
        <f>Process!S34</f>
        <v>0.14590990431181422</v>
      </c>
      <c r="T46" s="1175">
        <f>Process!T34</f>
        <v>0.14332104875728888</v>
      </c>
      <c r="U46" s="1175">
        <f>Process!U34</f>
        <v>0.14200142797967516</v>
      </c>
      <c r="V46" s="1175">
        <f>Process!V34</f>
        <v>0.17684517647207851</v>
      </c>
      <c r="W46" s="1175">
        <f>Process!W34</f>
        <v>0.17502038504875261</v>
      </c>
      <c r="X46" s="1175">
        <f>Process!X34</f>
        <v>0.21029789575919641</v>
      </c>
      <c r="Y46" s="1175">
        <f>Process!Y34</f>
        <v>0.10074999561542974</v>
      </c>
      <c r="Z46" s="1175">
        <f>Process!Z34</f>
        <v>0.10539637362678343</v>
      </c>
      <c r="AA46" s="1175">
        <f>Process!AA34</f>
        <v>0.10546830514342498</v>
      </c>
      <c r="AB46" s="1175">
        <f>Process!AB34</f>
        <v>0.10412279991765183</v>
      </c>
      <c r="AC46" s="1175">
        <f>Process!AC34</f>
        <v>0.13038141862479291</v>
      </c>
      <c r="AD46" s="1175">
        <f>Process!AD34</f>
        <v>0.11397101453861756</v>
      </c>
      <c r="AE46" s="1175">
        <f>Process!AE34</f>
        <v>6.8076234103085762E-2</v>
      </c>
      <c r="AF46" s="1175">
        <f>Process!AF34</f>
        <v>6.5544943736495637E-2</v>
      </c>
      <c r="AG46" s="208">
        <f>Process!AG34</f>
        <v>7.5421655190406778E-2</v>
      </c>
      <c r="AH46" s="208">
        <f>Process!AH34</f>
        <v>7.1264623775657482E-2</v>
      </c>
      <c r="AI46" s="208">
        <f>Process!AI34</f>
        <v>8.8725644248070154E-2</v>
      </c>
      <c r="AJ46" s="208">
        <f>Process!AJ34</f>
        <v>9.1407659325350527E-2</v>
      </c>
      <c r="AK46" s="749"/>
      <c r="AL46" s="1289"/>
      <c r="AM46" s="1289"/>
      <c r="AN46" s="1289"/>
      <c r="AO46" s="1289"/>
      <c r="AP46" s="1289"/>
      <c r="AQ46" s="1289"/>
      <c r="AR46" s="1289"/>
      <c r="AS46" s="616"/>
      <c r="BB46" s="1177" t="s">
        <v>9</v>
      </c>
      <c r="BC46" s="289">
        <f>Summary!AI48</f>
        <v>0.59657871753171521</v>
      </c>
      <c r="BD46" s="619">
        <f t="shared" si="13"/>
        <v>8.8989234269053995E-3</v>
      </c>
    </row>
    <row r="47" spans="2:56" ht="15" thickBot="1">
      <c r="B47" s="565"/>
      <c r="C47" s="746" t="s">
        <v>10</v>
      </c>
      <c r="D47" s="1174">
        <f>Process!D38</f>
        <v>0.44610076900597256</v>
      </c>
      <c r="E47" s="1175">
        <f>Process!E38</f>
        <v>0.39821865849902877</v>
      </c>
      <c r="F47" s="1175">
        <f>Process!F38</f>
        <v>0.4024590137738116</v>
      </c>
      <c r="G47" s="1175">
        <f>Process!G38</f>
        <v>0.41723952078982274</v>
      </c>
      <c r="H47" s="1175">
        <f>Process!H38</f>
        <v>0.38537380629380164</v>
      </c>
      <c r="I47" s="1175">
        <f>Process!I38</f>
        <v>0.38959088733546887</v>
      </c>
      <c r="J47" s="1175">
        <f>Process!J38</f>
        <v>0.3853494467228562</v>
      </c>
      <c r="K47" s="1175">
        <f>Process!K38</f>
        <v>0.37954245865357722</v>
      </c>
      <c r="L47" s="1175">
        <f>Process!L38</f>
        <v>0.36089604709262979</v>
      </c>
      <c r="M47" s="1175">
        <f>Process!M38</f>
        <v>0.35534423332749382</v>
      </c>
      <c r="N47" s="1175">
        <f>Process!N38</f>
        <v>0.35808927940321517</v>
      </c>
      <c r="O47" s="1175">
        <f>Process!O38</f>
        <v>0.34835342208127046</v>
      </c>
      <c r="P47" s="1175">
        <f>Process!P38</f>
        <v>0.40121522100556378</v>
      </c>
      <c r="Q47" s="1175">
        <f>Process!Q38</f>
        <v>0.35371034819730651</v>
      </c>
      <c r="R47" s="1175">
        <f>Process!R38</f>
        <v>0.34502939445979169</v>
      </c>
      <c r="S47" s="1175">
        <f>Process!S38</f>
        <v>0.36828267265399622</v>
      </c>
      <c r="T47" s="1175">
        <f>Process!T38</f>
        <v>0.46627193708306636</v>
      </c>
      <c r="U47" s="1175">
        <f>Process!U38</f>
        <v>0.45487124021948133</v>
      </c>
      <c r="V47" s="1175">
        <f>Process!V38</f>
        <v>0.33823094475600562</v>
      </c>
      <c r="W47" s="1175">
        <f>Process!W38</f>
        <v>0.31042290716519921</v>
      </c>
      <c r="X47" s="1175">
        <f>Process!X38</f>
        <v>0.32504807625862253</v>
      </c>
      <c r="Y47" s="1175">
        <f>Process!Y38</f>
        <v>0.3007991811743016</v>
      </c>
      <c r="Z47" s="1175">
        <f>Process!Z38</f>
        <v>0.29086338314162158</v>
      </c>
      <c r="AA47" s="1175">
        <f>Process!AA38</f>
        <v>0.3021658883193768</v>
      </c>
      <c r="AB47" s="1175">
        <f>Process!AB38</f>
        <v>0.3051908156739303</v>
      </c>
      <c r="AC47" s="1175">
        <f>Process!AC38</f>
        <v>0.28371044472182944</v>
      </c>
      <c r="AD47" s="1175">
        <f>Process!AD38</f>
        <v>0.2298891465170948</v>
      </c>
      <c r="AE47" s="1175">
        <f>Process!AE38</f>
        <v>0.26630917520767899</v>
      </c>
      <c r="AF47" s="1175">
        <f>Process!AF38</f>
        <v>0.25754276630837303</v>
      </c>
      <c r="AG47" s="208">
        <f>Process!AG38</f>
        <v>0.24873056149142708</v>
      </c>
      <c r="AH47" s="208">
        <f>Process!AH38</f>
        <v>0.21212335344157099</v>
      </c>
      <c r="AI47" s="208">
        <f>Process!AI38</f>
        <v>0.19358342282429983</v>
      </c>
      <c r="AJ47" s="749">
        <f>Process!AJ38</f>
        <v>0</v>
      </c>
      <c r="AK47" s="749"/>
      <c r="AL47" s="1289"/>
      <c r="AM47" s="1289"/>
      <c r="AN47" s="1289"/>
      <c r="AO47" s="1289"/>
      <c r="AP47" s="1289"/>
      <c r="AQ47" s="1289"/>
      <c r="AR47" s="1289"/>
      <c r="AS47" s="616"/>
      <c r="BB47" s="235" t="s">
        <v>25</v>
      </c>
      <c r="BC47" s="289">
        <f>Summary!AI49</f>
        <v>67.039425884707882</v>
      </c>
      <c r="BD47" s="619">
        <f t="shared" si="13"/>
        <v>1</v>
      </c>
    </row>
    <row r="48" spans="2:56" ht="15" thickBot="1">
      <c r="B48" s="565"/>
      <c r="C48" s="558" t="s">
        <v>9</v>
      </c>
      <c r="D48" s="209">
        <f>Process!D39</f>
        <v>2.921734225476742</v>
      </c>
      <c r="E48" s="209">
        <f>Process!E39</f>
        <v>2.9659237839785577</v>
      </c>
      <c r="F48" s="209">
        <f>Process!F39</f>
        <v>2.862401582676589</v>
      </c>
      <c r="G48" s="209">
        <f>Process!G39</f>
        <v>2.7443824174725342</v>
      </c>
      <c r="H48" s="209">
        <f>Process!H39</f>
        <v>2.7282481528419806</v>
      </c>
      <c r="I48" s="209">
        <f>Process!I39</f>
        <v>2.7404670425365389</v>
      </c>
      <c r="J48" s="209">
        <f>Process!J39</f>
        <v>2.3611615270182389</v>
      </c>
      <c r="K48" s="209">
        <f>Process!K39</f>
        <v>1.8982744470184132</v>
      </c>
      <c r="L48" s="209">
        <f>Process!L39</f>
        <v>1.8189713480355501</v>
      </c>
      <c r="M48" s="209">
        <f>Process!M39</f>
        <v>1.8304455997009095</v>
      </c>
      <c r="N48" s="209">
        <f>Process!N39</f>
        <v>1.2371687987727549</v>
      </c>
      <c r="O48" s="209">
        <f>Process!O39</f>
        <v>0.89743217109974038</v>
      </c>
      <c r="P48" s="209">
        <f>Process!P39</f>
        <v>1.27497069222323</v>
      </c>
      <c r="Q48" s="209">
        <f>Process!Q39</f>
        <v>1.7601777880702902</v>
      </c>
      <c r="R48" s="209">
        <f>Process!R39</f>
        <v>1.5207752370939525</v>
      </c>
      <c r="S48" s="209">
        <f>Process!S39</f>
        <v>1.5359182375503033</v>
      </c>
      <c r="T48" s="209">
        <f>Process!T39</f>
        <v>1.4076566810886841</v>
      </c>
      <c r="U48" s="209">
        <f>Process!U39</f>
        <v>1.3183546181258532</v>
      </c>
      <c r="V48" s="209">
        <f>Process!V39</f>
        <v>1.3279645075594892</v>
      </c>
      <c r="W48" s="209">
        <f>Process!W39</f>
        <v>1.3630454187701677</v>
      </c>
      <c r="X48" s="209">
        <f>Process!X39</f>
        <v>0.86249816472906293</v>
      </c>
      <c r="Y48" s="209">
        <f>Process!Y39</f>
        <v>0.87727465455725784</v>
      </c>
      <c r="Z48" s="209">
        <f>Process!Z39</f>
        <v>0.92211897945822274</v>
      </c>
      <c r="AA48" s="209">
        <f>Process!AA39</f>
        <v>0.82485157614183069</v>
      </c>
      <c r="AB48" s="209">
        <f>Process!AB39</f>
        <v>0.76936372223646177</v>
      </c>
      <c r="AC48" s="209">
        <f>Process!AC39</f>
        <v>0.7797514032990327</v>
      </c>
      <c r="AD48" s="809">
        <f>Process!AD39</f>
        <v>0.74798897998549485</v>
      </c>
      <c r="AE48" s="809">
        <f>Process!AE39</f>
        <v>0.72211531342011004</v>
      </c>
      <c r="AF48" s="809">
        <f>Process!AF39</f>
        <v>0.72011659953318352</v>
      </c>
      <c r="AG48" s="809">
        <f>Process!AG39</f>
        <v>0.72173904594467819</v>
      </c>
      <c r="AH48" s="809">
        <f>Process!AH39</f>
        <v>0.69724852674260518</v>
      </c>
      <c r="AI48" s="809">
        <f>Process!AI39</f>
        <v>0.59657871753171521</v>
      </c>
      <c r="AJ48" s="809">
        <f>Process!AJ39</f>
        <v>0.58348316947643197</v>
      </c>
      <c r="AK48" s="570">
        <f>Process!AK39</f>
        <v>0.42048044254554079</v>
      </c>
      <c r="AL48" s="1290"/>
      <c r="AM48" s="1290"/>
      <c r="AN48" s="1290"/>
      <c r="AO48" s="1290"/>
      <c r="AP48" s="1290"/>
      <c r="AQ48" s="1290"/>
      <c r="AR48" s="1290"/>
      <c r="AS48" s="616"/>
      <c r="BB48" s="235"/>
    </row>
    <row r="49" spans="2:56" ht="15" thickBot="1">
      <c r="B49" s="565"/>
      <c r="C49" s="559" t="s">
        <v>11</v>
      </c>
      <c r="D49" s="821">
        <f t="shared" ref="D49:AG49" si="14">SUM(D40:D48)</f>
        <v>93.005061114385555</v>
      </c>
      <c r="E49" s="821">
        <f t="shared" si="14"/>
        <v>90.599737379157702</v>
      </c>
      <c r="F49" s="821">
        <f t="shared" si="14"/>
        <v>92.489660131074473</v>
      </c>
      <c r="G49" s="821">
        <f t="shared" si="14"/>
        <v>90.305037995464332</v>
      </c>
      <c r="H49" s="821">
        <f t="shared" si="14"/>
        <v>90.508084788605458</v>
      </c>
      <c r="I49" s="821">
        <f t="shared" si="14"/>
        <v>88.4721237775818</v>
      </c>
      <c r="J49" s="821">
        <f t="shared" si="14"/>
        <v>88.734732848490793</v>
      </c>
      <c r="K49" s="821">
        <f t="shared" si="14"/>
        <v>93.15008241494678</v>
      </c>
      <c r="L49" s="821">
        <f t="shared" si="14"/>
        <v>91.216972459069623</v>
      </c>
      <c r="M49" s="821">
        <f t="shared" si="14"/>
        <v>90.245063067645702</v>
      </c>
      <c r="N49" s="821">
        <f t="shared" si="14"/>
        <v>92.260422011841143</v>
      </c>
      <c r="O49" s="821">
        <f t="shared" si="14"/>
        <v>91.338730265470659</v>
      </c>
      <c r="P49" s="821">
        <f t="shared" si="14"/>
        <v>93.563238760799038</v>
      </c>
      <c r="Q49" s="821">
        <f t="shared" si="14"/>
        <v>95.525441854684203</v>
      </c>
      <c r="R49" s="821">
        <f t="shared" si="14"/>
        <v>93.329265222521613</v>
      </c>
      <c r="S49" s="821">
        <f t="shared" si="14"/>
        <v>94.940856084570882</v>
      </c>
      <c r="T49" s="821">
        <f t="shared" si="14"/>
        <v>86.370607986684746</v>
      </c>
      <c r="U49" s="821">
        <f t="shared" si="14"/>
        <v>89.152814153537705</v>
      </c>
      <c r="V49" s="821">
        <f t="shared" si="14"/>
        <v>86.279749378414266</v>
      </c>
      <c r="W49" s="821">
        <f t="shared" si="14"/>
        <v>80.722161510833189</v>
      </c>
      <c r="X49" s="821">
        <f t="shared" si="14"/>
        <v>82.093870625663186</v>
      </c>
      <c r="Y49" s="821">
        <f t="shared" si="14"/>
        <v>76.951674607689228</v>
      </c>
      <c r="Z49" s="821">
        <f t="shared" si="14"/>
        <v>70.698772111507338</v>
      </c>
      <c r="AA49" s="821">
        <f t="shared" si="14"/>
        <v>75.100467178614991</v>
      </c>
      <c r="AB49" s="821">
        <f t="shared" si="14"/>
        <v>73.620007742783187</v>
      </c>
      <c r="AC49" s="821">
        <f t="shared" si="14"/>
        <v>75.049917556968396</v>
      </c>
      <c r="AD49" s="821">
        <f t="shared" si="14"/>
        <v>71.298850611459457</v>
      </c>
      <c r="AE49" s="821">
        <f t="shared" si="14"/>
        <v>70.465383692116816</v>
      </c>
      <c r="AF49" s="821">
        <f t="shared" si="14"/>
        <v>71.588429139639686</v>
      </c>
      <c r="AG49" s="1248">
        <f t="shared" si="14"/>
        <v>70.367684404674236</v>
      </c>
      <c r="AH49" s="1248">
        <f t="shared" ref="AH49:AI49" si="15">SUM(AH40:AH48)</f>
        <v>63.98786501878962</v>
      </c>
      <c r="AI49" s="1248">
        <f t="shared" si="15"/>
        <v>67.039425884707882</v>
      </c>
      <c r="AJ49" s="1248"/>
      <c r="AK49" s="572"/>
      <c r="AL49" s="572"/>
      <c r="AM49" s="572"/>
      <c r="AN49" s="572"/>
      <c r="AO49" s="572"/>
      <c r="AP49" s="572"/>
      <c r="AQ49" s="572"/>
      <c r="AR49" s="572"/>
      <c r="AS49" s="616"/>
      <c r="BB49" s="235"/>
    </row>
    <row r="50" spans="2:56" ht="15" thickBot="1">
      <c r="B50" s="565"/>
      <c r="C50" s="560" t="s">
        <v>12</v>
      </c>
      <c r="D50" s="532"/>
      <c r="E50" s="561">
        <f t="shared" ref="E50:AH50" si="16">-(100-((E49/D49)*100))</f>
        <v>-2.5862288636847239</v>
      </c>
      <c r="F50" s="561">
        <f t="shared" si="16"/>
        <v>2.0860134991423678</v>
      </c>
      <c r="G50" s="561">
        <f t="shared" si="16"/>
        <v>-2.3620176920470186</v>
      </c>
      <c r="H50" s="561">
        <f t="shared" si="16"/>
        <v>0.22484547667353638</v>
      </c>
      <c r="I50" s="561">
        <f t="shared" si="16"/>
        <v>-2.2494797186118092</v>
      </c>
      <c r="J50" s="561">
        <f t="shared" si="16"/>
        <v>0.29682690964804692</v>
      </c>
      <c r="K50" s="561">
        <f t="shared" si="16"/>
        <v>4.9758977400596223</v>
      </c>
      <c r="L50" s="561">
        <f t="shared" si="16"/>
        <v>-2.0752638170151272</v>
      </c>
      <c r="M50" s="561">
        <f t="shared" si="16"/>
        <v>-1.0654918325205642</v>
      </c>
      <c r="N50" s="561">
        <f t="shared" si="16"/>
        <v>2.2332068654933295</v>
      </c>
      <c r="O50" s="561">
        <f t="shared" si="16"/>
        <v>-0.99901098030116486</v>
      </c>
      <c r="P50" s="561">
        <f t="shared" si="16"/>
        <v>2.4354493311467849</v>
      </c>
      <c r="Q50" s="561">
        <f t="shared" si="16"/>
        <v>2.0971944963359874</v>
      </c>
      <c r="R50" s="561">
        <f t="shared" si="16"/>
        <v>-2.2990489125435971</v>
      </c>
      <c r="S50" s="561">
        <f t="shared" si="16"/>
        <v>1.726779760032187</v>
      </c>
      <c r="T50" s="561">
        <f t="shared" si="16"/>
        <v>-9.0269336630501584</v>
      </c>
      <c r="U50" s="561">
        <f t="shared" si="16"/>
        <v>3.2212418457004333</v>
      </c>
      <c r="V50" s="561">
        <f t="shared" si="16"/>
        <v>-3.2226293722770123</v>
      </c>
      <c r="W50" s="561">
        <f t="shared" si="16"/>
        <v>-6.4413583808711081</v>
      </c>
      <c r="X50" s="561">
        <f t="shared" si="16"/>
        <v>1.6992968091493736</v>
      </c>
      <c r="Y50" s="561">
        <f t="shared" si="16"/>
        <v>-6.263800182381047</v>
      </c>
      <c r="Z50" s="561">
        <f t="shared" si="16"/>
        <v>-8.1257523349038081</v>
      </c>
      <c r="AA50" s="561">
        <f t="shared" si="16"/>
        <v>6.2259851701034279</v>
      </c>
      <c r="AB50" s="561">
        <f t="shared" si="16"/>
        <v>-1.9713052281163073</v>
      </c>
      <c r="AC50" s="561">
        <f t="shared" si="16"/>
        <v>1.942284248571525</v>
      </c>
      <c r="AD50" s="561">
        <f t="shared" si="16"/>
        <v>-4.9980960241050241</v>
      </c>
      <c r="AE50" s="561">
        <f t="shared" si="16"/>
        <v>-1.168976655576941</v>
      </c>
      <c r="AF50" s="1075">
        <f t="shared" si="16"/>
        <v>1.5937548178688274</v>
      </c>
      <c r="AG50" s="1075">
        <f t="shared" si="16"/>
        <v>-1.7052263188849679</v>
      </c>
      <c r="AH50" s="1075">
        <f t="shared" si="16"/>
        <v>-9.0664051828040897</v>
      </c>
      <c r="AI50" s="561">
        <f t="shared" ref="AI50" si="17">-(100-((AI49/AH49)*100))</f>
        <v>4.7689680926566069</v>
      </c>
      <c r="AJ50" s="1075"/>
      <c r="AK50" s="1075"/>
      <c r="AL50" s="1075"/>
      <c r="AM50" s="1075"/>
      <c r="AN50" s="1075"/>
      <c r="AO50" s="1075"/>
      <c r="AP50" s="1075"/>
      <c r="AQ50" s="1075"/>
      <c r="AR50" s="1075"/>
      <c r="AS50" s="616"/>
      <c r="BB50" s="235"/>
    </row>
    <row r="51" spans="2:56" ht="15" thickBot="1">
      <c r="B51" s="565"/>
      <c r="C51" s="560" t="s">
        <v>13</v>
      </c>
      <c r="D51" s="532"/>
      <c r="E51" s="561">
        <f t="shared" ref="E51:AF51" si="18">-(100-((E49/$D$49)*100))</f>
        <v>-2.5862288636847239</v>
      </c>
      <c r="F51" s="561">
        <f t="shared" si="18"/>
        <v>-0.55416444775751472</v>
      </c>
      <c r="G51" s="561">
        <f t="shared" si="18"/>
        <v>-2.9030926775054837</v>
      </c>
      <c r="H51" s="561">
        <f t="shared" si="18"/>
        <v>-2.6847746734009519</v>
      </c>
      <c r="I51" s="561">
        <f t="shared" si="18"/>
        <v>-4.8738609302441773</v>
      </c>
      <c r="J51" s="561">
        <f t="shared" si="18"/>
        <v>-4.5915009513759202</v>
      </c>
      <c r="K51" s="561">
        <f t="shared" si="18"/>
        <v>0.15592839660936875</v>
      </c>
      <c r="L51" s="561">
        <f t="shared" si="18"/>
        <v>-1.9225713460010354</v>
      </c>
      <c r="M51" s="561">
        <f t="shared" si="18"/>
        <v>-2.9675783378555849</v>
      </c>
      <c r="N51" s="561">
        <f t="shared" si="18"/>
        <v>-0.80064363554214424</v>
      </c>
      <c r="O51" s="561">
        <f t="shared" si="18"/>
        <v>-1.7916560980111598</v>
      </c>
      <c r="P51" s="561">
        <f t="shared" si="18"/>
        <v>0.60015835668016848</v>
      </c>
      <c r="Q51" s="561">
        <f t="shared" si="18"/>
        <v>2.7099393410417321</v>
      </c>
      <c r="R51" s="561">
        <f t="shared" si="18"/>
        <v>0.34858759754732205</v>
      </c>
      <c r="S51" s="561">
        <f t="shared" si="18"/>
        <v>2.0813866976599655</v>
      </c>
      <c r="T51" s="561">
        <f t="shared" si="18"/>
        <v>-7.1334323618595192</v>
      </c>
      <c r="U51" s="561">
        <f t="shared" si="18"/>
        <v>-4.1419756244340533</v>
      </c>
      <c r="V51" s="561">
        <f t="shared" si="18"/>
        <v>-7.2311244736454938</v>
      </c>
      <c r="W51" s="561">
        <f t="shared" si="18"/>
        <v>-13.206700212202222</v>
      </c>
      <c r="X51" s="561">
        <f t="shared" si="18"/>
        <v>-11.731824438352717</v>
      </c>
      <c r="Y51" s="561">
        <f t="shared" si="18"/>
        <v>-17.260766580167626</v>
      </c>
      <c r="Z51" s="561">
        <f t="shared" si="18"/>
        <v>-23.983951771661154</v>
      </c>
      <c r="AA51" s="561">
        <f t="shared" si="18"/>
        <v>-19.251203882066122</v>
      </c>
      <c r="AB51" s="561">
        <f t="shared" si="18"/>
        <v>-20.843009121579925</v>
      </c>
      <c r="AC51" s="561">
        <f t="shared" si="18"/>
        <v>-19.305555356105188</v>
      </c>
      <c r="AD51" s="561">
        <f t="shared" si="18"/>
        <v>-23.338741185525322</v>
      </c>
      <c r="AE51" s="561">
        <f t="shared" si="18"/>
        <v>-24.234893404937949</v>
      </c>
      <c r="AF51" s="1075">
        <f t="shared" si="18"/>
        <v>-23.027383368315697</v>
      </c>
      <c r="AG51" s="1075">
        <f t="shared" ref="AG51:AH51" si="19">-(100-((AG49/$D$49)*100))</f>
        <v>-24.339940685453612</v>
      </c>
      <c r="AH51" s="1075">
        <f t="shared" si="19"/>
        <v>-31.1995882244603</v>
      </c>
      <c r="AI51" s="1075">
        <f t="shared" ref="AI51" si="20">-(100-((AI49/$D$49)*100))</f>
        <v>-27.918518539268447</v>
      </c>
      <c r="AJ51" s="1075"/>
      <c r="AK51" s="1263"/>
      <c r="AL51" s="1263"/>
      <c r="AM51" s="1263"/>
      <c r="AN51" s="1263"/>
      <c r="AO51" s="1263"/>
      <c r="AP51" s="1263"/>
      <c r="AQ51" s="1263"/>
      <c r="AR51" s="1263"/>
      <c r="AS51" s="616"/>
      <c r="BB51" s="235"/>
    </row>
    <row r="52" spans="2:56" s="235" customFormat="1" ht="15" thickBot="1">
      <c r="B52" s="1469"/>
      <c r="C52" s="560" t="s">
        <v>14</v>
      </c>
      <c r="D52" s="580">
        <f>D17</f>
        <v>69.753795835789177</v>
      </c>
      <c r="E52" s="555"/>
      <c r="F52" s="555"/>
      <c r="G52" s="555"/>
      <c r="H52" s="555"/>
      <c r="I52" s="555"/>
      <c r="J52" s="555"/>
      <c r="K52" s="555"/>
      <c r="L52" s="555"/>
      <c r="M52" s="555"/>
      <c r="N52" s="555"/>
      <c r="O52" s="555"/>
      <c r="P52" s="555"/>
      <c r="Q52" s="555"/>
      <c r="R52" s="555"/>
      <c r="S52" s="555"/>
      <c r="T52" s="555"/>
      <c r="U52" s="555"/>
      <c r="V52" s="555"/>
      <c r="W52" s="555"/>
      <c r="X52" s="555"/>
      <c r="Y52" s="555"/>
      <c r="Z52" s="555"/>
      <c r="AA52" s="555"/>
      <c r="AB52" s="555"/>
      <c r="AC52" s="555"/>
      <c r="AD52" s="555"/>
      <c r="AE52" s="555"/>
      <c r="AF52" s="555"/>
      <c r="AG52" s="555"/>
      <c r="AH52" s="555">
        <f>D52</f>
        <v>69.753795835789177</v>
      </c>
      <c r="AI52" s="555"/>
      <c r="AJ52" s="1463"/>
      <c r="AK52" s="1463"/>
      <c r="AL52" s="1463"/>
      <c r="AM52" s="1463"/>
      <c r="AN52" s="1463"/>
      <c r="AO52" s="1463"/>
      <c r="AP52" s="1463"/>
      <c r="AQ52" s="1463"/>
      <c r="AR52" s="1463"/>
      <c r="AS52" s="1552"/>
      <c r="BD52" s="1470" t="s">
        <v>15</v>
      </c>
    </row>
    <row r="53" spans="2:56" s="235" customFormat="1" ht="15" thickBot="1">
      <c r="B53" s="1469"/>
      <c r="C53" s="1287" t="s">
        <v>16</v>
      </c>
      <c r="D53" s="580">
        <f>D18</f>
        <v>63.2</v>
      </c>
      <c r="E53" s="1288"/>
      <c r="F53" s="1288"/>
      <c r="G53" s="1288"/>
      <c r="H53" s="1288"/>
      <c r="I53" s="1288"/>
      <c r="J53" s="1288"/>
      <c r="K53" s="1288"/>
      <c r="L53" s="1288"/>
      <c r="M53" s="1288"/>
      <c r="N53" s="1288"/>
      <c r="O53" s="1288"/>
      <c r="P53" s="1288"/>
      <c r="Q53" s="1288"/>
      <c r="R53" s="1288"/>
      <c r="S53" s="1288"/>
      <c r="T53" s="1288"/>
      <c r="U53" s="1288"/>
      <c r="V53" s="1288"/>
      <c r="W53" s="1288"/>
      <c r="X53" s="1288"/>
      <c r="Y53" s="1288"/>
      <c r="Z53" s="1288"/>
      <c r="AA53" s="1288"/>
      <c r="AB53" s="1288"/>
      <c r="AC53" s="1288"/>
      <c r="AD53" s="1288"/>
      <c r="AE53" s="1288"/>
      <c r="AF53" s="1288"/>
      <c r="AG53" s="1288"/>
      <c r="AH53" s="1288"/>
      <c r="AI53" s="1288"/>
      <c r="AJ53" s="1288"/>
      <c r="AK53" s="1288"/>
      <c r="AL53" s="1288"/>
      <c r="AM53" s="1288">
        <f>D53</f>
        <v>63.2</v>
      </c>
      <c r="AN53" s="1463"/>
      <c r="AO53" s="1463"/>
      <c r="AP53" s="1463"/>
      <c r="AQ53" s="1463"/>
      <c r="AR53" s="1463"/>
      <c r="AS53" s="1552"/>
      <c r="BD53" s="1470"/>
    </row>
    <row r="54" spans="2:56" s="235" customFormat="1" ht="15" thickBot="1">
      <c r="B54" s="1469"/>
      <c r="C54" s="1286" t="s">
        <v>17</v>
      </c>
      <c r="D54" s="580">
        <f t="shared" ref="D54:D55" si="21">D19</f>
        <v>47</v>
      </c>
      <c r="E54" s="555"/>
      <c r="F54" s="555"/>
      <c r="G54" s="555"/>
      <c r="H54" s="555"/>
      <c r="I54" s="555"/>
      <c r="J54" s="555"/>
      <c r="K54" s="555"/>
      <c r="L54" s="555"/>
      <c r="M54" s="555"/>
      <c r="N54" s="555"/>
      <c r="O54" s="555"/>
      <c r="P54" s="555"/>
      <c r="Q54" s="555"/>
      <c r="R54" s="555"/>
      <c r="S54" s="555"/>
      <c r="T54" s="555"/>
      <c r="U54" s="555"/>
      <c r="V54" s="555"/>
      <c r="W54" s="555"/>
      <c r="X54" s="555"/>
      <c r="Y54" s="555"/>
      <c r="Z54" s="555"/>
      <c r="AA54" s="555"/>
      <c r="AB54" s="555"/>
      <c r="AC54" s="555"/>
      <c r="AD54" s="555"/>
      <c r="AE54" s="555"/>
      <c r="AF54" s="555"/>
      <c r="AG54" s="555"/>
      <c r="AH54" s="555"/>
      <c r="AI54" s="1288"/>
      <c r="AJ54" s="1288"/>
      <c r="AK54" s="1288"/>
      <c r="AL54" s="1288"/>
      <c r="AM54" s="1288"/>
      <c r="AN54" s="1288"/>
      <c r="AO54" s="1288"/>
      <c r="AP54" s="1288"/>
      <c r="AQ54" s="1288"/>
      <c r="AR54" s="1288">
        <f>D54</f>
        <v>47</v>
      </c>
      <c r="AS54" s="1552"/>
      <c r="BD54" s="1470"/>
    </row>
    <row r="55" spans="2:56" s="235" customFormat="1" ht="15" thickBot="1">
      <c r="B55" s="1469"/>
      <c r="C55" s="1286" t="s">
        <v>900</v>
      </c>
      <c r="D55" s="580">
        <f t="shared" si="21"/>
        <v>13.950759167157837</v>
      </c>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555"/>
      <c r="AG55" s="555"/>
      <c r="AH55" s="555"/>
      <c r="AI55" s="1288"/>
      <c r="AJ55" s="1288"/>
      <c r="AK55" s="1288"/>
      <c r="AL55" s="1288"/>
      <c r="AM55" s="1288"/>
      <c r="AN55" s="1288"/>
      <c r="AO55" s="1288"/>
      <c r="AP55" s="1288"/>
      <c r="AQ55" s="1288"/>
      <c r="AR55" s="1288"/>
      <c r="AS55" s="1552"/>
      <c r="BD55" s="1470"/>
    </row>
    <row r="56" spans="2:56">
      <c r="B56" s="567"/>
      <c r="C56" s="1314"/>
      <c r="D56" s="1357"/>
      <c r="E56" s="617"/>
      <c r="F56" s="617"/>
      <c r="G56" s="617"/>
      <c r="H56" s="617"/>
      <c r="I56" s="617"/>
      <c r="J56" s="617"/>
      <c r="K56" s="617"/>
      <c r="L56" s="617"/>
      <c r="M56" s="617"/>
      <c r="N56" s="617"/>
      <c r="O56" s="617"/>
      <c r="P56" s="617"/>
      <c r="Q56" s="617"/>
      <c r="R56" s="617"/>
      <c r="S56" s="617"/>
      <c r="T56" s="617"/>
      <c r="U56" s="617"/>
      <c r="V56" s="617"/>
      <c r="W56" s="617"/>
      <c r="X56" s="617"/>
      <c r="Y56" s="617"/>
      <c r="Z56" s="617"/>
      <c r="AA56" s="617"/>
      <c r="AB56" s="617"/>
      <c r="AC56" s="617"/>
      <c r="AD56" s="617"/>
      <c r="AE56" s="617"/>
      <c r="AF56" s="617"/>
      <c r="AG56" s="617"/>
      <c r="AH56" s="617"/>
      <c r="AI56" s="617"/>
      <c r="AJ56" s="617"/>
      <c r="AK56" s="617"/>
      <c r="AL56" s="617"/>
      <c r="AM56" s="617"/>
      <c r="AN56" s="617"/>
      <c r="AO56" s="617"/>
      <c r="AP56" s="617"/>
      <c r="AQ56" s="617"/>
      <c r="AR56" s="617"/>
      <c r="AS56" s="618"/>
      <c r="BB56" s="1177" t="s">
        <v>19</v>
      </c>
      <c r="BC56" s="289">
        <f>Summary!D40</f>
        <v>28.162431330116149</v>
      </c>
      <c r="BD56" s="619">
        <f t="shared" ref="BD56:BD65" si="22">BC56/$BC$65</f>
        <v>0.3028053634143586</v>
      </c>
    </row>
    <row r="57" spans="2:56">
      <c r="AF57" s="270"/>
      <c r="BB57" s="1177" t="s">
        <v>20</v>
      </c>
      <c r="BC57" s="289">
        <f>Summary!D41</f>
        <v>29.581745501205152</v>
      </c>
      <c r="BD57" s="619">
        <f t="shared" si="22"/>
        <v>0.3180659756227997</v>
      </c>
    </row>
    <row r="58" spans="2:56">
      <c r="AF58" s="270"/>
      <c r="BB58" s="1177" t="s">
        <v>21</v>
      </c>
      <c r="BC58" s="289">
        <f>Summary!D42</f>
        <v>14.055381766855493</v>
      </c>
      <c r="BD58" s="619">
        <f t="shared" si="22"/>
        <v>0.15112491297187566</v>
      </c>
    </row>
    <row r="59" spans="2:56">
      <c r="AF59" s="270"/>
      <c r="BB59" s="1177" t="s">
        <v>22</v>
      </c>
      <c r="BC59" s="289">
        <f>Summary!D43</f>
        <v>15.31365040534536</v>
      </c>
      <c r="BD59" s="619">
        <f t="shared" si="22"/>
        <v>0.16465394702027372</v>
      </c>
    </row>
    <row r="60" spans="2:56">
      <c r="BB60" s="1177" t="s">
        <v>7</v>
      </c>
      <c r="BC60" s="289">
        <f>Summary!D44</f>
        <v>0.65625199051509786</v>
      </c>
      <c r="BD60" s="619">
        <f t="shared" si="22"/>
        <v>7.0560890198005802E-3</v>
      </c>
    </row>
    <row r="61" spans="2:56">
      <c r="BB61" s="1177" t="s">
        <v>23</v>
      </c>
      <c r="BC61" s="289">
        <f>Summary!D45</f>
        <v>1.6981171446349697</v>
      </c>
      <c r="BD61" s="619">
        <f t="shared" si="22"/>
        <v>1.8258330506836402E-2</v>
      </c>
    </row>
    <row r="62" spans="2:56">
      <c r="BB62" s="1177" t="s">
        <v>24</v>
      </c>
      <c r="BC62" s="289">
        <f>Summary!D46</f>
        <v>0.16964798123063266</v>
      </c>
      <c r="BD62" s="619">
        <f t="shared" si="22"/>
        <v>1.8240725740934153E-3</v>
      </c>
    </row>
    <row r="63" spans="2:56">
      <c r="BB63" s="1177" t="s">
        <v>10</v>
      </c>
      <c r="BC63" s="289">
        <f>Summary!D47</f>
        <v>0.44610076900597256</v>
      </c>
      <c r="BD63" s="619">
        <f t="shared" si="22"/>
        <v>4.7965214329284706E-3</v>
      </c>
    </row>
    <row r="64" spans="2:56">
      <c r="BB64" s="1177" t="s">
        <v>9</v>
      </c>
      <c r="BC64" s="289">
        <f>Summary!D48</f>
        <v>2.921734225476742</v>
      </c>
      <c r="BD64" s="619">
        <f t="shared" si="22"/>
        <v>3.1414787437033603E-2</v>
      </c>
    </row>
    <row r="65" spans="54:56">
      <c r="BB65" s="235" t="s">
        <v>25</v>
      </c>
      <c r="BC65" s="289">
        <f>Summary!D49</f>
        <v>93.005061114385555</v>
      </c>
      <c r="BD65" s="619">
        <f t="shared" si="22"/>
        <v>1</v>
      </c>
    </row>
  </sheetData>
  <mergeCells count="1">
    <mergeCell ref="C2:L2"/>
  </mergeCells>
  <phoneticPr fontId="141" type="noConversion"/>
  <dataValidations disablePrompts="1" count="1">
    <dataValidation type="list" allowBlank="1" showInputMessage="1" showErrorMessage="1" sqref="AA26" xr:uid="{00000000-0002-0000-0300-000000000000}">
      <formula1>$AA$29:$AA$31</formula1>
    </dataValidation>
  </dataValidations>
  <pageMargins left="0.7" right="0.7" top="0.75" bottom="0.75" header="0.3" footer="0.3"/>
  <pageSetup scale="37" fitToWidth="2" orientation="landscape" r:id="rId1"/>
  <headerFooter>
    <oddFooter>&amp;L&amp;F&amp;A&amp;RPage &amp;P of &amp;N</oddFooter>
  </headerFooter>
  <rowBreaks count="1" manualBreakCount="1">
    <brk id="36" max="47" man="1"/>
  </row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278"/>
  <sheetViews>
    <sheetView zoomScaleNormal="100" zoomScaleSheetLayoutView="100" workbookViewId="0"/>
  </sheetViews>
  <sheetFormatPr defaultColWidth="8.81640625" defaultRowHeight="14.5"/>
  <cols>
    <col min="1" max="1" width="4.81640625" customWidth="1"/>
    <col min="2" max="2" width="21.453125" customWidth="1"/>
    <col min="3" max="21" width="12.54296875" customWidth="1"/>
    <col min="22" max="22" width="12.54296875" bestFit="1" customWidth="1"/>
    <col min="23" max="27" width="12.54296875" customWidth="1"/>
    <col min="28" max="28" width="14" customWidth="1"/>
    <col min="29" max="29" width="13.453125" customWidth="1"/>
    <col min="30" max="30" width="15.1796875" customWidth="1"/>
    <col min="31" max="31" width="12.453125" customWidth="1"/>
    <col min="32" max="32" width="13.54296875" customWidth="1"/>
    <col min="33" max="33" width="12.54296875" customWidth="1"/>
    <col min="34" max="34" width="13.453125" customWidth="1"/>
    <col min="35" max="35" width="12.54296875" customWidth="1"/>
    <col min="36" max="36" width="11.54296875" customWidth="1"/>
    <col min="37" max="37" width="13" customWidth="1"/>
    <col min="39" max="39" width="10.81640625" customWidth="1"/>
    <col min="40" max="40" width="12.453125" customWidth="1"/>
    <col min="41" max="41" width="13" customWidth="1"/>
    <col min="42" max="42" width="13.1796875" customWidth="1"/>
    <col min="43" max="43" width="12.54296875" customWidth="1"/>
    <col min="44" max="44" width="11.81640625" customWidth="1"/>
    <col min="45" max="47" width="12.453125" customWidth="1"/>
    <col min="48" max="48" width="12.81640625" customWidth="1"/>
    <col min="49" max="49" width="13.54296875" customWidth="1"/>
    <col min="50" max="50" width="12.453125" customWidth="1"/>
    <col min="51" max="51" width="11.1796875" customWidth="1"/>
    <col min="52" max="52" width="12.54296875" customWidth="1"/>
  </cols>
  <sheetData>
    <row r="1" spans="1:35" ht="46" customHeight="1" thickBot="1">
      <c r="B1" s="1930" t="s">
        <v>770</v>
      </c>
      <c r="C1" s="1930"/>
      <c r="D1" s="1930"/>
      <c r="E1" s="1930"/>
      <c r="F1" s="1930"/>
      <c r="G1" s="1930"/>
      <c r="H1" s="1930"/>
      <c r="I1" s="1930"/>
      <c r="J1" s="1930"/>
      <c r="K1" s="1930"/>
      <c r="L1" s="1930"/>
      <c r="S1" s="697" t="s">
        <v>771</v>
      </c>
      <c r="T1" s="748" t="s">
        <v>772</v>
      </c>
      <c r="U1" s="696" t="s">
        <v>773</v>
      </c>
    </row>
    <row r="2" spans="1:35" ht="22.5" customHeight="1" thickBot="1">
      <c r="B2" s="1931" t="s">
        <v>774</v>
      </c>
      <c r="C2" s="1931"/>
      <c r="D2" s="1931"/>
      <c r="E2" s="1931"/>
      <c r="F2" s="1931"/>
      <c r="G2" s="1931"/>
      <c r="H2" s="1931"/>
      <c r="I2" s="1931"/>
      <c r="J2" s="1931"/>
      <c r="K2" s="1931"/>
      <c r="L2" s="1932"/>
      <c r="M2" s="541" t="s">
        <v>775</v>
      </c>
      <c r="N2" s="542"/>
      <c r="P2" s="1874" t="s">
        <v>776</v>
      </c>
      <c r="Q2" s="1876"/>
      <c r="S2" s="628" t="s">
        <v>777</v>
      </c>
      <c r="T2" t="s">
        <v>778</v>
      </c>
      <c r="U2" s="7" t="s">
        <v>779</v>
      </c>
    </row>
    <row r="3" spans="1:35" ht="50.15" customHeight="1">
      <c r="B3" s="1938" t="s">
        <v>780</v>
      </c>
      <c r="C3" s="1938"/>
      <c r="D3" s="1938"/>
      <c r="E3" s="1938"/>
      <c r="F3" s="1938"/>
      <c r="G3" s="1938"/>
      <c r="H3" s="1938"/>
      <c r="I3" s="1938"/>
      <c r="J3" s="1938"/>
      <c r="K3" s="1938"/>
      <c r="L3" s="1941"/>
      <c r="M3" s="547">
        <v>25</v>
      </c>
      <c r="N3" s="543" t="s">
        <v>781</v>
      </c>
      <c r="P3" s="887" t="s">
        <v>782</v>
      </c>
      <c r="Q3" s="7" t="s">
        <v>783</v>
      </c>
      <c r="S3" s="629" t="s">
        <v>784</v>
      </c>
      <c r="T3" t="s">
        <v>785</v>
      </c>
      <c r="U3" s="7"/>
      <c r="V3" s="1939" t="s">
        <v>786</v>
      </c>
      <c r="W3" s="1940"/>
      <c r="X3" s="1940"/>
      <c r="Y3" s="1940"/>
      <c r="Z3" s="1940"/>
    </row>
    <row r="4" spans="1:35" ht="17.25" customHeight="1" thickBot="1">
      <c r="B4" s="695" t="s">
        <v>787</v>
      </c>
      <c r="M4" s="548">
        <v>298</v>
      </c>
      <c r="N4" s="544" t="s">
        <v>788</v>
      </c>
      <c r="P4" s="10" t="s">
        <v>789</v>
      </c>
      <c r="Q4" s="7" t="s">
        <v>790</v>
      </c>
      <c r="S4" s="630" t="s">
        <v>159</v>
      </c>
      <c r="T4" t="s">
        <v>791</v>
      </c>
      <c r="U4" s="7" t="s">
        <v>792</v>
      </c>
      <c r="X4" s="22"/>
    </row>
    <row r="5" spans="1:35">
      <c r="B5" s="1194" t="s">
        <v>793</v>
      </c>
      <c r="F5" s="538"/>
      <c r="P5" s="10" t="s">
        <v>779</v>
      </c>
      <c r="Q5" s="7" t="s">
        <v>783</v>
      </c>
      <c r="S5" s="631" t="s">
        <v>160</v>
      </c>
      <c r="T5" t="s">
        <v>794</v>
      </c>
      <c r="U5" s="7" t="s">
        <v>795</v>
      </c>
    </row>
    <row r="6" spans="1:35" ht="26.15" customHeight="1">
      <c r="P6" s="10" t="s">
        <v>796</v>
      </c>
      <c r="Q6" s="7" t="s">
        <v>783</v>
      </c>
      <c r="S6" s="632" t="s">
        <v>797</v>
      </c>
      <c r="T6" t="s">
        <v>798</v>
      </c>
      <c r="U6" s="7" t="s">
        <v>798</v>
      </c>
      <c r="V6" s="1937" t="s">
        <v>799</v>
      </c>
      <c r="W6" s="1938"/>
      <c r="X6" s="1938"/>
      <c r="Y6" s="1938"/>
      <c r="Z6" s="1938"/>
    </row>
    <row r="7" spans="1:35" ht="17" thickBot="1">
      <c r="P7" s="150" t="s">
        <v>785</v>
      </c>
      <c r="Q7" s="540" t="s">
        <v>790</v>
      </c>
      <c r="S7" s="633" t="s">
        <v>127</v>
      </c>
      <c r="T7" t="s">
        <v>800</v>
      </c>
      <c r="U7" s="7" t="s">
        <v>801</v>
      </c>
    </row>
    <row r="8" spans="1:35" ht="15" thickBot="1">
      <c r="B8" s="519" t="s">
        <v>802</v>
      </c>
      <c r="D8" s="1913" t="s">
        <v>459</v>
      </c>
      <c r="E8" s="1914"/>
      <c r="F8" s="1915"/>
      <c r="G8" s="1907" t="s">
        <v>28</v>
      </c>
      <c r="H8" s="1908"/>
      <c r="I8" s="1909"/>
      <c r="J8" s="1907" t="s">
        <v>30</v>
      </c>
      <c r="K8" s="1908"/>
      <c r="L8" s="1909"/>
      <c r="S8" s="634" t="s">
        <v>20</v>
      </c>
      <c r="T8" s="1193" t="s">
        <v>803</v>
      </c>
      <c r="U8" s="545"/>
    </row>
    <row r="9" spans="1:35" ht="79" thickBot="1">
      <c r="B9" s="311" t="s">
        <v>804</v>
      </c>
      <c r="C9" s="328" t="s">
        <v>805</v>
      </c>
      <c r="D9" s="362" t="s">
        <v>509</v>
      </c>
      <c r="E9" s="316"/>
      <c r="F9" s="363" t="s">
        <v>510</v>
      </c>
      <c r="G9" s="362" t="s">
        <v>806</v>
      </c>
      <c r="H9" s="316"/>
      <c r="I9" s="361" t="s">
        <v>807</v>
      </c>
      <c r="J9" s="362" t="s">
        <v>808</v>
      </c>
      <c r="K9" s="316"/>
      <c r="L9" s="361" t="s">
        <v>809</v>
      </c>
      <c r="S9" s="635" t="s">
        <v>62</v>
      </c>
      <c r="T9" s="151" t="s">
        <v>796</v>
      </c>
      <c r="U9" s="540" t="s">
        <v>796</v>
      </c>
    </row>
    <row r="10" spans="1:35">
      <c r="A10" s="234"/>
      <c r="B10" s="343" t="s">
        <v>810</v>
      </c>
      <c r="C10" s="365" t="s">
        <v>811</v>
      </c>
      <c r="D10" s="367">
        <v>93.8</v>
      </c>
      <c r="E10" s="368"/>
      <c r="F10" s="369">
        <f>D10*2.20462</f>
        <v>206.79335599999999</v>
      </c>
      <c r="G10" s="367">
        <v>7.1999999999999998E-3</v>
      </c>
      <c r="H10" s="368"/>
      <c r="I10" s="369">
        <f>G10*2.20462</f>
        <v>1.5873263999999998E-2</v>
      </c>
      <c r="J10" s="370">
        <v>3.5999999999999999E-3</v>
      </c>
      <c r="K10" s="368"/>
      <c r="L10" s="369">
        <f>J10*2.20462</f>
        <v>7.936631999999999E-3</v>
      </c>
      <c r="W10" s="235" t="s">
        <v>812</v>
      </c>
    </row>
    <row r="11" spans="1:35">
      <c r="B11" s="344"/>
      <c r="C11" s="330">
        <v>1990</v>
      </c>
      <c r="D11" s="330">
        <v>1991</v>
      </c>
      <c r="E11" s="330">
        <v>1992</v>
      </c>
      <c r="F11" s="330">
        <v>1993</v>
      </c>
      <c r="G11" s="330">
        <v>1994</v>
      </c>
      <c r="H11" s="330">
        <v>1995</v>
      </c>
      <c r="I11" s="330">
        <v>1996</v>
      </c>
      <c r="J11" s="330">
        <v>1997</v>
      </c>
      <c r="K11" s="330">
        <v>1998</v>
      </c>
      <c r="L11" s="330">
        <v>1999</v>
      </c>
      <c r="M11" s="330">
        <v>2000</v>
      </c>
      <c r="N11" s="330">
        <v>2001</v>
      </c>
      <c r="O11" s="330">
        <v>2002</v>
      </c>
      <c r="P11" s="330">
        <v>2003</v>
      </c>
      <c r="Q11" s="330">
        <v>2004</v>
      </c>
      <c r="R11" s="330">
        <v>2005</v>
      </c>
      <c r="S11" s="330">
        <v>2006</v>
      </c>
      <c r="T11" s="330">
        <v>2007</v>
      </c>
      <c r="U11" s="330">
        <v>2008</v>
      </c>
      <c r="V11" s="330">
        <v>2009</v>
      </c>
      <c r="W11" s="330">
        <v>2010</v>
      </c>
      <c r="X11" s="330">
        <v>2011</v>
      </c>
      <c r="Y11" s="330">
        <v>2012</v>
      </c>
      <c r="Z11" s="330">
        <v>2013</v>
      </c>
      <c r="AA11" s="330">
        <v>2014</v>
      </c>
      <c r="AB11" s="330">
        <v>2015</v>
      </c>
      <c r="AC11" s="330">
        <v>2016</v>
      </c>
      <c r="AD11" s="330">
        <v>2017</v>
      </c>
      <c r="AE11" s="330">
        <v>2018</v>
      </c>
      <c r="AF11" s="330">
        <v>2019</v>
      </c>
      <c r="AG11" s="330">
        <v>2020</v>
      </c>
      <c r="AH11" s="330">
        <v>2021</v>
      </c>
      <c r="AI11" s="330">
        <v>2022</v>
      </c>
    </row>
    <row r="12" spans="1:35" ht="39.5">
      <c r="B12" s="346" t="s">
        <v>813</v>
      </c>
      <c r="C12" s="45">
        <v>0</v>
      </c>
      <c r="D12" s="45">
        <v>0</v>
      </c>
      <c r="E12" s="45">
        <v>1243</v>
      </c>
      <c r="F12" s="45">
        <v>1366</v>
      </c>
      <c r="G12" s="45">
        <v>1585</v>
      </c>
      <c r="H12" s="45">
        <v>1754</v>
      </c>
      <c r="I12" s="45">
        <v>1805</v>
      </c>
      <c r="J12" s="45">
        <v>1847</v>
      </c>
      <c r="K12" s="45">
        <v>2504</v>
      </c>
      <c r="L12" s="45">
        <v>1390</v>
      </c>
      <c r="M12" s="45">
        <v>1708</v>
      </c>
      <c r="N12" s="45">
        <v>1693</v>
      </c>
      <c r="O12" s="45">
        <v>1544</v>
      </c>
      <c r="P12" s="45">
        <v>1888</v>
      </c>
      <c r="Q12" s="45">
        <v>1774</v>
      </c>
      <c r="R12" s="45">
        <v>1876</v>
      </c>
      <c r="S12" s="45">
        <v>1894</v>
      </c>
      <c r="T12" s="45">
        <v>1784</v>
      </c>
      <c r="U12" s="45">
        <v>1834</v>
      </c>
      <c r="V12" s="45">
        <v>1647</v>
      </c>
      <c r="W12" s="45">
        <v>1505.5</v>
      </c>
      <c r="X12" s="45">
        <v>1546.5</v>
      </c>
      <c r="Y12" s="366">
        <v>1531</v>
      </c>
      <c r="Z12" s="366">
        <v>1334.8</v>
      </c>
      <c r="AA12" s="366">
        <v>2253.1</v>
      </c>
      <c r="AB12" s="366">
        <v>1991.6</v>
      </c>
      <c r="AC12" s="366">
        <v>2243.8000000000002</v>
      </c>
      <c r="AD12" s="366">
        <v>2261</v>
      </c>
      <c r="AE12" s="45">
        <v>1966.5</v>
      </c>
      <c r="AF12" s="45">
        <v>1818.8</v>
      </c>
      <c r="AG12" s="45">
        <v>2085.7939999999999</v>
      </c>
      <c r="AH12" s="45">
        <v>1411</v>
      </c>
      <c r="AI12" s="45">
        <v>877</v>
      </c>
    </row>
    <row r="13" spans="1:35" ht="26.5">
      <c r="B13" s="335" t="s">
        <v>814</v>
      </c>
      <c r="C13" s="336">
        <f t="shared" ref="C13:AB13" si="0">C12*1000</f>
        <v>0</v>
      </c>
      <c r="D13" s="336">
        <f t="shared" si="0"/>
        <v>0</v>
      </c>
      <c r="E13" s="336">
        <f t="shared" si="0"/>
        <v>1243000</v>
      </c>
      <c r="F13" s="336">
        <f t="shared" si="0"/>
        <v>1366000</v>
      </c>
      <c r="G13" s="336">
        <f t="shared" si="0"/>
        <v>1585000</v>
      </c>
      <c r="H13" s="336">
        <f t="shared" si="0"/>
        <v>1754000</v>
      </c>
      <c r="I13" s="336">
        <f t="shared" si="0"/>
        <v>1805000</v>
      </c>
      <c r="J13" s="336">
        <f t="shared" si="0"/>
        <v>1847000</v>
      </c>
      <c r="K13" s="336">
        <f t="shared" si="0"/>
        <v>2504000</v>
      </c>
      <c r="L13" s="336">
        <f t="shared" si="0"/>
        <v>1390000</v>
      </c>
      <c r="M13" s="336">
        <f t="shared" si="0"/>
        <v>1708000</v>
      </c>
      <c r="N13" s="336">
        <f t="shared" si="0"/>
        <v>1693000</v>
      </c>
      <c r="O13" s="336">
        <f t="shared" si="0"/>
        <v>1544000</v>
      </c>
      <c r="P13" s="336">
        <f t="shared" si="0"/>
        <v>1888000</v>
      </c>
      <c r="Q13" s="336">
        <f t="shared" si="0"/>
        <v>1774000</v>
      </c>
      <c r="R13" s="336">
        <f t="shared" si="0"/>
        <v>1876000</v>
      </c>
      <c r="S13" s="336">
        <f t="shared" si="0"/>
        <v>1894000</v>
      </c>
      <c r="T13" s="336">
        <f t="shared" si="0"/>
        <v>1784000</v>
      </c>
      <c r="U13" s="336">
        <f t="shared" si="0"/>
        <v>1834000</v>
      </c>
      <c r="V13" s="336">
        <f t="shared" si="0"/>
        <v>1647000</v>
      </c>
      <c r="W13" s="336">
        <f t="shared" si="0"/>
        <v>1505500</v>
      </c>
      <c r="X13" s="336">
        <f t="shared" si="0"/>
        <v>1546500</v>
      </c>
      <c r="Y13" s="336">
        <f t="shared" si="0"/>
        <v>1531000</v>
      </c>
      <c r="Z13" s="336">
        <f t="shared" si="0"/>
        <v>1334800</v>
      </c>
      <c r="AA13" s="336">
        <f t="shared" si="0"/>
        <v>2253100</v>
      </c>
      <c r="AB13" s="336">
        <f t="shared" si="0"/>
        <v>1991600</v>
      </c>
      <c r="AC13" s="336">
        <f>AC12*1000</f>
        <v>2243800</v>
      </c>
      <c r="AD13" s="336">
        <f t="shared" ref="AD13:AF13" si="1">AD12*1000</f>
        <v>2261000</v>
      </c>
      <c r="AE13" s="336">
        <f t="shared" si="1"/>
        <v>1966500</v>
      </c>
      <c r="AF13" s="336">
        <f t="shared" si="1"/>
        <v>1818800</v>
      </c>
      <c r="AG13" s="336">
        <v>2079755</v>
      </c>
      <c r="AH13" s="336">
        <v>1411375</v>
      </c>
      <c r="AI13" s="336">
        <v>877293</v>
      </c>
    </row>
    <row r="14" spans="1:35" ht="26.5">
      <c r="B14" s="315" t="s">
        <v>815</v>
      </c>
      <c r="C14" s="323">
        <f>C13*$F$10</f>
        <v>0</v>
      </c>
      <c r="D14" s="323">
        <f t="shared" ref="D14:Y14" si="2">D13*$F$10</f>
        <v>0</v>
      </c>
      <c r="E14" s="323">
        <f t="shared" si="2"/>
        <v>257044141.50799999</v>
      </c>
      <c r="F14" s="323">
        <f t="shared" si="2"/>
        <v>282479724.296</v>
      </c>
      <c r="G14" s="323">
        <f t="shared" si="2"/>
        <v>327767469.25999999</v>
      </c>
      <c r="H14" s="323">
        <f t="shared" si="2"/>
        <v>362715546.42399997</v>
      </c>
      <c r="I14" s="323">
        <f t="shared" si="2"/>
        <v>373262007.57999998</v>
      </c>
      <c r="J14" s="323">
        <f t="shared" si="2"/>
        <v>381947328.53200001</v>
      </c>
      <c r="K14" s="323">
        <f t="shared" si="2"/>
        <v>517810563.42399997</v>
      </c>
      <c r="L14" s="323">
        <f t="shared" si="2"/>
        <v>287442764.83999997</v>
      </c>
      <c r="M14" s="323">
        <f t="shared" si="2"/>
        <v>353203052.04799998</v>
      </c>
      <c r="N14" s="323">
        <f t="shared" si="2"/>
        <v>350101151.708</v>
      </c>
      <c r="O14" s="323">
        <f t="shared" si="2"/>
        <v>319288941.66399997</v>
      </c>
      <c r="P14" s="323">
        <f t="shared" si="2"/>
        <v>390425856.12799996</v>
      </c>
      <c r="Q14" s="323">
        <f t="shared" si="2"/>
        <v>366851413.54399997</v>
      </c>
      <c r="R14" s="323">
        <f t="shared" si="2"/>
        <v>387944335.85600001</v>
      </c>
      <c r="S14" s="323">
        <f t="shared" si="2"/>
        <v>391666616.264</v>
      </c>
      <c r="T14" s="323">
        <f t="shared" si="2"/>
        <v>368919347.10399997</v>
      </c>
      <c r="U14" s="323">
        <f t="shared" si="2"/>
        <v>379259014.90399998</v>
      </c>
      <c r="V14" s="323">
        <f t="shared" si="2"/>
        <v>340588657.33199996</v>
      </c>
      <c r="W14" s="323">
        <f t="shared" si="2"/>
        <v>311327397.458</v>
      </c>
      <c r="X14" s="323">
        <f t="shared" si="2"/>
        <v>319805925.05399996</v>
      </c>
      <c r="Y14" s="323">
        <f t="shared" si="2"/>
        <v>316600628.03599995</v>
      </c>
      <c r="Z14" s="323">
        <f t="shared" ref="Z14:AE14" si="3">Z13*$F$10</f>
        <v>276027771.58880001</v>
      </c>
      <c r="AA14" s="323">
        <f t="shared" si="3"/>
        <v>465926110.40359998</v>
      </c>
      <c r="AB14" s="323">
        <f t="shared" si="3"/>
        <v>411849647.8096</v>
      </c>
      <c r="AC14" s="323">
        <f t="shared" si="3"/>
        <v>464002932.19279999</v>
      </c>
      <c r="AD14" s="323">
        <f t="shared" si="3"/>
        <v>467559777.91599995</v>
      </c>
      <c r="AE14" s="323">
        <f t="shared" si="3"/>
        <v>406659134.574</v>
      </c>
      <c r="AF14" s="323">
        <f t="shared" ref="AF14:AG14" si="4">AF13*$F$10</f>
        <v>376115755.89279997</v>
      </c>
      <c r="AG14" s="323">
        <f t="shared" si="4"/>
        <v>430079516.10777998</v>
      </c>
      <c r="AH14" s="323">
        <f>AH13*$F$10</f>
        <v>291862972.82449996</v>
      </c>
      <c r="AI14" s="323">
        <f>AI13*$F$10</f>
        <v>181418363.665308</v>
      </c>
    </row>
    <row r="15" spans="1:35">
      <c r="B15" s="449" t="s">
        <v>317</v>
      </c>
      <c r="C15" s="317">
        <f t="shared" ref="C15:Q15" si="5">C14/(2205*1000000)</f>
        <v>0</v>
      </c>
      <c r="D15" s="317">
        <f t="shared" si="5"/>
        <v>0</v>
      </c>
      <c r="E15" s="317">
        <f t="shared" si="5"/>
        <v>0.1165733068063492</v>
      </c>
      <c r="F15" s="317">
        <f t="shared" si="5"/>
        <v>0.12810871850158731</v>
      </c>
      <c r="G15" s="317">
        <f t="shared" si="5"/>
        <v>0.14864737834920635</v>
      </c>
      <c r="H15" s="317">
        <f t="shared" si="5"/>
        <v>0.16449684645079363</v>
      </c>
      <c r="I15" s="317">
        <f t="shared" si="5"/>
        <v>0.16927982203174602</v>
      </c>
      <c r="J15" s="317">
        <f t="shared" si="5"/>
        <v>0.1732187430984127</v>
      </c>
      <c r="K15" s="317">
        <f t="shared" si="5"/>
        <v>0.23483472264126984</v>
      </c>
      <c r="L15" s="317">
        <f t="shared" si="5"/>
        <v>0.13035953053968252</v>
      </c>
      <c r="M15" s="317">
        <f t="shared" si="5"/>
        <v>0.16018279004444444</v>
      </c>
      <c r="N15" s="317">
        <f t="shared" si="5"/>
        <v>0.15877603252063494</v>
      </c>
      <c r="O15" s="317">
        <f t="shared" si="5"/>
        <v>0.14480224111746032</v>
      </c>
      <c r="P15" s="317">
        <f t="shared" si="5"/>
        <v>0.17706388033015871</v>
      </c>
      <c r="Q15" s="317">
        <f t="shared" si="5"/>
        <v>0.16637252314920634</v>
      </c>
      <c r="R15" s="317">
        <f t="shared" ref="R15:Y15" si="6">R14/(2205*1000000)</f>
        <v>0.17593847431111112</v>
      </c>
      <c r="S15" s="317">
        <f t="shared" si="6"/>
        <v>0.17762658333968254</v>
      </c>
      <c r="T15" s="317">
        <f t="shared" si="6"/>
        <v>0.16731036149841269</v>
      </c>
      <c r="U15" s="317">
        <f t="shared" si="6"/>
        <v>0.17199955324444444</v>
      </c>
      <c r="V15" s="317">
        <f t="shared" si="6"/>
        <v>0.15446197611428569</v>
      </c>
      <c r="W15" s="317">
        <f t="shared" si="6"/>
        <v>0.14119156347301587</v>
      </c>
      <c r="X15" s="317">
        <f t="shared" si="6"/>
        <v>0.14503670070476188</v>
      </c>
      <c r="Y15" s="317">
        <f t="shared" si="6"/>
        <v>0.14358305126349205</v>
      </c>
      <c r="Z15" s="317">
        <f t="shared" ref="Z15:AE15" si="7">Z14/(2205*1000000)</f>
        <v>0.1251826628520635</v>
      </c>
      <c r="AA15" s="317">
        <f t="shared" si="7"/>
        <v>0.21130435845968254</v>
      </c>
      <c r="AB15" s="317">
        <f t="shared" si="7"/>
        <v>0.18677988562793651</v>
      </c>
      <c r="AC15" s="317">
        <f t="shared" si="7"/>
        <v>0.21043216879492063</v>
      </c>
      <c r="AD15" s="317">
        <f t="shared" si="7"/>
        <v>0.21204525075555553</v>
      </c>
      <c r="AE15" s="317">
        <f t="shared" si="7"/>
        <v>0.18442591137142858</v>
      </c>
      <c r="AF15" s="317">
        <f t="shared" ref="AF15:AG15" si="8">AF14/(2205*1000000)</f>
        <v>0.17057403895365078</v>
      </c>
      <c r="AG15" s="317">
        <f t="shared" si="8"/>
        <v>0.19504739959536507</v>
      </c>
      <c r="AH15" s="317">
        <f t="shared" ref="AH15:AI15" si="9">AH14/(2205*1000000)</f>
        <v>0.13236416001111109</v>
      </c>
      <c r="AI15" s="317">
        <f t="shared" si="9"/>
        <v>8.2275901889028571E-2</v>
      </c>
    </row>
    <row r="16" spans="1:35" ht="16.5">
      <c r="B16" s="687" t="s">
        <v>28</v>
      </c>
      <c r="C16" s="688" t="s">
        <v>816</v>
      </c>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row>
    <row r="17" spans="1:35">
      <c r="B17" s="685" t="s">
        <v>521</v>
      </c>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row>
    <row r="18" spans="1:35">
      <c r="B18" s="685" t="s">
        <v>522</v>
      </c>
      <c r="C18" s="351"/>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row>
    <row r="19" spans="1:35">
      <c r="B19" s="686" t="s">
        <v>523</v>
      </c>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row>
    <row r="20" spans="1:35">
      <c r="B20" s="687" t="s">
        <v>30</v>
      </c>
      <c r="C20" s="353"/>
      <c r="D20" s="353"/>
      <c r="E20" s="353"/>
      <c r="F20" s="353"/>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row>
    <row r="21" spans="1:35">
      <c r="B21" s="685" t="s">
        <v>524</v>
      </c>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row>
    <row r="22" spans="1:35">
      <c r="B22" s="685" t="s">
        <v>522</v>
      </c>
      <c r="C22" s="351"/>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row>
    <row r="23" spans="1:35">
      <c r="B23" s="686" t="s">
        <v>525</v>
      </c>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row>
    <row r="24" spans="1:35">
      <c r="B24" s="686" t="s">
        <v>817</v>
      </c>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row>
    <row r="25" spans="1:35" ht="15" thickBot="1">
      <c r="B25" s="359"/>
      <c r="C25" s="360"/>
      <c r="D25" s="360"/>
      <c r="E25" s="360"/>
      <c r="F25" s="360"/>
      <c r="G25" s="360"/>
      <c r="H25" s="360"/>
      <c r="I25" s="360"/>
      <c r="J25" s="360"/>
      <c r="K25" s="360"/>
      <c r="L25" s="360"/>
      <c r="M25" s="360"/>
      <c r="N25" s="360"/>
      <c r="O25" s="360"/>
      <c r="P25" s="360"/>
      <c r="Q25" s="360"/>
      <c r="R25" s="360"/>
      <c r="S25" s="360"/>
      <c r="T25" s="360"/>
      <c r="U25" s="360"/>
      <c r="V25" s="360"/>
      <c r="W25" s="360"/>
      <c r="X25" s="360"/>
      <c r="Y25" s="360"/>
    </row>
    <row r="26" spans="1:35" ht="15" thickBot="1">
      <c r="B26" s="519" t="s">
        <v>802</v>
      </c>
      <c r="D26" s="1913" t="s">
        <v>459</v>
      </c>
      <c r="E26" s="1914"/>
      <c r="F26" s="1915"/>
      <c r="G26" s="1907" t="s">
        <v>28</v>
      </c>
      <c r="H26" s="1908"/>
      <c r="I26" s="1909"/>
      <c r="J26" s="1907" t="s">
        <v>30</v>
      </c>
      <c r="K26" s="1908"/>
      <c r="L26" s="1909"/>
    </row>
    <row r="27" spans="1:35" ht="78.5">
      <c r="B27" s="414" t="s">
        <v>804</v>
      </c>
      <c r="C27" s="328" t="s">
        <v>805</v>
      </c>
      <c r="D27" s="362" t="s">
        <v>509</v>
      </c>
      <c r="E27" s="316"/>
      <c r="F27" s="363" t="s">
        <v>510</v>
      </c>
      <c r="G27" s="362" t="s">
        <v>806</v>
      </c>
      <c r="H27" s="316"/>
      <c r="I27" s="361" t="s">
        <v>807</v>
      </c>
      <c r="J27" s="362" t="s">
        <v>808</v>
      </c>
      <c r="K27" s="316"/>
      <c r="L27" s="361" t="s">
        <v>809</v>
      </c>
      <c r="O27" s="235" t="s">
        <v>818</v>
      </c>
    </row>
    <row r="28" spans="1:35">
      <c r="A28" s="234"/>
      <c r="B28" s="343" t="s">
        <v>819</v>
      </c>
      <c r="C28" s="342" t="s">
        <v>779</v>
      </c>
      <c r="D28" s="45">
        <v>52.07</v>
      </c>
      <c r="E28" s="313"/>
      <c r="F28" s="404">
        <f>D28*2.20462</f>
        <v>114.79456339999999</v>
      </c>
      <c r="G28" s="405">
        <v>3.2000000000000002E-3</v>
      </c>
      <c r="H28" s="406"/>
      <c r="I28" s="404">
        <f>G28*2.20462</f>
        <v>7.0547839999999997E-3</v>
      </c>
      <c r="J28" s="405">
        <v>6.3E-3</v>
      </c>
      <c r="K28" s="406"/>
      <c r="L28" s="412">
        <f>J28*2.20462</f>
        <v>1.3889105999999998E-2</v>
      </c>
    </row>
    <row r="29" spans="1:35">
      <c r="B29" s="344"/>
      <c r="C29" s="329">
        <v>1990</v>
      </c>
      <c r="D29" s="329">
        <v>1991</v>
      </c>
      <c r="E29" s="329">
        <v>1992</v>
      </c>
      <c r="F29" s="329">
        <v>1993</v>
      </c>
      <c r="G29" s="329">
        <v>1994</v>
      </c>
      <c r="H29" s="329">
        <v>1995</v>
      </c>
      <c r="I29" s="329">
        <v>1996</v>
      </c>
      <c r="J29" s="329">
        <v>1997</v>
      </c>
      <c r="K29" s="329">
        <v>1998</v>
      </c>
      <c r="L29" s="329">
        <v>1999</v>
      </c>
      <c r="M29" s="330">
        <v>2000</v>
      </c>
      <c r="N29" s="330">
        <v>2001</v>
      </c>
      <c r="O29" s="330">
        <v>2002</v>
      </c>
      <c r="P29" s="330">
        <v>2003</v>
      </c>
      <c r="Q29" s="330">
        <v>2004</v>
      </c>
      <c r="R29" s="330">
        <v>2005</v>
      </c>
      <c r="S29" s="330">
        <v>2006</v>
      </c>
      <c r="T29" s="330">
        <v>2007</v>
      </c>
      <c r="U29" s="330">
        <v>2008</v>
      </c>
      <c r="V29" s="330">
        <v>2009</v>
      </c>
      <c r="W29" s="330">
        <v>2010</v>
      </c>
      <c r="X29" s="330">
        <v>2011</v>
      </c>
      <c r="Y29" s="330">
        <v>2012</v>
      </c>
      <c r="Z29" s="330">
        <v>2013</v>
      </c>
      <c r="AA29" s="330">
        <v>2014</v>
      </c>
      <c r="AB29" s="330">
        <v>2015</v>
      </c>
      <c r="AC29" s="330">
        <v>2016</v>
      </c>
      <c r="AD29" s="330">
        <v>2017</v>
      </c>
      <c r="AE29" s="330">
        <v>2018</v>
      </c>
      <c r="AF29" s="330">
        <v>2019</v>
      </c>
      <c r="AG29" s="330">
        <v>2020</v>
      </c>
      <c r="AH29" s="330">
        <v>2021</v>
      </c>
      <c r="AI29" s="330">
        <v>2022</v>
      </c>
    </row>
    <row r="30" spans="1:35" ht="27" thickBot="1">
      <c r="B30" s="316" t="s">
        <v>820</v>
      </c>
      <c r="C30" s="760"/>
      <c r="D30" s="760"/>
      <c r="E30" s="760"/>
      <c r="F30" s="327">
        <v>73000</v>
      </c>
      <c r="G30" s="327">
        <v>171500</v>
      </c>
      <c r="H30" s="327">
        <v>237500</v>
      </c>
      <c r="I30" s="327">
        <v>291475</v>
      </c>
      <c r="J30" s="327">
        <v>792640</v>
      </c>
      <c r="K30" s="327">
        <v>1001298</v>
      </c>
      <c r="L30" s="327">
        <f>(K30+N30)/2</f>
        <v>1403018.5</v>
      </c>
      <c r="M30" s="327">
        <f>(K30+N30)/2</f>
        <v>1403018.5</v>
      </c>
      <c r="N30" s="327">
        <v>1804739</v>
      </c>
      <c r="O30" s="327">
        <v>1542259</v>
      </c>
      <c r="P30" s="327">
        <v>1853492</v>
      </c>
      <c r="Q30" s="327">
        <v>1694916</v>
      </c>
      <c r="R30" s="327">
        <v>1877110</v>
      </c>
      <c r="S30" s="327">
        <v>1738250</v>
      </c>
      <c r="T30" s="331">
        <v>1829535</v>
      </c>
      <c r="U30" s="331">
        <v>1985230</v>
      </c>
      <c r="V30" s="331">
        <v>1739407</v>
      </c>
      <c r="W30" s="331">
        <v>1789661</v>
      </c>
      <c r="X30" s="331">
        <v>1795811</v>
      </c>
      <c r="Y30" s="332">
        <v>1780657</v>
      </c>
      <c r="Z30" s="332">
        <v>1862265</v>
      </c>
      <c r="AA30" s="332">
        <v>2069829</v>
      </c>
      <c r="AB30" s="332">
        <v>1852552</v>
      </c>
      <c r="AC30" s="332">
        <v>2100758</v>
      </c>
      <c r="AD30" s="332">
        <v>1788269</v>
      </c>
      <c r="AE30" s="332">
        <v>1972025</v>
      </c>
      <c r="AF30" s="332">
        <v>1776150</v>
      </c>
      <c r="AG30" s="332">
        <v>1769403</v>
      </c>
      <c r="AH30" s="332">
        <v>1605038</v>
      </c>
      <c r="AI30" s="332">
        <v>1255520</v>
      </c>
    </row>
    <row r="31" spans="1:35" ht="26.5">
      <c r="B31" s="315" t="s">
        <v>815</v>
      </c>
      <c r="C31" s="323">
        <f t="shared" ref="C31:Y31" si="10">C30*$F$10</f>
        <v>0</v>
      </c>
      <c r="D31" s="323">
        <f t="shared" si="10"/>
        <v>0</v>
      </c>
      <c r="E31" s="323">
        <f t="shared" si="10"/>
        <v>0</v>
      </c>
      <c r="F31" s="323">
        <f t="shared" si="10"/>
        <v>15095914.988</v>
      </c>
      <c r="G31" s="323">
        <f t="shared" si="10"/>
        <v>35465060.553999998</v>
      </c>
      <c r="H31" s="323">
        <f t="shared" si="10"/>
        <v>49113422.049999997</v>
      </c>
      <c r="I31" s="323">
        <f t="shared" si="10"/>
        <v>60275093.440099999</v>
      </c>
      <c r="J31" s="323">
        <f t="shared" si="10"/>
        <v>163912685.69983998</v>
      </c>
      <c r="K31" s="323">
        <f t="shared" si="10"/>
        <v>207061773.776088</v>
      </c>
      <c r="L31" s="323">
        <f t="shared" si="10"/>
        <v>290134904.14508599</v>
      </c>
      <c r="M31" s="323">
        <f t="shared" si="10"/>
        <v>290134904.14508599</v>
      </c>
      <c r="N31" s="323">
        <f t="shared" si="10"/>
        <v>373208034.51408398</v>
      </c>
      <c r="O31" s="323">
        <f t="shared" si="10"/>
        <v>318928914.43120396</v>
      </c>
      <c r="P31" s="323">
        <f t="shared" si="10"/>
        <v>383289830.999152</v>
      </c>
      <c r="Q31" s="323">
        <f t="shared" si="10"/>
        <v>350497367.77809596</v>
      </c>
      <c r="R31" s="323">
        <f t="shared" si="10"/>
        <v>388173876.48115999</v>
      </c>
      <c r="S31" s="323">
        <f t="shared" si="10"/>
        <v>359458551.06699997</v>
      </c>
      <c r="T31" s="323">
        <f t="shared" si="10"/>
        <v>378335682.56945997</v>
      </c>
      <c r="U31" s="323">
        <f t="shared" si="10"/>
        <v>410532374.13187999</v>
      </c>
      <c r="V31" s="323">
        <f t="shared" si="10"/>
        <v>359697810.97989196</v>
      </c>
      <c r="W31" s="323">
        <f t="shared" si="10"/>
        <v>370090004.29231596</v>
      </c>
      <c r="X31" s="323">
        <f t="shared" si="10"/>
        <v>371361783.43171597</v>
      </c>
      <c r="Y31" s="323">
        <f t="shared" si="10"/>
        <v>368228036.91489196</v>
      </c>
      <c r="Z31" s="323">
        <f t="shared" ref="Z31:AE31" si="11">Z30*$F$10</f>
        <v>385104029.11133999</v>
      </c>
      <c r="AA31" s="323">
        <f t="shared" si="11"/>
        <v>428026885.25612396</v>
      </c>
      <c r="AB31" s="323">
        <f t="shared" si="11"/>
        <v>383095445.24451196</v>
      </c>
      <c r="AC31" s="323">
        <f t="shared" si="11"/>
        <v>434422796.96384799</v>
      </c>
      <c r="AD31" s="323">
        <f t="shared" si="11"/>
        <v>369802147.94076395</v>
      </c>
      <c r="AE31" s="323">
        <f t="shared" si="11"/>
        <v>407801667.86589998</v>
      </c>
      <c r="AF31" s="323">
        <f t="shared" ref="AF31:AG31" si="12">AF30*$F$10</f>
        <v>367296019.25939995</v>
      </c>
      <c r="AG31" s="323">
        <f t="shared" si="12"/>
        <v>365900784.48646796</v>
      </c>
      <c r="AH31" s="323">
        <f t="shared" ref="AH31:AI31" si="13">AH30*$F$10</f>
        <v>331911194.52752799</v>
      </c>
      <c r="AI31" s="323">
        <f t="shared" si="13"/>
        <v>259633194.32511997</v>
      </c>
    </row>
    <row r="32" spans="1:35" ht="15" thickBot="1">
      <c r="B32" s="449" t="s">
        <v>317</v>
      </c>
      <c r="C32" s="317">
        <f t="shared" ref="C32:Y32" si="14">C31/(2205*1000000)</f>
        <v>0</v>
      </c>
      <c r="D32" s="317">
        <f t="shared" si="14"/>
        <v>0</v>
      </c>
      <c r="E32" s="317">
        <f t="shared" si="14"/>
        <v>0</v>
      </c>
      <c r="F32" s="317">
        <f t="shared" si="14"/>
        <v>6.8462199492063495E-3</v>
      </c>
      <c r="G32" s="317">
        <f t="shared" si="14"/>
        <v>1.6083927688888888E-2</v>
      </c>
      <c r="H32" s="317">
        <f t="shared" si="14"/>
        <v>2.2273660793650792E-2</v>
      </c>
      <c r="I32" s="317">
        <f t="shared" si="14"/>
        <v>2.7335643283492063E-2</v>
      </c>
      <c r="J32" s="317">
        <f t="shared" si="14"/>
        <v>7.4336818911492047E-2</v>
      </c>
      <c r="K32" s="317">
        <f t="shared" si="14"/>
        <v>9.3905566338361904E-2</v>
      </c>
      <c r="L32" s="317">
        <f t="shared" si="14"/>
        <v>0.13158045539459681</v>
      </c>
      <c r="M32" s="317">
        <f t="shared" si="14"/>
        <v>0.13158045539459681</v>
      </c>
      <c r="N32" s="317">
        <f t="shared" si="14"/>
        <v>0.16925534445083174</v>
      </c>
      <c r="O32" s="317">
        <f t="shared" si="14"/>
        <v>0.14463896346086347</v>
      </c>
      <c r="P32" s="317">
        <f t="shared" si="14"/>
        <v>0.17382758775471746</v>
      </c>
      <c r="Q32" s="317">
        <f t="shared" si="14"/>
        <v>0.15895572234834285</v>
      </c>
      <c r="R32" s="317">
        <f t="shared" si="14"/>
        <v>0.17604257436787302</v>
      </c>
      <c r="S32" s="317">
        <f t="shared" si="14"/>
        <v>0.16301975105079364</v>
      </c>
      <c r="T32" s="317">
        <f t="shared" si="14"/>
        <v>0.17158080842152379</v>
      </c>
      <c r="U32" s="317">
        <f t="shared" si="14"/>
        <v>0.18618248259949205</v>
      </c>
      <c r="V32" s="317">
        <f t="shared" si="14"/>
        <v>0.16312825894779681</v>
      </c>
      <c r="W32" s="317">
        <f t="shared" si="14"/>
        <v>0.1678412717878984</v>
      </c>
      <c r="X32" s="317">
        <f t="shared" si="14"/>
        <v>0.16841804237266031</v>
      </c>
      <c r="Y32" s="317">
        <f t="shared" si="14"/>
        <v>0.16699684213827301</v>
      </c>
      <c r="Z32" s="317">
        <f t="shared" ref="Z32:AE32" si="15">Z31/(2205*1000000)</f>
        <v>0.17465035333847617</v>
      </c>
      <c r="AA32" s="317">
        <f t="shared" si="15"/>
        <v>0.19411650124994284</v>
      </c>
      <c r="AB32" s="317">
        <f t="shared" si="15"/>
        <v>0.17373943094989205</v>
      </c>
      <c r="AC32" s="317">
        <f t="shared" si="15"/>
        <v>0.19701714148020316</v>
      </c>
      <c r="AD32" s="317">
        <f t="shared" si="15"/>
        <v>0.16771072468968887</v>
      </c>
      <c r="AE32" s="317">
        <f t="shared" si="15"/>
        <v>0.18494406705936506</v>
      </c>
      <c r="AF32" s="317">
        <f t="shared" ref="AF32:AG32" si="16">AF31/(2205*1000000)</f>
        <v>0.16657415839428569</v>
      </c>
      <c r="AG32" s="317">
        <f t="shared" si="16"/>
        <v>0.16594139886007617</v>
      </c>
      <c r="AH32" s="317">
        <f t="shared" ref="AH32:AI32" si="17">AH31/(2205*1000000)</f>
        <v>0.15052661883334603</v>
      </c>
      <c r="AI32" s="317">
        <f t="shared" si="17"/>
        <v>0.11774748041955554</v>
      </c>
    </row>
    <row r="33" spans="1:35" ht="15" thickBot="1">
      <c r="B33" s="314" t="s">
        <v>28</v>
      </c>
      <c r="C33" s="324"/>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c r="AI33" s="546"/>
    </row>
    <row r="34" spans="1:35">
      <c r="B34" s="321" t="s">
        <v>521</v>
      </c>
      <c r="C34" s="323">
        <f>C30*$I$28</f>
        <v>0</v>
      </c>
      <c r="D34" s="323">
        <f t="shared" ref="D34:AB34" si="18">D30*$I$28</f>
        <v>0</v>
      </c>
      <c r="E34" s="323">
        <f t="shared" si="18"/>
        <v>0</v>
      </c>
      <c r="F34" s="323">
        <f t="shared" si="18"/>
        <v>514.99923200000001</v>
      </c>
      <c r="G34" s="323">
        <f t="shared" si="18"/>
        <v>1209.895456</v>
      </c>
      <c r="H34" s="323">
        <f t="shared" si="18"/>
        <v>1675.5111999999999</v>
      </c>
      <c r="I34" s="323">
        <f t="shared" si="18"/>
        <v>2056.2931663999998</v>
      </c>
      <c r="J34" s="323">
        <f t="shared" si="18"/>
        <v>5591.9039897599996</v>
      </c>
      <c r="K34" s="323">
        <f t="shared" si="18"/>
        <v>7063.941109632</v>
      </c>
      <c r="L34" s="323">
        <f t="shared" si="18"/>
        <v>9897.9924655039995</v>
      </c>
      <c r="M34" s="323">
        <f t="shared" si="18"/>
        <v>9897.9924655039995</v>
      </c>
      <c r="N34" s="323">
        <f t="shared" si="18"/>
        <v>12732.043821375999</v>
      </c>
      <c r="O34" s="323">
        <f t="shared" si="18"/>
        <v>10880.304117055999</v>
      </c>
      <c r="P34" s="323">
        <f t="shared" si="18"/>
        <v>13075.985705727999</v>
      </c>
      <c r="Q34" s="323">
        <f t="shared" si="18"/>
        <v>11957.266278143999</v>
      </c>
      <c r="R34" s="323">
        <f t="shared" si="18"/>
        <v>13242.60559424</v>
      </c>
      <c r="S34" s="323">
        <f t="shared" si="18"/>
        <v>12262.978288</v>
      </c>
      <c r="T34" s="323">
        <f t="shared" si="18"/>
        <v>12906.97424544</v>
      </c>
      <c r="U34" s="323">
        <f t="shared" si="18"/>
        <v>14005.368840319999</v>
      </c>
      <c r="V34" s="323">
        <f t="shared" si="18"/>
        <v>12271.140673087999</v>
      </c>
      <c r="W34" s="323">
        <f t="shared" si="18"/>
        <v>12625.671788223999</v>
      </c>
      <c r="X34" s="323">
        <f t="shared" si="18"/>
        <v>12669.058709823999</v>
      </c>
      <c r="Y34" s="323">
        <f t="shared" si="18"/>
        <v>12562.150513088</v>
      </c>
      <c r="Z34" s="323">
        <f t="shared" si="18"/>
        <v>13137.877325759999</v>
      </c>
      <c r="AA34" s="323">
        <f t="shared" si="18"/>
        <v>14602.196511935999</v>
      </c>
      <c r="AB34" s="323">
        <f t="shared" si="18"/>
        <v>13069.354208768</v>
      </c>
      <c r="AC34" s="323">
        <f t="shared" ref="AC34:AH34" si="19">AC30*$I$28</f>
        <v>14820.393926272</v>
      </c>
      <c r="AD34" s="323">
        <f t="shared" si="19"/>
        <v>12615.851528895999</v>
      </c>
      <c r="AE34" s="323">
        <f t="shared" si="19"/>
        <v>13912.210417599999</v>
      </c>
      <c r="AF34" s="323">
        <f t="shared" si="19"/>
        <v>12530.3546016</v>
      </c>
      <c r="AG34" s="323">
        <f t="shared" si="19"/>
        <v>12482.755973952</v>
      </c>
      <c r="AH34" s="323">
        <f t="shared" si="19"/>
        <v>11323.196401792</v>
      </c>
      <c r="AI34" s="323">
        <f t="shared" ref="AI34" si="20">AI30*$I$28</f>
        <v>8857.4224076800001</v>
      </c>
    </row>
    <row r="35" spans="1:35">
      <c r="B35" s="312" t="s">
        <v>522</v>
      </c>
      <c r="C35" s="45">
        <f t="shared" ref="C35:AB35" si="21">C34*$M$3</f>
        <v>0</v>
      </c>
      <c r="D35" s="45">
        <f t="shared" si="21"/>
        <v>0</v>
      </c>
      <c r="E35" s="45">
        <f t="shared" si="21"/>
        <v>0</v>
      </c>
      <c r="F35" s="45">
        <f t="shared" si="21"/>
        <v>12874.980799999999</v>
      </c>
      <c r="G35" s="45">
        <f t="shared" si="21"/>
        <v>30247.386399999999</v>
      </c>
      <c r="H35" s="45">
        <f t="shared" si="21"/>
        <v>41887.78</v>
      </c>
      <c r="I35" s="45">
        <f t="shared" si="21"/>
        <v>51407.329159999994</v>
      </c>
      <c r="J35" s="45">
        <f t="shared" si="21"/>
        <v>139797.59974399998</v>
      </c>
      <c r="K35" s="45">
        <f t="shared" si="21"/>
        <v>176598.5277408</v>
      </c>
      <c r="L35" s="45">
        <f t="shared" si="21"/>
        <v>247449.81163759998</v>
      </c>
      <c r="M35" s="45">
        <f t="shared" si="21"/>
        <v>247449.81163759998</v>
      </c>
      <c r="N35" s="45">
        <f t="shared" si="21"/>
        <v>318301.09553439997</v>
      </c>
      <c r="O35" s="45">
        <f t="shared" si="21"/>
        <v>272007.60292639997</v>
      </c>
      <c r="P35" s="45">
        <f t="shared" si="21"/>
        <v>326899.64264319994</v>
      </c>
      <c r="Q35" s="45">
        <f t="shared" si="21"/>
        <v>298931.6569536</v>
      </c>
      <c r="R35" s="45">
        <f t="shared" si="21"/>
        <v>331065.13985600002</v>
      </c>
      <c r="S35" s="45">
        <f t="shared" si="21"/>
        <v>306574.4572</v>
      </c>
      <c r="T35" s="45">
        <f t="shared" si="21"/>
        <v>322674.35613600002</v>
      </c>
      <c r="U35" s="45">
        <f t="shared" si="21"/>
        <v>350134.22100799996</v>
      </c>
      <c r="V35" s="45">
        <f t="shared" si="21"/>
        <v>306778.51682719996</v>
      </c>
      <c r="W35" s="45">
        <f t="shared" si="21"/>
        <v>315641.79470559995</v>
      </c>
      <c r="X35" s="45">
        <f t="shared" si="21"/>
        <v>316726.46774559998</v>
      </c>
      <c r="Y35" s="45">
        <f t="shared" si="21"/>
        <v>314053.7628272</v>
      </c>
      <c r="Z35" s="45">
        <f t="shared" si="21"/>
        <v>328446.93314399995</v>
      </c>
      <c r="AA35" s="45">
        <f t="shared" si="21"/>
        <v>365054.91279839998</v>
      </c>
      <c r="AB35" s="45">
        <f t="shared" si="21"/>
        <v>326733.85521920002</v>
      </c>
      <c r="AC35" s="45">
        <f t="shared" ref="AC35:AH35" si="22">AC34*$M$3</f>
        <v>370509.84815679997</v>
      </c>
      <c r="AD35" s="45">
        <f t="shared" si="22"/>
        <v>315396.28822239995</v>
      </c>
      <c r="AE35" s="45">
        <f t="shared" si="22"/>
        <v>347805.26043999998</v>
      </c>
      <c r="AF35" s="45">
        <f t="shared" si="22"/>
        <v>313258.86504</v>
      </c>
      <c r="AG35" s="45">
        <f t="shared" si="22"/>
        <v>312068.89934880001</v>
      </c>
      <c r="AH35" s="45">
        <f t="shared" si="22"/>
        <v>283079.91004480002</v>
      </c>
      <c r="AI35" s="45">
        <f t="shared" ref="AI35" si="23">AI34*$M$3</f>
        <v>221435.560192</v>
      </c>
    </row>
    <row r="36" spans="1:35" ht="15" thickBot="1">
      <c r="B36" s="322" t="s">
        <v>523</v>
      </c>
      <c r="C36" s="326">
        <f t="shared" ref="C36:Y36" si="24">C35/(2205*1000000)</f>
        <v>0</v>
      </c>
      <c r="D36" s="326">
        <f t="shared" si="24"/>
        <v>0</v>
      </c>
      <c r="E36" s="326">
        <f t="shared" si="24"/>
        <v>0</v>
      </c>
      <c r="F36" s="326">
        <f t="shared" si="24"/>
        <v>5.8389935600907027E-6</v>
      </c>
      <c r="G36" s="326">
        <f t="shared" si="24"/>
        <v>1.3717635555555555E-5</v>
      </c>
      <c r="H36" s="326">
        <f t="shared" si="24"/>
        <v>1.8996725623582765E-5</v>
      </c>
      <c r="I36" s="326">
        <f t="shared" si="24"/>
        <v>2.3313981478458048E-5</v>
      </c>
      <c r="J36" s="326">
        <f t="shared" si="24"/>
        <v>6.3400271992743754E-5</v>
      </c>
      <c r="K36" s="326">
        <f t="shared" si="24"/>
        <v>8.0090035256598639E-5</v>
      </c>
      <c r="L36" s="326">
        <f t="shared" si="24"/>
        <v>1.1222213679709749E-4</v>
      </c>
      <c r="M36" s="326">
        <f t="shared" si="24"/>
        <v>1.1222213679709749E-4</v>
      </c>
      <c r="N36" s="326">
        <f t="shared" si="24"/>
        <v>1.4435423833759637E-4</v>
      </c>
      <c r="O36" s="326">
        <f t="shared" si="24"/>
        <v>1.2335945710947844E-4</v>
      </c>
      <c r="P36" s="326">
        <f t="shared" si="24"/>
        <v>1.4825380618739225E-4</v>
      </c>
      <c r="Q36" s="326">
        <f t="shared" si="24"/>
        <v>1.3556991245061223E-4</v>
      </c>
      <c r="R36" s="326">
        <f t="shared" si="24"/>
        <v>1.5014292056961452E-4</v>
      </c>
      <c r="S36" s="326">
        <f t="shared" si="24"/>
        <v>1.3903603501133787E-4</v>
      </c>
      <c r="T36" s="326">
        <f t="shared" si="24"/>
        <v>1.4633757647891158E-4</v>
      </c>
      <c r="U36" s="326">
        <f t="shared" si="24"/>
        <v>1.5879102993560088E-4</v>
      </c>
      <c r="V36" s="326">
        <f t="shared" si="24"/>
        <v>1.3912857905995464E-4</v>
      </c>
      <c r="W36" s="326">
        <f t="shared" si="24"/>
        <v>1.4314820621569158E-4</v>
      </c>
      <c r="X36" s="326">
        <f t="shared" si="24"/>
        <v>1.4364012142657596E-4</v>
      </c>
      <c r="Y36" s="326">
        <f t="shared" si="24"/>
        <v>1.4242801035247165E-4</v>
      </c>
      <c r="Z36" s="326">
        <f t="shared" ref="Z36:AE36" si="25">Z35/(2205*1000000)</f>
        <v>1.4895552523537414E-4</v>
      </c>
      <c r="AA36" s="326">
        <f t="shared" si="25"/>
        <v>1.6555778358204082E-4</v>
      </c>
      <c r="AB36" s="326">
        <f t="shared" si="25"/>
        <v>1.4817861914702949E-4</v>
      </c>
      <c r="AC36" s="326">
        <f t="shared" si="25"/>
        <v>1.6803167716861677E-4</v>
      </c>
      <c r="AD36" s="326">
        <f t="shared" si="25"/>
        <v>1.4303686540698412E-4</v>
      </c>
      <c r="AE36" s="326">
        <f t="shared" si="25"/>
        <v>1.5773481199092969E-4</v>
      </c>
      <c r="AF36" s="326">
        <f t="shared" ref="AF36:AG36" si="26">AF35/(2205*1000000)</f>
        <v>1.4206751248979591E-4</v>
      </c>
      <c r="AG36" s="326">
        <f t="shared" si="26"/>
        <v>1.4152784550965986E-4</v>
      </c>
      <c r="AH36" s="326">
        <f t="shared" ref="AH36:AI36" si="27">AH35/(2205*1000000)</f>
        <v>1.2838091158494331E-4</v>
      </c>
      <c r="AI36" s="326">
        <f t="shared" si="27"/>
        <v>1.0042429033650794E-4</v>
      </c>
    </row>
    <row r="37" spans="1:35" ht="15" thickBot="1">
      <c r="B37" s="314" t="s">
        <v>30</v>
      </c>
      <c r="C37" s="324"/>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546"/>
    </row>
    <row r="38" spans="1:35">
      <c r="B38" s="321" t="s">
        <v>524</v>
      </c>
      <c r="C38" s="323">
        <f>C30*$L$28</f>
        <v>0</v>
      </c>
      <c r="D38" s="323">
        <f t="shared" ref="D38:AB38" si="28">D30*$L$28</f>
        <v>0</v>
      </c>
      <c r="E38" s="323">
        <f t="shared" si="28"/>
        <v>0</v>
      </c>
      <c r="F38" s="323">
        <f t="shared" si="28"/>
        <v>1013.9047379999998</v>
      </c>
      <c r="G38" s="323">
        <f t="shared" si="28"/>
        <v>2381.9816789999995</v>
      </c>
      <c r="H38" s="323">
        <f t="shared" si="28"/>
        <v>3298.6626749999996</v>
      </c>
      <c r="I38" s="323">
        <f t="shared" si="28"/>
        <v>4048.3271713499994</v>
      </c>
      <c r="J38" s="323">
        <f t="shared" si="28"/>
        <v>11009.060979839998</v>
      </c>
      <c r="K38" s="323">
        <f t="shared" si="28"/>
        <v>13907.134059587997</v>
      </c>
      <c r="L38" s="323">
        <f t="shared" si="28"/>
        <v>19486.672666460996</v>
      </c>
      <c r="M38" s="323">
        <f t="shared" si="28"/>
        <v>19486.672666460996</v>
      </c>
      <c r="N38" s="323">
        <f t="shared" si="28"/>
        <v>25066.211273333996</v>
      </c>
      <c r="O38" s="323">
        <f t="shared" si="28"/>
        <v>21420.598730453996</v>
      </c>
      <c r="P38" s="323">
        <f t="shared" si="28"/>
        <v>25743.346858151996</v>
      </c>
      <c r="Q38" s="323">
        <f t="shared" si="28"/>
        <v>23540.867985095996</v>
      </c>
      <c r="R38" s="323">
        <f t="shared" si="28"/>
        <v>26071.379763659996</v>
      </c>
      <c r="S38" s="323">
        <f t="shared" si="28"/>
        <v>24142.738504499997</v>
      </c>
      <c r="T38" s="323">
        <f t="shared" si="28"/>
        <v>25410.605545709997</v>
      </c>
      <c r="U38" s="323">
        <f t="shared" si="28"/>
        <v>27573.069904379998</v>
      </c>
      <c r="V38" s="323">
        <f t="shared" si="28"/>
        <v>24158.808200141997</v>
      </c>
      <c r="W38" s="323">
        <f t="shared" si="28"/>
        <v>24856.791333065998</v>
      </c>
      <c r="X38" s="323">
        <f t="shared" si="28"/>
        <v>24942.209334965995</v>
      </c>
      <c r="Y38" s="323">
        <f t="shared" si="28"/>
        <v>24731.733822641996</v>
      </c>
      <c r="Z38" s="323">
        <f t="shared" si="28"/>
        <v>25865.195985089998</v>
      </c>
      <c r="AA38" s="323">
        <f t="shared" si="28"/>
        <v>28748.074382873998</v>
      </c>
      <c r="AB38" s="323">
        <f t="shared" si="28"/>
        <v>25730.291098511996</v>
      </c>
      <c r="AC38" s="323">
        <f t="shared" ref="AC38:AH38" si="29">AC30*$L$28</f>
        <v>29177.650542347998</v>
      </c>
      <c r="AD38" s="323">
        <f t="shared" si="29"/>
        <v>24837.457697513997</v>
      </c>
      <c r="AE38" s="323">
        <f t="shared" si="29"/>
        <v>27389.664259649995</v>
      </c>
      <c r="AF38" s="323">
        <f t="shared" si="29"/>
        <v>24669.135621899997</v>
      </c>
      <c r="AG38" s="323">
        <f t="shared" si="29"/>
        <v>24575.425823717997</v>
      </c>
      <c r="AH38" s="323">
        <f t="shared" si="29"/>
        <v>22292.542916027996</v>
      </c>
      <c r="AI38" s="323">
        <f t="shared" ref="AI38" si="30">AI30*$L$28</f>
        <v>17438.050365119998</v>
      </c>
    </row>
    <row r="39" spans="1:35">
      <c r="B39" s="312" t="s">
        <v>522</v>
      </c>
      <c r="C39" s="45">
        <f t="shared" ref="C39:AB39" si="31">C38*$M$4</f>
        <v>0</v>
      </c>
      <c r="D39" s="45">
        <f t="shared" si="31"/>
        <v>0</v>
      </c>
      <c r="E39" s="45">
        <f t="shared" si="31"/>
        <v>0</v>
      </c>
      <c r="F39" s="45">
        <f t="shared" si="31"/>
        <v>302143.61192399997</v>
      </c>
      <c r="G39" s="45">
        <f t="shared" si="31"/>
        <v>709830.54034199985</v>
      </c>
      <c r="H39" s="45">
        <f t="shared" si="31"/>
        <v>983001.47714999993</v>
      </c>
      <c r="I39" s="45">
        <f t="shared" si="31"/>
        <v>1206401.4970622999</v>
      </c>
      <c r="J39" s="45">
        <f t="shared" si="31"/>
        <v>3280700.1719923196</v>
      </c>
      <c r="K39" s="45">
        <f t="shared" si="31"/>
        <v>4144325.949757223</v>
      </c>
      <c r="L39" s="45">
        <f t="shared" si="31"/>
        <v>5807028.4546053763</v>
      </c>
      <c r="M39" s="45">
        <f t="shared" si="31"/>
        <v>5807028.4546053763</v>
      </c>
      <c r="N39" s="45">
        <f t="shared" si="31"/>
        <v>7469730.9594535306</v>
      </c>
      <c r="O39" s="45">
        <f t="shared" si="31"/>
        <v>6383338.4216752909</v>
      </c>
      <c r="P39" s="45">
        <f t="shared" si="31"/>
        <v>7671517.3637292944</v>
      </c>
      <c r="Q39" s="45">
        <f t="shared" si="31"/>
        <v>7015178.6595586073</v>
      </c>
      <c r="R39" s="45">
        <f t="shared" si="31"/>
        <v>7769271.1695706788</v>
      </c>
      <c r="S39" s="45">
        <f t="shared" si="31"/>
        <v>7194536.0743409991</v>
      </c>
      <c r="T39" s="45">
        <f t="shared" si="31"/>
        <v>7572360.4526215792</v>
      </c>
      <c r="U39" s="45">
        <f t="shared" si="31"/>
        <v>8216774.831505239</v>
      </c>
      <c r="V39" s="45">
        <f t="shared" si="31"/>
        <v>7199324.8436423149</v>
      </c>
      <c r="W39" s="45">
        <f t="shared" si="31"/>
        <v>7407323.8172536669</v>
      </c>
      <c r="X39" s="45">
        <f t="shared" si="31"/>
        <v>7432778.3818198666</v>
      </c>
      <c r="Y39" s="45">
        <f t="shared" si="31"/>
        <v>7370056.6791473152</v>
      </c>
      <c r="Z39" s="45">
        <f t="shared" si="31"/>
        <v>7707828.4035568191</v>
      </c>
      <c r="AA39" s="45">
        <f t="shared" si="31"/>
        <v>8566926.1660964508</v>
      </c>
      <c r="AB39" s="45">
        <f t="shared" si="31"/>
        <v>7667626.747356575</v>
      </c>
      <c r="AC39" s="45">
        <f t="shared" ref="AC39:AH39" si="32">AC38*$M$4</f>
        <v>8694939.8616197035</v>
      </c>
      <c r="AD39" s="45">
        <f t="shared" si="32"/>
        <v>7401562.3938591713</v>
      </c>
      <c r="AE39" s="45">
        <f t="shared" si="32"/>
        <v>8162119.9493756983</v>
      </c>
      <c r="AF39" s="45">
        <f t="shared" si="32"/>
        <v>7351402.4153261995</v>
      </c>
      <c r="AG39" s="45">
        <f t="shared" si="32"/>
        <v>7323476.8954679631</v>
      </c>
      <c r="AH39" s="45">
        <f t="shared" si="32"/>
        <v>6643177.7889763433</v>
      </c>
      <c r="AI39" s="45">
        <f t="shared" ref="AI39" si="33">AI38*$M$4</f>
        <v>5196539.0088057593</v>
      </c>
    </row>
    <row r="40" spans="1:35">
      <c r="B40" s="322" t="s">
        <v>525</v>
      </c>
      <c r="C40" s="313">
        <f t="shared" ref="C40:Q40" si="34">C39/(2205*1000000)</f>
        <v>0</v>
      </c>
      <c r="D40" s="313">
        <f t="shared" si="34"/>
        <v>0</v>
      </c>
      <c r="E40" s="313">
        <f t="shared" si="34"/>
        <v>0</v>
      </c>
      <c r="F40" s="313">
        <f t="shared" si="34"/>
        <v>1.3702658137142856E-4</v>
      </c>
      <c r="G40" s="313">
        <f t="shared" si="34"/>
        <v>3.2191861239999994E-4</v>
      </c>
      <c r="H40" s="313">
        <f t="shared" si="34"/>
        <v>4.4580565857142853E-4</v>
      </c>
      <c r="I40" s="313">
        <f t="shared" si="34"/>
        <v>5.4712086034571427E-4</v>
      </c>
      <c r="J40" s="313">
        <f t="shared" si="34"/>
        <v>1.4878458829897141E-3</v>
      </c>
      <c r="K40" s="313">
        <f t="shared" si="34"/>
        <v>1.8795129023842282E-3</v>
      </c>
      <c r="L40" s="313">
        <f t="shared" si="34"/>
        <v>2.6335729952858848E-3</v>
      </c>
      <c r="M40" s="313">
        <f t="shared" si="34"/>
        <v>2.6335729952858848E-3</v>
      </c>
      <c r="N40" s="313">
        <f t="shared" si="34"/>
        <v>3.387633088187542E-3</v>
      </c>
      <c r="O40" s="313">
        <f t="shared" si="34"/>
        <v>2.8949380597166853E-3</v>
      </c>
      <c r="P40" s="313">
        <f t="shared" si="34"/>
        <v>3.4791461967026279E-3</v>
      </c>
      <c r="Q40" s="313">
        <f t="shared" si="34"/>
        <v>3.1814869204347426E-3</v>
      </c>
      <c r="R40" s="313">
        <f>R39/(2205*1000000)</f>
        <v>3.5234789884674282E-3</v>
      </c>
      <c r="S40" s="313">
        <f>S39/(2205*1000000)</f>
        <v>3.262828151628571E-3</v>
      </c>
      <c r="T40" s="313">
        <f t="shared" ref="T40:Y40" si="35">T39/(2205*1000000)</f>
        <v>3.4341770760188566E-3</v>
      </c>
      <c r="U40" s="313">
        <f t="shared" si="35"/>
        <v>3.726428495013714E-3</v>
      </c>
      <c r="V40" s="313">
        <f t="shared" si="35"/>
        <v>3.2649999290894852E-3</v>
      </c>
      <c r="W40" s="313">
        <f t="shared" si="35"/>
        <v>3.3593305293667425E-3</v>
      </c>
      <c r="X40" s="313">
        <f t="shared" si="35"/>
        <v>3.370874549578171E-3</v>
      </c>
      <c r="Y40" s="313">
        <f t="shared" si="35"/>
        <v>3.3424293329466282E-3</v>
      </c>
      <c r="Z40" s="313">
        <f t="shared" ref="Z40:AE40" si="36">Z39/(2205*1000000)</f>
        <v>3.4956137884611426E-3</v>
      </c>
      <c r="AA40" s="313">
        <f t="shared" si="36"/>
        <v>3.8852272862115421E-3</v>
      </c>
      <c r="AB40" s="313">
        <f t="shared" si="36"/>
        <v>3.477381744832914E-3</v>
      </c>
      <c r="AC40" s="313">
        <f t="shared" si="36"/>
        <v>3.9432833839545137E-3</v>
      </c>
      <c r="AD40" s="313">
        <f t="shared" si="36"/>
        <v>3.3567176389383995E-3</v>
      </c>
      <c r="AE40" s="313">
        <f t="shared" si="36"/>
        <v>3.7016417003971421E-3</v>
      </c>
      <c r="AF40" s="313">
        <f t="shared" ref="AF40:AG40" si="37">AF39/(2205*1000000)</f>
        <v>3.3339693493542855E-3</v>
      </c>
      <c r="AG40" s="313">
        <f t="shared" si="37"/>
        <v>3.3213047144979423E-3</v>
      </c>
      <c r="AH40" s="313">
        <f t="shared" ref="AH40:AI40" si="38">AH39/(2205*1000000)</f>
        <v>3.0127790426196567E-3</v>
      </c>
      <c r="AI40" s="313">
        <f t="shared" si="38"/>
        <v>2.3567070334719995E-3</v>
      </c>
    </row>
    <row r="41" spans="1:35">
      <c r="B41" s="322" t="s">
        <v>817</v>
      </c>
      <c r="C41" s="313">
        <f t="shared" ref="C41:AB41" si="39">C36+C40</f>
        <v>0</v>
      </c>
      <c r="D41" s="313">
        <f t="shared" si="39"/>
        <v>0</v>
      </c>
      <c r="E41" s="313">
        <f t="shared" si="39"/>
        <v>0</v>
      </c>
      <c r="F41" s="313">
        <f t="shared" si="39"/>
        <v>1.4286557493151927E-4</v>
      </c>
      <c r="G41" s="313">
        <f t="shared" si="39"/>
        <v>3.356362479555555E-4</v>
      </c>
      <c r="H41" s="313">
        <f t="shared" si="39"/>
        <v>4.6480238419501131E-4</v>
      </c>
      <c r="I41" s="313">
        <f t="shared" si="39"/>
        <v>5.7043484182417231E-4</v>
      </c>
      <c r="J41" s="313">
        <f t="shared" si="39"/>
        <v>1.5512461549824579E-3</v>
      </c>
      <c r="K41" s="313">
        <f t="shared" si="39"/>
        <v>1.9596029376408269E-3</v>
      </c>
      <c r="L41" s="313">
        <f t="shared" si="39"/>
        <v>2.7457951320829822E-3</v>
      </c>
      <c r="M41" s="313">
        <f t="shared" si="39"/>
        <v>2.7457951320829822E-3</v>
      </c>
      <c r="N41" s="313">
        <f t="shared" si="39"/>
        <v>3.5319873265251384E-3</v>
      </c>
      <c r="O41" s="313">
        <f t="shared" si="39"/>
        <v>3.0182975168261635E-3</v>
      </c>
      <c r="P41" s="313">
        <f t="shared" si="39"/>
        <v>3.6274000028900201E-3</v>
      </c>
      <c r="Q41" s="313">
        <f t="shared" si="39"/>
        <v>3.317056832885355E-3</v>
      </c>
      <c r="R41" s="313">
        <f t="shared" si="39"/>
        <v>3.6736219090370429E-3</v>
      </c>
      <c r="S41" s="313">
        <f t="shared" si="39"/>
        <v>3.4018641866399089E-3</v>
      </c>
      <c r="T41" s="313">
        <f t="shared" si="39"/>
        <v>3.5805146524977684E-3</v>
      </c>
      <c r="U41" s="313">
        <f t="shared" si="39"/>
        <v>3.885219524949315E-3</v>
      </c>
      <c r="V41" s="313">
        <f t="shared" si="39"/>
        <v>3.4041285081494398E-3</v>
      </c>
      <c r="W41" s="313">
        <f t="shared" si="39"/>
        <v>3.5024787355824342E-3</v>
      </c>
      <c r="X41" s="313">
        <f t="shared" si="39"/>
        <v>3.5145146710047468E-3</v>
      </c>
      <c r="Y41" s="313">
        <f t="shared" si="39"/>
        <v>3.4848573432990997E-3</v>
      </c>
      <c r="Z41" s="313">
        <f t="shared" si="39"/>
        <v>3.6445693136965165E-3</v>
      </c>
      <c r="AA41" s="313">
        <f t="shared" si="39"/>
        <v>4.0507850697935827E-3</v>
      </c>
      <c r="AB41" s="313">
        <f t="shared" si="39"/>
        <v>3.6255603639799433E-3</v>
      </c>
      <c r="AC41" s="313">
        <f t="shared" ref="AC41:AH41" si="40">AC36+AC40</f>
        <v>4.1113150611231308E-3</v>
      </c>
      <c r="AD41" s="313">
        <f t="shared" si="40"/>
        <v>3.4997545043453835E-3</v>
      </c>
      <c r="AE41" s="313">
        <f t="shared" si="40"/>
        <v>3.8593765123880719E-3</v>
      </c>
      <c r="AF41" s="313">
        <f t="shared" si="40"/>
        <v>3.4760368618440814E-3</v>
      </c>
      <c r="AG41" s="313">
        <f t="shared" si="40"/>
        <v>3.4628325600076022E-3</v>
      </c>
      <c r="AH41" s="313">
        <f t="shared" si="40"/>
        <v>3.1411599542046E-3</v>
      </c>
      <c r="AI41" s="313">
        <f t="shared" ref="AI41" si="41">AI36+AI40</f>
        <v>2.4571313238085073E-3</v>
      </c>
    </row>
    <row r="42" spans="1:35">
      <c r="B42" s="533"/>
      <c r="C42" s="360"/>
      <c r="D42" s="360"/>
      <c r="E42" s="360"/>
      <c r="F42" s="360"/>
      <c r="G42" s="360"/>
      <c r="H42" s="360"/>
      <c r="I42" s="360"/>
      <c r="J42" s="360"/>
      <c r="K42" s="360"/>
      <c r="L42" s="360"/>
      <c r="M42" s="360"/>
      <c r="N42" s="360"/>
      <c r="O42" s="360"/>
      <c r="P42" s="360"/>
      <c r="Q42" s="360"/>
      <c r="R42" s="360"/>
      <c r="S42" s="360"/>
      <c r="T42" s="360"/>
      <c r="U42" s="360"/>
      <c r="V42" s="360"/>
      <c r="W42" s="360"/>
      <c r="X42" s="360"/>
      <c r="Y42" s="360"/>
    </row>
    <row r="43" spans="1:35">
      <c r="B43" s="533"/>
      <c r="C43" s="360"/>
      <c r="D43" s="360"/>
      <c r="E43" s="360"/>
      <c r="F43" s="360"/>
      <c r="G43" s="360"/>
      <c r="H43" s="360"/>
      <c r="I43" s="360"/>
      <c r="J43" s="360"/>
      <c r="K43" s="360"/>
      <c r="L43" s="360"/>
      <c r="M43" s="341" t="s">
        <v>821</v>
      </c>
      <c r="N43" s="360" t="s">
        <v>822</v>
      </c>
      <c r="O43" s="360"/>
      <c r="P43" s="360"/>
      <c r="Q43" s="360"/>
      <c r="R43" s="360"/>
      <c r="S43" s="360"/>
      <c r="T43" s="360"/>
      <c r="U43" s="360"/>
      <c r="V43" s="360"/>
      <c r="W43" s="360"/>
      <c r="X43" s="360"/>
      <c r="Y43" s="360"/>
    </row>
    <row r="44" spans="1:35" ht="15" thickBot="1">
      <c r="B44" s="378"/>
      <c r="C44" s="340"/>
      <c r="N44" s="639" t="s">
        <v>823</v>
      </c>
    </row>
    <row r="45" spans="1:35" ht="15" thickBot="1">
      <c r="B45" s="1933" t="s">
        <v>824</v>
      </c>
      <c r="C45" s="1934"/>
      <c r="D45" s="1913" t="s">
        <v>459</v>
      </c>
      <c r="E45" s="1914"/>
      <c r="F45" s="1915"/>
      <c r="G45" s="1907" t="s">
        <v>28</v>
      </c>
      <c r="H45" s="1908"/>
      <c r="I45" s="1909"/>
      <c r="J45" s="1907" t="s">
        <v>30</v>
      </c>
      <c r="K45" s="1908"/>
      <c r="L45" s="1909"/>
      <c r="N45" t="s">
        <v>825</v>
      </c>
    </row>
    <row r="46" spans="1:35" ht="78.5">
      <c r="B46" s="414" t="s">
        <v>507</v>
      </c>
      <c r="C46" s="524" t="s">
        <v>805</v>
      </c>
      <c r="D46" s="362" t="s">
        <v>509</v>
      </c>
      <c r="E46" s="316"/>
      <c r="F46" s="363" t="s">
        <v>510</v>
      </c>
      <c r="G46" s="318"/>
      <c r="H46" s="312"/>
      <c r="I46" s="319"/>
      <c r="J46" s="318"/>
      <c r="K46" s="312"/>
      <c r="L46" s="319"/>
      <c r="N46" s="761" t="s">
        <v>826</v>
      </c>
    </row>
    <row r="47" spans="1:35">
      <c r="A47" s="234"/>
      <c r="B47" s="1935" t="s">
        <v>827</v>
      </c>
      <c r="C47" s="339" t="s">
        <v>785</v>
      </c>
      <c r="D47" s="405">
        <v>105.51</v>
      </c>
      <c r="E47" s="404"/>
      <c r="F47" s="404">
        <f>D47*2.20462</f>
        <v>232.60945619999998</v>
      </c>
      <c r="G47" s="45"/>
      <c r="H47" s="406"/>
      <c r="I47" s="406"/>
      <c r="J47" s="45"/>
      <c r="K47" s="406"/>
      <c r="L47" s="406"/>
      <c r="AC47" s="234"/>
      <c r="AE47" s="234"/>
      <c r="AG47" s="234"/>
    </row>
    <row r="48" spans="1:35">
      <c r="B48" s="1936"/>
      <c r="C48" s="330">
        <v>1990</v>
      </c>
      <c r="D48" s="329">
        <v>1991</v>
      </c>
      <c r="E48" s="329">
        <v>1992</v>
      </c>
      <c r="F48" s="329">
        <v>1993</v>
      </c>
      <c r="G48" s="329">
        <v>1994</v>
      </c>
      <c r="H48" s="329">
        <v>1995</v>
      </c>
      <c r="I48" s="329">
        <v>1996</v>
      </c>
      <c r="J48" s="329">
        <v>1997</v>
      </c>
      <c r="K48" s="329">
        <v>1998</v>
      </c>
      <c r="L48" s="329">
        <v>1999</v>
      </c>
      <c r="M48" s="330">
        <v>2000</v>
      </c>
      <c r="N48" s="330">
        <v>2001</v>
      </c>
      <c r="O48" s="330">
        <v>2002</v>
      </c>
      <c r="P48" s="330">
        <v>2003</v>
      </c>
      <c r="Q48" s="330">
        <v>2004</v>
      </c>
      <c r="R48" s="348">
        <v>2005</v>
      </c>
      <c r="S48" s="348">
        <v>2006</v>
      </c>
      <c r="T48" s="348">
        <v>2007</v>
      </c>
      <c r="U48" s="348">
        <v>2008</v>
      </c>
      <c r="V48" s="348">
        <v>2009</v>
      </c>
      <c r="W48" s="330">
        <v>2010</v>
      </c>
      <c r="X48" s="330">
        <v>2011</v>
      </c>
      <c r="Y48" s="330">
        <v>2012</v>
      </c>
      <c r="Z48" s="330">
        <v>2013</v>
      </c>
      <c r="AA48" s="330">
        <v>2014</v>
      </c>
      <c r="AB48" s="330">
        <v>2015</v>
      </c>
      <c r="AC48" s="330">
        <v>2016</v>
      </c>
      <c r="AD48" s="330">
        <v>2017</v>
      </c>
      <c r="AE48" s="330">
        <v>2018</v>
      </c>
      <c r="AF48" s="330">
        <v>2019</v>
      </c>
      <c r="AG48" s="330">
        <v>2020</v>
      </c>
      <c r="AH48" s="330">
        <v>2021</v>
      </c>
      <c r="AI48" s="330">
        <v>2022</v>
      </c>
    </row>
    <row r="49" spans="1:35" ht="70.5" customHeight="1" thickBot="1">
      <c r="B49" s="316" t="s">
        <v>828</v>
      </c>
      <c r="C49" s="641">
        <v>16095.42</v>
      </c>
      <c r="D49" s="641">
        <v>16831.75</v>
      </c>
      <c r="E49" s="641">
        <v>16864.64</v>
      </c>
      <c r="F49" s="641">
        <v>17823.36</v>
      </c>
      <c r="G49" s="641">
        <v>19321.47</v>
      </c>
      <c r="H49" s="641">
        <v>18231.72</v>
      </c>
      <c r="I49" s="641">
        <v>18822.77</v>
      </c>
      <c r="J49" s="641">
        <v>18985.8</v>
      </c>
      <c r="K49" s="641">
        <v>18044.399999999998</v>
      </c>
      <c r="L49" s="641">
        <v>18624</v>
      </c>
      <c r="M49" s="641">
        <v>18003.199999999997</v>
      </c>
      <c r="N49" s="641">
        <v>17692640.969999999</v>
      </c>
      <c r="O49" s="641">
        <v>16456107.920000002</v>
      </c>
      <c r="P49" s="641">
        <v>16699509.750000002</v>
      </c>
      <c r="Q49" s="642">
        <v>17095579.050000001</v>
      </c>
      <c r="R49" s="332">
        <v>17346858.960000001</v>
      </c>
      <c r="S49" s="332">
        <v>17338826</v>
      </c>
      <c r="T49" s="332">
        <v>16483504</v>
      </c>
      <c r="U49" s="331">
        <v>17868107</v>
      </c>
      <c r="V49" s="331">
        <v>17560428</v>
      </c>
      <c r="W49" s="644" t="s">
        <v>829</v>
      </c>
      <c r="X49" s="611"/>
      <c r="Y49" s="611"/>
      <c r="Z49" s="611"/>
      <c r="AA49" s="611"/>
      <c r="AB49" s="611"/>
      <c r="AC49" s="611"/>
      <c r="AD49" s="611"/>
      <c r="AE49" s="611"/>
      <c r="AF49" s="611"/>
      <c r="AG49" s="611"/>
      <c r="AH49" s="611"/>
      <c r="AI49" s="611"/>
    </row>
    <row r="50" spans="1:35" ht="26.5">
      <c r="B50" s="315" t="s">
        <v>815</v>
      </c>
      <c r="C50" s="366">
        <f>C49*1000*$F$47</f>
        <v>3743946893.5106039</v>
      </c>
      <c r="D50" s="366">
        <f t="shared" ref="D50:M50" si="42">D49*1000*$F$47</f>
        <v>3915224214.3943496</v>
      </c>
      <c r="E50" s="366">
        <f t="shared" si="42"/>
        <v>3922874739.4087677</v>
      </c>
      <c r="F50" s="366">
        <f t="shared" si="42"/>
        <v>4145882077.2568316</v>
      </c>
      <c r="G50" s="366">
        <f t="shared" si="42"/>
        <v>4494356629.6846132</v>
      </c>
      <c r="H50" s="366">
        <f t="shared" si="42"/>
        <v>4240870474.7906637</v>
      </c>
      <c r="I50" s="366">
        <f t="shared" si="42"/>
        <v>4378354293.8776741</v>
      </c>
      <c r="J50" s="366">
        <f t="shared" si="42"/>
        <v>4416276613.5219593</v>
      </c>
      <c r="K50" s="366">
        <f t="shared" si="42"/>
        <v>4197298071.4552789</v>
      </c>
      <c r="L50" s="366">
        <f t="shared" si="42"/>
        <v>4332118512.2687998</v>
      </c>
      <c r="M50" s="366">
        <f t="shared" si="42"/>
        <v>4187714561.859839</v>
      </c>
      <c r="N50" s="366">
        <f t="shared" ref="N50:V50" si="43">N49*$F$47</f>
        <v>4115475594.77354</v>
      </c>
      <c r="O50" s="366">
        <f t="shared" si="43"/>
        <v>3827846314.439713</v>
      </c>
      <c r="P50" s="366">
        <f t="shared" si="43"/>
        <v>3884463881.7540979</v>
      </c>
      <c r="Q50" s="366">
        <f t="shared" si="43"/>
        <v>3976593346.2446127</v>
      </c>
      <c r="R50" s="646">
        <f t="shared" si="43"/>
        <v>4035043429.4636974</v>
      </c>
      <c r="S50" s="646">
        <f t="shared" si="43"/>
        <v>4033174887.0064211</v>
      </c>
      <c r="T50" s="646">
        <f t="shared" si="43"/>
        <v>3834218901.7105246</v>
      </c>
      <c r="U50" s="323">
        <f t="shared" si="43"/>
        <v>4156290652.5934129</v>
      </c>
      <c r="V50" s="323">
        <f t="shared" si="43"/>
        <v>4084721607.7192531</v>
      </c>
      <c r="W50" s="698">
        <f>1742943</f>
        <v>1742943</v>
      </c>
      <c r="X50" s="698">
        <f>1727724.6</f>
        <v>1727724.6</v>
      </c>
      <c r="Y50" s="698">
        <f>1618303</f>
        <v>1618303</v>
      </c>
      <c r="Z50" s="698">
        <f>1703048</f>
        <v>1703048</v>
      </c>
      <c r="AA50" s="698">
        <v>1715299</v>
      </c>
      <c r="AB50" s="698">
        <v>1656105.4</v>
      </c>
      <c r="AC50" s="698">
        <v>1628730.9</v>
      </c>
      <c r="AD50" s="698">
        <v>1670740.6</v>
      </c>
      <c r="AE50" s="698">
        <v>1694091.4</v>
      </c>
      <c r="AF50" s="1099">
        <v>1738770.3</v>
      </c>
      <c r="AG50" s="1099">
        <v>1593424.1</v>
      </c>
      <c r="AH50" s="1099">
        <v>1650492.3</v>
      </c>
      <c r="AI50" s="1099">
        <v>1710150.3</v>
      </c>
    </row>
    <row r="51" spans="1:35">
      <c r="B51" s="449" t="s">
        <v>317</v>
      </c>
      <c r="C51" s="647">
        <f t="shared" ref="C51:V51" si="44">C50/(2205*1000000)</f>
        <v>1.6979350990977795</v>
      </c>
      <c r="D51" s="647">
        <f t="shared" si="44"/>
        <v>1.7756118886142176</v>
      </c>
      <c r="E51" s="647">
        <f t="shared" si="44"/>
        <v>1.7790815144710965</v>
      </c>
      <c r="F51" s="647">
        <f t="shared" si="44"/>
        <v>1.8802186291414202</v>
      </c>
      <c r="G51" s="647">
        <f t="shared" si="44"/>
        <v>2.038256974913657</v>
      </c>
      <c r="H51" s="647">
        <f t="shared" si="44"/>
        <v>1.923297267478759</v>
      </c>
      <c r="I51" s="647">
        <f t="shared" si="44"/>
        <v>1.985648205840215</v>
      </c>
      <c r="J51" s="647">
        <f t="shared" si="44"/>
        <v>2.0028465367446526</v>
      </c>
      <c r="K51" s="647">
        <f t="shared" si="44"/>
        <v>1.9035365403425302</v>
      </c>
      <c r="L51" s="647">
        <f t="shared" si="44"/>
        <v>1.9646795974008162</v>
      </c>
      <c r="M51" s="647">
        <f t="shared" si="44"/>
        <v>1.8991902774874554</v>
      </c>
      <c r="N51" s="647">
        <f t="shared" si="44"/>
        <v>1.8664288411671384</v>
      </c>
      <c r="O51" s="647">
        <f t="shared" si="44"/>
        <v>1.7359847231019108</v>
      </c>
      <c r="P51" s="647">
        <f t="shared" si="44"/>
        <v>1.7616616243782757</v>
      </c>
      <c r="Q51" s="647">
        <f t="shared" si="44"/>
        <v>1.8034436944420011</v>
      </c>
      <c r="R51" s="647">
        <f t="shared" si="44"/>
        <v>1.8299516686910193</v>
      </c>
      <c r="S51" s="647">
        <f t="shared" si="44"/>
        <v>1.8291042571457692</v>
      </c>
      <c r="T51" s="647">
        <f t="shared" si="44"/>
        <v>1.738874785356247</v>
      </c>
      <c r="U51" s="317">
        <f t="shared" si="44"/>
        <v>1.8849390714709355</v>
      </c>
      <c r="V51" s="317">
        <f t="shared" si="44"/>
        <v>1.8524814547479607</v>
      </c>
      <c r="W51" s="699">
        <f t="shared" ref="W51:AB51" si="45">W50/1000000</f>
        <v>1.7429429999999999</v>
      </c>
      <c r="X51" s="699">
        <f t="shared" si="45"/>
        <v>1.7277246000000002</v>
      </c>
      <c r="Y51" s="699">
        <f t="shared" si="45"/>
        <v>1.618303</v>
      </c>
      <c r="Z51" s="699">
        <f t="shared" si="45"/>
        <v>1.7030479999999999</v>
      </c>
      <c r="AA51" s="699">
        <f t="shared" si="45"/>
        <v>1.7152989999999999</v>
      </c>
      <c r="AB51" s="699">
        <f t="shared" si="45"/>
        <v>1.6561053999999999</v>
      </c>
      <c r="AC51" s="699">
        <f t="shared" ref="AC51:AH51" si="46">AC50/1000000</f>
        <v>1.6287308999999999</v>
      </c>
      <c r="AD51" s="699">
        <f t="shared" si="46"/>
        <v>1.6707406</v>
      </c>
      <c r="AE51" s="699">
        <f t="shared" si="46"/>
        <v>1.6940913999999998</v>
      </c>
      <c r="AF51" s="699">
        <f t="shared" si="46"/>
        <v>1.7387703000000001</v>
      </c>
      <c r="AG51" s="699">
        <f t="shared" si="46"/>
        <v>1.5934241</v>
      </c>
      <c r="AH51" s="699">
        <f t="shared" si="46"/>
        <v>1.6504923</v>
      </c>
      <c r="AI51" s="699">
        <f t="shared" ref="AI51" si="47">AI50/1000000</f>
        <v>1.7101503</v>
      </c>
    </row>
    <row r="52" spans="1:35">
      <c r="B52" s="689" t="s">
        <v>28</v>
      </c>
      <c r="C52" s="690" t="s">
        <v>503</v>
      </c>
      <c r="D52" s="690"/>
      <c r="E52" s="690"/>
      <c r="F52" s="690"/>
      <c r="G52" s="690"/>
      <c r="H52" s="690"/>
      <c r="I52" s="690"/>
      <c r="J52" s="690"/>
      <c r="K52" s="690"/>
      <c r="L52" s="690"/>
      <c r="M52" s="690"/>
      <c r="N52" s="690"/>
      <c r="O52" s="690"/>
      <c r="P52" s="690"/>
      <c r="Q52" s="690"/>
      <c r="R52" s="690"/>
      <c r="S52" s="690"/>
      <c r="T52" s="690"/>
      <c r="U52" s="353"/>
      <c r="V52" s="353"/>
      <c r="W52" s="353"/>
      <c r="X52" s="353"/>
      <c r="Y52" s="353"/>
      <c r="Z52" s="353"/>
      <c r="AA52" s="353"/>
      <c r="AB52" s="353"/>
      <c r="AC52" s="353"/>
      <c r="AD52" s="353"/>
      <c r="AE52" s="353"/>
      <c r="AF52" s="353"/>
      <c r="AG52" s="353"/>
      <c r="AH52" s="353"/>
      <c r="AI52" s="353"/>
    </row>
    <row r="53" spans="1:35">
      <c r="B53" s="685" t="s">
        <v>521</v>
      </c>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c r="B54" s="685" t="s">
        <v>522</v>
      </c>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row>
    <row r="55" spans="1:35">
      <c r="B55" s="686" t="s">
        <v>523</v>
      </c>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row>
    <row r="56" spans="1:35">
      <c r="B56" s="687" t="s">
        <v>30</v>
      </c>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row>
    <row r="57" spans="1:35">
      <c r="B57" s="685" t="s">
        <v>524</v>
      </c>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row>
    <row r="58" spans="1:35">
      <c r="B58" s="685" t="s">
        <v>522</v>
      </c>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row>
    <row r="59" spans="1:35">
      <c r="B59" s="686" t="s">
        <v>525</v>
      </c>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row>
    <row r="60" spans="1:35">
      <c r="A60" s="581"/>
      <c r="B60" s="533"/>
      <c r="C60" s="360"/>
      <c r="D60" s="360"/>
      <c r="E60" s="360"/>
      <c r="F60" s="360"/>
      <c r="G60" s="360"/>
      <c r="H60" s="360"/>
      <c r="I60" s="360"/>
      <c r="J60" s="360"/>
      <c r="K60" s="360"/>
      <c r="L60" s="360"/>
      <c r="M60" s="360"/>
      <c r="N60" s="360"/>
      <c r="O60" s="360"/>
      <c r="P60" s="360"/>
      <c r="Q60" s="360"/>
      <c r="R60" s="360"/>
      <c r="S60" s="360"/>
      <c r="T60" s="360"/>
      <c r="U60" s="360"/>
      <c r="V60" s="360"/>
      <c r="W60" s="360"/>
      <c r="X60" s="360"/>
      <c r="Y60" s="360"/>
    </row>
    <row r="61" spans="1:35" ht="15" thickBot="1">
      <c r="D61" s="340"/>
    </row>
    <row r="62" spans="1:35" ht="15" thickBot="1">
      <c r="B62" s="520" t="s">
        <v>830</v>
      </c>
      <c r="D62" s="1907" t="s">
        <v>459</v>
      </c>
      <c r="E62" s="1908"/>
      <c r="F62" s="1909"/>
      <c r="G62" s="1907" t="s">
        <v>28</v>
      </c>
      <c r="H62" s="1908"/>
      <c r="I62" s="1909"/>
      <c r="J62" s="1907" t="s">
        <v>30</v>
      </c>
      <c r="K62" s="1908"/>
      <c r="L62" s="1909"/>
    </row>
    <row r="63" spans="1:35" ht="78.5">
      <c r="A63" s="234"/>
      <c r="B63" s="311" t="s">
        <v>507</v>
      </c>
      <c r="C63" s="328" t="s">
        <v>805</v>
      </c>
      <c r="D63" s="362" t="s">
        <v>509</v>
      </c>
      <c r="E63" s="316"/>
      <c r="F63" s="363" t="s">
        <v>510</v>
      </c>
      <c r="G63" s="362" t="s">
        <v>806</v>
      </c>
      <c r="H63" s="316"/>
      <c r="I63" s="361" t="s">
        <v>807</v>
      </c>
      <c r="J63" s="362" t="s">
        <v>808</v>
      </c>
      <c r="K63" s="316"/>
      <c r="L63" s="361" t="s">
        <v>809</v>
      </c>
      <c r="N63" s="378"/>
      <c r="R63" s="8"/>
      <c r="S63" s="8"/>
      <c r="T63" s="8"/>
      <c r="U63" s="8"/>
      <c r="V63" s="8"/>
      <c r="W63" s="8"/>
      <c r="X63" s="8"/>
      <c r="Y63" s="8"/>
      <c r="Z63" s="8"/>
      <c r="AA63" s="8"/>
    </row>
    <row r="64" spans="1:35">
      <c r="A64" s="234"/>
      <c r="B64" s="343" t="s">
        <v>831</v>
      </c>
      <c r="C64" s="342" t="s">
        <v>796</v>
      </c>
      <c r="D64" s="45">
        <v>52.07</v>
      </c>
      <c r="E64" s="313"/>
      <c r="F64" s="404">
        <f>D64*2.20462</f>
        <v>114.79456339999999</v>
      </c>
      <c r="G64" s="405">
        <v>3.2000000000000002E-3</v>
      </c>
      <c r="H64" s="406"/>
      <c r="I64" s="404">
        <f>G64*2.20462</f>
        <v>7.0547839999999997E-3</v>
      </c>
      <c r="J64" s="405">
        <v>6.3E-3</v>
      </c>
      <c r="K64" s="406"/>
      <c r="L64" s="412">
        <f>J64*2.20462</f>
        <v>1.3889105999999998E-2</v>
      </c>
      <c r="R64" t="s">
        <v>832</v>
      </c>
    </row>
    <row r="65" spans="1:36">
      <c r="A65" s="234"/>
      <c r="B65" s="344" t="s">
        <v>833</v>
      </c>
      <c r="C65" s="329">
        <v>1990</v>
      </c>
      <c r="D65" s="329">
        <v>1991</v>
      </c>
      <c r="E65" s="329">
        <v>1992</v>
      </c>
      <c r="F65" s="329">
        <v>1993</v>
      </c>
      <c r="G65" s="329">
        <v>1994</v>
      </c>
      <c r="H65" s="329">
        <v>1995</v>
      </c>
      <c r="I65" s="329">
        <v>1996</v>
      </c>
      <c r="J65" s="329">
        <v>1997</v>
      </c>
      <c r="K65" s="329">
        <v>1998</v>
      </c>
      <c r="L65" s="329">
        <v>1999</v>
      </c>
      <c r="M65" s="330">
        <v>2000</v>
      </c>
      <c r="N65" s="330">
        <v>2001</v>
      </c>
      <c r="O65" s="330">
        <v>2002</v>
      </c>
      <c r="P65" s="330">
        <v>2003</v>
      </c>
      <c r="Q65" s="330">
        <v>2004</v>
      </c>
      <c r="R65" s="330">
        <v>2005</v>
      </c>
      <c r="S65" s="330">
        <v>2006</v>
      </c>
      <c r="T65" s="330">
        <v>2007</v>
      </c>
      <c r="U65" s="330">
        <v>2008</v>
      </c>
      <c r="V65" s="330">
        <v>2009</v>
      </c>
      <c r="W65" s="330">
        <v>2010</v>
      </c>
      <c r="X65" s="330">
        <v>2011</v>
      </c>
      <c r="Y65" s="330">
        <v>2012</v>
      </c>
      <c r="Z65" s="330">
        <v>2013</v>
      </c>
      <c r="AA65" s="330">
        <v>2014</v>
      </c>
      <c r="AB65" s="330">
        <v>2015</v>
      </c>
      <c r="AC65" s="330">
        <v>2016</v>
      </c>
      <c r="AD65" s="330">
        <v>2017</v>
      </c>
      <c r="AE65" s="330">
        <v>2018</v>
      </c>
      <c r="AF65" s="330">
        <v>2019</v>
      </c>
      <c r="AG65" s="330">
        <v>2020</v>
      </c>
      <c r="AH65" s="330">
        <v>2021</v>
      </c>
      <c r="AI65" s="330">
        <v>2022</v>
      </c>
      <c r="AJ65" s="330">
        <v>2023</v>
      </c>
    </row>
    <row r="66" spans="1:36" ht="39.65" customHeight="1" thickBot="1">
      <c r="B66" s="316" t="s">
        <v>834</v>
      </c>
      <c r="C66" s="327"/>
      <c r="D66" s="327"/>
      <c r="E66" s="327"/>
      <c r="F66" s="327"/>
      <c r="G66" s="327"/>
      <c r="H66" s="327"/>
      <c r="I66" s="327"/>
      <c r="J66" s="327"/>
      <c r="K66" s="327"/>
      <c r="L66" s="327"/>
      <c r="M66" s="327">
        <v>731000</v>
      </c>
      <c r="N66" s="327">
        <v>656000</v>
      </c>
      <c r="O66" s="327">
        <v>867000</v>
      </c>
      <c r="P66" s="327">
        <v>755000</v>
      </c>
      <c r="Q66" s="327">
        <v>1734000</v>
      </c>
      <c r="R66" s="327">
        <v>923593.20146646537</v>
      </c>
      <c r="S66" s="327">
        <v>985621.71256161178</v>
      </c>
      <c r="T66" s="327">
        <v>944405.37528236292</v>
      </c>
      <c r="U66" s="327">
        <v>954396.96025889495</v>
      </c>
      <c r="V66" s="327">
        <v>991283.97766567394</v>
      </c>
      <c r="W66" s="327">
        <v>930535.8665071663</v>
      </c>
      <c r="X66" s="327">
        <v>1001396.2266199652</v>
      </c>
      <c r="Y66" s="327">
        <v>968992.02112846496</v>
      </c>
      <c r="Z66" s="327">
        <v>1015380.7431349305</v>
      </c>
      <c r="AA66" s="327">
        <v>1023252.2778282712</v>
      </c>
      <c r="AB66" s="327">
        <v>1005505.3920288793</v>
      </c>
      <c r="AC66" s="327">
        <v>1023349.6935983564</v>
      </c>
      <c r="AD66" s="327">
        <v>1044371.9165027547</v>
      </c>
      <c r="AE66" s="327">
        <v>1053937.1770092456</v>
      </c>
      <c r="AF66" s="327">
        <v>1057427.7056940524</v>
      </c>
      <c r="AG66" s="327">
        <v>944213.8578680408</v>
      </c>
      <c r="AH66" s="327">
        <v>942754.08881270071</v>
      </c>
      <c r="AI66" s="327">
        <v>902334.77618972294</v>
      </c>
      <c r="AJ66" s="327">
        <v>952492.7</v>
      </c>
    </row>
    <row r="67" spans="1:36" ht="26.5">
      <c r="B67" s="315" t="s">
        <v>815</v>
      </c>
      <c r="C67" s="45">
        <f t="shared" ref="C67:AB67" si="48">C66*$F64</f>
        <v>0</v>
      </c>
      <c r="D67" s="45">
        <f t="shared" si="48"/>
        <v>0</v>
      </c>
      <c r="E67" s="45">
        <f t="shared" si="48"/>
        <v>0</v>
      </c>
      <c r="F67" s="45">
        <f t="shared" si="48"/>
        <v>0</v>
      </c>
      <c r="G67" s="45">
        <f t="shared" si="48"/>
        <v>0</v>
      </c>
      <c r="H67" s="45">
        <f t="shared" si="48"/>
        <v>0</v>
      </c>
      <c r="I67" s="45">
        <f t="shared" si="48"/>
        <v>0</v>
      </c>
      <c r="J67" s="45">
        <f t="shared" si="48"/>
        <v>0</v>
      </c>
      <c r="K67" s="45">
        <f t="shared" si="48"/>
        <v>0</v>
      </c>
      <c r="L67" s="45">
        <f t="shared" si="48"/>
        <v>0</v>
      </c>
      <c r="M67" s="45">
        <f t="shared" si="48"/>
        <v>83914825.845399991</v>
      </c>
      <c r="N67" s="45">
        <f t="shared" si="48"/>
        <v>75305233.590399995</v>
      </c>
      <c r="O67" s="45">
        <f t="shared" si="48"/>
        <v>99526886.467799991</v>
      </c>
      <c r="P67" s="45">
        <f t="shared" si="48"/>
        <v>86669895.366999984</v>
      </c>
      <c r="Q67" s="45">
        <f t="shared" si="48"/>
        <v>199053772.93559998</v>
      </c>
      <c r="R67" s="45">
        <f t="shared" si="48"/>
        <v>106023478.32155111</v>
      </c>
      <c r="S67" s="45">
        <f t="shared" si="48"/>
        <v>113144014.1710705</v>
      </c>
      <c r="T67" s="45">
        <f t="shared" si="48"/>
        <v>108412602.72815199</v>
      </c>
      <c r="U67" s="45">
        <f t="shared" si="48"/>
        <v>109559582.36320698</v>
      </c>
      <c r="V67" s="45">
        <f t="shared" si="48"/>
        <v>113794011.42154638</v>
      </c>
      <c r="W67" s="45">
        <f t="shared" si="48"/>
        <v>106820458.52373083</v>
      </c>
      <c r="X67" s="45">
        <f t="shared" si="48"/>
        <v>114954842.62524635</v>
      </c>
      <c r="Y67" s="45">
        <f t="shared" si="48"/>
        <v>111235016.0035257</v>
      </c>
      <c r="Z67" s="45">
        <f t="shared" si="48"/>
        <v>116560189.09294188</v>
      </c>
      <c r="AA67" s="45">
        <f t="shared" si="48"/>
        <v>117463798.48135187</v>
      </c>
      <c r="AB67" s="45">
        <f t="shared" si="48"/>
        <v>115426552.47430103</v>
      </c>
      <c r="AC67" s="45">
        <f>AC66*$F64</f>
        <v>117474981.28214709</v>
      </c>
      <c r="AD67" s="45">
        <f>AD66*$F64</f>
        <v>119888218.18215497</v>
      </c>
      <c r="AE67" s="45">
        <f>AE66*$F64</f>
        <v>120986258.08580485</v>
      </c>
      <c r="AF67" s="45">
        <f>AF66*$F64</f>
        <v>121386951.80221242</v>
      </c>
      <c r="AG67" s="45">
        <f>AG66*$F64</f>
        <v>108390617.57019138</v>
      </c>
      <c r="AH67" s="45">
        <f t="shared" ref="AH67:AI67" si="49">AH66*$F64</f>
        <v>108223044.0188188</v>
      </c>
      <c r="AI67" s="45">
        <f t="shared" si="49"/>
        <v>103583126.67333595</v>
      </c>
      <c r="AJ67" s="45">
        <f t="shared" ref="AJ67" si="50">AJ66*$F64</f>
        <v>109340983.63818716</v>
      </c>
    </row>
    <row r="68" spans="1:36" ht="15" thickBot="1">
      <c r="B68" s="449" t="s">
        <v>317</v>
      </c>
      <c r="C68" s="317">
        <f t="shared" ref="C68:H68" si="51">C67/(2205*1000000)</f>
        <v>0</v>
      </c>
      <c r="D68" s="317">
        <f t="shared" si="51"/>
        <v>0</v>
      </c>
      <c r="E68" s="317">
        <f t="shared" si="51"/>
        <v>0</v>
      </c>
      <c r="F68" s="317">
        <f t="shared" si="51"/>
        <v>0</v>
      </c>
      <c r="G68" s="317">
        <f t="shared" si="51"/>
        <v>0</v>
      </c>
      <c r="H68" s="317">
        <f t="shared" si="51"/>
        <v>0</v>
      </c>
      <c r="I68" s="317">
        <f t="shared" ref="I68:O68" si="52">I67/(2205*1000000)</f>
        <v>0</v>
      </c>
      <c r="J68" s="317">
        <f t="shared" si="52"/>
        <v>0</v>
      </c>
      <c r="K68" s="317">
        <f t="shared" si="52"/>
        <v>0</v>
      </c>
      <c r="L68" s="317">
        <f t="shared" si="52"/>
        <v>0</v>
      </c>
      <c r="M68" s="317">
        <f t="shared" si="52"/>
        <v>3.8056610360725621E-2</v>
      </c>
      <c r="N68" s="317">
        <f t="shared" si="52"/>
        <v>3.4152033374331064E-2</v>
      </c>
      <c r="O68" s="317">
        <f t="shared" si="52"/>
        <v>4.5136909962721086E-2</v>
      </c>
      <c r="P68" s="317">
        <f t="shared" ref="P68:AB68" si="53">P67/(2205*1000000)</f>
        <v>3.9306074996371877E-2</v>
      </c>
      <c r="Q68" s="317">
        <f t="shared" si="53"/>
        <v>9.0273819925442172E-2</v>
      </c>
      <c r="R68" s="317">
        <f t="shared" si="53"/>
        <v>4.8083210123152434E-2</v>
      </c>
      <c r="S68" s="317">
        <f t="shared" si="53"/>
        <v>5.131247808211814E-2</v>
      </c>
      <c r="T68" s="317">
        <f t="shared" si="53"/>
        <v>4.9166713255397732E-2</v>
      </c>
      <c r="U68" s="317">
        <f t="shared" si="53"/>
        <v>4.9686885425490698E-2</v>
      </c>
      <c r="V68" s="317">
        <f t="shared" si="53"/>
        <v>5.1607261415667294E-2</v>
      </c>
      <c r="W68" s="317">
        <f t="shared" si="53"/>
        <v>4.8444652391714658E-2</v>
      </c>
      <c r="X68" s="317">
        <f t="shared" si="53"/>
        <v>5.2133715476302196E-2</v>
      </c>
      <c r="Y68" s="317">
        <f t="shared" si="53"/>
        <v>5.0446719275975375E-2</v>
      </c>
      <c r="Z68" s="317">
        <f t="shared" si="53"/>
        <v>5.2861763760971375E-2</v>
      </c>
      <c r="AA68" s="317">
        <f t="shared" si="53"/>
        <v>5.3271563937121028E-2</v>
      </c>
      <c r="AB68" s="317">
        <f t="shared" si="53"/>
        <v>5.2347642845487992E-2</v>
      </c>
      <c r="AC68" s="317">
        <f>AC67/(2205*1000000)</f>
        <v>5.3276635502107525E-2</v>
      </c>
      <c r="AD68" s="317">
        <f>AD67/(2205*1000000)</f>
        <v>5.4371074005512457E-2</v>
      </c>
      <c r="AE68" s="317">
        <f>AE67/(2205*1000000)</f>
        <v>5.4869051286079294E-2</v>
      </c>
      <c r="AF68" s="317">
        <f>AF67/(2205*1000000)</f>
        <v>5.5050771792386585E-2</v>
      </c>
      <c r="AG68" s="317">
        <f>AG67/(2205*1000000)</f>
        <v>4.9156742662218311E-2</v>
      </c>
      <c r="AH68" s="317">
        <f t="shared" ref="AH68:AI68" si="54">AH67/(2205*1000000)</f>
        <v>4.9080745586765895E-2</v>
      </c>
      <c r="AI68" s="317">
        <f t="shared" si="54"/>
        <v>4.6976474681785015E-2</v>
      </c>
      <c r="AJ68" s="317">
        <f t="shared" ref="AJ68" si="55">AJ67/(2205*1000000)</f>
        <v>4.9587747681717531E-2</v>
      </c>
    </row>
    <row r="69" spans="1:36" ht="15" thickBot="1">
      <c r="B69" s="314" t="s">
        <v>28</v>
      </c>
      <c r="C69" s="324"/>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row>
    <row r="70" spans="1:36">
      <c r="B70" s="321" t="s">
        <v>521</v>
      </c>
      <c r="C70" s="323">
        <f t="shared" ref="C70:AB70" si="56">C66*$I$64</f>
        <v>0</v>
      </c>
      <c r="D70" s="323">
        <f t="shared" si="56"/>
        <v>0</v>
      </c>
      <c r="E70" s="323">
        <f t="shared" si="56"/>
        <v>0</v>
      </c>
      <c r="F70" s="323">
        <f t="shared" si="56"/>
        <v>0</v>
      </c>
      <c r="G70" s="323">
        <f t="shared" si="56"/>
        <v>0</v>
      </c>
      <c r="H70" s="323">
        <f>H66*$I$64</f>
        <v>0</v>
      </c>
      <c r="I70" s="323">
        <f t="shared" si="56"/>
        <v>0</v>
      </c>
      <c r="J70" s="323">
        <f t="shared" si="56"/>
        <v>0</v>
      </c>
      <c r="K70" s="323">
        <f t="shared" si="56"/>
        <v>0</v>
      </c>
      <c r="L70" s="323">
        <f t="shared" si="56"/>
        <v>0</v>
      </c>
      <c r="M70" s="323">
        <f t="shared" si="56"/>
        <v>5157.0471040000002</v>
      </c>
      <c r="N70" s="323">
        <f t="shared" si="56"/>
        <v>4627.9383040000002</v>
      </c>
      <c r="O70" s="323">
        <f t="shared" si="56"/>
        <v>6116.4977279999994</v>
      </c>
      <c r="P70" s="323">
        <f t="shared" si="56"/>
        <v>5326.3619199999994</v>
      </c>
      <c r="Q70" s="323">
        <f t="shared" si="56"/>
        <v>12232.995455999999</v>
      </c>
      <c r="R70" s="323">
        <f t="shared" si="56"/>
        <v>6515.7505402143961</v>
      </c>
      <c r="S70" s="323">
        <f t="shared" si="56"/>
        <v>6953.3482878322575</v>
      </c>
      <c r="T70" s="323">
        <f t="shared" si="56"/>
        <v>6662.5759310560088</v>
      </c>
      <c r="U70" s="323">
        <f t="shared" si="56"/>
        <v>6733.0644048830873</v>
      </c>
      <c r="V70" s="323">
        <f t="shared" si="56"/>
        <v>6993.2943450921539</v>
      </c>
      <c r="W70" s="323">
        <f t="shared" si="56"/>
        <v>6564.7295424608928</v>
      </c>
      <c r="X70" s="323">
        <f t="shared" si="56"/>
        <v>7064.6340772189042</v>
      </c>
      <c r="Y70" s="323">
        <f t="shared" si="56"/>
        <v>6836.0294067847562</v>
      </c>
      <c r="Z70" s="323">
        <f t="shared" si="56"/>
        <v>7163.2918205764172</v>
      </c>
      <c r="AA70" s="323">
        <f t="shared" si="56"/>
        <v>7218.8237975864422</v>
      </c>
      <c r="AB70" s="323">
        <f t="shared" si="56"/>
        <v>7093.6233515990643</v>
      </c>
      <c r="AC70" s="323">
        <f>AC66*$I$64</f>
        <v>7219.5110448025871</v>
      </c>
      <c r="AD70" s="323">
        <f>AD66*$I$64</f>
        <v>7367.8182865929693</v>
      </c>
      <c r="AE70" s="323">
        <f>AE66*$I$64</f>
        <v>7435.2991333699938</v>
      </c>
      <c r="AF70" s="323">
        <f>AF66*$I$64</f>
        <v>7459.9240592871092</v>
      </c>
      <c r="AG70" s="323">
        <f>AG66*$I$64</f>
        <v>6661.2248170657276</v>
      </c>
      <c r="AH70" s="323">
        <f t="shared" ref="AH70:AI70" si="57">AH66*$I$64</f>
        <v>6650.9264616904193</v>
      </c>
      <c r="AI70" s="323">
        <f t="shared" si="57"/>
        <v>6365.7769417068384</v>
      </c>
      <c r="AJ70" s="323">
        <f t="shared" ref="AJ70" si="58">AJ66*$I$64</f>
        <v>6719.6302600767995</v>
      </c>
    </row>
    <row r="71" spans="1:36">
      <c r="B71" s="312" t="s">
        <v>522</v>
      </c>
      <c r="C71" s="45">
        <f t="shared" ref="C71:AB71" si="59">C70*$M$3</f>
        <v>0</v>
      </c>
      <c r="D71" s="45">
        <f t="shared" si="59"/>
        <v>0</v>
      </c>
      <c r="E71" s="45">
        <f t="shared" si="59"/>
        <v>0</v>
      </c>
      <c r="F71" s="45">
        <f t="shared" si="59"/>
        <v>0</v>
      </c>
      <c r="G71" s="45">
        <f t="shared" si="59"/>
        <v>0</v>
      </c>
      <c r="H71" s="45">
        <f t="shared" si="59"/>
        <v>0</v>
      </c>
      <c r="I71" s="45">
        <f t="shared" si="59"/>
        <v>0</v>
      </c>
      <c r="J71" s="45">
        <f t="shared" si="59"/>
        <v>0</v>
      </c>
      <c r="K71" s="45">
        <f t="shared" si="59"/>
        <v>0</v>
      </c>
      <c r="L71" s="45">
        <f t="shared" si="59"/>
        <v>0</v>
      </c>
      <c r="M71" s="45">
        <f t="shared" si="59"/>
        <v>128926.17760000001</v>
      </c>
      <c r="N71" s="45">
        <f t="shared" si="59"/>
        <v>115698.45760000001</v>
      </c>
      <c r="O71" s="45">
        <f t="shared" si="59"/>
        <v>152912.44319999998</v>
      </c>
      <c r="P71" s="45">
        <f t="shared" si="59"/>
        <v>133159.04799999998</v>
      </c>
      <c r="Q71" s="45">
        <f t="shared" si="59"/>
        <v>305824.88639999996</v>
      </c>
      <c r="R71" s="45">
        <f t="shared" si="59"/>
        <v>162893.76350535991</v>
      </c>
      <c r="S71" s="45">
        <f t="shared" si="59"/>
        <v>173833.70719580643</v>
      </c>
      <c r="T71" s="45">
        <f t="shared" si="59"/>
        <v>166564.39827640023</v>
      </c>
      <c r="U71" s="45">
        <f t="shared" si="59"/>
        <v>168326.61012207717</v>
      </c>
      <c r="V71" s="45">
        <f t="shared" si="59"/>
        <v>174832.35862730385</v>
      </c>
      <c r="W71" s="45">
        <f t="shared" si="59"/>
        <v>164118.23856152233</v>
      </c>
      <c r="X71" s="45">
        <f t="shared" si="59"/>
        <v>176615.85193047259</v>
      </c>
      <c r="Y71" s="45">
        <f t="shared" si="59"/>
        <v>170900.73516961891</v>
      </c>
      <c r="Z71" s="45">
        <f t="shared" si="59"/>
        <v>179082.29551441042</v>
      </c>
      <c r="AA71" s="45">
        <f t="shared" si="59"/>
        <v>180470.59493966107</v>
      </c>
      <c r="AB71" s="45">
        <f t="shared" si="59"/>
        <v>177340.5837899766</v>
      </c>
      <c r="AC71" s="45">
        <f>AC70*$M$3</f>
        <v>180487.77612006466</v>
      </c>
      <c r="AD71" s="45">
        <f>AD70*$M$3</f>
        <v>184195.45716482424</v>
      </c>
      <c r="AE71" s="45">
        <f>AE70*$M$3</f>
        <v>185882.47833424984</v>
      </c>
      <c r="AF71" s="45">
        <f>AF70*$M$3</f>
        <v>186498.10148217774</v>
      </c>
      <c r="AG71" s="45">
        <f>AG70*$M$3</f>
        <v>166530.6204266432</v>
      </c>
      <c r="AH71" s="45">
        <f t="shared" ref="AH71:AI71" si="60">AH70*$M$3</f>
        <v>166273.1615422605</v>
      </c>
      <c r="AI71" s="45">
        <f t="shared" si="60"/>
        <v>159144.42354267096</v>
      </c>
      <c r="AJ71" s="45">
        <f t="shared" ref="AJ71" si="61">AJ70*$M$3</f>
        <v>167990.75650192</v>
      </c>
    </row>
    <row r="72" spans="1:36" ht="15" thickBot="1">
      <c r="B72" s="322" t="s">
        <v>523</v>
      </c>
      <c r="C72" s="326">
        <f>C71/(2205*1000000)</f>
        <v>0</v>
      </c>
      <c r="D72" s="326">
        <f t="shared" ref="D72:V72" si="62">D71/(2205*1000000)</f>
        <v>0</v>
      </c>
      <c r="E72" s="326">
        <f t="shared" si="62"/>
        <v>0</v>
      </c>
      <c r="F72" s="326">
        <f t="shared" si="62"/>
        <v>0</v>
      </c>
      <c r="G72" s="326">
        <f t="shared" si="62"/>
        <v>0</v>
      </c>
      <c r="H72" s="326">
        <f>H71/(2205*1000000)</f>
        <v>0</v>
      </c>
      <c r="I72" s="326">
        <f t="shared" si="62"/>
        <v>0</v>
      </c>
      <c r="J72" s="326">
        <f t="shared" si="62"/>
        <v>0</v>
      </c>
      <c r="K72" s="326">
        <f t="shared" si="62"/>
        <v>0</v>
      </c>
      <c r="L72" s="326">
        <f t="shared" si="62"/>
        <v>0</v>
      </c>
      <c r="M72" s="326">
        <f t="shared" si="62"/>
        <v>5.8469921814058962E-5</v>
      </c>
      <c r="N72" s="326">
        <f t="shared" si="62"/>
        <v>5.2470955827664404E-5</v>
      </c>
      <c r="O72" s="326">
        <f t="shared" si="62"/>
        <v>6.9348046802721083E-5</v>
      </c>
      <c r="P72" s="326">
        <f t="shared" si="62"/>
        <v>6.0389590929705207E-5</v>
      </c>
      <c r="Q72" s="326">
        <f t="shared" si="62"/>
        <v>1.3869609360544217E-4</v>
      </c>
      <c r="R72" s="326">
        <f t="shared" si="62"/>
        <v>7.387472267816776E-5</v>
      </c>
      <c r="S72" s="326">
        <f t="shared" si="62"/>
        <v>7.883614838812083E-5</v>
      </c>
      <c r="T72" s="326">
        <f t="shared" si="62"/>
        <v>7.5539409649161106E-5</v>
      </c>
      <c r="U72" s="326">
        <f t="shared" si="62"/>
        <v>7.6338598694819577E-5</v>
      </c>
      <c r="V72" s="326">
        <f t="shared" si="62"/>
        <v>7.9289051531657081E-5</v>
      </c>
      <c r="W72" s="326">
        <f t="shared" ref="W72:AB72" si="63">W71/(2205*1000000)</f>
        <v>7.4430040163955702E-5</v>
      </c>
      <c r="X72" s="326">
        <f t="shared" si="63"/>
        <v>8.0097892031960358E-5</v>
      </c>
      <c r="Y72" s="326">
        <f t="shared" si="63"/>
        <v>7.7506002344498374E-5</v>
      </c>
      <c r="Z72" s="326">
        <f t="shared" si="63"/>
        <v>8.1216460550753028E-5</v>
      </c>
      <c r="AA72" s="326">
        <f t="shared" si="63"/>
        <v>8.1846074802567381E-5</v>
      </c>
      <c r="AB72" s="326">
        <f t="shared" si="63"/>
        <v>8.0426568612234289E-5</v>
      </c>
      <c r="AC72" s="326">
        <f>AC71/(2205*1000000)</f>
        <v>8.1853866721117759E-5</v>
      </c>
      <c r="AD72" s="326">
        <f>AD71/(2205*1000000)</f>
        <v>8.3535354723276298E-5</v>
      </c>
      <c r="AE72" s="326">
        <f>AE71/(2205*1000000)</f>
        <v>8.4300443689002194E-5</v>
      </c>
      <c r="AF72" s="326">
        <f>AF71/(2205*1000000)</f>
        <v>8.4579637860398064E-5</v>
      </c>
      <c r="AG72" s="326">
        <f>AG71/(2205*1000000)</f>
        <v>7.5524090896436825E-5</v>
      </c>
      <c r="AH72" s="326">
        <f t="shared" ref="AH72:AI72" si="64">AH71/(2205*1000000)</f>
        <v>7.5407329497623811E-5</v>
      </c>
      <c r="AI72" s="326">
        <f t="shared" si="64"/>
        <v>7.2174341742707921E-5</v>
      </c>
      <c r="AJ72" s="326">
        <f t="shared" ref="AJ72" si="65">AJ71/(2205*1000000)</f>
        <v>7.6186284127854876E-5</v>
      </c>
    </row>
    <row r="73" spans="1:36" ht="15" thickBot="1">
      <c r="B73" s="314" t="s">
        <v>30</v>
      </c>
      <c r="C73" s="324"/>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c r="AB73" s="325"/>
      <c r="AC73" s="325"/>
      <c r="AD73" s="325"/>
      <c r="AE73" s="325"/>
      <c r="AF73" s="325"/>
      <c r="AG73" s="325"/>
      <c r="AH73" s="325"/>
      <c r="AI73" s="325"/>
      <c r="AJ73" s="325"/>
    </row>
    <row r="74" spans="1:36">
      <c r="B74" s="321" t="s">
        <v>524</v>
      </c>
      <c r="C74" s="323">
        <f t="shared" ref="C74:AB74" si="66">C66*$L$64</f>
        <v>0</v>
      </c>
      <c r="D74" s="323">
        <f t="shared" si="66"/>
        <v>0</v>
      </c>
      <c r="E74" s="323">
        <f t="shared" si="66"/>
        <v>0</v>
      </c>
      <c r="F74" s="323">
        <f t="shared" si="66"/>
        <v>0</v>
      </c>
      <c r="G74" s="323">
        <f t="shared" si="66"/>
        <v>0</v>
      </c>
      <c r="H74" s="323">
        <f>H66*$L$64</f>
        <v>0</v>
      </c>
      <c r="I74" s="323">
        <f t="shared" si="66"/>
        <v>0</v>
      </c>
      <c r="J74" s="323">
        <f t="shared" si="66"/>
        <v>0</v>
      </c>
      <c r="K74" s="323">
        <f t="shared" si="66"/>
        <v>0</v>
      </c>
      <c r="L74" s="323">
        <f t="shared" si="66"/>
        <v>0</v>
      </c>
      <c r="M74" s="323">
        <f t="shared" si="66"/>
        <v>10152.936485999999</v>
      </c>
      <c r="N74" s="323">
        <f t="shared" si="66"/>
        <v>9111.2535359999983</v>
      </c>
      <c r="O74" s="323">
        <f t="shared" si="66"/>
        <v>12041.854901999999</v>
      </c>
      <c r="P74" s="323">
        <f t="shared" si="66"/>
        <v>10486.275029999999</v>
      </c>
      <c r="Q74" s="323">
        <f t="shared" si="66"/>
        <v>24083.709803999998</v>
      </c>
      <c r="R74" s="323">
        <f t="shared" si="66"/>
        <v>12827.883876047092</v>
      </c>
      <c r="S74" s="323">
        <f t="shared" si="66"/>
        <v>13689.404441669756</v>
      </c>
      <c r="T74" s="323">
        <f t="shared" si="66"/>
        <v>13116.946364266518</v>
      </c>
      <c r="U74" s="323">
        <f t="shared" si="66"/>
        <v>13255.720547113579</v>
      </c>
      <c r="V74" s="323">
        <f t="shared" si="66"/>
        <v>13768.048241900176</v>
      </c>
      <c r="W74" s="323">
        <f t="shared" si="66"/>
        <v>12924.311286719882</v>
      </c>
      <c r="X74" s="323">
        <f t="shared" si="66"/>
        <v>13908.498339524716</v>
      </c>
      <c r="Y74" s="323">
        <f t="shared" si="66"/>
        <v>13458.432894607487</v>
      </c>
      <c r="Z74" s="323">
        <f t="shared" si="66"/>
        <v>14102.73077175982</v>
      </c>
      <c r="AA74" s="323">
        <f t="shared" si="66"/>
        <v>14212.059351498307</v>
      </c>
      <c r="AB74" s="323">
        <f t="shared" si="66"/>
        <v>13965.570973460657</v>
      </c>
      <c r="AC74" s="323">
        <f>AC66*$L$64</f>
        <v>14213.412369455093</v>
      </c>
      <c r="AD74" s="323">
        <f>AD66*$L$64</f>
        <v>14505.392251729907</v>
      </c>
      <c r="AE74" s="323">
        <f>AE66*$L$64</f>
        <v>14638.245168822174</v>
      </c>
      <c r="AF74" s="323">
        <f>AF66*$L$64</f>
        <v>14686.725491721496</v>
      </c>
      <c r="AG74" s="323">
        <f>AG66*$L$64</f>
        <v>13114.28635859815</v>
      </c>
      <c r="AH74" s="323">
        <f t="shared" ref="AH74:AI74" si="67">AH66*$L$64</f>
        <v>13094.011471453012</v>
      </c>
      <c r="AI74" s="323">
        <f t="shared" si="67"/>
        <v>12532.623353985337</v>
      </c>
      <c r="AJ74" s="323">
        <f t="shared" ref="AJ74" si="68">AJ66*$L$64</f>
        <v>13229.272074526198</v>
      </c>
    </row>
    <row r="75" spans="1:36">
      <c r="B75" s="312" t="s">
        <v>522</v>
      </c>
      <c r="C75" s="45">
        <f t="shared" ref="C75:AB75" si="69">C74*$M$4</f>
        <v>0</v>
      </c>
      <c r="D75" s="45">
        <f t="shared" si="69"/>
        <v>0</v>
      </c>
      <c r="E75" s="45">
        <f t="shared" si="69"/>
        <v>0</v>
      </c>
      <c r="F75" s="45">
        <f t="shared" si="69"/>
        <v>0</v>
      </c>
      <c r="G75" s="45">
        <f t="shared" si="69"/>
        <v>0</v>
      </c>
      <c r="H75" s="45">
        <f t="shared" si="69"/>
        <v>0</v>
      </c>
      <c r="I75" s="45">
        <f t="shared" si="69"/>
        <v>0</v>
      </c>
      <c r="J75" s="45">
        <f t="shared" si="69"/>
        <v>0</v>
      </c>
      <c r="K75" s="45">
        <f t="shared" si="69"/>
        <v>0</v>
      </c>
      <c r="L75" s="45">
        <f t="shared" si="69"/>
        <v>0</v>
      </c>
      <c r="M75" s="45">
        <f t="shared" si="69"/>
        <v>3025575.0728279995</v>
      </c>
      <c r="N75" s="45">
        <f t="shared" si="69"/>
        <v>2715153.5537279993</v>
      </c>
      <c r="O75" s="45">
        <f t="shared" si="69"/>
        <v>3588472.7607959998</v>
      </c>
      <c r="P75" s="45">
        <f t="shared" si="69"/>
        <v>3124909.9589399998</v>
      </c>
      <c r="Q75" s="45">
        <f t="shared" si="69"/>
        <v>7176945.5215919996</v>
      </c>
      <c r="R75" s="45">
        <f t="shared" si="69"/>
        <v>3822709.3950620336</v>
      </c>
      <c r="S75" s="45">
        <f t="shared" si="69"/>
        <v>4079442.5236175875</v>
      </c>
      <c r="T75" s="45">
        <f t="shared" si="69"/>
        <v>3908850.0165514224</v>
      </c>
      <c r="U75" s="45">
        <f t="shared" si="69"/>
        <v>3950204.7230398464</v>
      </c>
      <c r="V75" s="45">
        <f t="shared" si="69"/>
        <v>4102878.3760862527</v>
      </c>
      <c r="W75" s="45">
        <f t="shared" si="69"/>
        <v>3851444.7634425247</v>
      </c>
      <c r="X75" s="45">
        <f t="shared" si="69"/>
        <v>4144732.5051783654</v>
      </c>
      <c r="Y75" s="45">
        <f t="shared" si="69"/>
        <v>4010613.0025930312</v>
      </c>
      <c r="Z75" s="45">
        <f t="shared" si="69"/>
        <v>4202613.769984426</v>
      </c>
      <c r="AA75" s="45">
        <f t="shared" si="69"/>
        <v>4235193.6867464958</v>
      </c>
      <c r="AB75" s="45">
        <f t="shared" si="69"/>
        <v>4161740.150091276</v>
      </c>
      <c r="AC75" s="45">
        <f>AC74*$M$4</f>
        <v>4235596.8860976174</v>
      </c>
      <c r="AD75" s="45">
        <f>AD74*$M$4</f>
        <v>4322606.8910155119</v>
      </c>
      <c r="AE75" s="45">
        <f>AE74*$M$4</f>
        <v>4362197.0603090078</v>
      </c>
      <c r="AF75" s="45">
        <f>AF74*$M$4</f>
        <v>4376644.1965330057</v>
      </c>
      <c r="AG75" s="45">
        <f>AG74*$M$4</f>
        <v>3908057.334862249</v>
      </c>
      <c r="AH75" s="45">
        <f t="shared" ref="AH75:AI75" si="70">AH74*$M$4</f>
        <v>3902015.4184929975</v>
      </c>
      <c r="AI75" s="45">
        <f t="shared" si="70"/>
        <v>3734721.7594876303</v>
      </c>
      <c r="AJ75" s="45">
        <f t="shared" ref="AJ75" si="71">AJ74*$M$4</f>
        <v>3942323.0782088069</v>
      </c>
    </row>
    <row r="76" spans="1:36">
      <c r="B76" s="322" t="s">
        <v>525</v>
      </c>
      <c r="C76" s="313">
        <f>C75/(2205*1000000)</f>
        <v>0</v>
      </c>
      <c r="D76" s="313">
        <f t="shared" ref="D76:V76" si="72">D75/(2205*1000000)</f>
        <v>0</v>
      </c>
      <c r="E76" s="313">
        <f t="shared" si="72"/>
        <v>0</v>
      </c>
      <c r="F76" s="313">
        <f t="shared" si="72"/>
        <v>0</v>
      </c>
      <c r="G76" s="313">
        <f t="shared" si="72"/>
        <v>0</v>
      </c>
      <c r="H76" s="313">
        <f>H75/(2205*1000000)</f>
        <v>0</v>
      </c>
      <c r="I76" s="313">
        <f t="shared" si="72"/>
        <v>0</v>
      </c>
      <c r="J76" s="313">
        <f t="shared" si="72"/>
        <v>0</v>
      </c>
      <c r="K76" s="313">
        <f t="shared" si="72"/>
        <v>0</v>
      </c>
      <c r="L76" s="313">
        <f t="shared" si="72"/>
        <v>0</v>
      </c>
      <c r="M76" s="313">
        <f t="shared" si="72"/>
        <v>1.3721428901714283E-3</v>
      </c>
      <c r="N76" s="313">
        <f t="shared" si="72"/>
        <v>1.231362155885714E-3</v>
      </c>
      <c r="O76" s="313">
        <f t="shared" si="72"/>
        <v>1.627425288342857E-3</v>
      </c>
      <c r="P76" s="313">
        <f t="shared" si="72"/>
        <v>1.4171927251428571E-3</v>
      </c>
      <c r="Q76" s="313">
        <f t="shared" si="72"/>
        <v>3.254850576685714E-3</v>
      </c>
      <c r="R76" s="313">
        <f t="shared" si="72"/>
        <v>1.7336550544499018E-3</v>
      </c>
      <c r="S76" s="313">
        <f t="shared" si="72"/>
        <v>1.8500873122982257E-3</v>
      </c>
      <c r="T76" s="313">
        <f t="shared" si="72"/>
        <v>1.7727210959416881E-3</v>
      </c>
      <c r="U76" s="313">
        <f t="shared" si="72"/>
        <v>1.7914760648706787E-3</v>
      </c>
      <c r="V76" s="313">
        <f t="shared" si="72"/>
        <v>1.8607158168191622E-3</v>
      </c>
      <c r="W76" s="313">
        <f t="shared" ref="W76:AB76" si="73">W75/(2205*1000000)</f>
        <v>1.7466869675476302E-3</v>
      </c>
      <c r="X76" s="313">
        <f t="shared" si="73"/>
        <v>1.8796972812600296E-3</v>
      </c>
      <c r="Y76" s="313">
        <f t="shared" si="73"/>
        <v>1.8188721100195152E-3</v>
      </c>
      <c r="Z76" s="313">
        <f t="shared" si="73"/>
        <v>1.9059472879747964E-3</v>
      </c>
      <c r="AA76" s="313">
        <f t="shared" si="73"/>
        <v>1.9207227604292499E-3</v>
      </c>
      <c r="AB76" s="313">
        <f t="shared" si="73"/>
        <v>1.8874104989076081E-3</v>
      </c>
      <c r="AC76" s="313">
        <f>AC75/(2205*1000000)</f>
        <v>1.9209056172778309E-3</v>
      </c>
      <c r="AD76" s="313">
        <f>AD75/(2205*1000000)</f>
        <v>1.9603659369684862E-3</v>
      </c>
      <c r="AE76" s="313">
        <f>AE75/(2205*1000000)</f>
        <v>1.9783206622716589E-3</v>
      </c>
      <c r="AF76" s="313">
        <f>AF75/(2205*1000000)</f>
        <v>1.9848726514888914E-3</v>
      </c>
      <c r="AG76" s="313">
        <f>AG75/(2205*1000000)</f>
        <v>1.7723616031121311E-3</v>
      </c>
      <c r="AH76" s="313">
        <f t="shared" ref="AH76:AI76" si="74">AH75/(2205*1000000)</f>
        <v>1.7696215049854865E-3</v>
      </c>
      <c r="AI76" s="313">
        <f t="shared" si="74"/>
        <v>1.6937513648469979E-3</v>
      </c>
      <c r="AJ76" s="313">
        <f t="shared" ref="AJ76" si="75">AJ75/(2205*1000000)</f>
        <v>1.7879016227704339E-3</v>
      </c>
    </row>
    <row r="77" spans="1:36">
      <c r="B77" s="322" t="s">
        <v>817</v>
      </c>
      <c r="C77" s="313">
        <f t="shared" ref="C77:AB77" si="76">C72+C76</f>
        <v>0</v>
      </c>
      <c r="D77" s="313">
        <f t="shared" si="76"/>
        <v>0</v>
      </c>
      <c r="E77" s="313">
        <f t="shared" si="76"/>
        <v>0</v>
      </c>
      <c r="F77" s="313">
        <f t="shared" si="76"/>
        <v>0</v>
      </c>
      <c r="G77" s="313">
        <f t="shared" si="76"/>
        <v>0</v>
      </c>
      <c r="H77" s="313">
        <f t="shared" si="76"/>
        <v>0</v>
      </c>
      <c r="I77" s="313">
        <f t="shared" si="76"/>
        <v>0</v>
      </c>
      <c r="J77" s="313">
        <f t="shared" si="76"/>
        <v>0</v>
      </c>
      <c r="K77" s="313">
        <f t="shared" si="76"/>
        <v>0</v>
      </c>
      <c r="L77" s="313">
        <f t="shared" si="76"/>
        <v>0</v>
      </c>
      <c r="M77" s="313">
        <f t="shared" si="76"/>
        <v>1.4306128119854873E-3</v>
      </c>
      <c r="N77" s="313">
        <f t="shared" si="76"/>
        <v>1.2838331117133784E-3</v>
      </c>
      <c r="O77" s="313">
        <f t="shared" si="76"/>
        <v>1.6967733351455781E-3</v>
      </c>
      <c r="P77" s="313">
        <f t="shared" si="76"/>
        <v>1.4775823160725623E-3</v>
      </c>
      <c r="Q77" s="313">
        <f t="shared" si="76"/>
        <v>3.3935466702911562E-3</v>
      </c>
      <c r="R77" s="313">
        <f t="shared" si="76"/>
        <v>1.8075297771280696E-3</v>
      </c>
      <c r="S77" s="313">
        <f t="shared" si="76"/>
        <v>1.9289234606863466E-3</v>
      </c>
      <c r="T77" s="313">
        <f t="shared" si="76"/>
        <v>1.8482605055908491E-3</v>
      </c>
      <c r="U77" s="313">
        <f t="shared" si="76"/>
        <v>1.8678146635654983E-3</v>
      </c>
      <c r="V77" s="313">
        <f t="shared" si="76"/>
        <v>1.9400048683508194E-3</v>
      </c>
      <c r="W77" s="313">
        <f t="shared" si="76"/>
        <v>1.8211170077115858E-3</v>
      </c>
      <c r="X77" s="313">
        <f t="shared" si="76"/>
        <v>1.95979517329199E-3</v>
      </c>
      <c r="Y77" s="313">
        <f t="shared" si="76"/>
        <v>1.8963781123640137E-3</v>
      </c>
      <c r="Z77" s="313">
        <f t="shared" si="76"/>
        <v>1.9871637485255494E-3</v>
      </c>
      <c r="AA77" s="313">
        <f t="shared" si="76"/>
        <v>2.0025688352318174E-3</v>
      </c>
      <c r="AB77" s="313">
        <f t="shared" si="76"/>
        <v>1.9678370675198422E-3</v>
      </c>
      <c r="AC77" s="313">
        <f>AC72+AC76</f>
        <v>2.0027594839989488E-3</v>
      </c>
      <c r="AD77" s="313">
        <f>AD72+AD76</f>
        <v>2.0439012916917626E-3</v>
      </c>
      <c r="AE77" s="313">
        <f>AE72+AE76</f>
        <v>2.062621105960661E-3</v>
      </c>
      <c r="AF77" s="313">
        <f>AF72+AF76</f>
        <v>2.0694522893492896E-3</v>
      </c>
      <c r="AG77" s="313">
        <f>AG72+AG76</f>
        <v>1.8478856940085679E-3</v>
      </c>
      <c r="AH77" s="313">
        <f t="shared" ref="AH77:AI77" si="77">AH72+AH76</f>
        <v>1.8450288344831103E-3</v>
      </c>
      <c r="AI77" s="313">
        <f t="shared" si="77"/>
        <v>1.7659257065897058E-3</v>
      </c>
      <c r="AJ77" s="313">
        <f t="shared" ref="AJ77" si="78">AJ72+AJ76</f>
        <v>1.8640879068982888E-3</v>
      </c>
    </row>
    <row r="78" spans="1:36">
      <c r="B78" s="359"/>
      <c r="C78" s="360"/>
      <c r="D78" s="360"/>
      <c r="E78" s="360"/>
      <c r="F78" s="360"/>
      <c r="G78" s="360"/>
      <c r="H78" s="360"/>
      <c r="I78" s="360"/>
      <c r="J78" s="360"/>
      <c r="K78" s="360"/>
      <c r="L78" s="360"/>
      <c r="M78" s="360"/>
      <c r="N78" s="360"/>
      <c r="O78" s="360"/>
      <c r="P78" s="360"/>
      <c r="Q78" s="360"/>
      <c r="R78" s="360"/>
      <c r="S78" s="360"/>
      <c r="T78" s="360"/>
      <c r="U78" s="360"/>
      <c r="V78" s="360"/>
      <c r="W78" s="360"/>
      <c r="X78" s="360"/>
      <c r="Y78" s="360"/>
      <c r="Z78" s="360"/>
      <c r="AA78" s="360"/>
    </row>
    <row r="79" spans="1:36" ht="15" thickBot="1">
      <c r="B79" s="210"/>
      <c r="C79" s="211"/>
      <c r="D79" s="211"/>
      <c r="E79" s="211"/>
      <c r="F79" s="211"/>
      <c r="G79" s="211"/>
      <c r="H79" s="211"/>
      <c r="I79" s="211"/>
    </row>
    <row r="80" spans="1:36" ht="15" thickBot="1">
      <c r="B80" s="520" t="s">
        <v>830</v>
      </c>
      <c r="D80" s="1913" t="s">
        <v>459</v>
      </c>
      <c r="E80" s="1914"/>
      <c r="F80" s="1915"/>
      <c r="G80" s="1907" t="s">
        <v>28</v>
      </c>
      <c r="H80" s="1908"/>
      <c r="I80" s="1909"/>
      <c r="J80" s="1907" t="s">
        <v>30</v>
      </c>
      <c r="K80" s="1908"/>
      <c r="L80" s="1909"/>
      <c r="Y80" s="364"/>
    </row>
    <row r="81" spans="1:35" ht="78.5">
      <c r="B81" s="311" t="s">
        <v>804</v>
      </c>
      <c r="C81" s="328" t="s">
        <v>805</v>
      </c>
      <c r="D81" s="362" t="s">
        <v>509</v>
      </c>
      <c r="E81" s="316"/>
      <c r="F81" s="363" t="s">
        <v>510</v>
      </c>
      <c r="G81" s="362" t="s">
        <v>806</v>
      </c>
      <c r="H81" s="316"/>
      <c r="I81" s="361" t="s">
        <v>807</v>
      </c>
      <c r="J81" s="362" t="s">
        <v>808</v>
      </c>
      <c r="K81" s="316"/>
      <c r="L81" s="361" t="s">
        <v>809</v>
      </c>
      <c r="W81" s="360"/>
    </row>
    <row r="82" spans="1:35">
      <c r="A82" s="234"/>
      <c r="B82" s="343" t="s">
        <v>810</v>
      </c>
      <c r="C82" s="365" t="s">
        <v>835</v>
      </c>
      <c r="D82" s="367">
        <v>93.8</v>
      </c>
      <c r="E82" s="368"/>
      <c r="F82" s="369">
        <f>D82*2.20462</f>
        <v>206.79335599999999</v>
      </c>
      <c r="G82" s="367">
        <v>7.1999999999999998E-3</v>
      </c>
      <c r="H82" s="368"/>
      <c r="I82" s="369">
        <f>G82*2.20462</f>
        <v>1.5873263999999998E-2</v>
      </c>
      <c r="J82" s="370">
        <v>3.5999999999999999E-3</v>
      </c>
      <c r="K82" s="368"/>
      <c r="L82" s="369">
        <f>J82*2.20462</f>
        <v>7.936631999999999E-3</v>
      </c>
    </row>
    <row r="83" spans="1:35">
      <c r="B83" s="344"/>
      <c r="C83" s="330">
        <v>1990</v>
      </c>
      <c r="D83" s="330">
        <v>1991</v>
      </c>
      <c r="E83" s="330">
        <v>1992</v>
      </c>
      <c r="F83" s="330">
        <v>1993</v>
      </c>
      <c r="G83" s="330">
        <v>1994</v>
      </c>
      <c r="H83" s="330">
        <v>1995</v>
      </c>
      <c r="I83" s="330">
        <v>1996</v>
      </c>
      <c r="J83" s="330">
        <v>1997</v>
      </c>
      <c r="K83" s="330">
        <v>1998</v>
      </c>
      <c r="L83" s="330">
        <v>1999</v>
      </c>
      <c r="M83" s="330">
        <v>2000</v>
      </c>
      <c r="N83" s="330">
        <v>2001</v>
      </c>
      <c r="O83" s="330">
        <v>2002</v>
      </c>
      <c r="P83" s="330">
        <v>2003</v>
      </c>
      <c r="Q83" s="330">
        <v>2004</v>
      </c>
      <c r="R83" s="330">
        <v>2005</v>
      </c>
      <c r="S83" s="330">
        <v>2006</v>
      </c>
      <c r="T83" s="330">
        <v>2007</v>
      </c>
      <c r="U83" s="330">
        <v>2008</v>
      </c>
      <c r="V83" s="330">
        <v>2009</v>
      </c>
      <c r="W83" s="330">
        <v>2010</v>
      </c>
      <c r="X83" s="330">
        <v>2011</v>
      </c>
      <c r="Y83" s="330">
        <v>2012</v>
      </c>
      <c r="Z83" s="330">
        <v>2013</v>
      </c>
      <c r="AA83" s="330">
        <v>2014</v>
      </c>
      <c r="AB83" s="330">
        <v>2015</v>
      </c>
      <c r="AC83" s="330">
        <v>2016</v>
      </c>
      <c r="AD83" s="330">
        <v>2017</v>
      </c>
      <c r="AE83" s="330">
        <v>2018</v>
      </c>
      <c r="AF83" s="330">
        <v>2019</v>
      </c>
      <c r="AG83" s="330">
        <v>2020</v>
      </c>
      <c r="AH83" s="330">
        <v>2021</v>
      </c>
      <c r="AI83" s="330">
        <v>2022</v>
      </c>
    </row>
    <row r="84" spans="1:35">
      <c r="B84" s="346" t="s">
        <v>836</v>
      </c>
      <c r="C84" s="45">
        <v>1976</v>
      </c>
      <c r="D84" s="45">
        <v>2063</v>
      </c>
      <c r="E84" s="45">
        <v>2175</v>
      </c>
      <c r="F84" s="45">
        <v>2769</v>
      </c>
      <c r="G84" s="45">
        <v>2652</v>
      </c>
      <c r="H84" s="45">
        <v>2677</v>
      </c>
      <c r="I84" s="45">
        <v>2780</v>
      </c>
      <c r="J84" s="45">
        <v>2427</v>
      </c>
      <c r="K84" s="45">
        <v>2120</v>
      </c>
      <c r="L84" s="45">
        <v>2230</v>
      </c>
      <c r="M84" s="45">
        <v>2386</v>
      </c>
      <c r="N84" s="45">
        <v>2023</v>
      </c>
      <c r="O84" s="45">
        <v>2072</v>
      </c>
      <c r="P84" s="45">
        <v>2157</v>
      </c>
      <c r="Q84" s="45">
        <v>2109</v>
      </c>
      <c r="R84" s="45">
        <v>574</v>
      </c>
      <c r="S84" s="45">
        <v>533</v>
      </c>
      <c r="T84" s="45">
        <v>566</v>
      </c>
      <c r="U84" s="45">
        <v>597</v>
      </c>
      <c r="V84" s="45">
        <v>1441</v>
      </c>
      <c r="W84" s="45">
        <v>1423</v>
      </c>
      <c r="X84" s="45">
        <v>1370</v>
      </c>
      <c r="Y84" s="366">
        <v>1200</v>
      </c>
      <c r="Z84" s="366">
        <v>1391</v>
      </c>
      <c r="AA84" s="366">
        <v>1449</v>
      </c>
      <c r="AB84" s="366">
        <v>1540</v>
      </c>
      <c r="AC84" s="366">
        <v>1487</v>
      </c>
      <c r="AD84" s="366">
        <v>1523</v>
      </c>
      <c r="AE84" s="366">
        <v>1245</v>
      </c>
      <c r="AF84" s="366">
        <v>1467</v>
      </c>
      <c r="AG84" s="366">
        <v>1378</v>
      </c>
      <c r="AH84" s="366">
        <v>1515</v>
      </c>
      <c r="AI84" s="366">
        <v>1447</v>
      </c>
    </row>
    <row r="85" spans="1:35" ht="26.5">
      <c r="B85" s="335" t="s">
        <v>814</v>
      </c>
      <c r="C85" s="336">
        <f t="shared" ref="C85:AB85" si="79">C84*1000</f>
        <v>1976000</v>
      </c>
      <c r="D85" s="336">
        <f t="shared" si="79"/>
        <v>2063000</v>
      </c>
      <c r="E85" s="336">
        <f t="shared" si="79"/>
        <v>2175000</v>
      </c>
      <c r="F85" s="336">
        <f t="shared" si="79"/>
        <v>2769000</v>
      </c>
      <c r="G85" s="336">
        <f t="shared" si="79"/>
        <v>2652000</v>
      </c>
      <c r="H85" s="336">
        <f t="shared" si="79"/>
        <v>2677000</v>
      </c>
      <c r="I85" s="336">
        <f t="shared" si="79"/>
        <v>2780000</v>
      </c>
      <c r="J85" s="336">
        <f t="shared" si="79"/>
        <v>2427000</v>
      </c>
      <c r="K85" s="336">
        <f t="shared" si="79"/>
        <v>2120000</v>
      </c>
      <c r="L85" s="336">
        <f t="shared" si="79"/>
        <v>2230000</v>
      </c>
      <c r="M85" s="336">
        <f t="shared" si="79"/>
        <v>2386000</v>
      </c>
      <c r="N85" s="336">
        <f t="shared" si="79"/>
        <v>2023000</v>
      </c>
      <c r="O85" s="336">
        <f t="shared" si="79"/>
        <v>2072000</v>
      </c>
      <c r="P85" s="336">
        <f t="shared" si="79"/>
        <v>2157000</v>
      </c>
      <c r="Q85" s="336">
        <f t="shared" si="79"/>
        <v>2109000</v>
      </c>
      <c r="R85" s="336">
        <f t="shared" si="79"/>
        <v>574000</v>
      </c>
      <c r="S85" s="336">
        <f t="shared" si="79"/>
        <v>533000</v>
      </c>
      <c r="T85" s="336">
        <f t="shared" si="79"/>
        <v>566000</v>
      </c>
      <c r="U85" s="336">
        <f t="shared" si="79"/>
        <v>597000</v>
      </c>
      <c r="V85" s="336">
        <f t="shared" si="79"/>
        <v>1441000</v>
      </c>
      <c r="W85" s="336">
        <f t="shared" si="79"/>
        <v>1423000</v>
      </c>
      <c r="X85" s="336">
        <f t="shared" si="79"/>
        <v>1370000</v>
      </c>
      <c r="Y85" s="336">
        <f t="shared" si="79"/>
        <v>1200000</v>
      </c>
      <c r="Z85" s="336">
        <f t="shared" si="79"/>
        <v>1391000</v>
      </c>
      <c r="AA85" s="336">
        <f t="shared" si="79"/>
        <v>1449000</v>
      </c>
      <c r="AB85" s="336">
        <f t="shared" si="79"/>
        <v>1540000</v>
      </c>
      <c r="AC85" s="336">
        <f>AC84*1000</f>
        <v>1487000</v>
      </c>
      <c r="AD85" s="336">
        <f t="shared" ref="AD85:AE85" si="80">AD84*1000</f>
        <v>1523000</v>
      </c>
      <c r="AE85" s="336">
        <f t="shared" si="80"/>
        <v>1245000</v>
      </c>
      <c r="AF85" s="336">
        <f t="shared" ref="AF85:AG85" si="81">AF84*1000</f>
        <v>1467000</v>
      </c>
      <c r="AG85" s="336">
        <f t="shared" si="81"/>
        <v>1378000</v>
      </c>
      <c r="AH85" s="336">
        <f t="shared" ref="AH85:AI85" si="82">AH84*1000</f>
        <v>1515000</v>
      </c>
      <c r="AI85" s="336">
        <f t="shared" si="82"/>
        <v>1447000</v>
      </c>
    </row>
    <row r="86" spans="1:35" ht="26.5">
      <c r="B86" s="315" t="s">
        <v>815</v>
      </c>
      <c r="C86" s="323">
        <f>C85*$F$82</f>
        <v>408623671.45599997</v>
      </c>
      <c r="D86" s="323">
        <f>D85*$F$82</f>
        <v>426614693.42799997</v>
      </c>
      <c r="E86" s="323">
        <f>E85*$F$82</f>
        <v>449775549.29999995</v>
      </c>
      <c r="F86" s="323">
        <f t="shared" ref="F86:AB86" si="83">F85*$F$82</f>
        <v>572610802.76399994</v>
      </c>
      <c r="G86" s="323">
        <f t="shared" si="83"/>
        <v>548415980.11199999</v>
      </c>
      <c r="H86" s="323">
        <f t="shared" si="83"/>
        <v>553585814.01199996</v>
      </c>
      <c r="I86" s="323">
        <f t="shared" si="83"/>
        <v>574885529.67999995</v>
      </c>
      <c r="J86" s="323">
        <f t="shared" si="83"/>
        <v>501887475.01199996</v>
      </c>
      <c r="K86" s="323">
        <f t="shared" si="83"/>
        <v>438401914.71999997</v>
      </c>
      <c r="L86" s="323">
        <f t="shared" si="83"/>
        <v>461149183.88</v>
      </c>
      <c r="M86" s="323">
        <f t="shared" si="83"/>
        <v>493408947.41599995</v>
      </c>
      <c r="N86" s="323">
        <f t="shared" si="83"/>
        <v>418342959.18799996</v>
      </c>
      <c r="O86" s="323">
        <f t="shared" si="83"/>
        <v>428475833.63199997</v>
      </c>
      <c r="P86" s="323">
        <f t="shared" si="83"/>
        <v>446053268.89199996</v>
      </c>
      <c r="Q86" s="323">
        <f t="shared" si="83"/>
        <v>436127187.80399996</v>
      </c>
      <c r="R86" s="323">
        <f t="shared" si="83"/>
        <v>118699386.344</v>
      </c>
      <c r="S86" s="323">
        <f t="shared" si="83"/>
        <v>110220858.748</v>
      </c>
      <c r="T86" s="323">
        <f t="shared" si="83"/>
        <v>117045039.49599999</v>
      </c>
      <c r="U86" s="323">
        <f t="shared" si="83"/>
        <v>123455633.53199999</v>
      </c>
      <c r="V86" s="323">
        <f t="shared" si="83"/>
        <v>297989225.99599999</v>
      </c>
      <c r="W86" s="323">
        <f t="shared" si="83"/>
        <v>294266945.588</v>
      </c>
      <c r="X86" s="323">
        <f t="shared" si="83"/>
        <v>283306897.71999997</v>
      </c>
      <c r="Y86" s="323">
        <f t="shared" si="83"/>
        <v>248152027.19999999</v>
      </c>
      <c r="Z86" s="323">
        <f t="shared" si="83"/>
        <v>287649558.19599998</v>
      </c>
      <c r="AA86" s="323">
        <f t="shared" si="83"/>
        <v>299643572.84399998</v>
      </c>
      <c r="AB86" s="323">
        <f t="shared" si="83"/>
        <v>318461768.24000001</v>
      </c>
      <c r="AC86" s="323">
        <f>AC85*$F$82</f>
        <v>307501720.37199998</v>
      </c>
      <c r="AD86" s="323">
        <f t="shared" ref="AD86:AE86" si="84">AD85*$F$82</f>
        <v>314946281.18799996</v>
      </c>
      <c r="AE86" s="323">
        <f t="shared" si="84"/>
        <v>257457728.22</v>
      </c>
      <c r="AF86" s="323">
        <f t="shared" ref="AF86:AG86" si="85">AF85*$F$82</f>
        <v>303365853.25199997</v>
      </c>
      <c r="AG86" s="323">
        <f t="shared" si="85"/>
        <v>284961244.56799996</v>
      </c>
      <c r="AH86" s="323">
        <f t="shared" ref="AH86:AI86" si="86">AH85*$F$82</f>
        <v>313291934.33999997</v>
      </c>
      <c r="AI86" s="323">
        <f t="shared" si="86"/>
        <v>299229986.13199997</v>
      </c>
    </row>
    <row r="87" spans="1:35">
      <c r="B87" s="449" t="s">
        <v>317</v>
      </c>
      <c r="C87" s="317">
        <f t="shared" ref="C87:Y87" si="87">C86/(2205*1000000)</f>
        <v>0.18531685780317458</v>
      </c>
      <c r="D87" s="317">
        <f t="shared" si="87"/>
        <v>0.19347605144126984</v>
      </c>
      <c r="E87" s="317">
        <f t="shared" si="87"/>
        <v>0.20397984095238092</v>
      </c>
      <c r="F87" s="317">
        <f t="shared" si="87"/>
        <v>0.25968743889523804</v>
      </c>
      <c r="G87" s="317">
        <f t="shared" si="87"/>
        <v>0.24871473020952381</v>
      </c>
      <c r="H87" s="317">
        <f t="shared" si="87"/>
        <v>0.25105932608253967</v>
      </c>
      <c r="I87" s="317">
        <f t="shared" si="87"/>
        <v>0.26071906107936504</v>
      </c>
      <c r="J87" s="317">
        <f t="shared" si="87"/>
        <v>0.22761336735238094</v>
      </c>
      <c r="K87" s="317">
        <f t="shared" si="87"/>
        <v>0.19882173003174602</v>
      </c>
      <c r="L87" s="317">
        <f t="shared" si="87"/>
        <v>0.20913795187301587</v>
      </c>
      <c r="M87" s="317">
        <f t="shared" si="87"/>
        <v>0.2237682301206349</v>
      </c>
      <c r="N87" s="317">
        <f t="shared" si="87"/>
        <v>0.18972469804444442</v>
      </c>
      <c r="O87" s="317">
        <f t="shared" si="87"/>
        <v>0.19432010595555554</v>
      </c>
      <c r="P87" s="317">
        <f t="shared" si="87"/>
        <v>0.2022917319238095</v>
      </c>
      <c r="Q87" s="317">
        <f t="shared" si="87"/>
        <v>0.19779010784761902</v>
      </c>
      <c r="R87" s="317">
        <f t="shared" si="87"/>
        <v>5.3831921244444442E-2</v>
      </c>
      <c r="S87" s="317">
        <f t="shared" si="87"/>
        <v>4.9986784012698411E-2</v>
      </c>
      <c r="T87" s="317">
        <f t="shared" si="87"/>
        <v>5.3081650565079359E-2</v>
      </c>
      <c r="U87" s="317">
        <f t="shared" si="87"/>
        <v>5.5988949447619042E-2</v>
      </c>
      <c r="V87" s="317">
        <f t="shared" si="87"/>
        <v>0.13514250612063491</v>
      </c>
      <c r="W87" s="317">
        <f t="shared" si="87"/>
        <v>0.1334543970920635</v>
      </c>
      <c r="X87" s="317">
        <f t="shared" si="87"/>
        <v>0.12848385384126984</v>
      </c>
      <c r="Y87" s="317">
        <f t="shared" si="87"/>
        <v>0.11254060190476189</v>
      </c>
      <c r="Z87" s="317">
        <f t="shared" ref="Z87:AE87" si="88">Z86/(2205*1000000)</f>
        <v>0.13045331437460317</v>
      </c>
      <c r="AA87" s="317">
        <f t="shared" si="88"/>
        <v>0.1358927768</v>
      </c>
      <c r="AB87" s="317">
        <f t="shared" si="88"/>
        <v>0.14442710577777779</v>
      </c>
      <c r="AC87" s="317">
        <f t="shared" si="88"/>
        <v>0.13945656252698413</v>
      </c>
      <c r="AD87" s="317">
        <f t="shared" si="88"/>
        <v>0.14283278058412696</v>
      </c>
      <c r="AE87" s="317">
        <f t="shared" si="88"/>
        <v>0.11676087447619048</v>
      </c>
      <c r="AF87" s="317">
        <f t="shared" ref="AF87:AG87" si="89">AF86/(2205*1000000)</f>
        <v>0.13758088582857142</v>
      </c>
      <c r="AG87" s="317">
        <f t="shared" si="89"/>
        <v>0.1292341245206349</v>
      </c>
      <c r="AH87" s="317">
        <f t="shared" ref="AH87:AI87" si="90">AH86/(2205*1000000)</f>
        <v>0.1420825099047619</v>
      </c>
      <c r="AI87" s="317">
        <f t="shared" si="90"/>
        <v>0.13570520913015871</v>
      </c>
    </row>
    <row r="88" spans="1:35" ht="16.5">
      <c r="B88" s="687" t="s">
        <v>28</v>
      </c>
      <c r="C88" s="688" t="s">
        <v>837</v>
      </c>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row>
    <row r="89" spans="1:35">
      <c r="B89" s="685" t="s">
        <v>521</v>
      </c>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row>
    <row r="90" spans="1:35">
      <c r="B90" s="685" t="s">
        <v>522</v>
      </c>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row>
    <row r="91" spans="1:35">
      <c r="B91" s="686" t="s">
        <v>523</v>
      </c>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row>
    <row r="92" spans="1:35">
      <c r="B92" s="687" t="s">
        <v>30</v>
      </c>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row>
    <row r="93" spans="1:35">
      <c r="B93" s="685" t="s">
        <v>524</v>
      </c>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row>
    <row r="94" spans="1:35">
      <c r="B94" s="685" t="s">
        <v>522</v>
      </c>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row>
    <row r="95" spans="1:35">
      <c r="B95" s="686" t="s">
        <v>525</v>
      </c>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row>
    <row r="96" spans="1:35">
      <c r="B96" s="686" t="s">
        <v>817</v>
      </c>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row>
    <row r="97" spans="1:35">
      <c r="B97" s="210"/>
      <c r="C97" s="211"/>
      <c r="D97" s="211"/>
      <c r="E97" s="211"/>
      <c r="F97" s="211"/>
      <c r="G97" s="211"/>
      <c r="H97" s="211"/>
      <c r="I97" s="211"/>
    </row>
    <row r="98" spans="1:35" ht="15" thickBot="1"/>
    <row r="99" spans="1:35" ht="15" thickBot="1">
      <c r="B99" s="520" t="s">
        <v>830</v>
      </c>
      <c r="D99" s="1907" t="s">
        <v>459</v>
      </c>
      <c r="E99" s="1908"/>
      <c r="F99" s="1909"/>
      <c r="G99" s="1910" t="s">
        <v>28</v>
      </c>
      <c r="H99" s="1908"/>
      <c r="I99" s="1909"/>
      <c r="J99" s="1907" t="s">
        <v>30</v>
      </c>
      <c r="K99" s="1908"/>
      <c r="L99" s="1909"/>
    </row>
    <row r="100" spans="1:35" ht="78.5">
      <c r="B100" s="414" t="s">
        <v>507</v>
      </c>
      <c r="C100" s="338" t="s">
        <v>838</v>
      </c>
      <c r="D100" s="362" t="s">
        <v>509</v>
      </c>
      <c r="E100" s="316"/>
      <c r="F100" s="363" t="s">
        <v>510</v>
      </c>
      <c r="G100" s="362" t="s">
        <v>806</v>
      </c>
      <c r="H100" s="316"/>
      <c r="I100" s="361" t="s">
        <v>807</v>
      </c>
      <c r="J100" s="362" t="s">
        <v>808</v>
      </c>
      <c r="K100" s="316"/>
      <c r="L100" s="361" t="s">
        <v>809</v>
      </c>
    </row>
    <row r="101" spans="1:35">
      <c r="A101" s="234"/>
      <c r="B101" s="343" t="s">
        <v>839</v>
      </c>
      <c r="C101" s="342" t="s">
        <v>840</v>
      </c>
      <c r="D101" s="313">
        <v>68.44</v>
      </c>
      <c r="E101" s="406"/>
      <c r="F101" s="406">
        <f>D101*2.20462</f>
        <v>150.88419279999999</v>
      </c>
      <c r="G101" s="405">
        <v>1.1000000000000001E-3</v>
      </c>
      <c r="H101" s="406"/>
      <c r="I101" s="406">
        <f>G101*2.20462</f>
        <v>2.4250819999999998E-3</v>
      </c>
      <c r="J101" s="406">
        <v>1.1E-4</v>
      </c>
      <c r="K101" s="406"/>
      <c r="L101" s="406">
        <f>J101*2.20462</f>
        <v>2.4250819999999999E-4</v>
      </c>
    </row>
    <row r="102" spans="1:35">
      <c r="B102" s="344"/>
      <c r="C102" s="334">
        <v>1990</v>
      </c>
      <c r="D102" s="334">
        <v>1991</v>
      </c>
      <c r="E102" s="334">
        <v>1992</v>
      </c>
      <c r="F102" s="334">
        <v>1993</v>
      </c>
      <c r="G102" s="334">
        <v>1994</v>
      </c>
      <c r="H102" s="334">
        <v>1995</v>
      </c>
      <c r="I102" s="334">
        <v>1996</v>
      </c>
      <c r="J102" s="334">
        <v>1997</v>
      </c>
      <c r="K102" s="334">
        <v>1998</v>
      </c>
      <c r="L102" s="334">
        <v>1999</v>
      </c>
      <c r="M102" s="330">
        <v>2000</v>
      </c>
      <c r="N102" s="330">
        <v>2001</v>
      </c>
      <c r="O102" s="330">
        <v>2002</v>
      </c>
      <c r="P102" s="330">
        <v>2003</v>
      </c>
      <c r="Q102" s="330">
        <v>2004</v>
      </c>
      <c r="R102" s="330">
        <v>2005</v>
      </c>
      <c r="S102" s="330">
        <v>2006</v>
      </c>
      <c r="T102" s="330">
        <v>2007</v>
      </c>
      <c r="U102" s="330">
        <v>2008</v>
      </c>
      <c r="V102" s="330">
        <v>2009</v>
      </c>
      <c r="W102" s="330">
        <v>2010</v>
      </c>
      <c r="X102" s="330">
        <v>2011</v>
      </c>
      <c r="Y102" s="330">
        <v>2012</v>
      </c>
      <c r="Z102" s="330">
        <v>2013</v>
      </c>
      <c r="AA102" s="330">
        <v>2014</v>
      </c>
      <c r="AB102" s="330">
        <v>2015</v>
      </c>
      <c r="AC102" s="330">
        <v>2016</v>
      </c>
      <c r="AD102" s="330">
        <v>2017</v>
      </c>
      <c r="AE102" s="330">
        <v>2018</v>
      </c>
      <c r="AF102" s="330">
        <v>2019</v>
      </c>
      <c r="AG102" s="330">
        <v>2020</v>
      </c>
      <c r="AH102" s="330">
        <v>2021</v>
      </c>
      <c r="AI102" s="330">
        <v>2022</v>
      </c>
    </row>
    <row r="103" spans="1:35">
      <c r="B103" s="346" t="s">
        <v>836</v>
      </c>
      <c r="C103" s="27">
        <v>0</v>
      </c>
      <c r="D103" s="27">
        <v>0</v>
      </c>
      <c r="E103" s="27">
        <v>0</v>
      </c>
      <c r="F103" s="27">
        <v>0</v>
      </c>
      <c r="G103" s="27">
        <v>0</v>
      </c>
      <c r="H103" s="27">
        <v>0</v>
      </c>
      <c r="I103" s="27">
        <v>0</v>
      </c>
      <c r="J103" s="27">
        <v>0</v>
      </c>
      <c r="K103" s="27">
        <v>0</v>
      </c>
      <c r="L103" s="27">
        <v>0</v>
      </c>
      <c r="M103" s="27">
        <v>0</v>
      </c>
      <c r="N103" s="27">
        <v>0</v>
      </c>
      <c r="O103" s="27">
        <v>0</v>
      </c>
      <c r="P103" s="27">
        <v>0</v>
      </c>
      <c r="Q103" s="27">
        <v>1</v>
      </c>
      <c r="R103" s="27">
        <v>5</v>
      </c>
      <c r="S103" s="27">
        <v>18</v>
      </c>
      <c r="T103" s="27">
        <v>24</v>
      </c>
      <c r="U103" s="27">
        <v>21</v>
      </c>
      <c r="V103" s="27">
        <v>24</v>
      </c>
      <c r="W103" s="27">
        <v>18</v>
      </c>
      <c r="X103" s="27">
        <v>52</v>
      </c>
      <c r="Y103" s="27">
        <v>15</v>
      </c>
      <c r="Z103" s="337">
        <v>17</v>
      </c>
      <c r="AA103" s="337">
        <v>17</v>
      </c>
      <c r="AB103" s="337">
        <v>502</v>
      </c>
      <c r="AC103" s="337">
        <v>503</v>
      </c>
      <c r="AD103" s="337">
        <v>512</v>
      </c>
      <c r="AE103" s="337">
        <v>506</v>
      </c>
      <c r="AF103" s="337">
        <v>518</v>
      </c>
      <c r="AG103" s="337">
        <v>527</v>
      </c>
      <c r="AH103" s="337">
        <v>537</v>
      </c>
      <c r="AI103" s="337">
        <v>595</v>
      </c>
    </row>
    <row r="104" spans="1:35" ht="26.5">
      <c r="B104" s="335" t="s">
        <v>814</v>
      </c>
      <c r="C104" s="336">
        <f t="shared" ref="C104:R104" si="91">C103*1000</f>
        <v>0</v>
      </c>
      <c r="D104" s="336">
        <f t="shared" si="91"/>
        <v>0</v>
      </c>
      <c r="E104" s="336">
        <f t="shared" si="91"/>
        <v>0</v>
      </c>
      <c r="F104" s="336">
        <f t="shared" si="91"/>
        <v>0</v>
      </c>
      <c r="G104" s="336">
        <f t="shared" si="91"/>
        <v>0</v>
      </c>
      <c r="H104" s="336">
        <f t="shared" si="91"/>
        <v>0</v>
      </c>
      <c r="I104" s="336">
        <f t="shared" si="91"/>
        <v>0</v>
      </c>
      <c r="J104" s="336">
        <f t="shared" si="91"/>
        <v>0</v>
      </c>
      <c r="K104" s="336">
        <f t="shared" si="91"/>
        <v>0</v>
      </c>
      <c r="L104" s="336">
        <f t="shared" si="91"/>
        <v>0</v>
      </c>
      <c r="M104" s="336">
        <f t="shared" si="91"/>
        <v>0</v>
      </c>
      <c r="N104" s="336">
        <f t="shared" si="91"/>
        <v>0</v>
      </c>
      <c r="O104" s="336">
        <f t="shared" si="91"/>
        <v>0</v>
      </c>
      <c r="P104" s="336">
        <f t="shared" si="91"/>
        <v>0</v>
      </c>
      <c r="Q104" s="336">
        <f t="shared" si="91"/>
        <v>1000</v>
      </c>
      <c r="R104" s="336">
        <f t="shared" si="91"/>
        <v>5000</v>
      </c>
      <c r="S104" s="336">
        <f>S103*1000</f>
        <v>18000</v>
      </c>
      <c r="T104" s="336">
        <f t="shared" ref="T104:AB104" si="92">T103*1000</f>
        <v>24000</v>
      </c>
      <c r="U104" s="336">
        <f t="shared" si="92"/>
        <v>21000</v>
      </c>
      <c r="V104" s="336">
        <f t="shared" si="92"/>
        <v>24000</v>
      </c>
      <c r="W104" s="336">
        <f t="shared" si="92"/>
        <v>18000</v>
      </c>
      <c r="X104" s="336">
        <f t="shared" si="92"/>
        <v>52000</v>
      </c>
      <c r="Y104" s="336">
        <f t="shared" si="92"/>
        <v>15000</v>
      </c>
      <c r="Z104" s="336">
        <f t="shared" si="92"/>
        <v>17000</v>
      </c>
      <c r="AA104" s="336">
        <f t="shared" si="92"/>
        <v>17000</v>
      </c>
      <c r="AB104" s="336">
        <f t="shared" si="92"/>
        <v>502000</v>
      </c>
      <c r="AC104" s="336">
        <f t="shared" ref="AC104:AH104" si="93">AC103*1000</f>
        <v>503000</v>
      </c>
      <c r="AD104" s="336">
        <f t="shared" si="93"/>
        <v>512000</v>
      </c>
      <c r="AE104" s="336">
        <f t="shared" si="93"/>
        <v>506000</v>
      </c>
      <c r="AF104" s="336">
        <f t="shared" si="93"/>
        <v>518000</v>
      </c>
      <c r="AG104" s="336">
        <f t="shared" si="93"/>
        <v>527000</v>
      </c>
      <c r="AH104" s="336">
        <f t="shared" si="93"/>
        <v>537000</v>
      </c>
      <c r="AI104" s="336">
        <f t="shared" ref="AI104" si="94">AI103*1000</f>
        <v>595000</v>
      </c>
    </row>
    <row r="105" spans="1:35" ht="26.5">
      <c r="B105" s="315" t="s">
        <v>815</v>
      </c>
      <c r="C105" s="45">
        <f t="shared" ref="C105:AB105" si="95">C104*$F101</f>
        <v>0</v>
      </c>
      <c r="D105" s="45">
        <f t="shared" si="95"/>
        <v>0</v>
      </c>
      <c r="E105" s="45">
        <f t="shared" si="95"/>
        <v>0</v>
      </c>
      <c r="F105" s="45">
        <f t="shared" si="95"/>
        <v>0</v>
      </c>
      <c r="G105" s="45">
        <f t="shared" si="95"/>
        <v>0</v>
      </c>
      <c r="H105" s="45">
        <f t="shared" si="95"/>
        <v>0</v>
      </c>
      <c r="I105" s="45">
        <f t="shared" si="95"/>
        <v>0</v>
      </c>
      <c r="J105" s="45">
        <f t="shared" si="95"/>
        <v>0</v>
      </c>
      <c r="K105" s="45">
        <f t="shared" si="95"/>
        <v>0</v>
      </c>
      <c r="L105" s="45">
        <f t="shared" si="95"/>
        <v>0</v>
      </c>
      <c r="M105" s="45">
        <f t="shared" si="95"/>
        <v>0</v>
      </c>
      <c r="N105" s="45">
        <f t="shared" si="95"/>
        <v>0</v>
      </c>
      <c r="O105" s="45">
        <f t="shared" si="95"/>
        <v>0</v>
      </c>
      <c r="P105" s="45">
        <f t="shared" si="95"/>
        <v>0</v>
      </c>
      <c r="Q105" s="45">
        <f t="shared" si="95"/>
        <v>150884.19279999999</v>
      </c>
      <c r="R105" s="45">
        <f t="shared" si="95"/>
        <v>754420.96399999992</v>
      </c>
      <c r="S105" s="45">
        <f t="shared" si="95"/>
        <v>2715915.4704</v>
      </c>
      <c r="T105" s="45">
        <f t="shared" si="95"/>
        <v>3621220.6272</v>
      </c>
      <c r="U105" s="45">
        <f t="shared" si="95"/>
        <v>3168568.0488</v>
      </c>
      <c r="V105" s="45">
        <f t="shared" si="95"/>
        <v>3621220.6272</v>
      </c>
      <c r="W105" s="45">
        <f t="shared" si="95"/>
        <v>2715915.4704</v>
      </c>
      <c r="X105" s="45">
        <f t="shared" si="95"/>
        <v>7845978.0255999994</v>
      </c>
      <c r="Y105" s="45">
        <f t="shared" si="95"/>
        <v>2263262.892</v>
      </c>
      <c r="Z105" s="45">
        <f t="shared" si="95"/>
        <v>2565031.2775999997</v>
      </c>
      <c r="AA105" s="45">
        <f t="shared" si="95"/>
        <v>2565031.2775999997</v>
      </c>
      <c r="AB105" s="45">
        <f t="shared" si="95"/>
        <v>75743864.785599992</v>
      </c>
      <c r="AC105" s="45">
        <f t="shared" ref="AC105:AH105" si="96">AC104*$F101</f>
        <v>75894748.978399992</v>
      </c>
      <c r="AD105" s="45">
        <f t="shared" si="96"/>
        <v>77252706.713599995</v>
      </c>
      <c r="AE105" s="45">
        <f t="shared" si="96"/>
        <v>76347401.556799993</v>
      </c>
      <c r="AF105" s="45">
        <f t="shared" si="96"/>
        <v>78158011.870399997</v>
      </c>
      <c r="AG105" s="45">
        <f t="shared" si="96"/>
        <v>79515969.605599999</v>
      </c>
      <c r="AH105" s="45">
        <f t="shared" si="96"/>
        <v>81024811.533600003</v>
      </c>
      <c r="AI105" s="45">
        <f t="shared" ref="AI105" si="97">AI104*$F101</f>
        <v>89776094.715999991</v>
      </c>
    </row>
    <row r="106" spans="1:35" ht="15" thickBot="1">
      <c r="B106" s="449" t="s">
        <v>317</v>
      </c>
      <c r="C106" s="317">
        <f t="shared" ref="C106:AB106" si="98">C105/(2205*1000000)</f>
        <v>0</v>
      </c>
      <c r="D106" s="317">
        <f t="shared" si="98"/>
        <v>0</v>
      </c>
      <c r="E106" s="317">
        <f t="shared" si="98"/>
        <v>0</v>
      </c>
      <c r="F106" s="317">
        <f t="shared" si="98"/>
        <v>0</v>
      </c>
      <c r="G106" s="317">
        <f t="shared" si="98"/>
        <v>0</v>
      </c>
      <c r="H106" s="317">
        <f t="shared" si="98"/>
        <v>0</v>
      </c>
      <c r="I106" s="317">
        <f t="shared" si="98"/>
        <v>0</v>
      </c>
      <c r="J106" s="317">
        <f t="shared" si="98"/>
        <v>0</v>
      </c>
      <c r="K106" s="317">
        <f t="shared" si="98"/>
        <v>0</v>
      </c>
      <c r="L106" s="317">
        <f t="shared" si="98"/>
        <v>0</v>
      </c>
      <c r="M106" s="317">
        <f t="shared" si="98"/>
        <v>0</v>
      </c>
      <c r="N106" s="317">
        <f t="shared" si="98"/>
        <v>0</v>
      </c>
      <c r="O106" s="317">
        <f t="shared" si="98"/>
        <v>0</v>
      </c>
      <c r="P106" s="317">
        <f t="shared" si="98"/>
        <v>0</v>
      </c>
      <c r="Q106" s="317">
        <f t="shared" si="98"/>
        <v>6.8428205351473919E-5</v>
      </c>
      <c r="R106" s="317">
        <f t="shared" si="98"/>
        <v>3.4214102675736956E-4</v>
      </c>
      <c r="S106" s="317">
        <f t="shared" si="98"/>
        <v>1.2317076963265306E-3</v>
      </c>
      <c r="T106" s="317">
        <f t="shared" si="98"/>
        <v>1.6422769284353742E-3</v>
      </c>
      <c r="U106" s="317">
        <f t="shared" si="98"/>
        <v>1.4369923123809523E-3</v>
      </c>
      <c r="V106" s="317">
        <f t="shared" si="98"/>
        <v>1.6422769284353742E-3</v>
      </c>
      <c r="W106" s="317">
        <f t="shared" si="98"/>
        <v>1.2317076963265306E-3</v>
      </c>
      <c r="X106" s="317">
        <f t="shared" si="98"/>
        <v>3.5582666782766437E-3</v>
      </c>
      <c r="Y106" s="317">
        <f t="shared" si="98"/>
        <v>1.0264230802721089E-3</v>
      </c>
      <c r="Z106" s="317">
        <f t="shared" si="98"/>
        <v>1.1632794909750565E-3</v>
      </c>
      <c r="AA106" s="317">
        <f t="shared" si="98"/>
        <v>1.1632794909750565E-3</v>
      </c>
      <c r="AB106" s="317">
        <f t="shared" si="98"/>
        <v>3.4350959086439904E-2</v>
      </c>
      <c r="AC106" s="317">
        <f t="shared" ref="AC106:AH106" si="99">AC105/(2205*1000000)</f>
        <v>3.4419387291791378E-2</v>
      </c>
      <c r="AD106" s="317">
        <f t="shared" si="99"/>
        <v>3.5035241139954647E-2</v>
      </c>
      <c r="AE106" s="317">
        <f t="shared" si="99"/>
        <v>3.4624671907845801E-2</v>
      </c>
      <c r="AF106" s="317">
        <f t="shared" si="99"/>
        <v>3.5445810372063492E-2</v>
      </c>
      <c r="AG106" s="317">
        <f t="shared" si="99"/>
        <v>3.6061664220226754E-2</v>
      </c>
      <c r="AH106" s="317">
        <f t="shared" si="99"/>
        <v>3.6745946273741496E-2</v>
      </c>
      <c r="AI106" s="317">
        <f t="shared" ref="AI106" si="100">AI105/(2205*1000000)</f>
        <v>4.0714782184126982E-2</v>
      </c>
    </row>
    <row r="107" spans="1:35" ht="15" thickBot="1">
      <c r="B107" s="314" t="s">
        <v>28</v>
      </c>
      <c r="C107" s="324"/>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row>
    <row r="108" spans="1:35">
      <c r="B108" s="321" t="s">
        <v>521</v>
      </c>
      <c r="C108" s="323">
        <f t="shared" ref="C108:AB108" si="101">C104*$I$101</f>
        <v>0</v>
      </c>
      <c r="D108" s="323">
        <f t="shared" si="101"/>
        <v>0</v>
      </c>
      <c r="E108" s="323">
        <f t="shared" si="101"/>
        <v>0</v>
      </c>
      <c r="F108" s="323">
        <f t="shared" si="101"/>
        <v>0</v>
      </c>
      <c r="G108" s="323">
        <f t="shared" si="101"/>
        <v>0</v>
      </c>
      <c r="H108" s="323">
        <f t="shared" si="101"/>
        <v>0</v>
      </c>
      <c r="I108" s="323">
        <f t="shared" si="101"/>
        <v>0</v>
      </c>
      <c r="J108" s="323">
        <f t="shared" si="101"/>
        <v>0</v>
      </c>
      <c r="K108" s="323">
        <f t="shared" si="101"/>
        <v>0</v>
      </c>
      <c r="L108" s="323">
        <f t="shared" si="101"/>
        <v>0</v>
      </c>
      <c r="M108" s="323">
        <f t="shared" si="101"/>
        <v>0</v>
      </c>
      <c r="N108" s="323">
        <f t="shared" si="101"/>
        <v>0</v>
      </c>
      <c r="O108" s="323">
        <f t="shared" si="101"/>
        <v>0</v>
      </c>
      <c r="P108" s="323">
        <f t="shared" si="101"/>
        <v>0</v>
      </c>
      <c r="Q108" s="323">
        <f t="shared" si="101"/>
        <v>2.4250819999999997</v>
      </c>
      <c r="R108" s="323">
        <f t="shared" si="101"/>
        <v>12.125409999999999</v>
      </c>
      <c r="S108" s="323">
        <f t="shared" si="101"/>
        <v>43.651475999999995</v>
      </c>
      <c r="T108" s="323">
        <f t="shared" si="101"/>
        <v>58.201967999999994</v>
      </c>
      <c r="U108" s="323">
        <f t="shared" si="101"/>
        <v>50.926721999999998</v>
      </c>
      <c r="V108" s="323">
        <f t="shared" si="101"/>
        <v>58.201967999999994</v>
      </c>
      <c r="W108" s="323">
        <f t="shared" si="101"/>
        <v>43.651475999999995</v>
      </c>
      <c r="X108" s="323">
        <f t="shared" si="101"/>
        <v>126.10426399999999</v>
      </c>
      <c r="Y108" s="323">
        <f t="shared" si="101"/>
        <v>36.37623</v>
      </c>
      <c r="Z108" s="323">
        <f t="shared" si="101"/>
        <v>41.226393999999999</v>
      </c>
      <c r="AA108" s="323">
        <f t="shared" si="101"/>
        <v>41.226393999999999</v>
      </c>
      <c r="AB108" s="323">
        <f t="shared" si="101"/>
        <v>1217.3911639999999</v>
      </c>
      <c r="AC108" s="323">
        <f t="shared" ref="AC108:AH108" si="102">AC104*$I$101</f>
        <v>1219.8162459999999</v>
      </c>
      <c r="AD108" s="323">
        <f t="shared" si="102"/>
        <v>1241.6419839999999</v>
      </c>
      <c r="AE108" s="323">
        <f t="shared" si="102"/>
        <v>1227.091492</v>
      </c>
      <c r="AF108" s="323">
        <f t="shared" si="102"/>
        <v>1256.1924759999999</v>
      </c>
      <c r="AG108" s="323">
        <f t="shared" si="102"/>
        <v>1278.0182139999999</v>
      </c>
      <c r="AH108" s="323">
        <f t="shared" si="102"/>
        <v>1302.2690339999999</v>
      </c>
      <c r="AI108" s="323">
        <f t="shared" ref="AI108" si="103">AI104*$I$101</f>
        <v>1442.9237899999998</v>
      </c>
    </row>
    <row r="109" spans="1:35">
      <c r="B109" s="312" t="s">
        <v>522</v>
      </c>
      <c r="C109" s="45">
        <f t="shared" ref="C109:AB109" si="104">C108*$M$3</f>
        <v>0</v>
      </c>
      <c r="D109" s="45">
        <f t="shared" si="104"/>
        <v>0</v>
      </c>
      <c r="E109" s="45">
        <f t="shared" si="104"/>
        <v>0</v>
      </c>
      <c r="F109" s="45">
        <f t="shared" si="104"/>
        <v>0</v>
      </c>
      <c r="G109" s="45">
        <f t="shared" si="104"/>
        <v>0</v>
      </c>
      <c r="H109" s="45">
        <f t="shared" si="104"/>
        <v>0</v>
      </c>
      <c r="I109" s="45">
        <f t="shared" si="104"/>
        <v>0</v>
      </c>
      <c r="J109" s="45">
        <f t="shared" si="104"/>
        <v>0</v>
      </c>
      <c r="K109" s="45">
        <f t="shared" si="104"/>
        <v>0</v>
      </c>
      <c r="L109" s="45">
        <f t="shared" si="104"/>
        <v>0</v>
      </c>
      <c r="M109" s="45">
        <f t="shared" si="104"/>
        <v>0</v>
      </c>
      <c r="N109" s="45">
        <f t="shared" si="104"/>
        <v>0</v>
      </c>
      <c r="O109" s="45">
        <f t="shared" si="104"/>
        <v>0</v>
      </c>
      <c r="P109" s="45">
        <f t="shared" si="104"/>
        <v>0</v>
      </c>
      <c r="Q109" s="45">
        <f t="shared" si="104"/>
        <v>60.627049999999997</v>
      </c>
      <c r="R109" s="45">
        <f t="shared" si="104"/>
        <v>303.13524999999998</v>
      </c>
      <c r="S109" s="45">
        <f t="shared" si="104"/>
        <v>1091.2868999999998</v>
      </c>
      <c r="T109" s="45">
        <f t="shared" si="104"/>
        <v>1455.0491999999999</v>
      </c>
      <c r="U109" s="45">
        <f t="shared" si="104"/>
        <v>1273.16805</v>
      </c>
      <c r="V109" s="45">
        <f t="shared" si="104"/>
        <v>1455.0491999999999</v>
      </c>
      <c r="W109" s="45">
        <f t="shared" si="104"/>
        <v>1091.2868999999998</v>
      </c>
      <c r="X109" s="45">
        <f t="shared" si="104"/>
        <v>3152.6065999999996</v>
      </c>
      <c r="Y109" s="45">
        <f t="shared" si="104"/>
        <v>909.40575000000001</v>
      </c>
      <c r="Z109" s="45">
        <f t="shared" si="104"/>
        <v>1030.65985</v>
      </c>
      <c r="AA109" s="45">
        <f t="shared" si="104"/>
        <v>1030.65985</v>
      </c>
      <c r="AB109" s="45">
        <f t="shared" si="104"/>
        <v>30434.779099999996</v>
      </c>
      <c r="AC109" s="45">
        <f t="shared" ref="AC109:AH109" si="105">AC108*$M$3</f>
        <v>30495.406149999995</v>
      </c>
      <c r="AD109" s="45">
        <f t="shared" si="105"/>
        <v>31041.049599999998</v>
      </c>
      <c r="AE109" s="45">
        <f t="shared" si="105"/>
        <v>30677.2873</v>
      </c>
      <c r="AF109" s="45">
        <f t="shared" si="105"/>
        <v>31404.811899999997</v>
      </c>
      <c r="AG109" s="45">
        <f t="shared" si="105"/>
        <v>31950.45535</v>
      </c>
      <c r="AH109" s="45">
        <f t="shared" si="105"/>
        <v>32556.725849999999</v>
      </c>
      <c r="AI109" s="45">
        <f t="shared" ref="AI109" si="106">AI108*$M$3</f>
        <v>36073.094749999997</v>
      </c>
    </row>
    <row r="110" spans="1:35" ht="15" thickBot="1">
      <c r="B110" s="322" t="s">
        <v>523</v>
      </c>
      <c r="C110" s="326">
        <f t="shared" ref="C110:AB110" si="107">C109/(2205*1000000)</f>
        <v>0</v>
      </c>
      <c r="D110" s="326">
        <f t="shared" si="107"/>
        <v>0</v>
      </c>
      <c r="E110" s="326">
        <f t="shared" si="107"/>
        <v>0</v>
      </c>
      <c r="F110" s="326">
        <f t="shared" si="107"/>
        <v>0</v>
      </c>
      <c r="G110" s="326">
        <f t="shared" si="107"/>
        <v>0</v>
      </c>
      <c r="H110" s="326">
        <f t="shared" si="107"/>
        <v>0</v>
      </c>
      <c r="I110" s="326">
        <f t="shared" si="107"/>
        <v>0</v>
      </c>
      <c r="J110" s="326">
        <f t="shared" si="107"/>
        <v>0</v>
      </c>
      <c r="K110" s="326">
        <f t="shared" si="107"/>
        <v>0</v>
      </c>
      <c r="L110" s="326">
        <f t="shared" si="107"/>
        <v>0</v>
      </c>
      <c r="M110" s="326">
        <f t="shared" si="107"/>
        <v>0</v>
      </c>
      <c r="N110" s="326">
        <f t="shared" si="107"/>
        <v>0</v>
      </c>
      <c r="O110" s="326">
        <f t="shared" si="107"/>
        <v>0</v>
      </c>
      <c r="P110" s="326">
        <f t="shared" si="107"/>
        <v>0</v>
      </c>
      <c r="Q110" s="326">
        <f t="shared" si="107"/>
        <v>2.7495260770975056E-8</v>
      </c>
      <c r="R110" s="326">
        <f t="shared" si="107"/>
        <v>1.3747630385487527E-7</v>
      </c>
      <c r="S110" s="326">
        <f t="shared" si="107"/>
        <v>4.9491469387755097E-7</v>
      </c>
      <c r="T110" s="326">
        <f t="shared" si="107"/>
        <v>6.5988625850340136E-7</v>
      </c>
      <c r="U110" s="326">
        <f t="shared" si="107"/>
        <v>5.7740047619047622E-7</v>
      </c>
      <c r="V110" s="326">
        <f t="shared" si="107"/>
        <v>6.5988625850340136E-7</v>
      </c>
      <c r="W110" s="326">
        <f t="shared" si="107"/>
        <v>4.9491469387755097E-7</v>
      </c>
      <c r="X110" s="326">
        <f t="shared" si="107"/>
        <v>1.4297535600907028E-6</v>
      </c>
      <c r="Y110" s="326">
        <f t="shared" si="107"/>
        <v>4.1242891156462588E-7</v>
      </c>
      <c r="Z110" s="326">
        <f t="shared" si="107"/>
        <v>4.6741943310657596E-7</v>
      </c>
      <c r="AA110" s="326">
        <f t="shared" si="107"/>
        <v>4.6741943310657596E-7</v>
      </c>
      <c r="AB110" s="326">
        <f t="shared" si="107"/>
        <v>1.3802620907029477E-5</v>
      </c>
      <c r="AC110" s="326">
        <f t="shared" ref="AC110:AH110" si="108">AC109/(2205*1000000)</f>
        <v>1.3830116167800451E-5</v>
      </c>
      <c r="AD110" s="326">
        <f t="shared" si="108"/>
        <v>1.4077573514739228E-5</v>
      </c>
      <c r="AE110" s="326">
        <f t="shared" si="108"/>
        <v>1.3912601950113378E-5</v>
      </c>
      <c r="AF110" s="326">
        <f t="shared" si="108"/>
        <v>1.4242545079365077E-5</v>
      </c>
      <c r="AG110" s="326">
        <f t="shared" si="108"/>
        <v>1.4490002426303855E-5</v>
      </c>
      <c r="AH110" s="326">
        <f t="shared" si="108"/>
        <v>1.4764955034013604E-5</v>
      </c>
      <c r="AI110" s="326">
        <f t="shared" ref="AI110" si="109">AI109/(2205*1000000)</f>
        <v>1.6359680158730156E-5</v>
      </c>
    </row>
    <row r="111" spans="1:35" ht="15" thickBot="1">
      <c r="B111" s="314" t="s">
        <v>30</v>
      </c>
      <c r="C111" s="32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row>
    <row r="112" spans="1:35">
      <c r="B112" s="321" t="s">
        <v>524</v>
      </c>
      <c r="C112" s="323">
        <f t="shared" ref="C112:AB112" si="110">C104*$L$101</f>
        <v>0</v>
      </c>
      <c r="D112" s="323">
        <f t="shared" si="110"/>
        <v>0</v>
      </c>
      <c r="E112" s="323">
        <f t="shared" si="110"/>
        <v>0</v>
      </c>
      <c r="F112" s="323">
        <f t="shared" si="110"/>
        <v>0</v>
      </c>
      <c r="G112" s="323">
        <f t="shared" si="110"/>
        <v>0</v>
      </c>
      <c r="H112" s="323">
        <f t="shared" si="110"/>
        <v>0</v>
      </c>
      <c r="I112" s="323">
        <f t="shared" si="110"/>
        <v>0</v>
      </c>
      <c r="J112" s="323">
        <f t="shared" si="110"/>
        <v>0</v>
      </c>
      <c r="K112" s="323">
        <f t="shared" si="110"/>
        <v>0</v>
      </c>
      <c r="L112" s="323">
        <f t="shared" si="110"/>
        <v>0</v>
      </c>
      <c r="M112" s="323">
        <f t="shared" si="110"/>
        <v>0</v>
      </c>
      <c r="N112" s="323">
        <f t="shared" si="110"/>
        <v>0</v>
      </c>
      <c r="O112" s="323">
        <f t="shared" si="110"/>
        <v>0</v>
      </c>
      <c r="P112" s="323">
        <f t="shared" si="110"/>
        <v>0</v>
      </c>
      <c r="Q112" s="323">
        <f t="shared" si="110"/>
        <v>0.24250819999999998</v>
      </c>
      <c r="R112" s="323">
        <f t="shared" si="110"/>
        <v>1.2125409999999999</v>
      </c>
      <c r="S112" s="323">
        <f t="shared" si="110"/>
        <v>4.3651476000000002</v>
      </c>
      <c r="T112" s="323">
        <f t="shared" si="110"/>
        <v>5.8201967999999997</v>
      </c>
      <c r="U112" s="323">
        <f t="shared" si="110"/>
        <v>5.0926722</v>
      </c>
      <c r="V112" s="323">
        <f t="shared" si="110"/>
        <v>5.8201967999999997</v>
      </c>
      <c r="W112" s="323">
        <f t="shared" si="110"/>
        <v>4.3651476000000002</v>
      </c>
      <c r="X112" s="323">
        <f t="shared" si="110"/>
        <v>12.6104264</v>
      </c>
      <c r="Y112" s="323">
        <f t="shared" si="110"/>
        <v>3.6376230000000001</v>
      </c>
      <c r="Z112" s="323">
        <f t="shared" si="110"/>
        <v>4.1226393999999997</v>
      </c>
      <c r="AA112" s="323">
        <f t="shared" si="110"/>
        <v>4.1226393999999997</v>
      </c>
      <c r="AB112" s="323">
        <f t="shared" si="110"/>
        <v>121.7391164</v>
      </c>
      <c r="AC112" s="323">
        <f t="shared" ref="AC112:AH112" si="111">AC104*$L$101</f>
        <v>121.98162459999999</v>
      </c>
      <c r="AD112" s="323">
        <f t="shared" si="111"/>
        <v>124.16419839999999</v>
      </c>
      <c r="AE112" s="323">
        <f t="shared" si="111"/>
        <v>122.7091492</v>
      </c>
      <c r="AF112" s="323">
        <f t="shared" si="111"/>
        <v>125.61924759999999</v>
      </c>
      <c r="AG112" s="323">
        <f t="shared" si="111"/>
        <v>127.80182139999999</v>
      </c>
      <c r="AH112" s="323">
        <f t="shared" si="111"/>
        <v>130.2269034</v>
      </c>
      <c r="AI112" s="323">
        <f t="shared" ref="AI112" si="112">AI104*$L$101</f>
        <v>144.29237899999998</v>
      </c>
    </row>
    <row r="113" spans="1:35">
      <c r="B113" s="312" t="s">
        <v>522</v>
      </c>
      <c r="C113" s="45">
        <f t="shared" ref="C113:AB113" si="113">C112*$M$4</f>
        <v>0</v>
      </c>
      <c r="D113" s="45">
        <f t="shared" si="113"/>
        <v>0</v>
      </c>
      <c r="E113" s="45">
        <f t="shared" si="113"/>
        <v>0</v>
      </c>
      <c r="F113" s="45">
        <f t="shared" si="113"/>
        <v>0</v>
      </c>
      <c r="G113" s="45">
        <f t="shared" si="113"/>
        <v>0</v>
      </c>
      <c r="H113" s="45">
        <f t="shared" si="113"/>
        <v>0</v>
      </c>
      <c r="I113" s="45">
        <f t="shared" si="113"/>
        <v>0</v>
      </c>
      <c r="J113" s="45">
        <f t="shared" si="113"/>
        <v>0</v>
      </c>
      <c r="K113" s="45">
        <f t="shared" si="113"/>
        <v>0</v>
      </c>
      <c r="L113" s="45">
        <f t="shared" si="113"/>
        <v>0</v>
      </c>
      <c r="M113" s="45">
        <f t="shared" si="113"/>
        <v>0</v>
      </c>
      <c r="N113" s="45">
        <f t="shared" si="113"/>
        <v>0</v>
      </c>
      <c r="O113" s="45">
        <f t="shared" si="113"/>
        <v>0</v>
      </c>
      <c r="P113" s="45">
        <f t="shared" si="113"/>
        <v>0</v>
      </c>
      <c r="Q113" s="45">
        <f t="shared" si="113"/>
        <v>72.267443599999993</v>
      </c>
      <c r="R113" s="45">
        <f t="shared" si="113"/>
        <v>361.33721799999995</v>
      </c>
      <c r="S113" s="45">
        <f t="shared" si="113"/>
        <v>1300.8139848000001</v>
      </c>
      <c r="T113" s="45">
        <f t="shared" si="113"/>
        <v>1734.4186463999999</v>
      </c>
      <c r="U113" s="45">
        <f t="shared" si="113"/>
        <v>1517.6163156</v>
      </c>
      <c r="V113" s="45">
        <f t="shared" si="113"/>
        <v>1734.4186463999999</v>
      </c>
      <c r="W113" s="45">
        <f t="shared" si="113"/>
        <v>1300.8139848000001</v>
      </c>
      <c r="X113" s="45">
        <f t="shared" si="113"/>
        <v>3757.9070671999998</v>
      </c>
      <c r="Y113" s="45">
        <f t="shared" si="113"/>
        <v>1084.0116539999999</v>
      </c>
      <c r="Z113" s="45">
        <f t="shared" si="113"/>
        <v>1228.5465411999999</v>
      </c>
      <c r="AA113" s="45">
        <f t="shared" si="113"/>
        <v>1228.5465411999999</v>
      </c>
      <c r="AB113" s="45">
        <f t="shared" si="113"/>
        <v>36278.256687200002</v>
      </c>
      <c r="AC113" s="45">
        <f t="shared" ref="AC113:AH113" si="114">AC112*$M$4</f>
        <v>36350.524130799997</v>
      </c>
      <c r="AD113" s="45">
        <f t="shared" si="114"/>
        <v>37000.931123199996</v>
      </c>
      <c r="AE113" s="45">
        <f t="shared" si="114"/>
        <v>36567.326461600001</v>
      </c>
      <c r="AF113" s="45">
        <f t="shared" si="114"/>
        <v>37434.535784799999</v>
      </c>
      <c r="AG113" s="45">
        <f t="shared" si="114"/>
        <v>38084.942777199998</v>
      </c>
      <c r="AH113" s="45">
        <f t="shared" si="114"/>
        <v>38807.617213199999</v>
      </c>
      <c r="AI113" s="45">
        <f t="shared" ref="AI113" si="115">AI112*$M$4</f>
        <v>42999.128941999996</v>
      </c>
    </row>
    <row r="114" spans="1:35">
      <c r="B114" s="322" t="s">
        <v>525</v>
      </c>
      <c r="C114" s="313">
        <f t="shared" ref="C114:AB114" si="116">C113/(2205*1000000)</f>
        <v>0</v>
      </c>
      <c r="D114" s="313">
        <f t="shared" si="116"/>
        <v>0</v>
      </c>
      <c r="E114" s="313">
        <f t="shared" si="116"/>
        <v>0</v>
      </c>
      <c r="F114" s="313">
        <f t="shared" si="116"/>
        <v>0</v>
      </c>
      <c r="G114" s="313">
        <f t="shared" si="116"/>
        <v>0</v>
      </c>
      <c r="H114" s="313">
        <f t="shared" si="116"/>
        <v>0</v>
      </c>
      <c r="I114" s="313">
        <f t="shared" si="116"/>
        <v>0</v>
      </c>
      <c r="J114" s="313">
        <f t="shared" si="116"/>
        <v>0</v>
      </c>
      <c r="K114" s="313">
        <f t="shared" si="116"/>
        <v>0</v>
      </c>
      <c r="L114" s="313">
        <f t="shared" si="116"/>
        <v>0</v>
      </c>
      <c r="M114" s="313">
        <f t="shared" si="116"/>
        <v>0</v>
      </c>
      <c r="N114" s="313">
        <f t="shared" si="116"/>
        <v>0</v>
      </c>
      <c r="O114" s="313">
        <f t="shared" si="116"/>
        <v>0</v>
      </c>
      <c r="P114" s="313">
        <f t="shared" si="116"/>
        <v>0</v>
      </c>
      <c r="Q114" s="313">
        <f t="shared" si="116"/>
        <v>3.2774350839002266E-8</v>
      </c>
      <c r="R114" s="313">
        <f t="shared" si="116"/>
        <v>1.6387175419501132E-7</v>
      </c>
      <c r="S114" s="313">
        <f t="shared" si="116"/>
        <v>5.8993831510204082E-7</v>
      </c>
      <c r="T114" s="313">
        <f t="shared" si="116"/>
        <v>7.8658442013605439E-7</v>
      </c>
      <c r="U114" s="313">
        <f t="shared" si="116"/>
        <v>6.8826136761904766E-7</v>
      </c>
      <c r="V114" s="313">
        <f t="shared" si="116"/>
        <v>7.8658442013605439E-7</v>
      </c>
      <c r="W114" s="313">
        <f t="shared" si="116"/>
        <v>5.8993831510204082E-7</v>
      </c>
      <c r="X114" s="313">
        <f t="shared" si="116"/>
        <v>1.7042662436281179E-6</v>
      </c>
      <c r="Y114" s="313">
        <f t="shared" si="116"/>
        <v>4.9161526258503398E-7</v>
      </c>
      <c r="Z114" s="313">
        <f t="shared" si="116"/>
        <v>5.5716396426303854E-7</v>
      </c>
      <c r="AA114" s="313">
        <f t="shared" si="116"/>
        <v>5.5716396426303854E-7</v>
      </c>
      <c r="AB114" s="313">
        <f t="shared" si="116"/>
        <v>1.645272412117914E-5</v>
      </c>
      <c r="AC114" s="313">
        <f t="shared" ref="AC114:AH114" si="117">AC113/(2205*1000000)</f>
        <v>1.648549847201814E-5</v>
      </c>
      <c r="AD114" s="313">
        <f t="shared" si="117"/>
        <v>1.678046762956916E-5</v>
      </c>
      <c r="AE114" s="313">
        <f t="shared" si="117"/>
        <v>1.6583821524535147E-5</v>
      </c>
      <c r="AF114" s="313">
        <f t="shared" si="117"/>
        <v>1.6977113734603174E-5</v>
      </c>
      <c r="AG114" s="313">
        <f t="shared" si="117"/>
        <v>1.7272082892154193E-5</v>
      </c>
      <c r="AH114" s="313">
        <f t="shared" si="117"/>
        <v>1.7599826400544217E-5</v>
      </c>
      <c r="AI114" s="313">
        <f t="shared" ref="AI114" si="118">AI113/(2205*1000000)</f>
        <v>1.9500738749206346E-5</v>
      </c>
    </row>
    <row r="115" spans="1:35">
      <c r="B115" s="322" t="s">
        <v>817</v>
      </c>
      <c r="C115" s="313">
        <f t="shared" ref="C115:AB115" si="119">C110+C114</f>
        <v>0</v>
      </c>
      <c r="D115" s="313">
        <f t="shared" si="119"/>
        <v>0</v>
      </c>
      <c r="E115" s="313">
        <f t="shared" si="119"/>
        <v>0</v>
      </c>
      <c r="F115" s="313">
        <f t="shared" si="119"/>
        <v>0</v>
      </c>
      <c r="G115" s="313">
        <f t="shared" si="119"/>
        <v>0</v>
      </c>
      <c r="H115" s="313">
        <f t="shared" si="119"/>
        <v>0</v>
      </c>
      <c r="I115" s="313">
        <f t="shared" si="119"/>
        <v>0</v>
      </c>
      <c r="J115" s="313">
        <f t="shared" si="119"/>
        <v>0</v>
      </c>
      <c r="K115" s="313">
        <f t="shared" si="119"/>
        <v>0</v>
      </c>
      <c r="L115" s="313">
        <f t="shared" si="119"/>
        <v>0</v>
      </c>
      <c r="M115" s="313">
        <f t="shared" si="119"/>
        <v>0</v>
      </c>
      <c r="N115" s="313">
        <f t="shared" si="119"/>
        <v>0</v>
      </c>
      <c r="O115" s="313">
        <f t="shared" si="119"/>
        <v>0</v>
      </c>
      <c r="P115" s="313">
        <f t="shared" si="119"/>
        <v>0</v>
      </c>
      <c r="Q115" s="313">
        <f t="shared" si="119"/>
        <v>6.0269611609977319E-8</v>
      </c>
      <c r="R115" s="313">
        <f t="shared" si="119"/>
        <v>3.0134805804988657E-7</v>
      </c>
      <c r="S115" s="313">
        <f t="shared" si="119"/>
        <v>1.0848530089795917E-6</v>
      </c>
      <c r="T115" s="313">
        <f t="shared" si="119"/>
        <v>1.4464706786394559E-6</v>
      </c>
      <c r="U115" s="313">
        <f t="shared" si="119"/>
        <v>1.265661843809524E-6</v>
      </c>
      <c r="V115" s="313">
        <f t="shared" si="119"/>
        <v>1.4464706786394559E-6</v>
      </c>
      <c r="W115" s="313">
        <f t="shared" si="119"/>
        <v>1.0848530089795917E-6</v>
      </c>
      <c r="X115" s="313">
        <f t="shared" si="119"/>
        <v>3.1340198037188209E-6</v>
      </c>
      <c r="Y115" s="313">
        <f t="shared" si="119"/>
        <v>9.040441741496598E-7</v>
      </c>
      <c r="Z115" s="313">
        <f t="shared" si="119"/>
        <v>1.0245833973696144E-6</v>
      </c>
      <c r="AA115" s="313">
        <f t="shared" si="119"/>
        <v>1.0245833973696144E-6</v>
      </c>
      <c r="AB115" s="313">
        <f t="shared" si="119"/>
        <v>3.0255345028208618E-5</v>
      </c>
      <c r="AC115" s="313">
        <f t="shared" ref="AC115:AH115" si="120">AC110+AC114</f>
        <v>3.0315614639818591E-5</v>
      </c>
      <c r="AD115" s="313">
        <f t="shared" si="120"/>
        <v>3.0858041144308387E-5</v>
      </c>
      <c r="AE115" s="313">
        <f t="shared" si="120"/>
        <v>3.0496423474648523E-5</v>
      </c>
      <c r="AF115" s="313">
        <f t="shared" si="120"/>
        <v>3.1219658813968251E-5</v>
      </c>
      <c r="AG115" s="313">
        <f t="shared" si="120"/>
        <v>3.1762085318458046E-5</v>
      </c>
      <c r="AH115" s="313">
        <f t="shared" si="120"/>
        <v>3.2364781434557819E-5</v>
      </c>
      <c r="AI115" s="313">
        <f t="shared" ref="AI115" si="121">AI110+AI114</f>
        <v>3.5860418907936502E-5</v>
      </c>
    </row>
    <row r="116" spans="1:35">
      <c r="A116" s="581"/>
      <c r="B116" s="210"/>
      <c r="C116" s="211"/>
      <c r="D116" s="211"/>
      <c r="E116" s="211"/>
      <c r="F116" s="211"/>
      <c r="G116" s="333"/>
      <c r="H116" s="211"/>
      <c r="I116" s="211"/>
    </row>
    <row r="117" spans="1:35" ht="15" thickBot="1">
      <c r="G117" s="333"/>
    </row>
    <row r="118" spans="1:35" ht="15" thickBot="1">
      <c r="B118" s="521" t="s">
        <v>841</v>
      </c>
      <c r="D118" s="1907" t="s">
        <v>459</v>
      </c>
      <c r="E118" s="1908"/>
      <c r="F118" s="1909"/>
      <c r="G118" s="1910" t="s">
        <v>28</v>
      </c>
      <c r="H118" s="1908"/>
      <c r="I118" s="1909"/>
      <c r="J118" s="1907" t="s">
        <v>30</v>
      </c>
      <c r="K118" s="1908"/>
      <c r="L118" s="1909"/>
    </row>
    <row r="119" spans="1:35" ht="78.5">
      <c r="B119" s="414" t="s">
        <v>507</v>
      </c>
      <c r="C119" s="338" t="s">
        <v>838</v>
      </c>
      <c r="D119" s="362" t="s">
        <v>509</v>
      </c>
      <c r="E119" s="316"/>
      <c r="F119" s="363" t="s">
        <v>510</v>
      </c>
      <c r="G119" s="362" t="s">
        <v>806</v>
      </c>
      <c r="H119" s="316"/>
      <c r="I119" s="361" t="s">
        <v>807</v>
      </c>
      <c r="J119" s="362" t="s">
        <v>808</v>
      </c>
      <c r="K119" s="316"/>
      <c r="L119" s="361" t="s">
        <v>809</v>
      </c>
    </row>
    <row r="120" spans="1:35" ht="15" thickBot="1">
      <c r="A120" s="234"/>
      <c r="B120" s="343" t="s">
        <v>839</v>
      </c>
      <c r="C120" s="342" t="s">
        <v>842</v>
      </c>
      <c r="D120" s="413">
        <v>68.44</v>
      </c>
      <c r="E120" s="320"/>
      <c r="F120" s="539">
        <f>D120*2.20462</f>
        <v>150.88419279999999</v>
      </c>
      <c r="G120" s="534">
        <v>1.1000000000000001E-3</v>
      </c>
      <c r="H120" s="320"/>
      <c r="I120" s="539">
        <f>G120*2.20462</f>
        <v>2.4250819999999998E-3</v>
      </c>
      <c r="J120" s="535">
        <v>1.1E-4</v>
      </c>
      <c r="K120" s="320"/>
      <c r="L120" s="539">
        <f>J120*2.20462</f>
        <v>2.4250819999999999E-4</v>
      </c>
    </row>
    <row r="121" spans="1:35">
      <c r="B121" s="344"/>
      <c r="C121" s="329">
        <v>1990</v>
      </c>
      <c r="D121" s="329">
        <v>1991</v>
      </c>
      <c r="E121" s="329">
        <v>1992</v>
      </c>
      <c r="F121" s="329">
        <v>1993</v>
      </c>
      <c r="G121" s="329">
        <v>1994</v>
      </c>
      <c r="H121" s="329">
        <v>1995</v>
      </c>
      <c r="I121" s="329">
        <v>1996</v>
      </c>
      <c r="J121" s="329">
        <v>1997</v>
      </c>
      <c r="K121" s="329">
        <v>1998</v>
      </c>
      <c r="L121" s="329">
        <v>1999</v>
      </c>
      <c r="M121" s="330">
        <v>2000</v>
      </c>
      <c r="N121" s="330">
        <v>2001</v>
      </c>
      <c r="O121" s="330">
        <v>2002</v>
      </c>
      <c r="P121" s="330">
        <v>2003</v>
      </c>
      <c r="Q121" s="330">
        <v>2004</v>
      </c>
      <c r="R121" s="330">
        <v>2005</v>
      </c>
      <c r="S121" s="330">
        <v>2006</v>
      </c>
      <c r="T121" s="330">
        <v>2007</v>
      </c>
      <c r="U121" s="330">
        <v>2008</v>
      </c>
      <c r="V121" s="330">
        <v>2009</v>
      </c>
      <c r="W121" s="330">
        <v>2010</v>
      </c>
      <c r="X121" s="330">
        <v>2011</v>
      </c>
      <c r="Y121" s="330">
        <v>2012</v>
      </c>
      <c r="Z121" s="330">
        <v>2013</v>
      </c>
      <c r="AA121" s="330">
        <v>2014</v>
      </c>
      <c r="AB121" s="330">
        <v>2015</v>
      </c>
      <c r="AC121" s="330">
        <v>2016</v>
      </c>
      <c r="AD121" s="330">
        <v>2017</v>
      </c>
      <c r="AE121" s="330">
        <v>2018</v>
      </c>
      <c r="AF121" s="330">
        <v>2019</v>
      </c>
      <c r="AG121" s="330">
        <v>2020</v>
      </c>
      <c r="AH121" s="330">
        <v>2021</v>
      </c>
      <c r="AI121" s="330">
        <v>2022</v>
      </c>
    </row>
    <row r="122" spans="1:35">
      <c r="B122" s="346" t="s">
        <v>836</v>
      </c>
      <c r="C122" s="45">
        <v>0</v>
      </c>
      <c r="D122" s="45">
        <v>0</v>
      </c>
      <c r="E122" s="45">
        <v>0</v>
      </c>
      <c r="F122" s="45">
        <v>0</v>
      </c>
      <c r="G122" s="45">
        <v>0</v>
      </c>
      <c r="H122" s="45">
        <v>0</v>
      </c>
      <c r="I122" s="45">
        <v>0</v>
      </c>
      <c r="J122" s="45">
        <v>0</v>
      </c>
      <c r="K122" s="45">
        <v>0</v>
      </c>
      <c r="L122" s="45">
        <v>0</v>
      </c>
      <c r="M122" s="45">
        <v>0</v>
      </c>
      <c r="N122" s="45">
        <v>0</v>
      </c>
      <c r="O122" s="45">
        <v>1</v>
      </c>
      <c r="P122" s="45">
        <v>1</v>
      </c>
      <c r="Q122" s="45">
        <v>10</v>
      </c>
      <c r="R122" s="45">
        <v>82</v>
      </c>
      <c r="S122" s="45">
        <v>224</v>
      </c>
      <c r="T122" s="45">
        <v>237</v>
      </c>
      <c r="U122" s="45">
        <v>189</v>
      </c>
      <c r="V122" s="45">
        <v>204</v>
      </c>
      <c r="W122" s="45">
        <v>332</v>
      </c>
      <c r="X122" s="45">
        <v>340</v>
      </c>
      <c r="Y122" s="45">
        <v>323</v>
      </c>
      <c r="Z122" s="45">
        <v>342</v>
      </c>
      <c r="AA122" s="45">
        <v>275</v>
      </c>
      <c r="AB122" s="45">
        <v>272</v>
      </c>
      <c r="AC122" s="45">
        <v>273</v>
      </c>
      <c r="AD122" s="45">
        <v>279</v>
      </c>
      <c r="AE122" s="45">
        <v>283</v>
      </c>
      <c r="AF122" s="45">
        <v>291</v>
      </c>
      <c r="AG122" s="45">
        <v>295</v>
      </c>
      <c r="AH122" s="45">
        <v>295</v>
      </c>
      <c r="AI122" s="45">
        <v>307</v>
      </c>
    </row>
    <row r="123" spans="1:35" ht="26.5">
      <c r="B123" s="335" t="s">
        <v>814</v>
      </c>
      <c r="C123" s="336">
        <f t="shared" ref="C123:R123" si="122">C122*1000</f>
        <v>0</v>
      </c>
      <c r="D123" s="336">
        <f t="shared" si="122"/>
        <v>0</v>
      </c>
      <c r="E123" s="336">
        <f t="shared" si="122"/>
        <v>0</v>
      </c>
      <c r="F123" s="336">
        <f t="shared" si="122"/>
        <v>0</v>
      </c>
      <c r="G123" s="336">
        <f t="shared" si="122"/>
        <v>0</v>
      </c>
      <c r="H123" s="336">
        <f t="shared" si="122"/>
        <v>0</v>
      </c>
      <c r="I123" s="336">
        <f t="shared" si="122"/>
        <v>0</v>
      </c>
      <c r="J123" s="336">
        <f t="shared" si="122"/>
        <v>0</v>
      </c>
      <c r="K123" s="336">
        <f t="shared" si="122"/>
        <v>0</v>
      </c>
      <c r="L123" s="336">
        <f t="shared" si="122"/>
        <v>0</v>
      </c>
      <c r="M123" s="336">
        <f t="shared" si="122"/>
        <v>0</v>
      </c>
      <c r="N123" s="336">
        <f t="shared" si="122"/>
        <v>0</v>
      </c>
      <c r="O123" s="336">
        <f t="shared" si="122"/>
        <v>1000</v>
      </c>
      <c r="P123" s="336">
        <f t="shared" si="122"/>
        <v>1000</v>
      </c>
      <c r="Q123" s="336">
        <f t="shared" si="122"/>
        <v>10000</v>
      </c>
      <c r="R123" s="336">
        <f t="shared" si="122"/>
        <v>82000</v>
      </c>
      <c r="S123" s="336">
        <f>S122*1000</f>
        <v>224000</v>
      </c>
      <c r="T123" s="336">
        <f t="shared" ref="T123:AB123" si="123">T122*1000</f>
        <v>237000</v>
      </c>
      <c r="U123" s="336">
        <f t="shared" si="123"/>
        <v>189000</v>
      </c>
      <c r="V123" s="336">
        <f t="shared" si="123"/>
        <v>204000</v>
      </c>
      <c r="W123" s="336">
        <f t="shared" si="123"/>
        <v>332000</v>
      </c>
      <c r="X123" s="336">
        <f t="shared" si="123"/>
        <v>340000</v>
      </c>
      <c r="Y123" s="336">
        <f t="shared" si="123"/>
        <v>323000</v>
      </c>
      <c r="Z123" s="336">
        <f t="shared" si="123"/>
        <v>342000</v>
      </c>
      <c r="AA123" s="336">
        <f t="shared" si="123"/>
        <v>275000</v>
      </c>
      <c r="AB123" s="336">
        <f t="shared" si="123"/>
        <v>272000</v>
      </c>
      <c r="AC123" s="336">
        <f t="shared" ref="AC123:AH123" si="124">AC122*1000</f>
        <v>273000</v>
      </c>
      <c r="AD123" s="336">
        <f t="shared" si="124"/>
        <v>279000</v>
      </c>
      <c r="AE123" s="336">
        <f t="shared" si="124"/>
        <v>283000</v>
      </c>
      <c r="AF123" s="336">
        <f t="shared" si="124"/>
        <v>291000</v>
      </c>
      <c r="AG123" s="336">
        <f t="shared" si="124"/>
        <v>295000</v>
      </c>
      <c r="AH123" s="336">
        <f t="shared" si="124"/>
        <v>295000</v>
      </c>
      <c r="AI123" s="336">
        <f t="shared" ref="AI123" si="125">AI122*1000</f>
        <v>307000</v>
      </c>
    </row>
    <row r="124" spans="1:35" ht="26.5">
      <c r="B124" s="315" t="s">
        <v>815</v>
      </c>
      <c r="C124" s="45">
        <f t="shared" ref="C124:R124" si="126">C123*$F120</f>
        <v>0</v>
      </c>
      <c r="D124" s="45">
        <f t="shared" si="126"/>
        <v>0</v>
      </c>
      <c r="E124" s="45">
        <f t="shared" si="126"/>
        <v>0</v>
      </c>
      <c r="F124" s="45">
        <f t="shared" si="126"/>
        <v>0</v>
      </c>
      <c r="G124" s="45">
        <f t="shared" si="126"/>
        <v>0</v>
      </c>
      <c r="H124" s="45">
        <f t="shared" si="126"/>
        <v>0</v>
      </c>
      <c r="I124" s="45">
        <f t="shared" si="126"/>
        <v>0</v>
      </c>
      <c r="J124" s="45">
        <f t="shared" si="126"/>
        <v>0</v>
      </c>
      <c r="K124" s="45">
        <f t="shared" si="126"/>
        <v>0</v>
      </c>
      <c r="L124" s="45">
        <f t="shared" si="126"/>
        <v>0</v>
      </c>
      <c r="M124" s="45">
        <f t="shared" si="126"/>
        <v>0</v>
      </c>
      <c r="N124" s="45">
        <f t="shared" si="126"/>
        <v>0</v>
      </c>
      <c r="O124" s="45">
        <f t="shared" si="126"/>
        <v>150884.19279999999</v>
      </c>
      <c r="P124" s="45">
        <f t="shared" si="126"/>
        <v>150884.19279999999</v>
      </c>
      <c r="Q124" s="45">
        <f t="shared" si="126"/>
        <v>1508841.9279999998</v>
      </c>
      <c r="R124" s="45">
        <f t="shared" si="126"/>
        <v>12372503.809599999</v>
      </c>
      <c r="S124" s="45">
        <f>S122*$F120</f>
        <v>33798.0591872</v>
      </c>
      <c r="T124" s="45">
        <f>T122*$F120</f>
        <v>35759.553693599999</v>
      </c>
      <c r="U124" s="45">
        <f>U122*$F120</f>
        <v>28517.112439199998</v>
      </c>
      <c r="V124" s="45">
        <f>V122*$F120</f>
        <v>30780.375331199997</v>
      </c>
      <c r="W124" s="45">
        <f t="shared" ref="W124:AB124" si="127">W123*$F120</f>
        <v>50093552.009599999</v>
      </c>
      <c r="X124" s="45">
        <f t="shared" si="127"/>
        <v>51300625.552000001</v>
      </c>
      <c r="Y124" s="45">
        <f t="shared" si="127"/>
        <v>48735594.274399996</v>
      </c>
      <c r="Z124" s="45">
        <f t="shared" si="127"/>
        <v>51602393.937599994</v>
      </c>
      <c r="AA124" s="45">
        <f t="shared" si="127"/>
        <v>41493153.019999996</v>
      </c>
      <c r="AB124" s="45">
        <f t="shared" si="127"/>
        <v>41040500.441599995</v>
      </c>
      <c r="AC124" s="45">
        <f t="shared" ref="AC124:AH124" si="128">AC123*$F120</f>
        <v>41191384.634399995</v>
      </c>
      <c r="AD124" s="45">
        <f t="shared" si="128"/>
        <v>42096689.791199997</v>
      </c>
      <c r="AE124" s="45">
        <f t="shared" si="128"/>
        <v>42700226.562399998</v>
      </c>
      <c r="AF124" s="45">
        <f t="shared" si="128"/>
        <v>43907300.104800001</v>
      </c>
      <c r="AG124" s="45">
        <f t="shared" si="128"/>
        <v>44510836.875999995</v>
      </c>
      <c r="AH124" s="45">
        <f t="shared" si="128"/>
        <v>44510836.875999995</v>
      </c>
      <c r="AI124" s="45">
        <f t="shared" ref="AI124" si="129">AI123*$F120</f>
        <v>46321447.189599998</v>
      </c>
    </row>
    <row r="125" spans="1:35" ht="15" thickBot="1">
      <c r="B125" s="449" t="s">
        <v>317</v>
      </c>
      <c r="C125" s="317">
        <f t="shared" ref="C125:AB125" si="130">C124/(2205*1000000)</f>
        <v>0</v>
      </c>
      <c r="D125" s="317">
        <f t="shared" si="130"/>
        <v>0</v>
      </c>
      <c r="E125" s="317">
        <f t="shared" si="130"/>
        <v>0</v>
      </c>
      <c r="F125" s="317">
        <f t="shared" si="130"/>
        <v>0</v>
      </c>
      <c r="G125" s="317">
        <f t="shared" si="130"/>
        <v>0</v>
      </c>
      <c r="H125" s="317">
        <f t="shared" si="130"/>
        <v>0</v>
      </c>
      <c r="I125" s="317">
        <f t="shared" si="130"/>
        <v>0</v>
      </c>
      <c r="J125" s="317">
        <f t="shared" si="130"/>
        <v>0</v>
      </c>
      <c r="K125" s="317">
        <f t="shared" si="130"/>
        <v>0</v>
      </c>
      <c r="L125" s="317">
        <f t="shared" si="130"/>
        <v>0</v>
      </c>
      <c r="M125" s="317">
        <f t="shared" si="130"/>
        <v>0</v>
      </c>
      <c r="N125" s="317">
        <f t="shared" si="130"/>
        <v>0</v>
      </c>
      <c r="O125" s="317">
        <f t="shared" si="130"/>
        <v>6.8428205351473919E-5</v>
      </c>
      <c r="P125" s="317">
        <f t="shared" si="130"/>
        <v>6.8428205351473919E-5</v>
      </c>
      <c r="Q125" s="317">
        <f t="shared" si="130"/>
        <v>6.8428205351473911E-4</v>
      </c>
      <c r="R125" s="317">
        <f t="shared" si="130"/>
        <v>5.6111128388208614E-3</v>
      </c>
      <c r="S125" s="317">
        <f t="shared" si="130"/>
        <v>1.5327917998730157E-5</v>
      </c>
      <c r="T125" s="317">
        <f t="shared" si="130"/>
        <v>1.621748466829932E-5</v>
      </c>
      <c r="U125" s="317">
        <f t="shared" si="130"/>
        <v>1.2932930811428571E-5</v>
      </c>
      <c r="V125" s="317">
        <f t="shared" si="130"/>
        <v>1.3959353891700679E-5</v>
      </c>
      <c r="W125" s="317">
        <f t="shared" si="130"/>
        <v>2.2718164176689343E-2</v>
      </c>
      <c r="X125" s="317">
        <f t="shared" si="130"/>
        <v>2.3265589819501133E-2</v>
      </c>
      <c r="Y125" s="317">
        <f t="shared" si="130"/>
        <v>2.2102310328526074E-2</v>
      </c>
      <c r="Z125" s="317">
        <f t="shared" si="130"/>
        <v>2.3402446230204078E-2</v>
      </c>
      <c r="AA125" s="317">
        <f t="shared" si="130"/>
        <v>1.8817756471655327E-2</v>
      </c>
      <c r="AB125" s="317">
        <f t="shared" si="130"/>
        <v>1.8612471855600905E-2</v>
      </c>
      <c r="AC125" s="317">
        <f t="shared" ref="AC125:AH125" si="131">AC124/(2205*1000000)</f>
        <v>1.8680900060952379E-2</v>
      </c>
      <c r="AD125" s="317">
        <f t="shared" si="131"/>
        <v>1.9091469293061224E-2</v>
      </c>
      <c r="AE125" s="317">
        <f t="shared" si="131"/>
        <v>1.9365182114467118E-2</v>
      </c>
      <c r="AF125" s="317">
        <f t="shared" si="131"/>
        <v>1.9912607757278912E-2</v>
      </c>
      <c r="AG125" s="317">
        <f t="shared" si="131"/>
        <v>2.0186320578684806E-2</v>
      </c>
      <c r="AH125" s="317">
        <f t="shared" si="131"/>
        <v>2.0186320578684806E-2</v>
      </c>
      <c r="AI125" s="317">
        <f t="shared" ref="AI125" si="132">AI124/(2205*1000000)</f>
        <v>2.1007459042902493E-2</v>
      </c>
    </row>
    <row r="126" spans="1:35" ht="15" thickBot="1">
      <c r="B126" s="314" t="s">
        <v>28</v>
      </c>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row>
    <row r="127" spans="1:35">
      <c r="B127" s="321" t="s">
        <v>521</v>
      </c>
      <c r="C127" s="323">
        <f t="shared" ref="C127:AB127" si="133">C123*$I$120</f>
        <v>0</v>
      </c>
      <c r="D127" s="323">
        <f t="shared" si="133"/>
        <v>0</v>
      </c>
      <c r="E127" s="323">
        <f t="shared" si="133"/>
        <v>0</v>
      </c>
      <c r="F127" s="323">
        <f t="shared" si="133"/>
        <v>0</v>
      </c>
      <c r="G127" s="323">
        <f t="shared" si="133"/>
        <v>0</v>
      </c>
      <c r="H127" s="323">
        <f t="shared" si="133"/>
        <v>0</v>
      </c>
      <c r="I127" s="323">
        <f t="shared" si="133"/>
        <v>0</v>
      </c>
      <c r="J127" s="323">
        <f t="shared" si="133"/>
        <v>0</v>
      </c>
      <c r="K127" s="323">
        <f t="shared" si="133"/>
        <v>0</v>
      </c>
      <c r="L127" s="323">
        <f t="shared" si="133"/>
        <v>0</v>
      </c>
      <c r="M127" s="323">
        <f t="shared" si="133"/>
        <v>0</v>
      </c>
      <c r="N127" s="323">
        <f t="shared" si="133"/>
        <v>0</v>
      </c>
      <c r="O127" s="323">
        <f t="shared" si="133"/>
        <v>2.4250819999999997</v>
      </c>
      <c r="P127" s="323">
        <f t="shared" si="133"/>
        <v>2.4250819999999997</v>
      </c>
      <c r="Q127" s="323">
        <f t="shared" si="133"/>
        <v>24.250819999999997</v>
      </c>
      <c r="R127" s="323">
        <f t="shared" si="133"/>
        <v>198.85672399999999</v>
      </c>
      <c r="S127" s="323">
        <f t="shared" si="133"/>
        <v>543.21836799999994</v>
      </c>
      <c r="T127" s="323">
        <f t="shared" si="133"/>
        <v>574.74443399999996</v>
      </c>
      <c r="U127" s="323">
        <f t="shared" si="133"/>
        <v>458.34049799999997</v>
      </c>
      <c r="V127" s="323">
        <f t="shared" si="133"/>
        <v>494.71672799999999</v>
      </c>
      <c r="W127" s="323">
        <f t="shared" si="133"/>
        <v>805.12722399999996</v>
      </c>
      <c r="X127" s="323">
        <f t="shared" si="133"/>
        <v>824.52787999999998</v>
      </c>
      <c r="Y127" s="323">
        <f t="shared" si="133"/>
        <v>783.30148599999995</v>
      </c>
      <c r="Z127" s="323">
        <f t="shared" si="133"/>
        <v>829.37804399999993</v>
      </c>
      <c r="AA127" s="323">
        <f t="shared" si="133"/>
        <v>666.89754999999991</v>
      </c>
      <c r="AB127" s="323">
        <f t="shared" si="133"/>
        <v>659.62230399999999</v>
      </c>
      <c r="AC127" s="323">
        <f t="shared" ref="AC127:AH127" si="134">AC123*$I$120</f>
        <v>662.04738599999996</v>
      </c>
      <c r="AD127" s="323">
        <f t="shared" si="134"/>
        <v>676.59787799999992</v>
      </c>
      <c r="AE127" s="323">
        <f t="shared" si="134"/>
        <v>686.29820599999994</v>
      </c>
      <c r="AF127" s="323">
        <f t="shared" si="134"/>
        <v>705.69886199999996</v>
      </c>
      <c r="AG127" s="323">
        <f t="shared" si="134"/>
        <v>715.39918999999998</v>
      </c>
      <c r="AH127" s="323">
        <f t="shared" si="134"/>
        <v>715.39918999999998</v>
      </c>
      <c r="AI127" s="323">
        <f t="shared" ref="AI127" si="135">AI123*$I$120</f>
        <v>744.5001739999999</v>
      </c>
    </row>
    <row r="128" spans="1:35">
      <c r="B128" s="312" t="s">
        <v>522</v>
      </c>
      <c r="C128" s="45">
        <f t="shared" ref="C128:AB128" si="136">C127*$M$3</f>
        <v>0</v>
      </c>
      <c r="D128" s="45">
        <f t="shared" si="136"/>
        <v>0</v>
      </c>
      <c r="E128" s="45">
        <f t="shared" si="136"/>
        <v>0</v>
      </c>
      <c r="F128" s="45">
        <f t="shared" si="136"/>
        <v>0</v>
      </c>
      <c r="G128" s="45">
        <f t="shared" si="136"/>
        <v>0</v>
      </c>
      <c r="H128" s="45">
        <f t="shared" si="136"/>
        <v>0</v>
      </c>
      <c r="I128" s="45">
        <f t="shared" si="136"/>
        <v>0</v>
      </c>
      <c r="J128" s="45">
        <f t="shared" si="136"/>
        <v>0</v>
      </c>
      <c r="K128" s="45">
        <f t="shared" si="136"/>
        <v>0</v>
      </c>
      <c r="L128" s="45">
        <f t="shared" si="136"/>
        <v>0</v>
      </c>
      <c r="M128" s="45">
        <f t="shared" si="136"/>
        <v>0</v>
      </c>
      <c r="N128" s="45">
        <f t="shared" si="136"/>
        <v>0</v>
      </c>
      <c r="O128" s="45">
        <f t="shared" si="136"/>
        <v>60.627049999999997</v>
      </c>
      <c r="P128" s="45">
        <f t="shared" si="136"/>
        <v>60.627049999999997</v>
      </c>
      <c r="Q128" s="45">
        <f t="shared" si="136"/>
        <v>606.27049999999997</v>
      </c>
      <c r="R128" s="45">
        <f t="shared" si="136"/>
        <v>4971.4180999999999</v>
      </c>
      <c r="S128" s="45">
        <f t="shared" si="136"/>
        <v>13580.459199999999</v>
      </c>
      <c r="T128" s="45">
        <f t="shared" si="136"/>
        <v>14368.610849999999</v>
      </c>
      <c r="U128" s="45">
        <f t="shared" si="136"/>
        <v>11458.512449999998</v>
      </c>
      <c r="V128" s="45">
        <f t="shared" si="136"/>
        <v>12367.9182</v>
      </c>
      <c r="W128" s="45">
        <f t="shared" si="136"/>
        <v>20128.1806</v>
      </c>
      <c r="X128" s="45">
        <f t="shared" si="136"/>
        <v>20613.197</v>
      </c>
      <c r="Y128" s="45">
        <f t="shared" si="136"/>
        <v>19582.53715</v>
      </c>
      <c r="Z128" s="45">
        <f t="shared" si="136"/>
        <v>20734.451099999998</v>
      </c>
      <c r="AA128" s="45">
        <f t="shared" si="136"/>
        <v>16672.438749999998</v>
      </c>
      <c r="AB128" s="45">
        <f t="shared" si="136"/>
        <v>16490.5576</v>
      </c>
      <c r="AC128" s="45">
        <f t="shared" ref="AC128:AH128" si="137">AC127*$M$3</f>
        <v>16551.184649999999</v>
      </c>
      <c r="AD128" s="45">
        <f t="shared" si="137"/>
        <v>16914.946949999998</v>
      </c>
      <c r="AE128" s="45">
        <f t="shared" si="137"/>
        <v>17157.455149999998</v>
      </c>
      <c r="AF128" s="45">
        <f t="shared" si="137"/>
        <v>17642.471549999998</v>
      </c>
      <c r="AG128" s="45">
        <f t="shared" si="137"/>
        <v>17884.979749999999</v>
      </c>
      <c r="AH128" s="45">
        <f t="shared" si="137"/>
        <v>17884.979749999999</v>
      </c>
      <c r="AI128" s="45">
        <f t="shared" ref="AI128" si="138">AI127*$M$3</f>
        <v>18612.504349999999</v>
      </c>
    </row>
    <row r="129" spans="1:35" ht="15" thickBot="1">
      <c r="B129" s="322" t="s">
        <v>523</v>
      </c>
      <c r="C129" s="326">
        <f t="shared" ref="C129:AB129" si="139">C128/(2205*1000000)</f>
        <v>0</v>
      </c>
      <c r="D129" s="326">
        <f t="shared" si="139"/>
        <v>0</v>
      </c>
      <c r="E129" s="326">
        <f t="shared" si="139"/>
        <v>0</v>
      </c>
      <c r="F129" s="326">
        <f t="shared" si="139"/>
        <v>0</v>
      </c>
      <c r="G129" s="326">
        <f t="shared" si="139"/>
        <v>0</v>
      </c>
      <c r="H129" s="326">
        <f t="shared" si="139"/>
        <v>0</v>
      </c>
      <c r="I129" s="326">
        <f t="shared" si="139"/>
        <v>0</v>
      </c>
      <c r="J129" s="326">
        <f t="shared" si="139"/>
        <v>0</v>
      </c>
      <c r="K129" s="326">
        <f t="shared" si="139"/>
        <v>0</v>
      </c>
      <c r="L129" s="326">
        <f t="shared" si="139"/>
        <v>0</v>
      </c>
      <c r="M129" s="326">
        <f t="shared" si="139"/>
        <v>0</v>
      </c>
      <c r="N129" s="326">
        <f t="shared" si="139"/>
        <v>0</v>
      </c>
      <c r="O129" s="326">
        <f t="shared" si="139"/>
        <v>2.7495260770975056E-8</v>
      </c>
      <c r="P129" s="326">
        <f t="shared" si="139"/>
        <v>2.7495260770975056E-8</v>
      </c>
      <c r="Q129" s="326">
        <f t="shared" si="139"/>
        <v>2.7495260770975055E-7</v>
      </c>
      <c r="R129" s="326">
        <f t="shared" si="139"/>
        <v>2.2546113832199544E-6</v>
      </c>
      <c r="S129" s="326">
        <f t="shared" si="139"/>
        <v>6.1589384126984121E-6</v>
      </c>
      <c r="T129" s="326">
        <f t="shared" si="139"/>
        <v>6.5163768027210879E-6</v>
      </c>
      <c r="U129" s="326">
        <f t="shared" si="139"/>
        <v>5.1966042857142848E-6</v>
      </c>
      <c r="V129" s="326">
        <f t="shared" si="139"/>
        <v>5.6090331972789119E-6</v>
      </c>
      <c r="W129" s="326">
        <f t="shared" si="139"/>
        <v>9.1284265759637186E-6</v>
      </c>
      <c r="X129" s="326">
        <f t="shared" si="139"/>
        <v>9.3483886621315187E-6</v>
      </c>
      <c r="Y129" s="326">
        <f t="shared" si="139"/>
        <v>8.8809692290249428E-6</v>
      </c>
      <c r="Z129" s="326">
        <f t="shared" si="139"/>
        <v>9.4033791836734683E-6</v>
      </c>
      <c r="AA129" s="326">
        <f t="shared" si="139"/>
        <v>7.5611967120181397E-6</v>
      </c>
      <c r="AB129" s="326">
        <f t="shared" si="139"/>
        <v>7.4787109297052153E-6</v>
      </c>
      <c r="AC129" s="326">
        <f t="shared" ref="AC129:AH129" si="140">AC128/(2205*1000000)</f>
        <v>7.5062061904761901E-6</v>
      </c>
      <c r="AD129" s="326">
        <f t="shared" si="140"/>
        <v>7.6711777551020397E-6</v>
      </c>
      <c r="AE129" s="326">
        <f t="shared" si="140"/>
        <v>7.7811587981859406E-6</v>
      </c>
      <c r="AF129" s="326">
        <f t="shared" si="140"/>
        <v>8.0011208843537407E-6</v>
      </c>
      <c r="AG129" s="326">
        <f t="shared" si="140"/>
        <v>8.1111019274376416E-6</v>
      </c>
      <c r="AH129" s="326">
        <f t="shared" si="140"/>
        <v>8.1111019274376416E-6</v>
      </c>
      <c r="AI129" s="326">
        <f t="shared" ref="AI129" si="141">AI128/(2205*1000000)</f>
        <v>8.4410450566893426E-6</v>
      </c>
    </row>
    <row r="130" spans="1:35" ht="15" thickBot="1">
      <c r="B130" s="314" t="s">
        <v>30</v>
      </c>
      <c r="C130" s="324"/>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row>
    <row r="131" spans="1:35">
      <c r="B131" s="321" t="s">
        <v>524</v>
      </c>
      <c r="C131" s="323">
        <f t="shared" ref="C131:AB131" si="142">C123*$L$120</f>
        <v>0</v>
      </c>
      <c r="D131" s="323">
        <f t="shared" si="142"/>
        <v>0</v>
      </c>
      <c r="E131" s="323">
        <f t="shared" si="142"/>
        <v>0</v>
      </c>
      <c r="F131" s="323">
        <f t="shared" si="142"/>
        <v>0</v>
      </c>
      <c r="G131" s="323">
        <f t="shared" si="142"/>
        <v>0</v>
      </c>
      <c r="H131" s="323">
        <f t="shared" si="142"/>
        <v>0</v>
      </c>
      <c r="I131" s="323">
        <f t="shared" si="142"/>
        <v>0</v>
      </c>
      <c r="J131" s="323">
        <f t="shared" si="142"/>
        <v>0</v>
      </c>
      <c r="K131" s="323">
        <f t="shared" si="142"/>
        <v>0</v>
      </c>
      <c r="L131" s="323">
        <f t="shared" si="142"/>
        <v>0</v>
      </c>
      <c r="M131" s="323">
        <f t="shared" si="142"/>
        <v>0</v>
      </c>
      <c r="N131" s="323">
        <f t="shared" si="142"/>
        <v>0</v>
      </c>
      <c r="O131" s="323">
        <f t="shared" si="142"/>
        <v>0.24250819999999998</v>
      </c>
      <c r="P131" s="323">
        <f t="shared" si="142"/>
        <v>0.24250819999999998</v>
      </c>
      <c r="Q131" s="323">
        <f t="shared" si="142"/>
        <v>2.4250819999999997</v>
      </c>
      <c r="R131" s="323">
        <f t="shared" si="142"/>
        <v>19.885672400000001</v>
      </c>
      <c r="S131" s="323">
        <f t="shared" si="142"/>
        <v>54.3218368</v>
      </c>
      <c r="T131" s="323">
        <f t="shared" si="142"/>
        <v>57.474443399999998</v>
      </c>
      <c r="U131" s="323">
        <f t="shared" si="142"/>
        <v>45.834049799999995</v>
      </c>
      <c r="V131" s="323">
        <f t="shared" si="142"/>
        <v>49.4716728</v>
      </c>
      <c r="W131" s="323">
        <f t="shared" si="142"/>
        <v>80.512722400000001</v>
      </c>
      <c r="X131" s="323">
        <f t="shared" si="142"/>
        <v>82.452787999999998</v>
      </c>
      <c r="Y131" s="323">
        <f t="shared" si="142"/>
        <v>78.330148600000001</v>
      </c>
      <c r="Z131" s="323">
        <f t="shared" si="142"/>
        <v>82.93780439999999</v>
      </c>
      <c r="AA131" s="323">
        <f t="shared" si="142"/>
        <v>66.689754999999991</v>
      </c>
      <c r="AB131" s="323">
        <f t="shared" si="142"/>
        <v>65.962230399999996</v>
      </c>
      <c r="AC131" s="323">
        <f t="shared" ref="AC131:AH131" si="143">AC123*$L$120</f>
        <v>66.204738599999999</v>
      </c>
      <c r="AD131" s="323">
        <f t="shared" si="143"/>
        <v>67.659787800000004</v>
      </c>
      <c r="AE131" s="323">
        <f t="shared" si="143"/>
        <v>68.629820600000002</v>
      </c>
      <c r="AF131" s="323">
        <f t="shared" si="143"/>
        <v>70.569886199999999</v>
      </c>
      <c r="AG131" s="323">
        <f t="shared" si="143"/>
        <v>71.539918999999998</v>
      </c>
      <c r="AH131" s="323">
        <f t="shared" si="143"/>
        <v>71.539918999999998</v>
      </c>
      <c r="AI131" s="323">
        <f t="shared" ref="AI131" si="144">AI123*$L$120</f>
        <v>74.450017399999993</v>
      </c>
    </row>
    <row r="132" spans="1:35">
      <c r="B132" s="312" t="s">
        <v>522</v>
      </c>
      <c r="C132" s="45">
        <f t="shared" ref="C132:AB132" si="145">C131*$M$4</f>
        <v>0</v>
      </c>
      <c r="D132" s="45">
        <f t="shared" si="145"/>
        <v>0</v>
      </c>
      <c r="E132" s="45">
        <f t="shared" si="145"/>
        <v>0</v>
      </c>
      <c r="F132" s="45">
        <f t="shared" si="145"/>
        <v>0</v>
      </c>
      <c r="G132" s="45">
        <f t="shared" si="145"/>
        <v>0</v>
      </c>
      <c r="H132" s="45">
        <f t="shared" si="145"/>
        <v>0</v>
      </c>
      <c r="I132" s="45">
        <f t="shared" si="145"/>
        <v>0</v>
      </c>
      <c r="J132" s="45">
        <f t="shared" si="145"/>
        <v>0</v>
      </c>
      <c r="K132" s="45">
        <f t="shared" si="145"/>
        <v>0</v>
      </c>
      <c r="L132" s="45">
        <f t="shared" si="145"/>
        <v>0</v>
      </c>
      <c r="M132" s="45">
        <f t="shared" si="145"/>
        <v>0</v>
      </c>
      <c r="N132" s="45">
        <f t="shared" si="145"/>
        <v>0</v>
      </c>
      <c r="O132" s="45">
        <f t="shared" si="145"/>
        <v>72.267443599999993</v>
      </c>
      <c r="P132" s="45">
        <f t="shared" si="145"/>
        <v>72.267443599999993</v>
      </c>
      <c r="Q132" s="45">
        <f t="shared" si="145"/>
        <v>722.6744359999999</v>
      </c>
      <c r="R132" s="45">
        <f t="shared" si="145"/>
        <v>5925.9303752000005</v>
      </c>
      <c r="S132" s="45">
        <f t="shared" si="145"/>
        <v>16187.907366400001</v>
      </c>
      <c r="T132" s="45">
        <f t="shared" si="145"/>
        <v>17127.384133200001</v>
      </c>
      <c r="U132" s="45">
        <f t="shared" si="145"/>
        <v>13658.546840399998</v>
      </c>
      <c r="V132" s="45">
        <f t="shared" si="145"/>
        <v>14742.5584944</v>
      </c>
      <c r="W132" s="45">
        <f t="shared" si="145"/>
        <v>23992.791275200001</v>
      </c>
      <c r="X132" s="45">
        <f t="shared" si="145"/>
        <v>24570.930823999999</v>
      </c>
      <c r="Y132" s="45">
        <f t="shared" si="145"/>
        <v>23342.384282800002</v>
      </c>
      <c r="Z132" s="45">
        <f t="shared" si="145"/>
        <v>24715.465711199999</v>
      </c>
      <c r="AA132" s="45">
        <f t="shared" si="145"/>
        <v>19873.546989999999</v>
      </c>
      <c r="AB132" s="45">
        <f t="shared" si="145"/>
        <v>19656.744659199998</v>
      </c>
      <c r="AC132" s="45">
        <f t="shared" ref="AC132:AH132" si="146">AC131*$M$4</f>
        <v>19729.012102799999</v>
      </c>
      <c r="AD132" s="45">
        <f t="shared" si="146"/>
        <v>20162.616764400002</v>
      </c>
      <c r="AE132" s="45">
        <f t="shared" si="146"/>
        <v>20451.686538800001</v>
      </c>
      <c r="AF132" s="45">
        <f t="shared" si="146"/>
        <v>21029.826087599999</v>
      </c>
      <c r="AG132" s="45">
        <f t="shared" si="146"/>
        <v>21318.895861999998</v>
      </c>
      <c r="AH132" s="45">
        <f t="shared" si="146"/>
        <v>21318.895861999998</v>
      </c>
      <c r="AI132" s="45">
        <f t="shared" ref="AI132" si="147">AI131*$M$4</f>
        <v>22186.105185199998</v>
      </c>
    </row>
    <row r="133" spans="1:35">
      <c r="B133" s="322" t="s">
        <v>525</v>
      </c>
      <c r="C133" s="313">
        <f t="shared" ref="C133:AB133" si="148">C132/(2205*1000000)</f>
        <v>0</v>
      </c>
      <c r="D133" s="313">
        <f t="shared" si="148"/>
        <v>0</v>
      </c>
      <c r="E133" s="313">
        <f t="shared" si="148"/>
        <v>0</v>
      </c>
      <c r="F133" s="313">
        <f t="shared" si="148"/>
        <v>0</v>
      </c>
      <c r="G133" s="313">
        <f t="shared" si="148"/>
        <v>0</v>
      </c>
      <c r="H133" s="313">
        <f t="shared" si="148"/>
        <v>0</v>
      </c>
      <c r="I133" s="313">
        <f t="shared" si="148"/>
        <v>0</v>
      </c>
      <c r="J133" s="313">
        <f t="shared" si="148"/>
        <v>0</v>
      </c>
      <c r="K133" s="313">
        <f t="shared" si="148"/>
        <v>0</v>
      </c>
      <c r="L133" s="313">
        <f t="shared" si="148"/>
        <v>0</v>
      </c>
      <c r="M133" s="313">
        <f t="shared" si="148"/>
        <v>0</v>
      </c>
      <c r="N133" s="313">
        <f t="shared" si="148"/>
        <v>0</v>
      </c>
      <c r="O133" s="313">
        <f t="shared" si="148"/>
        <v>3.2774350839002266E-8</v>
      </c>
      <c r="P133" s="313">
        <f t="shared" si="148"/>
        <v>3.2774350839002266E-8</v>
      </c>
      <c r="Q133" s="313">
        <f t="shared" si="148"/>
        <v>3.2774350839002264E-7</v>
      </c>
      <c r="R133" s="313">
        <f t="shared" si="148"/>
        <v>2.6874967687981861E-6</v>
      </c>
      <c r="S133" s="313">
        <f t="shared" si="148"/>
        <v>7.341454587936508E-6</v>
      </c>
      <c r="T133" s="313">
        <f t="shared" si="148"/>
        <v>7.7675211488435387E-6</v>
      </c>
      <c r="U133" s="313">
        <f t="shared" si="148"/>
        <v>6.1943523085714276E-6</v>
      </c>
      <c r="V133" s="313">
        <f t="shared" si="148"/>
        <v>6.6859675711564625E-6</v>
      </c>
      <c r="W133" s="313">
        <f t="shared" si="148"/>
        <v>1.0881084478548753E-5</v>
      </c>
      <c r="X133" s="313">
        <f t="shared" si="148"/>
        <v>1.1143279285260771E-5</v>
      </c>
      <c r="Y133" s="313">
        <f t="shared" si="148"/>
        <v>1.0586115320997733E-5</v>
      </c>
      <c r="Z133" s="313">
        <f t="shared" si="148"/>
        <v>1.1208827986938774E-5</v>
      </c>
      <c r="AA133" s="313">
        <f t="shared" si="148"/>
        <v>9.0129464807256232E-6</v>
      </c>
      <c r="AB133" s="313">
        <f t="shared" si="148"/>
        <v>8.9146234282086166E-6</v>
      </c>
      <c r="AC133" s="313">
        <f t="shared" ref="AC133:AH133" si="149">AC132/(2205*1000000)</f>
        <v>8.9473977790476183E-6</v>
      </c>
      <c r="AD133" s="313">
        <f t="shared" si="149"/>
        <v>9.1440438840816332E-6</v>
      </c>
      <c r="AE133" s="313">
        <f t="shared" si="149"/>
        <v>9.2751412874376415E-6</v>
      </c>
      <c r="AF133" s="313">
        <f t="shared" si="149"/>
        <v>9.5373360941496597E-6</v>
      </c>
      <c r="AG133" s="313">
        <f t="shared" si="149"/>
        <v>9.668433497505668E-6</v>
      </c>
      <c r="AH133" s="313">
        <f t="shared" si="149"/>
        <v>9.668433497505668E-6</v>
      </c>
      <c r="AI133" s="313">
        <f t="shared" ref="AI133" si="150">AI132/(2205*1000000)</f>
        <v>1.0061725707573696E-5</v>
      </c>
    </row>
    <row r="134" spans="1:35">
      <c r="B134" s="322" t="s">
        <v>817</v>
      </c>
      <c r="C134" s="313">
        <f t="shared" ref="C134:AB134" si="151">C129+C133</f>
        <v>0</v>
      </c>
      <c r="D134" s="313">
        <f t="shared" si="151"/>
        <v>0</v>
      </c>
      <c r="E134" s="313">
        <f t="shared" si="151"/>
        <v>0</v>
      </c>
      <c r="F134" s="313">
        <f t="shared" si="151"/>
        <v>0</v>
      </c>
      <c r="G134" s="313">
        <f t="shared" si="151"/>
        <v>0</v>
      </c>
      <c r="H134" s="313">
        <f t="shared" si="151"/>
        <v>0</v>
      </c>
      <c r="I134" s="313">
        <f t="shared" si="151"/>
        <v>0</v>
      </c>
      <c r="J134" s="313">
        <f t="shared" si="151"/>
        <v>0</v>
      </c>
      <c r="K134" s="313">
        <f t="shared" si="151"/>
        <v>0</v>
      </c>
      <c r="L134" s="313">
        <f t="shared" si="151"/>
        <v>0</v>
      </c>
      <c r="M134" s="313">
        <f t="shared" si="151"/>
        <v>0</v>
      </c>
      <c r="N134" s="313">
        <f t="shared" si="151"/>
        <v>0</v>
      </c>
      <c r="O134" s="313">
        <f t="shared" si="151"/>
        <v>6.0269611609977319E-8</v>
      </c>
      <c r="P134" s="313">
        <f t="shared" si="151"/>
        <v>6.0269611609977319E-8</v>
      </c>
      <c r="Q134" s="313">
        <f t="shared" si="151"/>
        <v>6.0269611609977313E-7</v>
      </c>
      <c r="R134" s="313">
        <f t="shared" si="151"/>
        <v>4.9421081520181405E-6</v>
      </c>
      <c r="S134" s="313">
        <f t="shared" si="151"/>
        <v>1.350039300063492E-5</v>
      </c>
      <c r="T134" s="313">
        <f t="shared" si="151"/>
        <v>1.4283897951564627E-5</v>
      </c>
      <c r="U134" s="313">
        <f t="shared" si="151"/>
        <v>1.1390956594285712E-5</v>
      </c>
      <c r="V134" s="313">
        <f t="shared" si="151"/>
        <v>1.2295000768435374E-5</v>
      </c>
      <c r="W134" s="313">
        <f t="shared" si="151"/>
        <v>2.0009511054512471E-5</v>
      </c>
      <c r="X134" s="313">
        <f t="shared" si="151"/>
        <v>2.0491667947392289E-5</v>
      </c>
      <c r="Y134" s="313">
        <f t="shared" si="151"/>
        <v>1.9467084550022675E-5</v>
      </c>
      <c r="Z134" s="313">
        <f t="shared" si="151"/>
        <v>2.0612207170612241E-5</v>
      </c>
      <c r="AA134" s="313">
        <f t="shared" si="151"/>
        <v>1.6574143192743762E-5</v>
      </c>
      <c r="AB134" s="313">
        <f t="shared" si="151"/>
        <v>1.639333435791383E-5</v>
      </c>
      <c r="AC134" s="313">
        <f t="shared" ref="AC134:AH134" si="152">AC129+AC133</f>
        <v>1.6453603969523808E-5</v>
      </c>
      <c r="AD134" s="313">
        <f t="shared" si="152"/>
        <v>1.6815221639183671E-5</v>
      </c>
      <c r="AE134" s="313">
        <f t="shared" si="152"/>
        <v>1.705630008562358E-5</v>
      </c>
      <c r="AF134" s="313">
        <f t="shared" si="152"/>
        <v>1.7538456978503399E-5</v>
      </c>
      <c r="AG134" s="313">
        <f t="shared" si="152"/>
        <v>1.7779535424943308E-5</v>
      </c>
      <c r="AH134" s="313">
        <f t="shared" si="152"/>
        <v>1.7779535424943308E-5</v>
      </c>
      <c r="AI134" s="313">
        <f t="shared" ref="AI134" si="153">AI129+AI133</f>
        <v>1.8502770764263039E-5</v>
      </c>
    </row>
    <row r="135" spans="1:35" ht="15" thickBot="1">
      <c r="B135" s="359"/>
      <c r="C135" s="360"/>
      <c r="D135" s="360"/>
      <c r="E135" s="360"/>
      <c r="F135" s="360"/>
      <c r="G135" s="360"/>
      <c r="H135" s="360"/>
      <c r="I135" s="360"/>
      <c r="J135" s="360"/>
      <c r="K135" s="360"/>
      <c r="L135" s="360"/>
      <c r="M135" s="360"/>
      <c r="N135" s="360"/>
      <c r="O135" s="360"/>
      <c r="P135" s="360"/>
      <c r="Q135" s="360"/>
      <c r="R135" s="360"/>
      <c r="S135" s="360"/>
      <c r="T135" s="360"/>
      <c r="U135" s="360"/>
      <c r="V135" s="360"/>
      <c r="W135" s="360"/>
      <c r="X135" s="360"/>
      <c r="Y135" s="360"/>
      <c r="Z135" s="360"/>
      <c r="AA135" s="360"/>
      <c r="AB135" s="360"/>
    </row>
    <row r="136" spans="1:35" ht="15" thickBot="1">
      <c r="B136" s="521" t="s">
        <v>841</v>
      </c>
      <c r="D136" s="1913" t="s">
        <v>459</v>
      </c>
      <c r="E136" s="1914"/>
      <c r="F136" s="1915"/>
      <c r="G136" s="1907" t="s">
        <v>28</v>
      </c>
      <c r="H136" s="1908"/>
      <c r="I136" s="1909"/>
      <c r="J136" s="1907" t="s">
        <v>30</v>
      </c>
      <c r="K136" s="1908"/>
      <c r="L136" s="1909"/>
      <c r="Y136" s="364"/>
    </row>
    <row r="137" spans="1:35" ht="78.5">
      <c r="B137" s="311" t="s">
        <v>804</v>
      </c>
      <c r="C137" s="328" t="s">
        <v>805</v>
      </c>
      <c r="D137" s="362" t="s">
        <v>509</v>
      </c>
      <c r="E137" s="316"/>
      <c r="F137" s="363" t="s">
        <v>510</v>
      </c>
      <c r="G137" s="362" t="s">
        <v>806</v>
      </c>
      <c r="H137" s="316"/>
      <c r="I137" s="361" t="s">
        <v>807</v>
      </c>
      <c r="J137" s="362" t="s">
        <v>808</v>
      </c>
      <c r="K137" s="316"/>
      <c r="L137" s="361" t="s">
        <v>809</v>
      </c>
      <c r="W137" s="360"/>
    </row>
    <row r="138" spans="1:35">
      <c r="A138" s="234"/>
      <c r="B138" s="343" t="s">
        <v>810</v>
      </c>
      <c r="C138" s="365" t="s">
        <v>843</v>
      </c>
      <c r="D138" s="367">
        <v>93.8</v>
      </c>
      <c r="E138" s="368"/>
      <c r="F138" s="369">
        <f>D138*2.20462</f>
        <v>206.79335599999999</v>
      </c>
      <c r="G138" s="367">
        <v>7.1999999999999998E-3</v>
      </c>
      <c r="H138" s="368"/>
      <c r="I138" s="369">
        <f>G138*2.20462</f>
        <v>1.5873263999999998E-2</v>
      </c>
      <c r="J138" s="370">
        <v>3.5999999999999999E-3</v>
      </c>
      <c r="K138" s="368"/>
      <c r="L138" s="369">
        <f>J138*2.20462</f>
        <v>7.936631999999999E-3</v>
      </c>
    </row>
    <row r="139" spans="1:35">
      <c r="B139" s="344"/>
      <c r="C139" s="330">
        <v>1990</v>
      </c>
      <c r="D139" s="330">
        <v>1991</v>
      </c>
      <c r="E139" s="330">
        <v>1992</v>
      </c>
      <c r="F139" s="330">
        <v>1993</v>
      </c>
      <c r="G139" s="330">
        <v>1994</v>
      </c>
      <c r="H139" s="330">
        <v>1995</v>
      </c>
      <c r="I139" s="330">
        <v>1996</v>
      </c>
      <c r="J139" s="330">
        <v>1997</v>
      </c>
      <c r="K139" s="330">
        <v>1998</v>
      </c>
      <c r="L139" s="330">
        <v>1999</v>
      </c>
      <c r="M139" s="330">
        <v>2000</v>
      </c>
      <c r="N139" s="330">
        <v>2001</v>
      </c>
      <c r="O139" s="330">
        <v>2002</v>
      </c>
      <c r="P139" s="330">
        <v>2003</v>
      </c>
      <c r="Q139" s="330">
        <v>2004</v>
      </c>
      <c r="R139" s="330">
        <v>2005</v>
      </c>
      <c r="S139" s="330">
        <v>2006</v>
      </c>
      <c r="T139" s="330">
        <v>2007</v>
      </c>
      <c r="U139" s="330">
        <v>2008</v>
      </c>
      <c r="V139" s="330">
        <v>2009</v>
      </c>
      <c r="W139" s="330">
        <v>2010</v>
      </c>
      <c r="X139" s="330">
        <v>2011</v>
      </c>
      <c r="Y139" s="330">
        <v>2012</v>
      </c>
      <c r="Z139" s="330">
        <v>2013</v>
      </c>
      <c r="AA139" s="330">
        <v>2014</v>
      </c>
      <c r="AB139" s="330">
        <v>2015</v>
      </c>
      <c r="AC139" s="330">
        <v>2016</v>
      </c>
      <c r="AD139" s="330">
        <v>2017</v>
      </c>
      <c r="AE139" s="330">
        <v>2018</v>
      </c>
      <c r="AF139" s="330">
        <v>2019</v>
      </c>
      <c r="AG139" s="330">
        <v>2020</v>
      </c>
      <c r="AH139" s="330">
        <v>2021</v>
      </c>
      <c r="AI139" s="330">
        <v>2022</v>
      </c>
    </row>
    <row r="140" spans="1:35">
      <c r="B140" s="346" t="s">
        <v>836</v>
      </c>
      <c r="C140" s="45">
        <v>5370</v>
      </c>
      <c r="D140" s="45">
        <v>5653</v>
      </c>
      <c r="E140" s="45">
        <v>5090</v>
      </c>
      <c r="F140" s="45">
        <v>5320</v>
      </c>
      <c r="G140" s="45">
        <v>5791</v>
      </c>
      <c r="H140" s="45">
        <v>6925</v>
      </c>
      <c r="I140" s="45">
        <v>6856</v>
      </c>
      <c r="J140" s="45">
        <v>7456</v>
      </c>
      <c r="K140" s="45">
        <v>6301</v>
      </c>
      <c r="L140" s="45">
        <v>6521</v>
      </c>
      <c r="M140" s="45">
        <v>6288</v>
      </c>
      <c r="N140" s="45">
        <v>4592</v>
      </c>
      <c r="O140" s="45">
        <v>3026</v>
      </c>
      <c r="P140" s="45">
        <v>3089</v>
      </c>
      <c r="Q140" s="45">
        <v>3277</v>
      </c>
      <c r="R140" s="45">
        <v>3312</v>
      </c>
      <c r="S140" s="45">
        <v>3430</v>
      </c>
      <c r="T140" s="45">
        <v>3553</v>
      </c>
      <c r="U140" s="45">
        <v>3410</v>
      </c>
      <c r="V140" s="45">
        <v>2986</v>
      </c>
      <c r="W140" s="45">
        <v>5090</v>
      </c>
      <c r="X140" s="45">
        <v>6970</v>
      </c>
      <c r="Y140" s="366">
        <v>6970</v>
      </c>
      <c r="Z140" s="366">
        <v>6970</v>
      </c>
      <c r="AA140" s="366">
        <v>6780</v>
      </c>
      <c r="AB140" s="366">
        <v>6780</v>
      </c>
      <c r="AC140" s="366">
        <v>6780</v>
      </c>
      <c r="AD140" s="366">
        <v>2804</v>
      </c>
      <c r="AE140" s="366">
        <v>2775</v>
      </c>
      <c r="AF140" s="366">
        <v>2775</v>
      </c>
      <c r="AG140" s="366">
        <v>2775</v>
      </c>
      <c r="AH140" s="366">
        <v>2775</v>
      </c>
      <c r="AI140" s="366">
        <v>2775</v>
      </c>
    </row>
    <row r="141" spans="1:35" ht="26.5">
      <c r="B141" s="335" t="s">
        <v>814</v>
      </c>
      <c r="C141" s="336">
        <f t="shared" ref="C141:AB141" si="154">C140*1000</f>
        <v>5370000</v>
      </c>
      <c r="D141" s="336">
        <f t="shared" si="154"/>
        <v>5653000</v>
      </c>
      <c r="E141" s="336">
        <f t="shared" si="154"/>
        <v>5090000</v>
      </c>
      <c r="F141" s="336">
        <f t="shared" si="154"/>
        <v>5320000</v>
      </c>
      <c r="G141" s="336">
        <f t="shared" si="154"/>
        <v>5791000</v>
      </c>
      <c r="H141" s="336">
        <f t="shared" si="154"/>
        <v>6925000</v>
      </c>
      <c r="I141" s="336">
        <f t="shared" si="154"/>
        <v>6856000</v>
      </c>
      <c r="J141" s="336">
        <f t="shared" si="154"/>
        <v>7456000</v>
      </c>
      <c r="K141" s="336">
        <f t="shared" si="154"/>
        <v>6301000</v>
      </c>
      <c r="L141" s="336">
        <f t="shared" si="154"/>
        <v>6521000</v>
      </c>
      <c r="M141" s="336">
        <f t="shared" si="154"/>
        <v>6288000</v>
      </c>
      <c r="N141" s="336">
        <f t="shared" si="154"/>
        <v>4592000</v>
      </c>
      <c r="O141" s="336">
        <f t="shared" si="154"/>
        <v>3026000</v>
      </c>
      <c r="P141" s="336">
        <f t="shared" si="154"/>
        <v>3089000</v>
      </c>
      <c r="Q141" s="336">
        <f t="shared" si="154"/>
        <v>3277000</v>
      </c>
      <c r="R141" s="336">
        <f t="shared" si="154"/>
        <v>3312000</v>
      </c>
      <c r="S141" s="336">
        <f t="shared" si="154"/>
        <v>3430000</v>
      </c>
      <c r="T141" s="336">
        <f t="shared" si="154"/>
        <v>3553000</v>
      </c>
      <c r="U141" s="336">
        <f t="shared" si="154"/>
        <v>3410000</v>
      </c>
      <c r="V141" s="336">
        <f t="shared" si="154"/>
        <v>2986000</v>
      </c>
      <c r="W141" s="336">
        <f t="shared" si="154"/>
        <v>5090000</v>
      </c>
      <c r="X141" s="336">
        <f t="shared" si="154"/>
        <v>6970000</v>
      </c>
      <c r="Y141" s="645">
        <f t="shared" si="154"/>
        <v>6970000</v>
      </c>
      <c r="Z141" s="336">
        <f t="shared" si="154"/>
        <v>6970000</v>
      </c>
      <c r="AA141" s="336">
        <f t="shared" si="154"/>
        <v>6780000</v>
      </c>
      <c r="AB141" s="336">
        <f t="shared" si="154"/>
        <v>6780000</v>
      </c>
      <c r="AC141" s="336">
        <f>AC140*1000</f>
        <v>6780000</v>
      </c>
      <c r="AD141" s="336">
        <f t="shared" ref="AD141:AE141" si="155">AD140*1000</f>
        <v>2804000</v>
      </c>
      <c r="AE141" s="336">
        <f t="shared" si="155"/>
        <v>2775000</v>
      </c>
      <c r="AF141" s="336">
        <f t="shared" ref="AF141:AG141" si="156">AF140*1000</f>
        <v>2775000</v>
      </c>
      <c r="AG141" s="336">
        <f t="shared" si="156"/>
        <v>2775000</v>
      </c>
      <c r="AH141" s="336">
        <f t="shared" ref="AH141:AI141" si="157">AH140*1000</f>
        <v>2775000</v>
      </c>
      <c r="AI141" s="336">
        <f t="shared" si="157"/>
        <v>2775000</v>
      </c>
    </row>
    <row r="142" spans="1:35" ht="26.5">
      <c r="B142" s="315" t="s">
        <v>815</v>
      </c>
      <c r="C142" s="323">
        <f>C141*$F$138</f>
        <v>1110480321.72</v>
      </c>
      <c r="D142" s="323">
        <f t="shared" ref="D142:AB142" si="158">D141*$F$138</f>
        <v>1169002841.4679999</v>
      </c>
      <c r="E142" s="323">
        <f t="shared" si="158"/>
        <v>1052578182.04</v>
      </c>
      <c r="F142" s="323">
        <f t="shared" si="158"/>
        <v>1100140653.9199998</v>
      </c>
      <c r="G142" s="323">
        <f t="shared" si="158"/>
        <v>1197540324.596</v>
      </c>
      <c r="H142" s="323">
        <f t="shared" si="158"/>
        <v>1432043990.3</v>
      </c>
      <c r="I142" s="323">
        <f t="shared" si="158"/>
        <v>1417775248.7359998</v>
      </c>
      <c r="J142" s="323">
        <f t="shared" si="158"/>
        <v>1541851262.336</v>
      </c>
      <c r="K142" s="323">
        <f t="shared" si="158"/>
        <v>1303004936.1559999</v>
      </c>
      <c r="L142" s="323">
        <f t="shared" si="158"/>
        <v>1348499474.4759998</v>
      </c>
      <c r="M142" s="323">
        <f t="shared" si="158"/>
        <v>1300316622.5279999</v>
      </c>
      <c r="N142" s="323">
        <f t="shared" si="158"/>
        <v>949595090.75199997</v>
      </c>
      <c r="O142" s="323">
        <f t="shared" si="158"/>
        <v>625756695.25599992</v>
      </c>
      <c r="P142" s="323">
        <f t="shared" si="158"/>
        <v>638784676.68400002</v>
      </c>
      <c r="Q142" s="323">
        <f t="shared" si="158"/>
        <v>677661827.61199999</v>
      </c>
      <c r="R142" s="323">
        <f t="shared" si="158"/>
        <v>684899595.07199991</v>
      </c>
      <c r="S142" s="323">
        <f t="shared" si="158"/>
        <v>709301211.07999992</v>
      </c>
      <c r="T142" s="323">
        <f t="shared" si="158"/>
        <v>734736793.86799991</v>
      </c>
      <c r="U142" s="323">
        <f t="shared" si="158"/>
        <v>705165343.95999992</v>
      </c>
      <c r="V142" s="323">
        <f t="shared" si="158"/>
        <v>617484961.01599991</v>
      </c>
      <c r="W142" s="323">
        <f t="shared" si="158"/>
        <v>1052578182.04</v>
      </c>
      <c r="X142" s="323">
        <f t="shared" si="158"/>
        <v>1441349691.3199999</v>
      </c>
      <c r="Y142" s="323">
        <f t="shared" si="158"/>
        <v>1441349691.3199999</v>
      </c>
      <c r="Z142" s="323">
        <f t="shared" si="158"/>
        <v>1441349691.3199999</v>
      </c>
      <c r="AA142" s="323">
        <f t="shared" si="158"/>
        <v>1402058953.6799998</v>
      </c>
      <c r="AB142" s="323">
        <f t="shared" si="158"/>
        <v>1402058953.6799998</v>
      </c>
      <c r="AC142" s="323">
        <f>AC141*$F$138</f>
        <v>1402058953.6799998</v>
      </c>
      <c r="AD142" s="323">
        <f t="shared" ref="AD142:AE142" si="159">AD141*$F$138</f>
        <v>579848570.22399998</v>
      </c>
      <c r="AE142" s="323">
        <f t="shared" si="159"/>
        <v>573851562.89999998</v>
      </c>
      <c r="AF142" s="323">
        <f t="shared" ref="AF142:AG142" si="160">AF141*$F$138</f>
        <v>573851562.89999998</v>
      </c>
      <c r="AG142" s="323">
        <f t="shared" si="160"/>
        <v>573851562.89999998</v>
      </c>
      <c r="AH142" s="323">
        <f t="shared" ref="AH142:AI142" si="161">AH141*$F$138</f>
        <v>573851562.89999998</v>
      </c>
      <c r="AI142" s="323">
        <f t="shared" si="161"/>
        <v>573851562.89999998</v>
      </c>
    </row>
    <row r="143" spans="1:35">
      <c r="B143" s="449" t="s">
        <v>317</v>
      </c>
      <c r="C143" s="317">
        <f t="shared" ref="C143:Y143" si="162">C142/(2205*1000000)</f>
        <v>0.50361919352380957</v>
      </c>
      <c r="D143" s="317">
        <f t="shared" si="162"/>
        <v>0.53016001880634922</v>
      </c>
      <c r="E143" s="317">
        <f t="shared" si="162"/>
        <v>0.47735971974603175</v>
      </c>
      <c r="F143" s="317">
        <f t="shared" si="162"/>
        <v>0.49893000177777769</v>
      </c>
      <c r="G143" s="317">
        <f t="shared" si="162"/>
        <v>0.54310218802539678</v>
      </c>
      <c r="H143" s="317">
        <f t="shared" si="162"/>
        <v>0.64945305682539678</v>
      </c>
      <c r="I143" s="317">
        <f t="shared" si="162"/>
        <v>0.64298197221587294</v>
      </c>
      <c r="J143" s="317">
        <f t="shared" si="162"/>
        <v>0.699252273168254</v>
      </c>
      <c r="K143" s="317">
        <f t="shared" si="162"/>
        <v>0.59093194383492054</v>
      </c>
      <c r="L143" s="317">
        <f t="shared" si="162"/>
        <v>0.61156438751746023</v>
      </c>
      <c r="M143" s="317">
        <f t="shared" si="162"/>
        <v>0.58971275398095235</v>
      </c>
      <c r="N143" s="317">
        <f t="shared" si="162"/>
        <v>0.43065536995555553</v>
      </c>
      <c r="O143" s="317">
        <f t="shared" si="162"/>
        <v>0.28378988446984121</v>
      </c>
      <c r="P143" s="317">
        <f t="shared" si="162"/>
        <v>0.28969826606984128</v>
      </c>
      <c r="Q143" s="317">
        <f t="shared" si="162"/>
        <v>0.30732962703492062</v>
      </c>
      <c r="R143" s="317">
        <f t="shared" si="162"/>
        <v>0.3106120612571428</v>
      </c>
      <c r="S143" s="317">
        <f t="shared" si="162"/>
        <v>0.32167855377777776</v>
      </c>
      <c r="T143" s="317">
        <f t="shared" si="162"/>
        <v>0.33321396547301585</v>
      </c>
      <c r="U143" s="317">
        <f t="shared" si="162"/>
        <v>0.31980287707936506</v>
      </c>
      <c r="V143" s="317">
        <f t="shared" si="162"/>
        <v>0.28003853107301585</v>
      </c>
      <c r="W143" s="317">
        <f t="shared" si="162"/>
        <v>0.47735971974603175</v>
      </c>
      <c r="X143" s="317">
        <f t="shared" si="162"/>
        <v>0.65367332939682532</v>
      </c>
      <c r="Y143" s="317">
        <f t="shared" si="162"/>
        <v>0.65367332939682532</v>
      </c>
      <c r="Z143" s="317">
        <f t="shared" ref="Z143:AE143" si="163">Z142/(2205*1000000)</f>
        <v>0.65367332939682532</v>
      </c>
      <c r="AA143" s="317">
        <f t="shared" si="163"/>
        <v>0.63585440076190469</v>
      </c>
      <c r="AB143" s="317">
        <f t="shared" si="163"/>
        <v>0.63585440076190469</v>
      </c>
      <c r="AC143" s="317">
        <f t="shared" si="163"/>
        <v>0.63585440076190469</v>
      </c>
      <c r="AD143" s="317">
        <f t="shared" si="163"/>
        <v>0.26296987311746028</v>
      </c>
      <c r="AE143" s="317">
        <f t="shared" si="163"/>
        <v>0.26025014190476187</v>
      </c>
      <c r="AF143" s="317">
        <f t="shared" ref="AF143:AG143" si="164">AF142/(2205*1000000)</f>
        <v>0.26025014190476187</v>
      </c>
      <c r="AG143" s="317">
        <f t="shared" si="164"/>
        <v>0.26025014190476187</v>
      </c>
      <c r="AH143" s="317">
        <f t="shared" ref="AH143:AI143" si="165">AH142/(2205*1000000)</f>
        <v>0.26025014190476187</v>
      </c>
      <c r="AI143" s="317">
        <f t="shared" si="165"/>
        <v>0.26025014190476187</v>
      </c>
    </row>
    <row r="144" spans="1:35" ht="16.5">
      <c r="B144" s="687" t="s">
        <v>28</v>
      </c>
      <c r="C144" s="688" t="s">
        <v>844</v>
      </c>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688"/>
      <c r="AA144" s="688"/>
      <c r="AB144" s="688"/>
      <c r="AC144" s="688"/>
      <c r="AD144" s="688"/>
      <c r="AE144" s="688"/>
      <c r="AF144" s="688"/>
      <c r="AG144" s="688"/>
      <c r="AH144" s="688"/>
      <c r="AI144" s="688"/>
    </row>
    <row r="145" spans="1:35">
      <c r="B145" s="685" t="s">
        <v>521</v>
      </c>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688"/>
      <c r="AA145" s="688"/>
      <c r="AB145" s="688"/>
      <c r="AC145" s="688"/>
      <c r="AD145" s="688"/>
      <c r="AE145" s="688"/>
      <c r="AF145" s="688"/>
      <c r="AG145" s="688"/>
      <c r="AH145" s="688"/>
      <c r="AI145" s="688"/>
    </row>
    <row r="146" spans="1:35">
      <c r="B146" s="685" t="s">
        <v>522</v>
      </c>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688"/>
      <c r="AA146" s="688"/>
      <c r="AB146" s="688"/>
      <c r="AC146" s="688"/>
      <c r="AD146" s="688"/>
      <c r="AE146" s="688"/>
      <c r="AF146" s="688"/>
      <c r="AG146" s="688"/>
      <c r="AH146" s="688"/>
      <c r="AI146" s="688"/>
    </row>
    <row r="147" spans="1:35">
      <c r="B147" s="686" t="s">
        <v>523</v>
      </c>
      <c r="C147" s="353"/>
      <c r="D147" s="353"/>
      <c r="E147" s="353"/>
      <c r="F147" s="353"/>
      <c r="G147" s="353"/>
      <c r="H147" s="353"/>
      <c r="I147" s="353"/>
      <c r="J147" s="353"/>
      <c r="K147" s="353"/>
      <c r="L147" s="353"/>
      <c r="M147" s="353"/>
      <c r="N147" s="353"/>
      <c r="O147" s="353"/>
      <c r="P147" s="353"/>
      <c r="Q147" s="353"/>
      <c r="R147" s="353"/>
      <c r="S147" s="353"/>
      <c r="T147" s="353"/>
      <c r="U147" s="353"/>
      <c r="V147" s="353"/>
      <c r="W147" s="353"/>
      <c r="X147" s="353"/>
      <c r="Y147" s="353"/>
      <c r="Z147" s="688"/>
      <c r="AA147" s="688"/>
      <c r="AB147" s="688"/>
      <c r="AC147" s="688"/>
      <c r="AD147" s="688"/>
      <c r="AE147" s="688"/>
      <c r="AF147" s="688"/>
      <c r="AG147" s="688"/>
      <c r="AH147" s="688"/>
      <c r="AI147" s="688"/>
    </row>
    <row r="148" spans="1:35">
      <c r="B148" s="687" t="s">
        <v>30</v>
      </c>
      <c r="C148" s="353"/>
      <c r="D148" s="353"/>
      <c r="E148" s="353"/>
      <c r="F148" s="353"/>
      <c r="G148" s="353"/>
      <c r="H148" s="353"/>
      <c r="I148" s="353"/>
      <c r="J148" s="353"/>
      <c r="K148" s="353"/>
      <c r="L148" s="353"/>
      <c r="M148" s="353"/>
      <c r="N148" s="353"/>
      <c r="O148" s="353"/>
      <c r="P148" s="353"/>
      <c r="Q148" s="353"/>
      <c r="R148" s="353"/>
      <c r="S148" s="353"/>
      <c r="T148" s="353"/>
      <c r="U148" s="353"/>
      <c r="V148" s="353"/>
      <c r="W148" s="353"/>
      <c r="X148" s="353"/>
      <c r="Y148" s="353"/>
      <c r="Z148" s="688"/>
      <c r="AA148" s="688"/>
      <c r="AB148" s="688"/>
      <c r="AC148" s="688"/>
      <c r="AD148" s="688"/>
      <c r="AE148" s="688"/>
      <c r="AF148" s="688"/>
      <c r="AG148" s="688"/>
      <c r="AH148" s="688"/>
      <c r="AI148" s="688"/>
    </row>
    <row r="149" spans="1:35">
      <c r="B149" s="685" t="s">
        <v>524</v>
      </c>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688"/>
      <c r="AA149" s="688"/>
      <c r="AB149" s="688"/>
      <c r="AC149" s="688"/>
      <c r="AD149" s="688"/>
      <c r="AE149" s="688"/>
      <c r="AF149" s="688"/>
      <c r="AG149" s="688"/>
      <c r="AH149" s="688"/>
      <c r="AI149" s="688"/>
    </row>
    <row r="150" spans="1:35">
      <c r="B150" s="685" t="s">
        <v>522</v>
      </c>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688"/>
      <c r="AA150" s="688"/>
      <c r="AB150" s="688"/>
      <c r="AC150" s="688"/>
      <c r="AD150" s="688"/>
      <c r="AE150" s="688"/>
      <c r="AF150" s="688"/>
      <c r="AG150" s="688"/>
      <c r="AH150" s="688"/>
      <c r="AI150" s="688"/>
    </row>
    <row r="151" spans="1:35">
      <c r="B151" s="686" t="s">
        <v>525</v>
      </c>
      <c r="C151" s="353"/>
      <c r="D151" s="353"/>
      <c r="E151" s="353"/>
      <c r="F151" s="353"/>
      <c r="G151" s="353"/>
      <c r="H151" s="353"/>
      <c r="I151" s="353"/>
      <c r="J151" s="353"/>
      <c r="K151" s="353"/>
      <c r="L151" s="353"/>
      <c r="M151" s="353"/>
      <c r="N151" s="353"/>
      <c r="O151" s="353"/>
      <c r="P151" s="353"/>
      <c r="Q151" s="353"/>
      <c r="R151" s="353"/>
      <c r="S151" s="353"/>
      <c r="T151" s="353"/>
      <c r="U151" s="353"/>
      <c r="V151" s="353"/>
      <c r="W151" s="353"/>
      <c r="X151" s="353"/>
      <c r="Y151" s="353"/>
      <c r="Z151" s="688"/>
      <c r="AA151" s="688"/>
      <c r="AB151" s="688"/>
      <c r="AC151" s="688"/>
      <c r="AD151" s="688"/>
      <c r="AE151" s="688"/>
      <c r="AF151" s="688"/>
      <c r="AG151" s="688"/>
      <c r="AH151" s="688"/>
      <c r="AI151" s="688"/>
    </row>
    <row r="152" spans="1:35">
      <c r="B152" s="686" t="s">
        <v>817</v>
      </c>
      <c r="C152" s="353"/>
      <c r="D152" s="353"/>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row>
    <row r="153" spans="1:35">
      <c r="B153" s="359"/>
      <c r="C153" s="360"/>
      <c r="D153" s="360"/>
      <c r="E153" s="360"/>
      <c r="F153" s="360"/>
      <c r="G153" s="360"/>
      <c r="H153" s="360"/>
      <c r="I153" s="360"/>
      <c r="J153" s="360"/>
      <c r="K153" s="360"/>
      <c r="L153" s="360"/>
      <c r="M153" s="360"/>
      <c r="N153" s="360"/>
      <c r="O153" s="360"/>
      <c r="P153" s="360"/>
      <c r="Q153" s="360"/>
      <c r="R153" s="360"/>
      <c r="S153" s="360"/>
      <c r="T153" s="360"/>
      <c r="U153" s="360"/>
      <c r="V153" s="360"/>
      <c r="W153" s="360"/>
      <c r="X153" s="360"/>
      <c r="Y153" s="360"/>
      <c r="Z153" s="360"/>
      <c r="AA153" s="360"/>
      <c r="AB153" s="360"/>
    </row>
    <row r="154" spans="1:35">
      <c r="B154" s="378"/>
      <c r="C154" s="360"/>
      <c r="D154" s="360"/>
      <c r="E154" s="360"/>
      <c r="F154" s="360"/>
      <c r="G154" s="360"/>
      <c r="H154" s="360"/>
      <c r="I154" s="360"/>
      <c r="J154" s="360"/>
      <c r="K154" s="360"/>
      <c r="L154" s="596" t="s">
        <v>500</v>
      </c>
      <c r="M154" s="639" t="s">
        <v>845</v>
      </c>
      <c r="N154" s="360"/>
      <c r="O154" s="360"/>
      <c r="P154" s="360"/>
      <c r="Q154" s="360"/>
      <c r="R154" s="360"/>
      <c r="S154" s="360"/>
      <c r="T154" s="360"/>
      <c r="U154" s="360"/>
      <c r="V154" s="360"/>
      <c r="W154" s="360"/>
      <c r="X154" s="360"/>
      <c r="Y154" s="360"/>
    </row>
    <row r="155" spans="1:35" ht="15" thickBot="1">
      <c r="B155" s="536" t="s">
        <v>846</v>
      </c>
      <c r="C155" s="340"/>
      <c r="M155" s="639" t="s">
        <v>847</v>
      </c>
    </row>
    <row r="156" spans="1:35" ht="15" thickBot="1">
      <c r="B156" s="521" t="s">
        <v>848</v>
      </c>
      <c r="C156" s="521"/>
      <c r="D156" s="1913" t="s">
        <v>459</v>
      </c>
      <c r="E156" s="1914"/>
      <c r="F156" s="1915"/>
      <c r="G156" s="1907" t="s">
        <v>28</v>
      </c>
      <c r="H156" s="1908"/>
      <c r="I156" s="1909"/>
      <c r="J156" s="1907" t="s">
        <v>30</v>
      </c>
      <c r="K156" s="1908"/>
      <c r="L156" s="1909"/>
      <c r="M156" s="640" t="s">
        <v>849</v>
      </c>
    </row>
    <row r="157" spans="1:35" ht="78.5">
      <c r="B157" s="414" t="s">
        <v>507</v>
      </c>
      <c r="C157" s="524" t="s">
        <v>508</v>
      </c>
      <c r="D157" s="362" t="s">
        <v>509</v>
      </c>
      <c r="E157" s="316"/>
      <c r="F157" s="363" t="s">
        <v>510</v>
      </c>
      <c r="G157" s="318"/>
      <c r="H157" s="312"/>
      <c r="I157" s="319" t="s">
        <v>511</v>
      </c>
      <c r="J157" s="318"/>
      <c r="K157" s="312"/>
      <c r="L157" s="319" t="s">
        <v>512</v>
      </c>
      <c r="N157" t="s">
        <v>850</v>
      </c>
    </row>
    <row r="158" spans="1:35">
      <c r="A158" s="234"/>
      <c r="B158" s="1772" t="s">
        <v>827</v>
      </c>
      <c r="C158" s="776" t="s">
        <v>500</v>
      </c>
      <c r="D158" s="404">
        <v>105.51</v>
      </c>
      <c r="E158" s="404"/>
      <c r="F158" s="404">
        <f>D158*2.20462</f>
        <v>232.60945619999998</v>
      </c>
      <c r="G158" s="366"/>
      <c r="H158" s="777"/>
      <c r="I158" s="777">
        <v>6.280199979137982E-2</v>
      </c>
      <c r="J158" s="366"/>
      <c r="K158" s="777"/>
      <c r="L158" s="777">
        <v>8.3735999721839764E-3</v>
      </c>
      <c r="M158" s="235"/>
      <c r="N158" s="235"/>
    </row>
    <row r="159" spans="1:35">
      <c r="B159" s="1773"/>
      <c r="C159" s="767">
        <v>1990</v>
      </c>
      <c r="D159" s="768">
        <v>1991</v>
      </c>
      <c r="E159" s="768">
        <v>1992</v>
      </c>
      <c r="F159" s="768">
        <v>1993</v>
      </c>
      <c r="G159" s="768">
        <v>1994</v>
      </c>
      <c r="H159" s="768">
        <v>1995</v>
      </c>
      <c r="I159" s="768">
        <v>1996</v>
      </c>
      <c r="J159" s="768">
        <v>1997</v>
      </c>
      <c r="K159" s="768">
        <v>1998</v>
      </c>
      <c r="L159" s="768">
        <v>1999</v>
      </c>
      <c r="M159" s="767">
        <v>2000</v>
      </c>
      <c r="N159" s="767">
        <v>2001</v>
      </c>
      <c r="O159" s="330">
        <v>2002</v>
      </c>
      <c r="P159" s="330">
        <v>2003</v>
      </c>
      <c r="Q159" s="330">
        <v>2004</v>
      </c>
      <c r="R159" s="348">
        <v>2005</v>
      </c>
      <c r="S159" s="348">
        <v>2006</v>
      </c>
      <c r="T159" s="348">
        <v>2007</v>
      </c>
      <c r="U159" s="348">
        <v>2008</v>
      </c>
      <c r="V159" s="348">
        <v>2009</v>
      </c>
      <c r="W159" s="330">
        <v>2010</v>
      </c>
      <c r="X159" s="330">
        <v>2011</v>
      </c>
      <c r="Y159" s="348">
        <v>2012</v>
      </c>
      <c r="Z159" s="348">
        <v>2013</v>
      </c>
      <c r="AA159" s="348">
        <v>2014</v>
      </c>
      <c r="AB159" s="348">
        <v>2015</v>
      </c>
      <c r="AC159" s="348">
        <v>2016</v>
      </c>
      <c r="AD159" s="348">
        <v>2017</v>
      </c>
      <c r="AE159" s="348">
        <v>2018</v>
      </c>
      <c r="AF159" s="348">
        <v>2019</v>
      </c>
      <c r="AG159" s="348">
        <v>2020</v>
      </c>
      <c r="AH159" s="348">
        <v>2021</v>
      </c>
      <c r="AI159" s="348">
        <v>2022</v>
      </c>
    </row>
    <row r="160" spans="1:35" ht="79" thickBot="1">
      <c r="B160" s="316" t="s">
        <v>851</v>
      </c>
      <c r="C160" s="641">
        <v>2983.0360000000001</v>
      </c>
      <c r="D160" s="641">
        <v>2778.424</v>
      </c>
      <c r="E160" s="641">
        <v>3689</v>
      </c>
      <c r="F160" s="641">
        <v>2909.9250000000002</v>
      </c>
      <c r="G160" s="641">
        <v>3145.64</v>
      </c>
      <c r="H160" s="641">
        <v>2951.8440000000001</v>
      </c>
      <c r="I160" s="641">
        <v>3189</v>
      </c>
      <c r="J160" s="641">
        <v>3147.5</v>
      </c>
      <c r="K160" s="641">
        <v>1101.9000000000001</v>
      </c>
      <c r="L160" s="792">
        <v>503</v>
      </c>
      <c r="M160" s="792">
        <v>396</v>
      </c>
      <c r="N160" s="641">
        <v>374</v>
      </c>
      <c r="O160" s="641">
        <v>216</v>
      </c>
      <c r="P160" s="641">
        <v>208</v>
      </c>
      <c r="Q160" s="642">
        <v>206</v>
      </c>
      <c r="R160" s="332">
        <v>218</v>
      </c>
      <c r="S160" s="332">
        <v>688</v>
      </c>
      <c r="T160" s="332">
        <v>781</v>
      </c>
      <c r="U160" s="332">
        <v>770</v>
      </c>
      <c r="V160" s="332">
        <v>851</v>
      </c>
      <c r="W160" s="644" t="s">
        <v>829</v>
      </c>
      <c r="X160" s="611"/>
      <c r="Y160" s="611"/>
      <c r="Z160" s="611"/>
      <c r="AA160" s="611"/>
      <c r="AB160" s="611"/>
      <c r="AC160" s="611"/>
      <c r="AD160" s="611"/>
      <c r="AE160" s="611"/>
      <c r="AF160" s="611"/>
      <c r="AG160" s="611"/>
      <c r="AH160" s="611"/>
      <c r="AI160" s="611"/>
    </row>
    <row r="161" spans="1:35">
      <c r="B161" s="315" t="s">
        <v>516</v>
      </c>
      <c r="C161" s="770">
        <v>0.66</v>
      </c>
      <c r="D161" s="770">
        <v>0.65</v>
      </c>
      <c r="E161" s="770">
        <v>0.64</v>
      </c>
      <c r="F161" s="770">
        <v>0.64</v>
      </c>
      <c r="G161" s="770">
        <v>0.63</v>
      </c>
      <c r="H161" s="770">
        <v>0.62</v>
      </c>
      <c r="I161" s="770">
        <v>0.61</v>
      </c>
      <c r="J161" s="770">
        <v>0.6</v>
      </c>
      <c r="K161" s="770">
        <v>0.6</v>
      </c>
      <c r="L161" s="770">
        <v>0.6</v>
      </c>
      <c r="M161" s="770">
        <v>0.57999999999999996</v>
      </c>
      <c r="N161" s="778"/>
      <c r="O161" s="754"/>
      <c r="P161" s="754"/>
      <c r="Q161" s="755"/>
      <c r="R161" s="756"/>
      <c r="S161" s="756"/>
      <c r="T161" s="756"/>
      <c r="U161" s="756"/>
      <c r="V161" s="756"/>
      <c r="W161" s="752"/>
      <c r="X161" s="753"/>
      <c r="Y161" s="753"/>
      <c r="Z161" s="753"/>
      <c r="AA161" s="753"/>
      <c r="AB161" s="753"/>
      <c r="AC161" s="753"/>
      <c r="AD161" s="753"/>
      <c r="AE161" s="753"/>
      <c r="AF161" s="753"/>
      <c r="AG161" s="753"/>
      <c r="AH161" s="753"/>
      <c r="AI161" s="753"/>
    </row>
    <row r="162" spans="1:35" ht="15" thickBot="1">
      <c r="B162" s="315" t="s">
        <v>852</v>
      </c>
      <c r="C162" s="751">
        <f>C160*C161</f>
        <v>1968.8037600000002</v>
      </c>
      <c r="D162" s="751">
        <f t="shared" ref="D162:K162" si="166">D160*D161</f>
        <v>1805.9756</v>
      </c>
      <c r="E162" s="751">
        <f t="shared" si="166"/>
        <v>2360.96</v>
      </c>
      <c r="F162" s="751">
        <f t="shared" si="166"/>
        <v>1862.3520000000001</v>
      </c>
      <c r="G162" s="751">
        <f t="shared" si="166"/>
        <v>1981.7531999999999</v>
      </c>
      <c r="H162" s="751">
        <f t="shared" si="166"/>
        <v>1830.14328</v>
      </c>
      <c r="I162" s="751">
        <f t="shared" si="166"/>
        <v>1945.29</v>
      </c>
      <c r="J162" s="751">
        <f t="shared" si="166"/>
        <v>1888.5</v>
      </c>
      <c r="K162" s="751">
        <f t="shared" si="166"/>
        <v>661.14</v>
      </c>
      <c r="L162" s="751">
        <f>L160*L161</f>
        <v>301.8</v>
      </c>
      <c r="M162" s="751">
        <f>M160*M161</f>
        <v>229.67999999999998</v>
      </c>
      <c r="N162" s="757"/>
      <c r="O162" s="757"/>
      <c r="P162" s="757"/>
      <c r="Q162" s="758"/>
      <c r="R162" s="759"/>
      <c r="S162" s="759"/>
      <c r="T162" s="759"/>
      <c r="U162" s="759"/>
      <c r="V162" s="759"/>
      <c r="W162" s="752"/>
      <c r="X162" s="753"/>
      <c r="Y162" s="753"/>
      <c r="Z162" s="753"/>
      <c r="AA162" s="753"/>
      <c r="AB162" s="753"/>
      <c r="AC162" s="753"/>
      <c r="AD162" s="753"/>
      <c r="AE162" s="753"/>
      <c r="AF162" s="753"/>
      <c r="AG162" s="753"/>
      <c r="AH162" s="753"/>
      <c r="AI162" s="753"/>
    </row>
    <row r="163" spans="1:35" ht="26.5">
      <c r="B163" s="315" t="s">
        <v>815</v>
      </c>
      <c r="C163" s="366">
        <f>C162*1000*$F$158</f>
        <v>457962371.97811532</v>
      </c>
      <c r="D163" s="366">
        <f t="shared" ref="D163:K163" si="167">D162*1000*$F$158</f>
        <v>420087002.22646868</v>
      </c>
      <c r="E163" s="366">
        <f t="shared" si="167"/>
        <v>549181621.709952</v>
      </c>
      <c r="F163" s="366">
        <f t="shared" si="167"/>
        <v>433200685.97298235</v>
      </c>
      <c r="G163" s="366">
        <f t="shared" si="167"/>
        <v>460974534.17460978</v>
      </c>
      <c r="H163" s="366">
        <f t="shared" si="167"/>
        <v>425708633.12888432</v>
      </c>
      <c r="I163" s="366">
        <f t="shared" si="167"/>
        <v>452492849.05129796</v>
      </c>
      <c r="J163" s="366">
        <f t="shared" si="167"/>
        <v>439282958.03369999</v>
      </c>
      <c r="K163" s="366">
        <f t="shared" si="167"/>
        <v>153787415.87206799</v>
      </c>
      <c r="L163" s="366">
        <f>L162*1000*$F$158</f>
        <v>70201533.881159991</v>
      </c>
      <c r="M163" s="366">
        <f>M162*1000*$F$158</f>
        <v>53425739.900015987</v>
      </c>
      <c r="N163" s="366">
        <f t="shared" ref="N163:V163" si="168">N160*1000*$F$158</f>
        <v>86995936.618799999</v>
      </c>
      <c r="O163" s="366">
        <f t="shared" si="168"/>
        <v>50243642.539199993</v>
      </c>
      <c r="P163" s="366">
        <f t="shared" si="168"/>
        <v>48382766.889599994</v>
      </c>
      <c r="Q163" s="366">
        <f t="shared" si="168"/>
        <v>47917547.977199994</v>
      </c>
      <c r="R163" s="366">
        <f t="shared" si="168"/>
        <v>50708861.451599993</v>
      </c>
      <c r="S163" s="366">
        <f t="shared" si="168"/>
        <v>160035305.86559999</v>
      </c>
      <c r="T163" s="366">
        <f t="shared" si="168"/>
        <v>181667985.2922</v>
      </c>
      <c r="U163" s="366">
        <f t="shared" si="168"/>
        <v>179109281.27399999</v>
      </c>
      <c r="V163" s="643">
        <f t="shared" si="168"/>
        <v>197950647.22619998</v>
      </c>
      <c r="W163" s="1491">
        <f>43768.9</f>
        <v>43768.9</v>
      </c>
      <c r="X163" s="1491">
        <f>43294</f>
        <v>43294</v>
      </c>
      <c r="Y163" s="1491">
        <f>39021</f>
        <v>39021</v>
      </c>
      <c r="Z163" s="1491">
        <f>39180.7</f>
        <v>39180.699999999997</v>
      </c>
      <c r="AA163" s="1491">
        <v>34638.9</v>
      </c>
      <c r="AB163" s="1491">
        <v>36635.5</v>
      </c>
      <c r="AC163" s="1491">
        <v>34650.699999999997</v>
      </c>
      <c r="AD163" s="1491">
        <v>38190</v>
      </c>
      <c r="AE163" s="1491">
        <v>25251.5</v>
      </c>
      <c r="AF163" s="1492">
        <v>41408.6</v>
      </c>
      <c r="AG163" s="1492">
        <v>35476</v>
      </c>
      <c r="AH163" s="1492">
        <v>21306.2</v>
      </c>
      <c r="AI163" s="1492">
        <v>8191.5</v>
      </c>
    </row>
    <row r="164" spans="1:35" ht="15" thickBot="1">
      <c r="B164" s="449" t="s">
        <v>317</v>
      </c>
      <c r="C164" s="317">
        <f t="shared" ref="C164:V164" si="169">C163/(2205*1000000)</f>
        <v>0.2076926857043607</v>
      </c>
      <c r="D164" s="317">
        <f t="shared" si="169"/>
        <v>0.19051564726823977</v>
      </c>
      <c r="E164" s="317">
        <f t="shared" si="169"/>
        <v>0.24906195995916192</v>
      </c>
      <c r="F164" s="317">
        <f t="shared" si="169"/>
        <v>0.19646289613287182</v>
      </c>
      <c r="G164" s="317">
        <f t="shared" si="169"/>
        <v>0.20905874565741941</v>
      </c>
      <c r="H164" s="317">
        <f t="shared" si="169"/>
        <v>0.19306513974099063</v>
      </c>
      <c r="I164" s="317">
        <f t="shared" si="169"/>
        <v>0.20521217644049794</v>
      </c>
      <c r="J164" s="317">
        <f t="shared" si="169"/>
        <v>0.19922129616040815</v>
      </c>
      <c r="K164" s="317">
        <f t="shared" si="169"/>
        <v>6.9744859805926526E-2</v>
      </c>
      <c r="L164" s="317">
        <f t="shared" si="169"/>
        <v>3.183743033159183E-2</v>
      </c>
      <c r="M164" s="317">
        <f t="shared" si="169"/>
        <v>2.4229360498873465E-2</v>
      </c>
      <c r="N164" s="317">
        <f t="shared" si="169"/>
        <v>3.9453939509659863E-2</v>
      </c>
      <c r="O164" s="317">
        <f t="shared" si="169"/>
        <v>2.2786232444081629E-2</v>
      </c>
      <c r="P164" s="317">
        <f t="shared" si="169"/>
        <v>2.1942297909115643E-2</v>
      </c>
      <c r="Q164" s="317">
        <f t="shared" si="169"/>
        <v>2.1731314275374149E-2</v>
      </c>
      <c r="R164" s="317">
        <f t="shared" si="169"/>
        <v>2.2997216077823127E-2</v>
      </c>
      <c r="S164" s="317">
        <f t="shared" si="169"/>
        <v>7.257837000707483E-2</v>
      </c>
      <c r="T164" s="317">
        <f t="shared" si="169"/>
        <v>8.238910897605442E-2</v>
      </c>
      <c r="U164" s="317">
        <f t="shared" si="169"/>
        <v>8.1228698990476189E-2</v>
      </c>
      <c r="V164" s="612">
        <f t="shared" si="169"/>
        <v>8.9773536157006797E-2</v>
      </c>
      <c r="W164" s="1493">
        <f t="shared" ref="W164:AB164" si="170">W163/1000000</f>
        <v>4.3768899999999999E-2</v>
      </c>
      <c r="X164" s="1493">
        <f t="shared" si="170"/>
        <v>4.3293999999999999E-2</v>
      </c>
      <c r="Y164" s="1493">
        <f t="shared" si="170"/>
        <v>3.9021E-2</v>
      </c>
      <c r="Z164" s="1493">
        <f t="shared" si="170"/>
        <v>3.9180699999999999E-2</v>
      </c>
      <c r="AA164" s="1493">
        <f t="shared" si="170"/>
        <v>3.46389E-2</v>
      </c>
      <c r="AB164" s="1493">
        <f t="shared" si="170"/>
        <v>3.6635500000000001E-2</v>
      </c>
      <c r="AC164" s="1493">
        <f t="shared" ref="AC164:AH164" si="171">AC163/1000000</f>
        <v>3.46507E-2</v>
      </c>
      <c r="AD164" s="1493">
        <f t="shared" si="171"/>
        <v>3.8190000000000002E-2</v>
      </c>
      <c r="AE164" s="1493">
        <f t="shared" si="171"/>
        <v>2.52515E-2</v>
      </c>
      <c r="AF164" s="1493">
        <f t="shared" si="171"/>
        <v>4.1408599999999997E-2</v>
      </c>
      <c r="AG164" s="1493">
        <f t="shared" si="171"/>
        <v>3.5476000000000001E-2</v>
      </c>
      <c r="AH164" s="1493">
        <f t="shared" si="171"/>
        <v>2.1306200000000001E-2</v>
      </c>
      <c r="AI164" s="1493">
        <f t="shared" ref="AI164" si="172">AI163/1000000</f>
        <v>8.1915000000000009E-3</v>
      </c>
    </row>
    <row r="165" spans="1:35">
      <c r="B165" s="597" t="s">
        <v>28</v>
      </c>
      <c r="C165" s="598"/>
      <c r="D165" s="598"/>
      <c r="E165" s="598"/>
      <c r="F165" s="598"/>
      <c r="G165" s="598"/>
      <c r="H165" s="598"/>
      <c r="I165" s="598"/>
      <c r="J165" s="598"/>
      <c r="K165" s="598"/>
      <c r="L165" s="598"/>
      <c r="M165" s="598"/>
      <c r="N165" s="598"/>
      <c r="O165" s="598"/>
      <c r="P165" s="598"/>
      <c r="Q165" s="598"/>
      <c r="R165" s="598"/>
      <c r="S165" s="598"/>
      <c r="T165" s="598"/>
      <c r="U165" s="598"/>
      <c r="V165" s="598"/>
      <c r="W165" s="349"/>
      <c r="X165" s="349"/>
      <c r="Y165" s="349"/>
      <c r="Z165" s="349"/>
      <c r="AA165" s="349"/>
      <c r="AB165" s="349"/>
      <c r="AC165" s="349"/>
      <c r="AD165" s="349"/>
      <c r="AE165" s="349"/>
      <c r="AF165" s="349"/>
      <c r="AG165" s="349"/>
      <c r="AH165" s="349"/>
      <c r="AI165" s="349"/>
    </row>
    <row r="166" spans="1:35">
      <c r="B166" s="312" t="s">
        <v>521</v>
      </c>
      <c r="C166" s="599">
        <v>126868.14480468031</v>
      </c>
      <c r="D166" s="599">
        <f t="shared" ref="D166:L166" si="173">D162*1000*$I$158</f>
        <v>113418.87925443705</v>
      </c>
      <c r="E166" s="599">
        <f t="shared" si="173"/>
        <v>148273.0094274561</v>
      </c>
      <c r="F166" s="599">
        <f t="shared" si="173"/>
        <v>116959.42991547579</v>
      </c>
      <c r="G166" s="599">
        <f t="shared" si="173"/>
        <v>124458.06405296629</v>
      </c>
      <c r="H166" s="599">
        <f t="shared" si="173"/>
        <v>114936.65788875519</v>
      </c>
      <c r="I166" s="599">
        <f t="shared" si="173"/>
        <v>122168.10217417325</v>
      </c>
      <c r="J166" s="599">
        <f t="shared" si="173"/>
        <v>118601.5766060208</v>
      </c>
      <c r="K166" s="599">
        <f t="shared" si="173"/>
        <v>41520.914142072856</v>
      </c>
      <c r="L166" s="599">
        <f t="shared" si="173"/>
        <v>18953.643537038428</v>
      </c>
      <c r="M166" s="599">
        <f>M162*1000*$I$158</f>
        <v>14424.363312084115</v>
      </c>
      <c r="N166" s="599">
        <f t="shared" ref="N166:V166" si="174">N160*1000*$I$158</f>
        <v>23487.947921976054</v>
      </c>
      <c r="O166" s="599">
        <f t="shared" si="174"/>
        <v>13565.231954938041</v>
      </c>
      <c r="P166" s="599">
        <f t="shared" si="174"/>
        <v>13062.815956607003</v>
      </c>
      <c r="Q166" s="599">
        <f t="shared" si="174"/>
        <v>12937.211957024243</v>
      </c>
      <c r="R166" s="599">
        <f t="shared" si="174"/>
        <v>13690.8359545208</v>
      </c>
      <c r="S166" s="599">
        <f t="shared" si="174"/>
        <v>43207.775856469314</v>
      </c>
      <c r="T166" s="599">
        <f t="shared" si="174"/>
        <v>49048.361837067641</v>
      </c>
      <c r="U166" s="599">
        <f t="shared" si="174"/>
        <v>48357.539839362464</v>
      </c>
      <c r="V166" s="599">
        <f t="shared" si="174"/>
        <v>53444.501822464226</v>
      </c>
      <c r="W166" s="603"/>
      <c r="X166" s="603"/>
      <c r="Y166" s="603"/>
      <c r="Z166" s="603"/>
      <c r="AA166" s="603"/>
      <c r="AB166" s="603"/>
      <c r="AC166" s="603"/>
      <c r="AD166" s="603"/>
      <c r="AE166" s="603"/>
      <c r="AF166" s="603"/>
      <c r="AG166" s="603"/>
      <c r="AH166" s="603"/>
      <c r="AI166" s="603"/>
    </row>
    <row r="167" spans="1:35">
      <c r="B167" s="312" t="s">
        <v>522</v>
      </c>
      <c r="C167" s="600">
        <v>3171703.6201170078</v>
      </c>
      <c r="D167" s="45">
        <f t="shared" ref="D167:V167" si="175">D166*$M$3</f>
        <v>2835471.9813609263</v>
      </c>
      <c r="E167" s="45">
        <f t="shared" si="175"/>
        <v>3706825.2356864023</v>
      </c>
      <c r="F167" s="45">
        <f t="shared" si="175"/>
        <v>2923985.7478868947</v>
      </c>
      <c r="G167" s="45">
        <f t="shared" si="175"/>
        <v>3111451.6013241573</v>
      </c>
      <c r="H167" s="45">
        <f t="shared" si="175"/>
        <v>2873416.4472188796</v>
      </c>
      <c r="I167" s="45">
        <f t="shared" si="175"/>
        <v>3054202.5543543315</v>
      </c>
      <c r="J167" s="45">
        <f t="shared" si="175"/>
        <v>2965039.4151505199</v>
      </c>
      <c r="K167" s="45">
        <f t="shared" si="175"/>
        <v>1038022.8535518214</v>
      </c>
      <c r="L167" s="45">
        <f t="shared" si="175"/>
        <v>473841.08842596068</v>
      </c>
      <c r="M167" s="45">
        <f t="shared" si="175"/>
        <v>360609.0828021029</v>
      </c>
      <c r="N167" s="45">
        <f t="shared" si="175"/>
        <v>587198.6980494014</v>
      </c>
      <c r="O167" s="45">
        <f t="shared" si="175"/>
        <v>339130.79887345101</v>
      </c>
      <c r="P167" s="45">
        <f t="shared" si="175"/>
        <v>326570.39891517506</v>
      </c>
      <c r="Q167" s="45">
        <f t="shared" si="175"/>
        <v>323430.29892560607</v>
      </c>
      <c r="R167" s="45">
        <f t="shared" si="175"/>
        <v>342270.89886302</v>
      </c>
      <c r="S167" s="45">
        <f t="shared" si="175"/>
        <v>1080194.3964117328</v>
      </c>
      <c r="T167" s="45">
        <f t="shared" si="175"/>
        <v>1226209.045926691</v>
      </c>
      <c r="U167" s="45">
        <f t="shared" si="175"/>
        <v>1208938.4959840616</v>
      </c>
      <c r="V167" s="45">
        <f t="shared" si="175"/>
        <v>1336112.5455616056</v>
      </c>
      <c r="W167" s="351"/>
      <c r="X167" s="351"/>
      <c r="Y167" s="351"/>
      <c r="Z167" s="351"/>
      <c r="AA167" s="351"/>
      <c r="AB167" s="351"/>
      <c r="AC167" s="351"/>
      <c r="AD167" s="351"/>
      <c r="AE167" s="351"/>
      <c r="AF167" s="351"/>
      <c r="AG167" s="351"/>
      <c r="AH167" s="351"/>
      <c r="AI167" s="351"/>
    </row>
    <row r="168" spans="1:35">
      <c r="B168" s="636" t="s">
        <v>523</v>
      </c>
      <c r="C168" s="601">
        <v>1.4384143401891191E-3</v>
      </c>
      <c r="D168" s="326">
        <f t="shared" ref="D168:V168" si="176">D167/(2205*1000000)</f>
        <v>1.2859283362181072E-3</v>
      </c>
      <c r="E168" s="326">
        <f t="shared" si="176"/>
        <v>1.6810998801298877E-3</v>
      </c>
      <c r="F168" s="326">
        <f t="shared" si="176"/>
        <v>1.3260706339623105E-3</v>
      </c>
      <c r="G168" s="326">
        <f t="shared" si="176"/>
        <v>1.4110891615982573E-3</v>
      </c>
      <c r="H168" s="326">
        <f t="shared" si="176"/>
        <v>1.3031367107568614E-3</v>
      </c>
      <c r="I168" s="326">
        <f t="shared" si="176"/>
        <v>1.3851258749906265E-3</v>
      </c>
      <c r="J168" s="326">
        <f t="shared" si="176"/>
        <v>1.3446890771657686E-3</v>
      </c>
      <c r="K168" s="326">
        <f t="shared" si="176"/>
        <v>4.7075866374232265E-4</v>
      </c>
      <c r="L168" s="326">
        <f t="shared" si="176"/>
        <v>2.1489391765349691E-4</v>
      </c>
      <c r="M168" s="326">
        <f t="shared" si="176"/>
        <v>1.6354153415061356E-4</v>
      </c>
      <c r="N168" s="326">
        <f t="shared" si="176"/>
        <v>2.6630326442149725E-4</v>
      </c>
      <c r="O168" s="326">
        <f t="shared" si="176"/>
        <v>1.5380081581562404E-4</v>
      </c>
      <c r="P168" s="326">
        <f t="shared" si="176"/>
        <v>1.4810448930393426E-4</v>
      </c>
      <c r="Q168" s="326">
        <f t="shared" si="176"/>
        <v>1.4668040767601182E-4</v>
      </c>
      <c r="R168" s="326">
        <f t="shared" si="176"/>
        <v>1.5522489744354648E-4</v>
      </c>
      <c r="S168" s="326">
        <f t="shared" si="176"/>
        <v>4.8988408000532095E-4</v>
      </c>
      <c r="T168" s="326">
        <f t="shared" si="176"/>
        <v>5.5610387570371479E-4</v>
      </c>
      <c r="U168" s="326">
        <f t="shared" si="176"/>
        <v>5.4827142675014132E-4</v>
      </c>
      <c r="V168" s="326">
        <f t="shared" si="176"/>
        <v>6.0594673268100029E-4</v>
      </c>
      <c r="W168" s="352"/>
      <c r="X168" s="352"/>
      <c r="Y168" s="352"/>
      <c r="Z168" s="352"/>
      <c r="AA168" s="352"/>
      <c r="AB168" s="352"/>
      <c r="AC168" s="352"/>
      <c r="AD168" s="352"/>
      <c r="AE168" s="352"/>
      <c r="AF168" s="352"/>
      <c r="AG168" s="352"/>
      <c r="AH168" s="352"/>
      <c r="AI168" s="352"/>
    </row>
    <row r="169" spans="1:35">
      <c r="B169" s="597" t="s">
        <v>30</v>
      </c>
      <c r="C169" s="598"/>
      <c r="D169" s="598"/>
      <c r="E169" s="598"/>
      <c r="F169" s="598"/>
      <c r="G169" s="598"/>
      <c r="H169" s="598"/>
      <c r="I169" s="598"/>
      <c r="J169" s="598"/>
      <c r="K169" s="598"/>
      <c r="L169" s="598"/>
      <c r="M169" s="598"/>
      <c r="N169" s="598"/>
      <c r="O169" s="598"/>
      <c r="P169" s="598"/>
      <c r="Q169" s="598"/>
      <c r="R169" s="598"/>
      <c r="S169" s="598"/>
      <c r="T169" s="598"/>
      <c r="U169" s="598"/>
      <c r="V169" s="598"/>
      <c r="W169" s="349"/>
      <c r="X169" s="349"/>
      <c r="Y169" s="349"/>
      <c r="Z169" s="349"/>
      <c r="AA169" s="349"/>
      <c r="AB169" s="349"/>
      <c r="AC169" s="349"/>
      <c r="AD169" s="349"/>
      <c r="AE169" s="349"/>
      <c r="AF169" s="349"/>
      <c r="AG169" s="349"/>
      <c r="AH169" s="349"/>
      <c r="AI169" s="349"/>
    </row>
    <row r="170" spans="1:35">
      <c r="B170" s="312" t="s">
        <v>524</v>
      </c>
      <c r="C170" s="599">
        <v>16915.752640624043</v>
      </c>
      <c r="D170" s="599">
        <f t="shared" ref="D170:K170" si="177">D162*1000*$L$158</f>
        <v>15122.51723392494</v>
      </c>
      <c r="E170" s="599">
        <f t="shared" si="177"/>
        <v>19769.73459032748</v>
      </c>
      <c r="F170" s="599">
        <f t="shared" si="177"/>
        <v>15594.590655396772</v>
      </c>
      <c r="G170" s="599">
        <f t="shared" si="177"/>
        <v>16594.408540395507</v>
      </c>
      <c r="H170" s="599">
        <f t="shared" si="177"/>
        <v>15324.887718500691</v>
      </c>
      <c r="I170" s="599">
        <f t="shared" si="177"/>
        <v>16289.080289889767</v>
      </c>
      <c r="J170" s="599">
        <f t="shared" si="177"/>
        <v>15813.543547469439</v>
      </c>
      <c r="K170" s="599">
        <f t="shared" si="177"/>
        <v>5536.1218856097139</v>
      </c>
      <c r="L170" s="599">
        <f>L162*1000*$L$158</f>
        <v>2527.152471605124</v>
      </c>
      <c r="M170" s="599">
        <f>M162*1000*$L$158</f>
        <v>1923.2484416112154</v>
      </c>
      <c r="N170" s="599">
        <f t="shared" ref="N170:V170" si="178">N160*1000*$L$158</f>
        <v>3131.7263895968072</v>
      </c>
      <c r="O170" s="599">
        <f t="shared" si="178"/>
        <v>1808.6975939917388</v>
      </c>
      <c r="P170" s="599">
        <f t="shared" si="178"/>
        <v>1741.7087942142671</v>
      </c>
      <c r="Q170" s="599">
        <f t="shared" si="178"/>
        <v>1724.961594269899</v>
      </c>
      <c r="R170" s="599">
        <f t="shared" si="178"/>
        <v>1825.4447939361069</v>
      </c>
      <c r="S170" s="599">
        <f t="shared" si="178"/>
        <v>5761.0367808625761</v>
      </c>
      <c r="T170" s="599">
        <f t="shared" si="178"/>
        <v>6539.7815782756852</v>
      </c>
      <c r="U170" s="599">
        <f t="shared" si="178"/>
        <v>6447.6719785816622</v>
      </c>
      <c r="V170" s="599">
        <f t="shared" si="178"/>
        <v>7125.9335763285635</v>
      </c>
      <c r="W170" s="603"/>
      <c r="X170" s="603"/>
      <c r="Y170" s="603"/>
      <c r="Z170" s="603"/>
      <c r="AA170" s="603"/>
      <c r="AB170" s="603"/>
      <c r="AC170" s="603"/>
      <c r="AD170" s="603"/>
      <c r="AE170" s="603"/>
      <c r="AF170" s="603"/>
      <c r="AG170" s="603"/>
      <c r="AH170" s="603"/>
      <c r="AI170" s="603"/>
    </row>
    <row r="171" spans="1:35">
      <c r="B171" s="312" t="s">
        <v>522</v>
      </c>
      <c r="C171" s="600">
        <v>5040894.2869059648</v>
      </c>
      <c r="D171" s="45">
        <f t="shared" ref="D171:V171" si="179">D170*$M$4</f>
        <v>4506510.1357096322</v>
      </c>
      <c r="E171" s="45">
        <f t="shared" si="179"/>
        <v>5891380.9079175889</v>
      </c>
      <c r="F171" s="45">
        <f t="shared" si="179"/>
        <v>4647188.0153082386</v>
      </c>
      <c r="G171" s="45">
        <f t="shared" si="179"/>
        <v>4945133.7450378612</v>
      </c>
      <c r="H171" s="45">
        <f t="shared" si="179"/>
        <v>4566816.540113206</v>
      </c>
      <c r="I171" s="45">
        <f t="shared" si="179"/>
        <v>4854145.9263871508</v>
      </c>
      <c r="J171" s="45">
        <f t="shared" si="179"/>
        <v>4712435.9771458926</v>
      </c>
      <c r="K171" s="45">
        <f t="shared" si="179"/>
        <v>1649764.3219116947</v>
      </c>
      <c r="L171" s="45">
        <f t="shared" si="179"/>
        <v>753091.4365383269</v>
      </c>
      <c r="M171" s="45">
        <f t="shared" si="179"/>
        <v>573128.0356001422</v>
      </c>
      <c r="N171" s="45">
        <f t="shared" si="179"/>
        <v>933254.46409984853</v>
      </c>
      <c r="O171" s="45">
        <f t="shared" si="179"/>
        <v>538991.88300953817</v>
      </c>
      <c r="P171" s="45">
        <f t="shared" si="179"/>
        <v>519029.22067585157</v>
      </c>
      <c r="Q171" s="45">
        <f t="shared" si="179"/>
        <v>514038.55509242992</v>
      </c>
      <c r="R171" s="45">
        <f t="shared" si="179"/>
        <v>543982.54859295988</v>
      </c>
      <c r="S171" s="45">
        <f t="shared" si="179"/>
        <v>1716788.9606970476</v>
      </c>
      <c r="T171" s="45">
        <f t="shared" si="179"/>
        <v>1948854.9103261542</v>
      </c>
      <c r="U171" s="45">
        <f t="shared" si="179"/>
        <v>1921406.2496173354</v>
      </c>
      <c r="V171" s="45">
        <f t="shared" si="179"/>
        <v>2123528.2057459122</v>
      </c>
      <c r="W171" s="351"/>
      <c r="X171" s="351"/>
      <c r="Y171" s="351"/>
      <c r="Z171" s="351"/>
      <c r="AA171" s="351"/>
      <c r="AB171" s="351"/>
      <c r="AC171" s="351"/>
      <c r="AD171" s="351"/>
      <c r="AE171" s="351"/>
      <c r="AF171" s="351"/>
      <c r="AG171" s="351"/>
      <c r="AH171" s="351"/>
      <c r="AI171" s="351"/>
    </row>
    <row r="172" spans="1:35">
      <c r="B172" s="636" t="s">
        <v>525</v>
      </c>
      <c r="C172" s="602">
        <v>2.2861198580072404E-3</v>
      </c>
      <c r="D172" s="313">
        <f t="shared" ref="D172:V172" si="180">D171/(2205*1000000)</f>
        <v>2.0437687690293116E-3</v>
      </c>
      <c r="E172" s="313">
        <f t="shared" si="180"/>
        <v>2.6718280761531014E-3</v>
      </c>
      <c r="F172" s="313">
        <f t="shared" si="180"/>
        <v>2.1075682609107659E-3</v>
      </c>
      <c r="G172" s="313">
        <f t="shared" si="180"/>
        <v>2.242691040833497E-3</v>
      </c>
      <c r="H172" s="313">
        <f t="shared" si="180"/>
        <v>2.0711186122962387E-3</v>
      </c>
      <c r="I172" s="313">
        <f t="shared" si="180"/>
        <v>2.2014267239851026E-3</v>
      </c>
      <c r="J172" s="313">
        <f t="shared" si="180"/>
        <v>2.1371591733087949E-3</v>
      </c>
      <c r="K172" s="313">
        <f t="shared" si="180"/>
        <v>7.4819243624113139E-4</v>
      </c>
      <c r="L172" s="313">
        <f t="shared" si="180"/>
        <v>3.4153806645729112E-4</v>
      </c>
      <c r="M172" s="313">
        <f t="shared" si="180"/>
        <v>2.5992201161004181E-4</v>
      </c>
      <c r="N172" s="313">
        <f t="shared" si="180"/>
        <v>4.2324465492056621E-4</v>
      </c>
      <c r="O172" s="313">
        <f t="shared" si="180"/>
        <v>2.4444076326963181E-4</v>
      </c>
      <c r="P172" s="313">
        <f t="shared" si="180"/>
        <v>2.3538740166705288E-4</v>
      </c>
      <c r="Q172" s="313">
        <f t="shared" si="180"/>
        <v>2.3312406126640812E-4</v>
      </c>
      <c r="R172" s="313">
        <f t="shared" si="180"/>
        <v>2.4670410367027662E-4</v>
      </c>
      <c r="S172" s="313">
        <f t="shared" si="180"/>
        <v>7.7858909782179027E-4</v>
      </c>
      <c r="T172" s="313">
        <f t="shared" si="180"/>
        <v>8.8383442645177061E-4</v>
      </c>
      <c r="U172" s="313">
        <f t="shared" si="180"/>
        <v>8.7138605424822465E-4</v>
      </c>
      <c r="V172" s="313">
        <f t="shared" si="180"/>
        <v>9.6305134047433658E-4</v>
      </c>
      <c r="W172" s="353"/>
      <c r="X172" s="353"/>
      <c r="Y172" s="353"/>
      <c r="Z172" s="353"/>
      <c r="AA172" s="353"/>
      <c r="AB172" s="353"/>
      <c r="AC172" s="353"/>
      <c r="AD172" s="353"/>
      <c r="AE172" s="353"/>
      <c r="AF172" s="353"/>
      <c r="AG172" s="353"/>
      <c r="AH172" s="353"/>
      <c r="AI172" s="353"/>
    </row>
    <row r="173" spans="1:35">
      <c r="A173" s="581"/>
      <c r="B173" s="359"/>
      <c r="C173" s="360"/>
      <c r="D173" s="360"/>
      <c r="E173" s="360"/>
      <c r="F173" s="360"/>
      <c r="G173" s="360"/>
      <c r="H173" s="360"/>
      <c r="I173" s="360"/>
      <c r="J173" s="360"/>
      <c r="K173" s="360"/>
      <c r="L173" s="360"/>
      <c r="M173" s="360"/>
      <c r="N173" s="360"/>
      <c r="O173" s="360"/>
      <c r="P173" s="360"/>
      <c r="Q173" s="360"/>
      <c r="R173" s="360"/>
      <c r="S173" s="360"/>
      <c r="T173" s="360"/>
      <c r="U173" s="360"/>
      <c r="V173" s="360"/>
      <c r="W173" s="360"/>
      <c r="X173" s="360"/>
      <c r="Y173" s="360"/>
      <c r="Z173" s="360"/>
      <c r="AA173" s="360"/>
      <c r="AB173" s="360"/>
    </row>
    <row r="174" spans="1:35" ht="15" thickBot="1">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row>
    <row r="175" spans="1:35" ht="15" thickBot="1">
      <c r="B175" s="522" t="s">
        <v>853</v>
      </c>
      <c r="D175" s="1913" t="s">
        <v>459</v>
      </c>
      <c r="E175" s="1914"/>
      <c r="F175" s="1915"/>
      <c r="G175" s="1907" t="s">
        <v>28</v>
      </c>
      <c r="H175" s="1908"/>
      <c r="I175" s="1909"/>
      <c r="J175" s="1907" t="s">
        <v>30</v>
      </c>
      <c r="K175" s="1908"/>
      <c r="L175" s="1909"/>
      <c r="Y175" s="364"/>
    </row>
    <row r="176" spans="1:35" ht="78.5">
      <c r="B176" s="414" t="s">
        <v>804</v>
      </c>
      <c r="C176" s="328" t="s">
        <v>805</v>
      </c>
      <c r="D176" s="362" t="s">
        <v>509</v>
      </c>
      <c r="E176" s="316"/>
      <c r="F176" s="363" t="s">
        <v>510</v>
      </c>
      <c r="G176" s="362" t="s">
        <v>806</v>
      </c>
      <c r="H176" s="316"/>
      <c r="I176" s="361" t="s">
        <v>807</v>
      </c>
      <c r="J176" s="362" t="s">
        <v>808</v>
      </c>
      <c r="K176" s="316"/>
      <c r="L176" s="361" t="s">
        <v>809</v>
      </c>
      <c r="W176" s="360"/>
    </row>
    <row r="177" spans="1:35">
      <c r="A177" s="234"/>
      <c r="B177" s="343" t="s">
        <v>810</v>
      </c>
      <c r="C177" s="365" t="s">
        <v>854</v>
      </c>
      <c r="D177" s="367">
        <v>93.8</v>
      </c>
      <c r="E177" s="368"/>
      <c r="F177" s="369">
        <f>D177*2.20462</f>
        <v>206.79335599999999</v>
      </c>
      <c r="G177" s="367">
        <v>7.1999999999999998E-3</v>
      </c>
      <c r="H177" s="368"/>
      <c r="I177" s="369">
        <f>G177*2.20462</f>
        <v>1.5873263999999998E-2</v>
      </c>
      <c r="J177" s="370">
        <v>3.5999999999999999E-3</v>
      </c>
      <c r="K177" s="368"/>
      <c r="L177" s="369">
        <f>J177*2.20462</f>
        <v>7.936631999999999E-3</v>
      </c>
    </row>
    <row r="178" spans="1:35">
      <c r="B178" s="344"/>
      <c r="C178" s="330">
        <v>1990</v>
      </c>
      <c r="D178" s="330">
        <v>1991</v>
      </c>
      <c r="E178" s="330">
        <v>1992</v>
      </c>
      <c r="F178" s="330">
        <v>1993</v>
      </c>
      <c r="G178" s="330">
        <v>1994</v>
      </c>
      <c r="H178" s="330">
        <v>1995</v>
      </c>
      <c r="I178" s="330">
        <v>1996</v>
      </c>
      <c r="J178" s="330">
        <v>1997</v>
      </c>
      <c r="K178" s="330">
        <v>1998</v>
      </c>
      <c r="L178" s="330">
        <v>1999</v>
      </c>
      <c r="M178" s="330">
        <v>2000</v>
      </c>
      <c r="N178" s="330">
        <v>2001</v>
      </c>
      <c r="O178" s="330">
        <v>2002</v>
      </c>
      <c r="P178" s="330">
        <v>2003</v>
      </c>
      <c r="Q178" s="330">
        <v>2004</v>
      </c>
      <c r="R178" s="330">
        <v>2005</v>
      </c>
      <c r="S178" s="330">
        <v>2006</v>
      </c>
      <c r="T178" s="330">
        <v>2007</v>
      </c>
      <c r="U178" s="330">
        <v>2008</v>
      </c>
      <c r="V178" s="330">
        <v>2009</v>
      </c>
      <c r="W178" s="330">
        <v>2010</v>
      </c>
      <c r="X178" s="330">
        <v>2011</v>
      </c>
      <c r="Y178" s="330">
        <v>2012</v>
      </c>
      <c r="Z178" s="330">
        <v>2013</v>
      </c>
      <c r="AA178" s="330">
        <v>2014</v>
      </c>
      <c r="AB178" s="330">
        <v>2015</v>
      </c>
      <c r="AC178" s="330">
        <v>2016</v>
      </c>
      <c r="AD178" s="330">
        <v>2017</v>
      </c>
      <c r="AE178" s="330">
        <v>2018</v>
      </c>
      <c r="AF178" s="330">
        <v>2019</v>
      </c>
      <c r="AG178" s="330">
        <v>2020</v>
      </c>
      <c r="AH178" s="330">
        <v>2021</v>
      </c>
      <c r="AI178" s="330">
        <v>2022</v>
      </c>
    </row>
    <row r="179" spans="1:35">
      <c r="B179" s="346" t="s">
        <v>836</v>
      </c>
      <c r="C179" s="45">
        <v>18077</v>
      </c>
      <c r="D179" s="45">
        <v>18951</v>
      </c>
      <c r="E179" s="45">
        <v>19883</v>
      </c>
      <c r="F179" s="45">
        <v>20573</v>
      </c>
      <c r="G179" s="45">
        <v>19528</v>
      </c>
      <c r="H179" s="45">
        <v>19528</v>
      </c>
      <c r="I179" s="45">
        <v>20279</v>
      </c>
      <c r="J179" s="45">
        <v>14529</v>
      </c>
      <c r="K179" s="45">
        <v>12911</v>
      </c>
      <c r="L179" s="45">
        <v>13251</v>
      </c>
      <c r="M179" s="45">
        <v>14270</v>
      </c>
      <c r="N179" s="45">
        <v>11496</v>
      </c>
      <c r="O179" s="45">
        <v>11670</v>
      </c>
      <c r="P179" s="45">
        <v>12284</v>
      </c>
      <c r="Q179" s="45">
        <v>12591</v>
      </c>
      <c r="R179" s="45">
        <v>3578</v>
      </c>
      <c r="S179" s="45">
        <v>3173</v>
      </c>
      <c r="T179" s="45">
        <v>3507</v>
      </c>
      <c r="U179" s="45">
        <v>3924</v>
      </c>
      <c r="V179" s="45">
        <v>10204</v>
      </c>
      <c r="W179" s="45">
        <v>10944</v>
      </c>
      <c r="X179" s="45">
        <v>10615</v>
      </c>
      <c r="Y179" s="366">
        <v>8870</v>
      </c>
      <c r="Z179" s="366">
        <v>11575</v>
      </c>
      <c r="AA179" s="366">
        <v>11714</v>
      </c>
      <c r="AB179" s="366">
        <v>10521</v>
      </c>
      <c r="AC179" s="366">
        <v>8395</v>
      </c>
      <c r="AD179" s="366">
        <v>8309</v>
      </c>
      <c r="AE179" s="366">
        <v>8295</v>
      </c>
      <c r="AF179" s="366">
        <v>10161</v>
      </c>
      <c r="AG179" s="366">
        <v>6037</v>
      </c>
      <c r="AH179">
        <v>6621</v>
      </c>
      <c r="AI179">
        <v>7751</v>
      </c>
    </row>
    <row r="180" spans="1:35" ht="26.5">
      <c r="B180" s="335" t="s">
        <v>814</v>
      </c>
      <c r="C180" s="336">
        <f t="shared" ref="C180:AB180" si="181">C179*1000</f>
        <v>18077000</v>
      </c>
      <c r="D180" s="336">
        <f t="shared" si="181"/>
        <v>18951000</v>
      </c>
      <c r="E180" s="336">
        <f t="shared" si="181"/>
        <v>19883000</v>
      </c>
      <c r="F180" s="336">
        <f t="shared" si="181"/>
        <v>20573000</v>
      </c>
      <c r="G180" s="336">
        <f t="shared" si="181"/>
        <v>19528000</v>
      </c>
      <c r="H180" s="336">
        <f t="shared" si="181"/>
        <v>19528000</v>
      </c>
      <c r="I180" s="336">
        <f t="shared" si="181"/>
        <v>20279000</v>
      </c>
      <c r="J180" s="336">
        <f t="shared" si="181"/>
        <v>14529000</v>
      </c>
      <c r="K180" s="336">
        <f t="shared" si="181"/>
        <v>12911000</v>
      </c>
      <c r="L180" s="336">
        <f t="shared" si="181"/>
        <v>13251000</v>
      </c>
      <c r="M180" s="336">
        <f t="shared" si="181"/>
        <v>14270000</v>
      </c>
      <c r="N180" s="336">
        <f t="shared" si="181"/>
        <v>11496000</v>
      </c>
      <c r="O180" s="336">
        <f t="shared" si="181"/>
        <v>11670000</v>
      </c>
      <c r="P180" s="336">
        <f t="shared" si="181"/>
        <v>12284000</v>
      </c>
      <c r="Q180" s="336">
        <f t="shared" si="181"/>
        <v>12591000</v>
      </c>
      <c r="R180" s="336">
        <f t="shared" si="181"/>
        <v>3578000</v>
      </c>
      <c r="S180" s="336">
        <f t="shared" si="181"/>
        <v>3173000</v>
      </c>
      <c r="T180" s="336">
        <f t="shared" si="181"/>
        <v>3507000</v>
      </c>
      <c r="U180" s="336">
        <f t="shared" si="181"/>
        <v>3924000</v>
      </c>
      <c r="V180" s="336">
        <f t="shared" si="181"/>
        <v>10204000</v>
      </c>
      <c r="W180" s="336">
        <f t="shared" si="181"/>
        <v>10944000</v>
      </c>
      <c r="X180" s="336">
        <f t="shared" si="181"/>
        <v>10615000</v>
      </c>
      <c r="Y180" s="336">
        <f t="shared" si="181"/>
        <v>8870000</v>
      </c>
      <c r="Z180" s="336">
        <f t="shared" si="181"/>
        <v>11575000</v>
      </c>
      <c r="AA180" s="336">
        <f t="shared" si="181"/>
        <v>11714000</v>
      </c>
      <c r="AB180" s="336">
        <f t="shared" si="181"/>
        <v>10521000</v>
      </c>
      <c r="AC180" s="336">
        <f>AC179*1000</f>
        <v>8395000</v>
      </c>
      <c r="AD180" s="336">
        <f t="shared" ref="AD180:AE180" si="182">AD179*1000</f>
        <v>8309000</v>
      </c>
      <c r="AE180" s="336">
        <f t="shared" si="182"/>
        <v>8295000</v>
      </c>
      <c r="AF180" s="336">
        <f t="shared" ref="AF180:AG180" si="183">AF179*1000</f>
        <v>10161000</v>
      </c>
      <c r="AG180" s="336">
        <f t="shared" si="183"/>
        <v>6037000</v>
      </c>
      <c r="AH180" s="336">
        <f t="shared" ref="AH180:AI180" si="184">AH179*1000</f>
        <v>6621000</v>
      </c>
      <c r="AI180" s="336">
        <f t="shared" si="184"/>
        <v>7751000</v>
      </c>
    </row>
    <row r="181" spans="1:35" ht="26.5">
      <c r="B181" s="315" t="s">
        <v>815</v>
      </c>
      <c r="C181" s="323">
        <f>C180*$F$177</f>
        <v>3738203496.4119997</v>
      </c>
      <c r="D181" s="323">
        <f t="shared" ref="D181:AB181" si="185">D180*$F$177</f>
        <v>3918940889.5559998</v>
      </c>
      <c r="E181" s="323">
        <f t="shared" si="185"/>
        <v>4111672297.3479996</v>
      </c>
      <c r="F181" s="323">
        <f t="shared" si="185"/>
        <v>4254359712.9879999</v>
      </c>
      <c r="G181" s="323">
        <f t="shared" si="185"/>
        <v>4038260655.9679999</v>
      </c>
      <c r="H181" s="323">
        <f t="shared" si="185"/>
        <v>4038260655.9679999</v>
      </c>
      <c r="I181" s="323">
        <f t="shared" si="185"/>
        <v>4193562466.3239999</v>
      </c>
      <c r="J181" s="323">
        <f t="shared" si="185"/>
        <v>3004500669.3239999</v>
      </c>
      <c r="K181" s="323">
        <f t="shared" si="185"/>
        <v>2669909019.316</v>
      </c>
      <c r="L181" s="323">
        <f t="shared" si="185"/>
        <v>2740218760.3559999</v>
      </c>
      <c r="M181" s="323">
        <f t="shared" si="185"/>
        <v>2950941190.1199999</v>
      </c>
      <c r="N181" s="323">
        <f t="shared" si="185"/>
        <v>2377296420.5759997</v>
      </c>
      <c r="O181" s="323">
        <f t="shared" si="185"/>
        <v>2413278464.52</v>
      </c>
      <c r="P181" s="323">
        <f t="shared" si="185"/>
        <v>2540249585.1040001</v>
      </c>
      <c r="Q181" s="323">
        <f t="shared" si="185"/>
        <v>2603735145.3959999</v>
      </c>
      <c r="R181" s="323">
        <f t="shared" si="185"/>
        <v>739906627.76800001</v>
      </c>
      <c r="S181" s="323">
        <f t="shared" si="185"/>
        <v>656155318.58799994</v>
      </c>
      <c r="T181" s="323">
        <f t="shared" si="185"/>
        <v>725224299.49199998</v>
      </c>
      <c r="U181" s="323">
        <f t="shared" si="185"/>
        <v>811457128.94400001</v>
      </c>
      <c r="V181" s="323">
        <f t="shared" si="185"/>
        <v>2110119404.6239998</v>
      </c>
      <c r="W181" s="323">
        <f t="shared" si="185"/>
        <v>2263146488.0639997</v>
      </c>
      <c r="X181" s="323">
        <f t="shared" si="185"/>
        <v>2195111473.9400001</v>
      </c>
      <c r="Y181" s="323">
        <f t="shared" si="185"/>
        <v>1834257067.7199998</v>
      </c>
      <c r="Z181" s="323">
        <f t="shared" si="185"/>
        <v>2393633095.6999998</v>
      </c>
      <c r="AA181" s="323">
        <f t="shared" si="185"/>
        <v>2422377372.184</v>
      </c>
      <c r="AB181" s="323">
        <f t="shared" si="185"/>
        <v>2175672898.4759998</v>
      </c>
      <c r="AC181" s="323">
        <f>AC180*$F$177</f>
        <v>1736030223.6199999</v>
      </c>
      <c r="AD181" s="323">
        <f t="shared" ref="AD181:AE181" si="186">AD180*$F$177</f>
        <v>1718245995.0039999</v>
      </c>
      <c r="AE181" s="323">
        <f t="shared" si="186"/>
        <v>1715350888.02</v>
      </c>
      <c r="AF181" s="323">
        <f t="shared" ref="AF181:AG181" si="187">AF180*$F$177</f>
        <v>2101227290.316</v>
      </c>
      <c r="AG181" s="323">
        <f t="shared" si="187"/>
        <v>1248411490.1719999</v>
      </c>
      <c r="AH181" s="323">
        <f t="shared" ref="AH181:AI181" si="188">AH180*$F$177</f>
        <v>1369178810.076</v>
      </c>
      <c r="AI181" s="323">
        <f t="shared" si="188"/>
        <v>1602855302.3559999</v>
      </c>
    </row>
    <row r="182" spans="1:35">
      <c r="B182" s="449" t="s">
        <v>317</v>
      </c>
      <c r="C182" s="317">
        <f t="shared" ref="C182:Y182" si="189">C181/(2205*1000000)</f>
        <v>1.6953303838603173</v>
      </c>
      <c r="D182" s="317">
        <f t="shared" si="189"/>
        <v>1.7772974555809522</v>
      </c>
      <c r="E182" s="317">
        <f t="shared" si="189"/>
        <v>1.8647039897269839</v>
      </c>
      <c r="F182" s="317">
        <f t="shared" si="189"/>
        <v>1.9294148358222223</v>
      </c>
      <c r="G182" s="317">
        <f t="shared" si="189"/>
        <v>1.8314107283301586</v>
      </c>
      <c r="H182" s="317">
        <f t="shared" si="189"/>
        <v>1.8314107283301586</v>
      </c>
      <c r="I182" s="317">
        <f t="shared" si="189"/>
        <v>1.9018423883555555</v>
      </c>
      <c r="J182" s="317">
        <f t="shared" si="189"/>
        <v>1.3625853375619048</v>
      </c>
      <c r="K182" s="317">
        <f t="shared" si="189"/>
        <v>1.2108430926603175</v>
      </c>
      <c r="L182" s="317">
        <f t="shared" si="189"/>
        <v>1.2427295965333334</v>
      </c>
      <c r="M182" s="317">
        <f t="shared" si="189"/>
        <v>1.3382953243174602</v>
      </c>
      <c r="N182" s="317">
        <f t="shared" si="189"/>
        <v>1.0781389662476188</v>
      </c>
      <c r="O182" s="317">
        <f t="shared" si="189"/>
        <v>1.0944573535238096</v>
      </c>
      <c r="P182" s="317">
        <f t="shared" si="189"/>
        <v>1.1520406281650795</v>
      </c>
      <c r="Q182" s="317">
        <f t="shared" si="189"/>
        <v>1.1808322654857142</v>
      </c>
      <c r="R182" s="317">
        <f t="shared" si="189"/>
        <v>0.33555856134603174</v>
      </c>
      <c r="S182" s="317">
        <f t="shared" si="189"/>
        <v>0.29757610820317459</v>
      </c>
      <c r="T182" s="317">
        <f t="shared" si="189"/>
        <v>0.32889990906666666</v>
      </c>
      <c r="U182" s="317">
        <f t="shared" si="189"/>
        <v>0.36800776822857145</v>
      </c>
      <c r="V182" s="317">
        <f t="shared" si="189"/>
        <v>0.95697025153015869</v>
      </c>
      <c r="W182" s="317">
        <f t="shared" si="189"/>
        <v>1.0263702893714284</v>
      </c>
      <c r="X182" s="317">
        <f t="shared" si="189"/>
        <v>0.99551540768253965</v>
      </c>
      <c r="Y182" s="317">
        <f t="shared" si="189"/>
        <v>0.8318626157460316</v>
      </c>
      <c r="Z182" s="317">
        <f t="shared" ref="Z182:AE182" si="190">Z181/(2205*1000000)</f>
        <v>1.085547889206349</v>
      </c>
      <c r="AA182" s="317">
        <f t="shared" si="190"/>
        <v>1.0985838422603176</v>
      </c>
      <c r="AB182" s="317">
        <f t="shared" si="190"/>
        <v>0.98669972719999988</v>
      </c>
      <c r="AC182" s="317">
        <f t="shared" si="190"/>
        <v>0.78731529415873014</v>
      </c>
      <c r="AD182" s="317">
        <f t="shared" si="190"/>
        <v>0.77924988435555553</v>
      </c>
      <c r="AE182" s="317">
        <f t="shared" si="190"/>
        <v>0.7779369106666667</v>
      </c>
      <c r="AF182" s="317">
        <f t="shared" ref="AF182:AG182" si="191">AF181/(2205*1000000)</f>
        <v>0.95293754662857144</v>
      </c>
      <c r="AG182" s="317">
        <f t="shared" si="191"/>
        <v>0.56617301141587295</v>
      </c>
      <c r="AH182" s="317">
        <f t="shared" ref="AH182:AI182" si="192">AH181/(2205*1000000)</f>
        <v>0.62094277100952378</v>
      </c>
      <c r="AI182" s="317">
        <f t="shared" si="192"/>
        <v>0.7269185044698413</v>
      </c>
    </row>
    <row r="183" spans="1:35" ht="16.5">
      <c r="B183" s="687" t="s">
        <v>28</v>
      </c>
      <c r="C183" s="691" t="s">
        <v>855</v>
      </c>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688"/>
      <c r="AA183" s="688"/>
      <c r="AB183" s="688"/>
      <c r="AC183" s="688"/>
      <c r="AD183" s="688"/>
      <c r="AE183" s="688"/>
      <c r="AF183" s="688"/>
      <c r="AG183" s="688"/>
      <c r="AH183" s="688"/>
      <c r="AI183" s="688"/>
    </row>
    <row r="184" spans="1:35">
      <c r="B184" s="685" t="s">
        <v>521</v>
      </c>
      <c r="C184" s="692"/>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688"/>
      <c r="AA184" s="688"/>
      <c r="AB184" s="688"/>
      <c r="AC184" s="688"/>
      <c r="AD184" s="688"/>
      <c r="AE184" s="688"/>
      <c r="AF184" s="688"/>
      <c r="AG184" s="1562"/>
      <c r="AH184" s="1562"/>
      <c r="AI184" s="1562"/>
    </row>
    <row r="185" spans="1:35">
      <c r="B185" s="685" t="s">
        <v>522</v>
      </c>
      <c r="C185" s="693"/>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1563"/>
      <c r="AH185" s="1563"/>
      <c r="AI185" s="1563"/>
    </row>
    <row r="186" spans="1:35">
      <c r="B186" s="686" t="s">
        <v>523</v>
      </c>
      <c r="C186" s="694"/>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688"/>
      <c r="AA186" s="688"/>
      <c r="AB186" s="688"/>
      <c r="AC186" s="688"/>
      <c r="AD186" s="688"/>
      <c r="AE186" s="688"/>
      <c r="AF186" s="688"/>
      <c r="AG186" s="688"/>
      <c r="AH186" s="688"/>
      <c r="AI186" s="688"/>
    </row>
    <row r="187" spans="1:35">
      <c r="B187" s="687" t="s">
        <v>30</v>
      </c>
      <c r="C187" s="349"/>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688"/>
      <c r="AA187" s="688"/>
      <c r="AB187" s="688"/>
      <c r="AC187" s="688"/>
      <c r="AD187" s="688"/>
      <c r="AE187" s="688"/>
      <c r="AF187" s="688"/>
      <c r="AG187" s="688"/>
      <c r="AH187" s="688"/>
      <c r="AI187" s="688"/>
    </row>
    <row r="188" spans="1:35">
      <c r="B188" s="685" t="s">
        <v>524</v>
      </c>
      <c r="C188" s="692"/>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688"/>
      <c r="AA188" s="688"/>
      <c r="AB188" s="688"/>
      <c r="AC188" s="688"/>
      <c r="AD188" s="688"/>
      <c r="AE188" s="688"/>
      <c r="AF188" s="688"/>
      <c r="AG188" s="688"/>
      <c r="AH188" s="688"/>
      <c r="AI188" s="688"/>
    </row>
    <row r="189" spans="1:35">
      <c r="B189" s="685" t="s">
        <v>522</v>
      </c>
      <c r="C189" s="693"/>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688"/>
      <c r="AA189" s="688"/>
      <c r="AB189" s="688"/>
      <c r="AC189" s="688"/>
      <c r="AD189" s="688"/>
      <c r="AE189" s="688"/>
      <c r="AF189" s="688"/>
      <c r="AG189" s="688"/>
      <c r="AH189" s="688"/>
      <c r="AI189" s="688"/>
    </row>
    <row r="190" spans="1:35">
      <c r="B190" s="686" t="s">
        <v>525</v>
      </c>
      <c r="C190" s="349"/>
      <c r="D190" s="353"/>
      <c r="E190" s="353"/>
      <c r="F190" s="353"/>
      <c r="G190" s="353"/>
      <c r="H190" s="353"/>
      <c r="I190" s="353"/>
      <c r="J190" s="353"/>
      <c r="K190" s="353"/>
      <c r="L190" s="353"/>
      <c r="M190" s="353"/>
      <c r="N190" s="353"/>
      <c r="O190" s="353"/>
      <c r="P190" s="353"/>
      <c r="Q190" s="353"/>
      <c r="R190" s="353"/>
      <c r="S190" s="353"/>
      <c r="T190" s="353"/>
      <c r="U190" s="353"/>
      <c r="V190" s="353"/>
      <c r="W190" s="353"/>
      <c r="X190" s="353"/>
      <c r="Y190" s="353"/>
      <c r="Z190" s="688"/>
      <c r="AA190" s="688"/>
      <c r="AB190" s="688"/>
      <c r="AC190" s="688"/>
      <c r="AD190" s="688"/>
      <c r="AE190" s="688"/>
      <c r="AF190" s="688"/>
      <c r="AG190" s="688"/>
      <c r="AH190" s="688"/>
      <c r="AI190" s="688"/>
    </row>
    <row r="191" spans="1:35">
      <c r="B191" s="686" t="s">
        <v>817</v>
      </c>
      <c r="C191" s="349"/>
      <c r="D191" s="353"/>
      <c r="E191" s="353"/>
      <c r="F191" s="353"/>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row>
    <row r="192" spans="1:35">
      <c r="B192" s="885"/>
      <c r="C192" s="360"/>
      <c r="D192" s="360"/>
      <c r="E192" s="360"/>
      <c r="F192" s="360"/>
      <c r="G192" s="360"/>
      <c r="H192" s="360"/>
      <c r="I192" s="360"/>
      <c r="J192" s="360"/>
      <c r="K192" s="360"/>
      <c r="L192" s="360"/>
      <c r="M192" s="360"/>
      <c r="N192" s="360"/>
      <c r="O192" s="360"/>
      <c r="P192" s="360"/>
      <c r="Q192" s="360"/>
      <c r="R192" s="360"/>
      <c r="S192" s="360"/>
      <c r="T192" s="360"/>
      <c r="U192" s="360"/>
      <c r="V192" s="360"/>
      <c r="W192" s="360"/>
      <c r="X192" s="360"/>
      <c r="Y192" s="360"/>
      <c r="Z192" s="360"/>
      <c r="AA192" s="360"/>
      <c r="AB192" s="360"/>
      <c r="AC192" s="360"/>
      <c r="AD192" s="360"/>
      <c r="AE192" s="360"/>
    </row>
    <row r="193" spans="1:35" ht="15" thickBot="1">
      <c r="B193" s="885"/>
      <c r="C193" s="1285" t="s">
        <v>856</v>
      </c>
      <c r="D193" s="360"/>
      <c r="E193" s="360"/>
      <c r="F193" s="360"/>
      <c r="G193" s="360"/>
      <c r="H193" s="360"/>
      <c r="I193" s="360"/>
      <c r="J193" s="360"/>
      <c r="K193" s="360"/>
      <c r="L193" s="360"/>
      <c r="M193" s="360"/>
      <c r="N193" s="360"/>
      <c r="O193" s="360"/>
      <c r="P193" s="360"/>
      <c r="Q193" s="360"/>
      <c r="R193" s="360"/>
      <c r="S193" s="360"/>
      <c r="T193" s="360"/>
      <c r="U193" s="360"/>
      <c r="V193" s="360"/>
      <c r="W193" s="360"/>
      <c r="X193" s="360"/>
      <c r="Y193" s="360"/>
      <c r="Z193" s="360"/>
      <c r="AA193" s="360"/>
      <c r="AB193" s="360"/>
      <c r="AC193" s="360"/>
      <c r="AD193" s="360"/>
      <c r="AE193" s="360"/>
    </row>
    <row r="194" spans="1:35" ht="15" thickBot="1">
      <c r="A194" s="888"/>
      <c r="B194" s="522" t="s">
        <v>853</v>
      </c>
      <c r="C194" s="1283"/>
      <c r="D194" s="1907" t="s">
        <v>459</v>
      </c>
      <c r="E194" s="1908"/>
      <c r="F194" s="1909"/>
      <c r="G194" s="1910" t="s">
        <v>28</v>
      </c>
      <c r="H194" s="1908"/>
      <c r="I194" s="1909"/>
      <c r="J194" s="1907" t="s">
        <v>30</v>
      </c>
      <c r="K194" s="1908"/>
      <c r="L194" s="1909"/>
    </row>
    <row r="195" spans="1:35" ht="78.5">
      <c r="A195" s="889"/>
      <c r="B195" s="414" t="s">
        <v>507</v>
      </c>
      <c r="C195" s="338" t="s">
        <v>838</v>
      </c>
      <c r="D195" s="362" t="s">
        <v>509</v>
      </c>
      <c r="E195" s="316"/>
      <c r="F195" s="363" t="s">
        <v>510</v>
      </c>
      <c r="G195" s="362" t="s">
        <v>806</v>
      </c>
      <c r="H195" s="316"/>
      <c r="I195" s="361" t="s">
        <v>807</v>
      </c>
      <c r="J195" s="362" t="s">
        <v>808</v>
      </c>
      <c r="K195" s="316"/>
      <c r="L195" s="361" t="s">
        <v>809</v>
      </c>
      <c r="N195" s="886"/>
      <c r="O195" s="1503"/>
      <c r="P195" s="1503"/>
      <c r="Q195" s="1503"/>
    </row>
    <row r="196" spans="1:35" ht="15" thickBot="1">
      <c r="A196" s="234"/>
      <c r="B196" s="343" t="s">
        <v>857</v>
      </c>
      <c r="C196" s="342" t="s">
        <v>858</v>
      </c>
      <c r="D196" s="862">
        <v>73.84</v>
      </c>
      <c r="E196" s="320"/>
      <c r="F196" s="863">
        <f>D196*2.20462</f>
        <v>162.78914079999998</v>
      </c>
      <c r="G196" s="864">
        <v>1.1000000000000001E-3</v>
      </c>
      <c r="H196" s="865"/>
      <c r="I196" s="863">
        <f>G196*2.20462</f>
        <v>2.4250819999999998E-3</v>
      </c>
      <c r="J196" s="866">
        <v>1.1E-4</v>
      </c>
      <c r="K196" s="865"/>
      <c r="L196" s="863">
        <f>J196*2.20462</f>
        <v>2.4250819999999999E-4</v>
      </c>
      <c r="AB196" s="620"/>
    </row>
    <row r="197" spans="1:35">
      <c r="A197" s="886"/>
      <c r="B197" s="344"/>
      <c r="C197" s="329">
        <v>1990</v>
      </c>
      <c r="D197" s="329">
        <v>1991</v>
      </c>
      <c r="E197" s="329">
        <v>1992</v>
      </c>
      <c r="F197" s="329">
        <v>1993</v>
      </c>
      <c r="G197" s="329">
        <v>1994</v>
      </c>
      <c r="H197" s="329">
        <v>1995</v>
      </c>
      <c r="I197" s="329">
        <v>1996</v>
      </c>
      <c r="J197" s="329">
        <v>1997</v>
      </c>
      <c r="K197" s="329">
        <v>1998</v>
      </c>
      <c r="L197" s="329">
        <v>1999</v>
      </c>
      <c r="M197" s="330">
        <v>2000</v>
      </c>
      <c r="N197" s="330">
        <v>2001</v>
      </c>
      <c r="O197" s="330">
        <v>2002</v>
      </c>
      <c r="P197" s="330">
        <v>2003</v>
      </c>
      <c r="Q197" s="330">
        <v>2004</v>
      </c>
      <c r="R197" s="330">
        <v>2005</v>
      </c>
      <c r="S197" s="330">
        <v>2006</v>
      </c>
      <c r="T197" s="330">
        <v>2007</v>
      </c>
      <c r="U197" s="330">
        <v>2008</v>
      </c>
      <c r="V197" s="330">
        <v>2009</v>
      </c>
      <c r="W197" s="330">
        <v>2010</v>
      </c>
      <c r="X197" s="330">
        <v>2011</v>
      </c>
      <c r="Y197" s="330">
        <v>2012</v>
      </c>
      <c r="Z197" s="330">
        <v>2013</v>
      </c>
      <c r="AA197" s="330">
        <v>2014</v>
      </c>
      <c r="AB197" s="330">
        <v>2015</v>
      </c>
      <c r="AC197" s="330">
        <v>2016</v>
      </c>
      <c r="AD197" s="330">
        <v>2017</v>
      </c>
      <c r="AE197" s="330">
        <v>2018</v>
      </c>
      <c r="AF197" s="330">
        <v>2019</v>
      </c>
      <c r="AG197" s="330">
        <v>2020</v>
      </c>
      <c r="AH197" s="330">
        <v>2021</v>
      </c>
      <c r="AI197" s="330">
        <v>2022</v>
      </c>
    </row>
    <row r="198" spans="1:35" ht="15.5">
      <c r="A198" s="886"/>
      <c r="B198" s="346" t="s">
        <v>859</v>
      </c>
      <c r="C198" s="27">
        <v>0</v>
      </c>
      <c r="D198" s="27">
        <v>0</v>
      </c>
      <c r="E198" s="27">
        <v>0</v>
      </c>
      <c r="F198" s="27">
        <v>0</v>
      </c>
      <c r="G198" s="27">
        <v>0</v>
      </c>
      <c r="H198" s="27">
        <v>0</v>
      </c>
      <c r="I198" s="27">
        <v>0</v>
      </c>
      <c r="J198" s="27">
        <v>0</v>
      </c>
      <c r="K198" s="27">
        <v>0</v>
      </c>
      <c r="L198" s="27">
        <v>0</v>
      </c>
      <c r="M198" s="27">
        <v>0</v>
      </c>
      <c r="N198" s="27">
        <v>3</v>
      </c>
      <c r="O198" s="27">
        <v>5</v>
      </c>
      <c r="P198" s="27">
        <v>4</v>
      </c>
      <c r="Q198" s="27">
        <v>8</v>
      </c>
      <c r="R198" s="27">
        <v>27</v>
      </c>
      <c r="S198" s="27">
        <v>77</v>
      </c>
      <c r="T198" s="27">
        <v>104.5</v>
      </c>
      <c r="U198" s="27">
        <v>89.5</v>
      </c>
      <c r="V198" s="27">
        <v>95</v>
      </c>
      <c r="W198" s="27">
        <v>76.5</v>
      </c>
      <c r="X198" s="27">
        <v>261.5</v>
      </c>
      <c r="Y198" s="27">
        <v>194.5</v>
      </c>
      <c r="Z198" s="27">
        <v>1076</v>
      </c>
      <c r="AA198" s="27">
        <v>947.5</v>
      </c>
      <c r="AB198">
        <v>1124.5</v>
      </c>
      <c r="AC198">
        <v>1688</v>
      </c>
      <c r="AD198">
        <v>1826</v>
      </c>
      <c r="AE198">
        <v>1010.5</v>
      </c>
      <c r="AF198" s="1282">
        <v>791.5</v>
      </c>
      <c r="AG198">
        <v>814</v>
      </c>
      <c r="AH198">
        <v>687.5</v>
      </c>
      <c r="AI198" s="27">
        <v>568.5</v>
      </c>
    </row>
    <row r="199" spans="1:35" ht="26.5">
      <c r="A199" s="890"/>
      <c r="B199" s="335" t="s">
        <v>814</v>
      </c>
      <c r="C199" s="336">
        <f>C198*1000</f>
        <v>0</v>
      </c>
      <c r="D199" s="336">
        <f t="shared" ref="D199:AG199" si="193">D198*1000</f>
        <v>0</v>
      </c>
      <c r="E199" s="336">
        <f t="shared" si="193"/>
        <v>0</v>
      </c>
      <c r="F199" s="336">
        <f t="shared" si="193"/>
        <v>0</v>
      </c>
      <c r="G199" s="336">
        <f t="shared" si="193"/>
        <v>0</v>
      </c>
      <c r="H199" s="336">
        <f t="shared" si="193"/>
        <v>0</v>
      </c>
      <c r="I199" s="336">
        <f t="shared" si="193"/>
        <v>0</v>
      </c>
      <c r="J199" s="336">
        <f t="shared" si="193"/>
        <v>0</v>
      </c>
      <c r="K199" s="336">
        <f t="shared" si="193"/>
        <v>0</v>
      </c>
      <c r="L199" s="336">
        <f t="shared" si="193"/>
        <v>0</v>
      </c>
      <c r="M199" s="336">
        <f t="shared" si="193"/>
        <v>0</v>
      </c>
      <c r="N199" s="336">
        <f t="shared" si="193"/>
        <v>3000</v>
      </c>
      <c r="O199" s="336">
        <f t="shared" si="193"/>
        <v>5000</v>
      </c>
      <c r="P199" s="336">
        <f t="shared" si="193"/>
        <v>4000</v>
      </c>
      <c r="Q199" s="336">
        <f t="shared" si="193"/>
        <v>8000</v>
      </c>
      <c r="R199" s="336">
        <f t="shared" si="193"/>
        <v>27000</v>
      </c>
      <c r="S199" s="336">
        <f t="shared" si="193"/>
        <v>77000</v>
      </c>
      <c r="T199" s="336">
        <f t="shared" si="193"/>
        <v>104500</v>
      </c>
      <c r="U199" s="336">
        <f t="shared" si="193"/>
        <v>89500</v>
      </c>
      <c r="V199" s="336">
        <f t="shared" si="193"/>
        <v>95000</v>
      </c>
      <c r="W199" s="336">
        <f t="shared" si="193"/>
        <v>76500</v>
      </c>
      <c r="X199" s="336">
        <f t="shared" si="193"/>
        <v>261500</v>
      </c>
      <c r="Y199" s="336">
        <f t="shared" si="193"/>
        <v>194500</v>
      </c>
      <c r="Z199" s="336">
        <f t="shared" si="193"/>
        <v>1076000</v>
      </c>
      <c r="AA199" s="336">
        <f t="shared" si="193"/>
        <v>947500</v>
      </c>
      <c r="AB199" s="336">
        <f t="shared" si="193"/>
        <v>1124500</v>
      </c>
      <c r="AC199" s="336">
        <f t="shared" si="193"/>
        <v>1688000</v>
      </c>
      <c r="AD199" s="336">
        <f t="shared" si="193"/>
        <v>1826000</v>
      </c>
      <c r="AE199" s="336">
        <f t="shared" si="193"/>
        <v>1010500</v>
      </c>
      <c r="AF199" s="336">
        <f t="shared" si="193"/>
        <v>791500</v>
      </c>
      <c r="AG199" s="336">
        <f t="shared" si="193"/>
        <v>814000</v>
      </c>
      <c r="AH199" s="336">
        <f>AH198*1000</f>
        <v>687500</v>
      </c>
      <c r="AI199" s="336">
        <f>AI198*1000</f>
        <v>568500</v>
      </c>
    </row>
    <row r="200" spans="1:35" ht="26.5">
      <c r="A200" s="886"/>
      <c r="B200" s="315" t="s">
        <v>815</v>
      </c>
      <c r="C200" s="45">
        <f t="shared" ref="C200:AB200" si="194">C199*$F196</f>
        <v>0</v>
      </c>
      <c r="D200" s="45">
        <f t="shared" si="194"/>
        <v>0</v>
      </c>
      <c r="E200" s="45">
        <f t="shared" si="194"/>
        <v>0</v>
      </c>
      <c r="F200" s="45">
        <f t="shared" si="194"/>
        <v>0</v>
      </c>
      <c r="G200" s="45">
        <f t="shared" si="194"/>
        <v>0</v>
      </c>
      <c r="H200" s="45">
        <f t="shared" si="194"/>
        <v>0</v>
      </c>
      <c r="I200" s="45">
        <f t="shared" si="194"/>
        <v>0</v>
      </c>
      <c r="J200" s="45">
        <f t="shared" si="194"/>
        <v>0</v>
      </c>
      <c r="K200" s="45">
        <f t="shared" si="194"/>
        <v>0</v>
      </c>
      <c r="L200" s="45">
        <f t="shared" si="194"/>
        <v>0</v>
      </c>
      <c r="M200" s="45">
        <f t="shared" si="194"/>
        <v>0</v>
      </c>
      <c r="N200" s="45">
        <f t="shared" si="194"/>
        <v>488367.42239999998</v>
      </c>
      <c r="O200" s="45">
        <f t="shared" si="194"/>
        <v>813945.70399999991</v>
      </c>
      <c r="P200" s="45">
        <f t="shared" si="194"/>
        <v>651156.56319999998</v>
      </c>
      <c r="Q200" s="45">
        <f t="shared" si="194"/>
        <v>1302313.1264</v>
      </c>
      <c r="R200" s="45">
        <f t="shared" si="194"/>
        <v>4395306.8015999999</v>
      </c>
      <c r="S200" s="45">
        <f t="shared" si="194"/>
        <v>12534763.841599999</v>
      </c>
      <c r="T200" s="45">
        <f t="shared" si="194"/>
        <v>17011465.213599999</v>
      </c>
      <c r="U200" s="45">
        <f t="shared" si="194"/>
        <v>14569628.101599999</v>
      </c>
      <c r="V200" s="45">
        <f t="shared" si="194"/>
        <v>15464968.375999998</v>
      </c>
      <c r="W200" s="45">
        <f t="shared" si="194"/>
        <v>12453369.271199999</v>
      </c>
      <c r="X200" s="45">
        <f t="shared" si="194"/>
        <v>42569360.319199994</v>
      </c>
      <c r="Y200" s="45">
        <f t="shared" si="194"/>
        <v>31662487.885599997</v>
      </c>
      <c r="Z200" s="45">
        <f t="shared" si="194"/>
        <v>175161115.50079998</v>
      </c>
      <c r="AA200" s="45">
        <f t="shared" si="194"/>
        <v>154242710.90799999</v>
      </c>
      <c r="AB200" s="45">
        <f t="shared" si="194"/>
        <v>183056388.82959998</v>
      </c>
      <c r="AC200" s="45">
        <f t="shared" ref="AC200:AH200" si="195">AC199*$F196</f>
        <v>274788069.67039996</v>
      </c>
      <c r="AD200" s="45">
        <f t="shared" si="195"/>
        <v>297252971.10079998</v>
      </c>
      <c r="AE200" s="45">
        <f t="shared" si="195"/>
        <v>164498426.77839997</v>
      </c>
      <c r="AF200" s="45">
        <f t="shared" si="195"/>
        <v>128847604.94319999</v>
      </c>
      <c r="AG200" s="45">
        <f t="shared" si="195"/>
        <v>132510360.61119999</v>
      </c>
      <c r="AH200" s="45">
        <f t="shared" si="195"/>
        <v>111917534.29999998</v>
      </c>
      <c r="AI200" s="45">
        <f t="shared" ref="AI200" si="196">AI199*$F196</f>
        <v>92545626.544799998</v>
      </c>
    </row>
    <row r="201" spans="1:35">
      <c r="A201" s="886"/>
      <c r="B201" s="449" t="s">
        <v>317</v>
      </c>
      <c r="C201" s="317">
        <f t="shared" ref="C201:AB201" si="197">C200/(2205*1000000)</f>
        <v>0</v>
      </c>
      <c r="D201" s="317">
        <f t="shared" si="197"/>
        <v>0</v>
      </c>
      <c r="E201" s="317">
        <f t="shared" si="197"/>
        <v>0</v>
      </c>
      <c r="F201" s="317">
        <f t="shared" si="197"/>
        <v>0</v>
      </c>
      <c r="G201" s="317">
        <f t="shared" si="197"/>
        <v>0</v>
      </c>
      <c r="H201" s="317">
        <f t="shared" si="197"/>
        <v>0</v>
      </c>
      <c r="I201" s="317">
        <f t="shared" si="197"/>
        <v>0</v>
      </c>
      <c r="J201" s="317">
        <f t="shared" si="197"/>
        <v>0</v>
      </c>
      <c r="K201" s="317">
        <f t="shared" si="197"/>
        <v>0</v>
      </c>
      <c r="L201" s="317">
        <f t="shared" si="197"/>
        <v>0</v>
      </c>
      <c r="M201" s="317">
        <f t="shared" si="197"/>
        <v>0</v>
      </c>
      <c r="N201" s="317">
        <f t="shared" si="197"/>
        <v>2.2148182421768706E-4</v>
      </c>
      <c r="O201" s="317">
        <f t="shared" si="197"/>
        <v>3.691363736961451E-4</v>
      </c>
      <c r="P201" s="317">
        <f t="shared" si="197"/>
        <v>2.9530909895691607E-4</v>
      </c>
      <c r="Q201" s="317">
        <f t="shared" si="197"/>
        <v>5.9061819791383214E-4</v>
      </c>
      <c r="R201" s="317">
        <f t="shared" si="197"/>
        <v>1.9933364179591838E-3</v>
      </c>
      <c r="S201" s="317">
        <f t="shared" si="197"/>
        <v>5.6847001549206345E-3</v>
      </c>
      <c r="T201" s="317">
        <f t="shared" si="197"/>
        <v>7.7149502102494324E-3</v>
      </c>
      <c r="U201" s="317">
        <f t="shared" si="197"/>
        <v>6.6075410891609969E-3</v>
      </c>
      <c r="V201" s="317">
        <f t="shared" si="197"/>
        <v>7.013591100226757E-3</v>
      </c>
      <c r="W201" s="317">
        <f t="shared" si="197"/>
        <v>5.6477865175510204E-3</v>
      </c>
      <c r="X201" s="317">
        <f t="shared" si="197"/>
        <v>1.9305832344308386E-2</v>
      </c>
      <c r="Y201" s="317">
        <f t="shared" si="197"/>
        <v>1.4359404936780043E-2</v>
      </c>
      <c r="Z201" s="317">
        <f t="shared" si="197"/>
        <v>7.9438147619410426E-2</v>
      </c>
      <c r="AA201" s="317">
        <f t="shared" si="197"/>
        <v>6.9951342815419496E-2</v>
      </c>
      <c r="AB201" s="317">
        <f t="shared" si="197"/>
        <v>8.3018770444263035E-2</v>
      </c>
      <c r="AC201" s="317">
        <f t="shared" ref="AC201:AH201" si="198">AC200/(2205*1000000)</f>
        <v>0.12462043975981858</v>
      </c>
      <c r="AD201" s="317">
        <f t="shared" si="198"/>
        <v>0.13480860367383218</v>
      </c>
      <c r="AE201" s="317">
        <f t="shared" si="198"/>
        <v>7.4602461123990924E-2</v>
      </c>
      <c r="AF201" s="317">
        <f t="shared" si="198"/>
        <v>5.843428795609977E-2</v>
      </c>
      <c r="AG201" s="317">
        <f t="shared" si="198"/>
        <v>6.0095401637732422E-2</v>
      </c>
      <c r="AH201" s="317">
        <f t="shared" si="198"/>
        <v>5.0756251383219944E-2</v>
      </c>
      <c r="AI201" s="317">
        <f t="shared" ref="AI201" si="199">AI200/(2205*1000000)</f>
        <v>4.1970805689251697E-2</v>
      </c>
    </row>
    <row r="202" spans="1:35">
      <c r="B202" s="867" t="s">
        <v>28</v>
      </c>
      <c r="C202" s="325"/>
      <c r="D202" s="325"/>
      <c r="E202" s="325"/>
      <c r="F202" s="325"/>
      <c r="G202" s="325"/>
      <c r="H202" s="325"/>
      <c r="I202" s="325"/>
      <c r="J202" s="325"/>
      <c r="K202" s="325"/>
      <c r="L202" s="325"/>
      <c r="M202" s="325"/>
      <c r="N202" s="325"/>
      <c r="O202" s="325"/>
      <c r="P202" s="325"/>
      <c r="Q202" s="325"/>
      <c r="R202" s="325"/>
      <c r="S202" s="325"/>
      <c r="T202" s="325"/>
      <c r="U202" s="325"/>
      <c r="V202" s="325"/>
      <c r="W202" s="325"/>
      <c r="X202" s="325"/>
      <c r="Y202" s="325"/>
      <c r="Z202" s="325"/>
      <c r="AA202" s="325"/>
      <c r="AB202" s="325"/>
      <c r="AC202" s="325"/>
      <c r="AD202" s="325"/>
      <c r="AE202" s="325"/>
      <c r="AF202" s="325"/>
      <c r="AG202" s="325"/>
      <c r="AH202" s="325"/>
      <c r="AI202" s="325"/>
    </row>
    <row r="203" spans="1:35">
      <c r="A203" s="886"/>
      <c r="B203" s="868" t="s">
        <v>521</v>
      </c>
      <c r="C203" s="323">
        <f t="shared" ref="C203:AE203" si="200">C199*$I$234</f>
        <v>0</v>
      </c>
      <c r="D203" s="323">
        <f t="shared" si="200"/>
        <v>0</v>
      </c>
      <c r="E203" s="323">
        <f t="shared" si="200"/>
        <v>0</v>
      </c>
      <c r="F203" s="323">
        <f t="shared" si="200"/>
        <v>0</v>
      </c>
      <c r="G203" s="323">
        <f t="shared" si="200"/>
        <v>0</v>
      </c>
      <c r="H203" s="323">
        <f t="shared" si="200"/>
        <v>0</v>
      </c>
      <c r="I203" s="323">
        <f t="shared" si="200"/>
        <v>0</v>
      </c>
      <c r="J203" s="323">
        <f t="shared" si="200"/>
        <v>0</v>
      </c>
      <c r="K203" s="323">
        <f t="shared" si="200"/>
        <v>0</v>
      </c>
      <c r="L203" s="323">
        <f t="shared" si="200"/>
        <v>0</v>
      </c>
      <c r="M203" s="323">
        <f t="shared" si="200"/>
        <v>0</v>
      </c>
      <c r="N203" s="323">
        <f t="shared" si="200"/>
        <v>7.2752459999999992</v>
      </c>
      <c r="O203" s="323">
        <f t="shared" si="200"/>
        <v>12.125409999999999</v>
      </c>
      <c r="P203" s="323">
        <f t="shared" si="200"/>
        <v>9.700327999999999</v>
      </c>
      <c r="Q203" s="323">
        <f t="shared" si="200"/>
        <v>19.400655999999998</v>
      </c>
      <c r="R203" s="323">
        <f t="shared" si="200"/>
        <v>65.477213999999989</v>
      </c>
      <c r="S203" s="323">
        <f t="shared" si="200"/>
        <v>186.731314</v>
      </c>
      <c r="T203" s="323">
        <f t="shared" si="200"/>
        <v>253.42106899999999</v>
      </c>
      <c r="U203" s="323">
        <f t="shared" si="200"/>
        <v>217.044839</v>
      </c>
      <c r="V203" s="323">
        <f t="shared" si="200"/>
        <v>230.38278999999997</v>
      </c>
      <c r="W203" s="323">
        <f t="shared" si="200"/>
        <v>185.51877299999998</v>
      </c>
      <c r="X203" s="323">
        <f t="shared" si="200"/>
        <v>634.15894299999991</v>
      </c>
      <c r="Y203" s="323">
        <f t="shared" si="200"/>
        <v>471.67844899999994</v>
      </c>
      <c r="Z203" s="323">
        <f t="shared" si="200"/>
        <v>2609.3882319999998</v>
      </c>
      <c r="AA203" s="323">
        <f t="shared" si="200"/>
        <v>2297.7651949999999</v>
      </c>
      <c r="AB203" s="323">
        <f t="shared" si="200"/>
        <v>2727.0047089999998</v>
      </c>
      <c r="AC203" s="323">
        <f t="shared" si="200"/>
        <v>4093.5384159999999</v>
      </c>
      <c r="AD203" s="323">
        <f t="shared" si="200"/>
        <v>4428.199732</v>
      </c>
      <c r="AE203" s="323">
        <f t="shared" si="200"/>
        <v>2450.545361</v>
      </c>
      <c r="AF203" s="323">
        <f t="shared" ref="AF203:AG203" si="201">AF199*$I$234</f>
        <v>1919.4524029999998</v>
      </c>
      <c r="AG203" s="323">
        <f t="shared" si="201"/>
        <v>1974.0167479999998</v>
      </c>
      <c r="AH203" s="323">
        <f t="shared" ref="AH203:AI203" si="202">AH199*$I$234</f>
        <v>1667.2438749999999</v>
      </c>
      <c r="AI203" s="323">
        <f t="shared" si="202"/>
        <v>1378.6591169999999</v>
      </c>
    </row>
    <row r="204" spans="1:35">
      <c r="A204" s="886"/>
      <c r="B204" s="868" t="s">
        <v>522</v>
      </c>
      <c r="C204" s="45">
        <f t="shared" ref="C204:AD204" si="203">C203*$M$3</f>
        <v>0</v>
      </c>
      <c r="D204" s="45">
        <f t="shared" si="203"/>
        <v>0</v>
      </c>
      <c r="E204" s="45">
        <f t="shared" si="203"/>
        <v>0</v>
      </c>
      <c r="F204" s="45">
        <f t="shared" si="203"/>
        <v>0</v>
      </c>
      <c r="G204" s="45">
        <f t="shared" si="203"/>
        <v>0</v>
      </c>
      <c r="H204" s="45">
        <f t="shared" si="203"/>
        <v>0</v>
      </c>
      <c r="I204" s="45">
        <f t="shared" si="203"/>
        <v>0</v>
      </c>
      <c r="J204" s="45">
        <f t="shared" si="203"/>
        <v>0</v>
      </c>
      <c r="K204" s="45">
        <f t="shared" si="203"/>
        <v>0</v>
      </c>
      <c r="L204" s="45">
        <f t="shared" si="203"/>
        <v>0</v>
      </c>
      <c r="M204" s="45">
        <f t="shared" si="203"/>
        <v>0</v>
      </c>
      <c r="N204" s="45">
        <f t="shared" si="203"/>
        <v>181.88114999999999</v>
      </c>
      <c r="O204" s="45">
        <f t="shared" si="203"/>
        <v>303.13524999999998</v>
      </c>
      <c r="P204" s="45">
        <f t="shared" si="203"/>
        <v>242.50819999999999</v>
      </c>
      <c r="Q204" s="45">
        <f t="shared" si="203"/>
        <v>485.01639999999998</v>
      </c>
      <c r="R204" s="45">
        <f t="shared" si="203"/>
        <v>1636.9303499999996</v>
      </c>
      <c r="S204" s="45">
        <f t="shared" si="203"/>
        <v>4668.2828499999996</v>
      </c>
      <c r="T204" s="45">
        <f t="shared" si="203"/>
        <v>6335.5267249999997</v>
      </c>
      <c r="U204" s="45">
        <f t="shared" si="203"/>
        <v>5426.1209749999998</v>
      </c>
      <c r="V204" s="45">
        <f t="shared" si="203"/>
        <v>5759.5697499999997</v>
      </c>
      <c r="W204" s="45">
        <f t="shared" si="203"/>
        <v>4637.9693249999991</v>
      </c>
      <c r="X204" s="45">
        <f t="shared" si="203"/>
        <v>15853.973574999998</v>
      </c>
      <c r="Y204" s="45">
        <f t="shared" si="203"/>
        <v>11791.961224999999</v>
      </c>
      <c r="Z204" s="45">
        <f t="shared" si="203"/>
        <v>65234.705799999996</v>
      </c>
      <c r="AA204" s="45">
        <f t="shared" si="203"/>
        <v>57444.129874999999</v>
      </c>
      <c r="AB204" s="45">
        <f t="shared" si="203"/>
        <v>68175.117724999989</v>
      </c>
      <c r="AC204" s="45">
        <f t="shared" si="203"/>
        <v>102338.4604</v>
      </c>
      <c r="AD204" s="45">
        <f t="shared" si="203"/>
        <v>110704.9933</v>
      </c>
      <c r="AE204" s="45">
        <f>AE203*$M$3</f>
        <v>61263.634024999999</v>
      </c>
      <c r="AF204" s="45">
        <f>AF203*$M$3</f>
        <v>47986.310074999994</v>
      </c>
      <c r="AG204" s="45">
        <f>AG203*$M$3</f>
        <v>49350.418699999995</v>
      </c>
      <c r="AH204" s="45">
        <f>AH203*$M$3</f>
        <v>41681.096874999996</v>
      </c>
      <c r="AI204" s="45">
        <f>AI203*$M$3</f>
        <v>34466.477924999999</v>
      </c>
    </row>
    <row r="205" spans="1:35">
      <c r="A205" s="886"/>
      <c r="B205" s="869" t="s">
        <v>523</v>
      </c>
      <c r="C205" s="326">
        <f t="shared" ref="C205:AE205" si="204">C204/(2205*1000000)</f>
        <v>0</v>
      </c>
      <c r="D205" s="326">
        <f t="shared" si="204"/>
        <v>0</v>
      </c>
      <c r="E205" s="326">
        <f t="shared" si="204"/>
        <v>0</v>
      </c>
      <c r="F205" s="326">
        <f t="shared" si="204"/>
        <v>0</v>
      </c>
      <c r="G205" s="326">
        <f t="shared" si="204"/>
        <v>0</v>
      </c>
      <c r="H205" s="326">
        <f t="shared" si="204"/>
        <v>0</v>
      </c>
      <c r="I205" s="326">
        <f t="shared" si="204"/>
        <v>0</v>
      </c>
      <c r="J205" s="326">
        <f t="shared" si="204"/>
        <v>0</v>
      </c>
      <c r="K205" s="326">
        <f t="shared" si="204"/>
        <v>0</v>
      </c>
      <c r="L205" s="326">
        <f t="shared" si="204"/>
        <v>0</v>
      </c>
      <c r="M205" s="326">
        <f t="shared" si="204"/>
        <v>0</v>
      </c>
      <c r="N205" s="326">
        <f t="shared" si="204"/>
        <v>8.248578231292517E-8</v>
      </c>
      <c r="O205" s="326">
        <f t="shared" si="204"/>
        <v>1.3747630385487527E-7</v>
      </c>
      <c r="P205" s="326">
        <f t="shared" si="204"/>
        <v>1.0998104308390022E-7</v>
      </c>
      <c r="Q205" s="326">
        <f t="shared" si="204"/>
        <v>2.1996208616780045E-7</v>
      </c>
      <c r="R205" s="326">
        <f t="shared" si="204"/>
        <v>7.423720408163264E-7</v>
      </c>
      <c r="S205" s="326">
        <f t="shared" si="204"/>
        <v>2.1171350793650791E-6</v>
      </c>
      <c r="T205" s="326">
        <f t="shared" si="204"/>
        <v>2.8732547505668934E-6</v>
      </c>
      <c r="U205" s="326">
        <f t="shared" si="204"/>
        <v>2.4608258390022675E-6</v>
      </c>
      <c r="V205" s="326">
        <f t="shared" si="204"/>
        <v>2.6120497732426302E-6</v>
      </c>
      <c r="W205" s="326">
        <f t="shared" si="204"/>
        <v>2.1033874489795913E-6</v>
      </c>
      <c r="X205" s="326">
        <f t="shared" si="204"/>
        <v>7.1900106916099761E-6</v>
      </c>
      <c r="Y205" s="326">
        <f t="shared" si="204"/>
        <v>5.3478282199546483E-6</v>
      </c>
      <c r="Z205" s="326">
        <f t="shared" si="204"/>
        <v>2.958490058956916E-5</v>
      </c>
      <c r="AA205" s="326">
        <f t="shared" si="204"/>
        <v>2.6051759580498866E-5</v>
      </c>
      <c r="AB205" s="326">
        <f t="shared" si="204"/>
        <v>3.0918420736961449E-5</v>
      </c>
      <c r="AC205" s="326">
        <f t="shared" si="204"/>
        <v>4.6412000181405891E-5</v>
      </c>
      <c r="AD205" s="326">
        <f t="shared" si="204"/>
        <v>5.0206346167800452E-5</v>
      </c>
      <c r="AE205" s="326">
        <f t="shared" si="204"/>
        <v>2.7783961009070293E-5</v>
      </c>
      <c r="AF205" s="326">
        <f t="shared" ref="AF205:AG205" si="205">AF204/(2205*1000000)</f>
        <v>2.1762498900226754E-5</v>
      </c>
      <c r="AG205" s="326">
        <f t="shared" si="205"/>
        <v>2.2381142267573693E-5</v>
      </c>
      <c r="AH205" s="326">
        <f t="shared" ref="AH205:AI205" si="206">AH204/(2205*1000000)</f>
        <v>1.8902991780045351E-5</v>
      </c>
      <c r="AI205" s="326">
        <f t="shared" si="206"/>
        <v>1.5631055748299318E-5</v>
      </c>
    </row>
    <row r="206" spans="1:35">
      <c r="A206" s="886"/>
      <c r="B206" s="867" t="s">
        <v>30</v>
      </c>
      <c r="C206" s="325"/>
      <c r="D206" s="325"/>
      <c r="E206" s="325"/>
      <c r="F206" s="325"/>
      <c r="G206" s="325"/>
      <c r="H206" s="325"/>
      <c r="I206" s="325"/>
      <c r="J206" s="325"/>
      <c r="K206" s="325"/>
      <c r="L206" s="325"/>
      <c r="M206" s="325"/>
      <c r="N206" s="325"/>
      <c r="O206" s="325"/>
      <c r="P206" s="325"/>
      <c r="Q206" s="325"/>
      <c r="R206" s="325"/>
      <c r="S206" s="325"/>
      <c r="T206" s="325"/>
      <c r="U206" s="325"/>
      <c r="V206" s="325"/>
      <c r="W206" s="325"/>
      <c r="X206" s="325"/>
      <c r="Y206" s="325"/>
      <c r="Z206" s="325"/>
      <c r="AA206" s="325"/>
      <c r="AB206" s="325"/>
      <c r="AC206" s="325"/>
      <c r="AD206" s="325"/>
      <c r="AE206" s="325"/>
      <c r="AF206" s="325"/>
      <c r="AG206" s="325"/>
      <c r="AH206" s="325"/>
      <c r="AI206" s="325"/>
    </row>
    <row r="207" spans="1:35">
      <c r="A207" s="886"/>
      <c r="B207" s="868" t="s">
        <v>524</v>
      </c>
      <c r="C207" s="323">
        <f t="shared" ref="C207:AE207" si="207">C199*$L$234</f>
        <v>0</v>
      </c>
      <c r="D207" s="323">
        <f t="shared" si="207"/>
        <v>0</v>
      </c>
      <c r="E207" s="323">
        <f t="shared" si="207"/>
        <v>0</v>
      </c>
      <c r="F207" s="323">
        <f t="shared" si="207"/>
        <v>0</v>
      </c>
      <c r="G207" s="323">
        <f t="shared" si="207"/>
        <v>0</v>
      </c>
      <c r="H207" s="323">
        <f t="shared" si="207"/>
        <v>0</v>
      </c>
      <c r="I207" s="323">
        <f t="shared" si="207"/>
        <v>0</v>
      </c>
      <c r="J207" s="323">
        <f t="shared" si="207"/>
        <v>0</v>
      </c>
      <c r="K207" s="323">
        <f t="shared" si="207"/>
        <v>0</v>
      </c>
      <c r="L207" s="323">
        <f t="shared" si="207"/>
        <v>0</v>
      </c>
      <c r="M207" s="323">
        <f t="shared" si="207"/>
        <v>0</v>
      </c>
      <c r="N207" s="323">
        <f t="shared" si="207"/>
        <v>0.72752459999999997</v>
      </c>
      <c r="O207" s="323">
        <f t="shared" si="207"/>
        <v>1.2125409999999999</v>
      </c>
      <c r="P207" s="323">
        <f t="shared" si="207"/>
        <v>0.97003279999999992</v>
      </c>
      <c r="Q207" s="323">
        <f t="shared" si="207"/>
        <v>1.9400655999999998</v>
      </c>
      <c r="R207" s="323">
        <f t="shared" si="207"/>
        <v>6.5477213999999995</v>
      </c>
      <c r="S207" s="323">
        <f t="shared" si="207"/>
        <v>18.673131399999999</v>
      </c>
      <c r="T207" s="323">
        <f t="shared" si="207"/>
        <v>25.342106899999997</v>
      </c>
      <c r="U207" s="323">
        <f t="shared" si="207"/>
        <v>21.7044839</v>
      </c>
      <c r="V207" s="323">
        <f t="shared" si="207"/>
        <v>23.038278999999999</v>
      </c>
      <c r="W207" s="323">
        <f t="shared" si="207"/>
        <v>18.551877299999997</v>
      </c>
      <c r="X207" s="323">
        <f t="shared" si="207"/>
        <v>63.415894299999998</v>
      </c>
      <c r="Y207" s="323">
        <f t="shared" si="207"/>
        <v>47.167844899999999</v>
      </c>
      <c r="Z207" s="323">
        <f t="shared" si="207"/>
        <v>260.9388232</v>
      </c>
      <c r="AA207" s="323">
        <f t="shared" si="207"/>
        <v>229.77651949999998</v>
      </c>
      <c r="AB207" s="323">
        <f t="shared" si="207"/>
        <v>272.70047089999997</v>
      </c>
      <c r="AC207" s="323">
        <f t="shared" si="207"/>
        <v>409.35384160000001</v>
      </c>
      <c r="AD207" s="323">
        <f t="shared" si="207"/>
        <v>442.81997319999999</v>
      </c>
      <c r="AE207" s="323">
        <f t="shared" si="207"/>
        <v>245.05453609999998</v>
      </c>
      <c r="AF207" s="323">
        <f t="shared" ref="AF207:AG207" si="208">AF199*$L$234</f>
        <v>191.94524029999999</v>
      </c>
      <c r="AG207" s="323">
        <f t="shared" si="208"/>
        <v>197.4016748</v>
      </c>
      <c r="AH207" s="323">
        <f t="shared" ref="AH207:AI207" si="209">AH199*$L$234</f>
        <v>166.72438750000001</v>
      </c>
      <c r="AI207" s="323">
        <f t="shared" si="209"/>
        <v>137.8659117</v>
      </c>
    </row>
    <row r="208" spans="1:35">
      <c r="A208" s="886"/>
      <c r="B208" s="868" t="s">
        <v>522</v>
      </c>
      <c r="C208" s="45">
        <f t="shared" ref="C208:AD208" si="210">C207*$M$4</f>
        <v>0</v>
      </c>
      <c r="D208" s="45">
        <f t="shared" si="210"/>
        <v>0</v>
      </c>
      <c r="E208" s="45">
        <f t="shared" si="210"/>
        <v>0</v>
      </c>
      <c r="F208" s="45">
        <f t="shared" si="210"/>
        <v>0</v>
      </c>
      <c r="G208" s="45">
        <f t="shared" si="210"/>
        <v>0</v>
      </c>
      <c r="H208" s="45">
        <f t="shared" si="210"/>
        <v>0</v>
      </c>
      <c r="I208" s="45">
        <f t="shared" si="210"/>
        <v>0</v>
      </c>
      <c r="J208" s="45">
        <f t="shared" si="210"/>
        <v>0</v>
      </c>
      <c r="K208" s="45">
        <f t="shared" si="210"/>
        <v>0</v>
      </c>
      <c r="L208" s="45">
        <f t="shared" si="210"/>
        <v>0</v>
      </c>
      <c r="M208" s="45">
        <f t="shared" si="210"/>
        <v>0</v>
      </c>
      <c r="N208" s="45">
        <f t="shared" si="210"/>
        <v>216.80233079999999</v>
      </c>
      <c r="O208" s="45">
        <f t="shared" si="210"/>
        <v>361.33721799999995</v>
      </c>
      <c r="P208" s="45">
        <f t="shared" si="210"/>
        <v>289.06977439999997</v>
      </c>
      <c r="Q208" s="45">
        <f t="shared" si="210"/>
        <v>578.13954879999994</v>
      </c>
      <c r="R208" s="45">
        <f t="shared" si="210"/>
        <v>1951.2209771999999</v>
      </c>
      <c r="S208" s="45">
        <f t="shared" si="210"/>
        <v>5564.5931572</v>
      </c>
      <c r="T208" s="45">
        <f t="shared" si="210"/>
        <v>7551.9478561999995</v>
      </c>
      <c r="U208" s="45">
        <f t="shared" si="210"/>
        <v>6467.9362021999996</v>
      </c>
      <c r="V208" s="45">
        <f t="shared" si="210"/>
        <v>6865.407142</v>
      </c>
      <c r="W208" s="45">
        <f t="shared" si="210"/>
        <v>5528.4594353999992</v>
      </c>
      <c r="X208" s="45">
        <f t="shared" si="210"/>
        <v>18897.9365014</v>
      </c>
      <c r="Y208" s="45">
        <f t="shared" si="210"/>
        <v>14056.0177802</v>
      </c>
      <c r="Z208" s="45">
        <f t="shared" si="210"/>
        <v>77759.769313600002</v>
      </c>
      <c r="AA208" s="45">
        <f t="shared" si="210"/>
        <v>68473.402810999993</v>
      </c>
      <c r="AB208" s="45">
        <f t="shared" si="210"/>
        <v>81264.740328199987</v>
      </c>
      <c r="AC208" s="45">
        <f t="shared" si="210"/>
        <v>121987.4447968</v>
      </c>
      <c r="AD208" s="45">
        <f t="shared" si="210"/>
        <v>131960.3520136</v>
      </c>
      <c r="AE208" s="45">
        <f>AE207*$M$4</f>
        <v>73026.251757799997</v>
      </c>
      <c r="AF208" s="45">
        <f>AF207*$M$4</f>
        <v>57199.681609399995</v>
      </c>
      <c r="AG208" s="45">
        <f>AG207*$M$4</f>
        <v>58825.699090399998</v>
      </c>
      <c r="AH208" s="45">
        <f>AH207*$M$4</f>
        <v>49683.867474999999</v>
      </c>
      <c r="AI208" s="45">
        <f>AI207*$M$4</f>
        <v>41084.041686600001</v>
      </c>
    </row>
    <row r="209" spans="1:35">
      <c r="A209" s="886"/>
      <c r="B209" s="869" t="s">
        <v>525</v>
      </c>
      <c r="C209" s="313">
        <f t="shared" ref="C209:AE209" si="211">C208/(2205*1000000)</f>
        <v>0</v>
      </c>
      <c r="D209" s="313">
        <f t="shared" si="211"/>
        <v>0</v>
      </c>
      <c r="E209" s="313">
        <f t="shared" si="211"/>
        <v>0</v>
      </c>
      <c r="F209" s="313">
        <f t="shared" si="211"/>
        <v>0</v>
      </c>
      <c r="G209" s="313">
        <f t="shared" si="211"/>
        <v>0</v>
      </c>
      <c r="H209" s="313">
        <f t="shared" si="211"/>
        <v>0</v>
      </c>
      <c r="I209" s="313">
        <f t="shared" si="211"/>
        <v>0</v>
      </c>
      <c r="J209" s="313">
        <f t="shared" si="211"/>
        <v>0</v>
      </c>
      <c r="K209" s="313">
        <f t="shared" si="211"/>
        <v>0</v>
      </c>
      <c r="L209" s="313">
        <f t="shared" si="211"/>
        <v>0</v>
      </c>
      <c r="M209" s="313">
        <f t="shared" si="211"/>
        <v>0</v>
      </c>
      <c r="N209" s="313">
        <f t="shared" si="211"/>
        <v>9.8323052517006799E-8</v>
      </c>
      <c r="O209" s="313">
        <f t="shared" si="211"/>
        <v>1.6387175419501132E-7</v>
      </c>
      <c r="P209" s="313">
        <f t="shared" si="211"/>
        <v>1.3109740335600906E-7</v>
      </c>
      <c r="Q209" s="313">
        <f t="shared" si="211"/>
        <v>2.6219480671201813E-7</v>
      </c>
      <c r="R209" s="313">
        <f t="shared" si="211"/>
        <v>8.8490747265306112E-7</v>
      </c>
      <c r="S209" s="313">
        <f t="shared" si="211"/>
        <v>2.5236250146031745E-6</v>
      </c>
      <c r="T209" s="313">
        <f t="shared" si="211"/>
        <v>3.4249196626757366E-6</v>
      </c>
      <c r="U209" s="313">
        <f t="shared" si="211"/>
        <v>2.9333044000907026E-6</v>
      </c>
      <c r="V209" s="313">
        <f t="shared" si="211"/>
        <v>3.1135633297052155E-6</v>
      </c>
      <c r="W209" s="313">
        <f t="shared" si="211"/>
        <v>2.5072378391836732E-6</v>
      </c>
      <c r="X209" s="313">
        <f t="shared" si="211"/>
        <v>8.5704927443990934E-6</v>
      </c>
      <c r="Y209" s="313">
        <f t="shared" si="211"/>
        <v>6.3746112381859409E-6</v>
      </c>
      <c r="Z209" s="313">
        <f t="shared" si="211"/>
        <v>3.526520150276644E-5</v>
      </c>
      <c r="AA209" s="313">
        <f t="shared" si="211"/>
        <v>3.1053697419954648E-5</v>
      </c>
      <c r="AB209" s="313">
        <f t="shared" si="211"/>
        <v>3.6854757518458046E-5</v>
      </c>
      <c r="AC209" s="313">
        <f t="shared" si="211"/>
        <v>5.5323104216235826E-5</v>
      </c>
      <c r="AD209" s="313">
        <f t="shared" si="211"/>
        <v>5.9845964632018144E-5</v>
      </c>
      <c r="AE209" s="313">
        <f t="shared" si="211"/>
        <v>3.3118481522811787E-5</v>
      </c>
      <c r="AF209" s="313">
        <f t="shared" ref="AF209:AG209" si="212">AF208/(2205*1000000)</f>
        <v>2.5940898689070293E-5</v>
      </c>
      <c r="AG209" s="313">
        <f t="shared" si="212"/>
        <v>2.6678321582947843E-5</v>
      </c>
      <c r="AH209" s="313">
        <f t="shared" ref="AH209:AI209" si="213">AH208/(2205*1000000)</f>
        <v>2.2532366201814058E-5</v>
      </c>
      <c r="AI209" s="313">
        <f t="shared" si="213"/>
        <v>1.863221845197279E-5</v>
      </c>
    </row>
    <row r="210" spans="1:35">
      <c r="A210" s="886"/>
      <c r="B210" s="869" t="s">
        <v>817</v>
      </c>
      <c r="C210" s="313">
        <f t="shared" ref="C210:AD210" si="214">C205+C209</f>
        <v>0</v>
      </c>
      <c r="D210" s="313">
        <f t="shared" si="214"/>
        <v>0</v>
      </c>
      <c r="E210" s="313">
        <f t="shared" si="214"/>
        <v>0</v>
      </c>
      <c r="F210" s="313">
        <f t="shared" si="214"/>
        <v>0</v>
      </c>
      <c r="G210" s="313">
        <f t="shared" si="214"/>
        <v>0</v>
      </c>
      <c r="H210" s="313">
        <f t="shared" si="214"/>
        <v>0</v>
      </c>
      <c r="I210" s="313">
        <f t="shared" si="214"/>
        <v>0</v>
      </c>
      <c r="J210" s="313">
        <f t="shared" si="214"/>
        <v>0</v>
      </c>
      <c r="K210" s="313">
        <f t="shared" si="214"/>
        <v>0</v>
      </c>
      <c r="L210" s="313">
        <f t="shared" si="214"/>
        <v>0</v>
      </c>
      <c r="M210" s="313">
        <f t="shared" si="214"/>
        <v>0</v>
      </c>
      <c r="N210" s="313">
        <f t="shared" si="214"/>
        <v>1.8080883482993198E-7</v>
      </c>
      <c r="O210" s="313">
        <f t="shared" si="214"/>
        <v>3.0134805804988657E-7</v>
      </c>
      <c r="P210" s="313">
        <f t="shared" si="214"/>
        <v>2.4107844643990927E-7</v>
      </c>
      <c r="Q210" s="313">
        <f t="shared" si="214"/>
        <v>4.8215689287981855E-7</v>
      </c>
      <c r="R210" s="313">
        <f t="shared" si="214"/>
        <v>1.6272795134693875E-6</v>
      </c>
      <c r="S210" s="313">
        <f t="shared" si="214"/>
        <v>4.6407600939682532E-6</v>
      </c>
      <c r="T210" s="313">
        <f t="shared" si="214"/>
        <v>6.2981744132426304E-6</v>
      </c>
      <c r="U210" s="313">
        <f t="shared" si="214"/>
        <v>5.3941302390929702E-6</v>
      </c>
      <c r="V210" s="313">
        <f t="shared" si="214"/>
        <v>5.7256131029478461E-6</v>
      </c>
      <c r="W210" s="313">
        <f t="shared" si="214"/>
        <v>4.6106252881632645E-6</v>
      </c>
      <c r="X210" s="313">
        <f t="shared" si="214"/>
        <v>1.5760503436009069E-5</v>
      </c>
      <c r="Y210" s="313">
        <f t="shared" si="214"/>
        <v>1.172243945814059E-5</v>
      </c>
      <c r="Z210" s="313">
        <f t="shared" si="214"/>
        <v>6.4850102092335593E-5</v>
      </c>
      <c r="AA210" s="313">
        <f t="shared" si="214"/>
        <v>5.7105457000453515E-5</v>
      </c>
      <c r="AB210" s="313">
        <f t="shared" si="214"/>
        <v>6.7773178255419489E-5</v>
      </c>
      <c r="AC210" s="313">
        <f t="shared" si="214"/>
        <v>1.0173510439764172E-4</v>
      </c>
      <c r="AD210" s="313">
        <f t="shared" si="214"/>
        <v>1.100523107998186E-4</v>
      </c>
      <c r="AE210" s="313">
        <f>AE205+AE209</f>
        <v>6.0902442531882077E-5</v>
      </c>
      <c r="AF210" s="313">
        <f>AF205+AF209</f>
        <v>4.7703397589297044E-5</v>
      </c>
      <c r="AG210" s="313">
        <f>AG205+AG209</f>
        <v>4.9059463850521536E-5</v>
      </c>
      <c r="AH210" s="313">
        <f>AH205+AH209</f>
        <v>4.1435357981859405E-5</v>
      </c>
      <c r="AI210" s="313">
        <f>AI205+AI209</f>
        <v>3.4263274200272107E-5</v>
      </c>
    </row>
    <row r="211" spans="1:35">
      <c r="A211" s="581"/>
      <c r="B211" s="359"/>
      <c r="C211" s="360"/>
      <c r="D211" s="360"/>
      <c r="E211" s="360"/>
      <c r="F211" s="360"/>
      <c r="G211" s="360"/>
      <c r="H211" s="360"/>
      <c r="I211" s="360"/>
      <c r="J211" s="360"/>
      <c r="K211" s="360"/>
      <c r="L211" s="360"/>
      <c r="M211" s="360"/>
      <c r="N211" s="360"/>
      <c r="O211" s="360"/>
      <c r="P211" s="360"/>
      <c r="Q211" s="360"/>
      <c r="R211" s="360"/>
      <c r="S211" s="360"/>
      <c r="T211" s="360"/>
      <c r="U211" s="360"/>
      <c r="V211" s="360"/>
      <c r="W211" s="360"/>
      <c r="X211" s="360"/>
      <c r="Y211" s="360"/>
      <c r="Z211" s="360"/>
      <c r="AA211" s="360"/>
      <c r="AB211" s="360"/>
    </row>
    <row r="212" spans="1:35" ht="15" thickBot="1">
      <c r="B212" s="359"/>
      <c r="C212" s="360"/>
      <c r="D212" s="360"/>
      <c r="E212" s="360"/>
      <c r="F212" s="360"/>
      <c r="G212" s="360"/>
      <c r="H212" s="360"/>
      <c r="I212" s="360"/>
      <c r="J212" s="360"/>
      <c r="K212" s="360"/>
      <c r="L212" s="360"/>
      <c r="M212" s="360"/>
      <c r="N212" s="360"/>
      <c r="O212" s="360"/>
      <c r="P212" s="360"/>
      <c r="Q212" s="360"/>
      <c r="R212" s="360"/>
      <c r="S212" s="360"/>
      <c r="T212" s="360"/>
      <c r="U212" s="360"/>
      <c r="V212" s="360"/>
      <c r="W212" s="360"/>
      <c r="X212" s="360"/>
      <c r="Y212" s="360"/>
      <c r="Z212" s="360"/>
      <c r="AA212" s="360"/>
      <c r="AB212" s="360"/>
    </row>
    <row r="213" spans="1:35" ht="15" thickBot="1">
      <c r="B213" s="523" t="s">
        <v>860</v>
      </c>
      <c r="D213" s="1907" t="s">
        <v>459</v>
      </c>
      <c r="E213" s="1908"/>
      <c r="F213" s="1909"/>
      <c r="G213" s="1910" t="s">
        <v>28</v>
      </c>
      <c r="H213" s="1908"/>
      <c r="I213" s="1909"/>
      <c r="J213" s="1907" t="s">
        <v>30</v>
      </c>
      <c r="K213" s="1908"/>
      <c r="L213" s="1909"/>
    </row>
    <row r="214" spans="1:35" ht="82.5" customHeight="1">
      <c r="B214" s="414" t="s">
        <v>507</v>
      </c>
      <c r="C214" s="338" t="s">
        <v>838</v>
      </c>
      <c r="D214" s="362" t="s">
        <v>509</v>
      </c>
      <c r="E214" s="316"/>
      <c r="F214" s="363" t="s">
        <v>510</v>
      </c>
      <c r="G214" s="362" t="s">
        <v>806</v>
      </c>
      <c r="H214" s="316"/>
      <c r="I214" s="361" t="s">
        <v>807</v>
      </c>
      <c r="J214" s="362" t="s">
        <v>808</v>
      </c>
      <c r="K214" s="316"/>
      <c r="L214" s="361" t="s">
        <v>809</v>
      </c>
      <c r="N214" s="1916"/>
      <c r="O214" s="1916"/>
      <c r="P214" s="1916"/>
      <c r="Q214" s="1916"/>
    </row>
    <row r="215" spans="1:35" ht="15" thickBot="1">
      <c r="A215" s="234"/>
      <c r="B215" s="343" t="s">
        <v>839</v>
      </c>
      <c r="C215" s="342" t="s">
        <v>861</v>
      </c>
      <c r="D215" s="413">
        <v>68.44</v>
      </c>
      <c r="E215" s="320"/>
      <c r="F215" s="539">
        <f>D215*2.20462</f>
        <v>150.88419279999999</v>
      </c>
      <c r="G215" s="534">
        <v>1.1000000000000001E-3</v>
      </c>
      <c r="H215" s="320"/>
      <c r="I215" s="539">
        <f>G215*2.20462</f>
        <v>2.4250819999999998E-3</v>
      </c>
      <c r="J215" s="535">
        <v>1.1E-4</v>
      </c>
      <c r="K215" s="320"/>
      <c r="L215" s="539">
        <f>J215*2.20462</f>
        <v>2.4250819999999999E-4</v>
      </c>
    </row>
    <row r="216" spans="1:35">
      <c r="B216" s="344"/>
      <c r="C216" s="329">
        <v>1990</v>
      </c>
      <c r="D216" s="329">
        <v>1991</v>
      </c>
      <c r="E216" s="329">
        <v>1992</v>
      </c>
      <c r="F216" s="329">
        <v>1993</v>
      </c>
      <c r="G216" s="329">
        <v>1994</v>
      </c>
      <c r="H216" s="329">
        <v>1995</v>
      </c>
      <c r="I216" s="329">
        <v>1996</v>
      </c>
      <c r="J216" s="329">
        <v>1997</v>
      </c>
      <c r="K216" s="329">
        <v>1998</v>
      </c>
      <c r="L216" s="329">
        <v>1999</v>
      </c>
      <c r="M216" s="330">
        <v>2000</v>
      </c>
      <c r="N216" s="330">
        <v>2001</v>
      </c>
      <c r="O216" s="330">
        <v>2002</v>
      </c>
      <c r="P216" s="330">
        <v>2003</v>
      </c>
      <c r="Q216" s="330">
        <v>2004</v>
      </c>
      <c r="R216" s="330">
        <v>2005</v>
      </c>
      <c r="S216" s="330">
        <v>2006</v>
      </c>
      <c r="T216" s="330">
        <v>2007</v>
      </c>
      <c r="U216" s="330">
        <v>2008</v>
      </c>
      <c r="V216" s="330">
        <v>2009</v>
      </c>
      <c r="W216" s="330">
        <v>2010</v>
      </c>
      <c r="X216" s="330">
        <v>2011</v>
      </c>
      <c r="Y216" s="330">
        <v>2012</v>
      </c>
      <c r="Z216" s="330">
        <v>2013</v>
      </c>
      <c r="AA216" s="330">
        <v>2014</v>
      </c>
      <c r="AB216" s="330">
        <v>2015</v>
      </c>
      <c r="AC216" s="330">
        <v>2016</v>
      </c>
      <c r="AD216" s="330">
        <v>2017</v>
      </c>
      <c r="AE216" s="330">
        <v>2018</v>
      </c>
      <c r="AF216" s="330">
        <v>2019</v>
      </c>
      <c r="AG216" s="330">
        <v>2020</v>
      </c>
      <c r="AH216" s="330">
        <v>2021</v>
      </c>
      <c r="AI216" s="330">
        <v>2022</v>
      </c>
    </row>
    <row r="217" spans="1:35">
      <c r="B217" s="346" t="s">
        <v>836</v>
      </c>
      <c r="C217" s="27">
        <v>0</v>
      </c>
      <c r="D217" s="27">
        <v>0</v>
      </c>
      <c r="E217" s="27">
        <v>0</v>
      </c>
      <c r="F217" s="27">
        <v>0</v>
      </c>
      <c r="G217" s="27">
        <v>0</v>
      </c>
      <c r="H217" s="27">
        <v>0</v>
      </c>
      <c r="I217" s="27">
        <v>0</v>
      </c>
      <c r="J217" s="27">
        <v>0</v>
      </c>
      <c r="K217" s="27">
        <v>0</v>
      </c>
      <c r="L217" s="27">
        <v>0</v>
      </c>
      <c r="M217" s="27">
        <v>0</v>
      </c>
      <c r="N217" s="27">
        <v>0</v>
      </c>
      <c r="O217" s="27">
        <v>72</v>
      </c>
      <c r="P217" s="27">
        <v>72</v>
      </c>
      <c r="Q217" s="27">
        <v>684</v>
      </c>
      <c r="R217" s="27">
        <v>6018</v>
      </c>
      <c r="S217" s="27">
        <v>16266</v>
      </c>
      <c r="T217" s="27">
        <v>20911</v>
      </c>
      <c r="U217" s="27">
        <v>17439</v>
      </c>
      <c r="V217" s="27">
        <v>19322</v>
      </c>
      <c r="W217" s="27">
        <v>24151</v>
      </c>
      <c r="X217" s="27">
        <v>23263</v>
      </c>
      <c r="Y217" s="27">
        <v>22634</v>
      </c>
      <c r="Z217" s="27">
        <v>22984</v>
      </c>
      <c r="AA217" s="27">
        <v>22998</v>
      </c>
      <c r="AB217" s="27">
        <v>23217</v>
      </c>
      <c r="AC217" s="27">
        <v>23339</v>
      </c>
      <c r="AD217" s="27">
        <v>23072</v>
      </c>
      <c r="AE217" s="27">
        <v>23102</v>
      </c>
      <c r="AF217" s="27">
        <v>23074</v>
      </c>
      <c r="AG217" s="27">
        <v>18416</v>
      </c>
      <c r="AH217" s="27">
        <v>20845</v>
      </c>
      <c r="AI217">
        <v>20876</v>
      </c>
    </row>
    <row r="218" spans="1:35" ht="26.5">
      <c r="B218" s="335" t="s">
        <v>814</v>
      </c>
      <c r="C218" s="336">
        <f t="shared" ref="C218:R218" si="215">C217*1000</f>
        <v>0</v>
      </c>
      <c r="D218" s="336">
        <f t="shared" si="215"/>
        <v>0</v>
      </c>
      <c r="E218" s="336">
        <f t="shared" si="215"/>
        <v>0</v>
      </c>
      <c r="F218" s="336">
        <f t="shared" si="215"/>
        <v>0</v>
      </c>
      <c r="G218" s="336">
        <f t="shared" si="215"/>
        <v>0</v>
      </c>
      <c r="H218" s="336">
        <f t="shared" si="215"/>
        <v>0</v>
      </c>
      <c r="I218" s="336">
        <f t="shared" si="215"/>
        <v>0</v>
      </c>
      <c r="J218" s="336">
        <f t="shared" si="215"/>
        <v>0</v>
      </c>
      <c r="K218" s="336">
        <f t="shared" si="215"/>
        <v>0</v>
      </c>
      <c r="L218" s="336">
        <f t="shared" si="215"/>
        <v>0</v>
      </c>
      <c r="M218" s="336">
        <f t="shared" si="215"/>
        <v>0</v>
      </c>
      <c r="N218" s="336">
        <f t="shared" si="215"/>
        <v>0</v>
      </c>
      <c r="O218" s="336">
        <f t="shared" si="215"/>
        <v>72000</v>
      </c>
      <c r="P218" s="336">
        <f t="shared" si="215"/>
        <v>72000</v>
      </c>
      <c r="Q218" s="336">
        <f t="shared" si="215"/>
        <v>684000</v>
      </c>
      <c r="R218" s="336">
        <f t="shared" si="215"/>
        <v>6018000</v>
      </c>
      <c r="S218" s="336">
        <f>S217*1000</f>
        <v>16266000</v>
      </c>
      <c r="T218" s="336">
        <f t="shared" ref="T218:AB218" si="216">T217*1000</f>
        <v>20911000</v>
      </c>
      <c r="U218" s="336">
        <f t="shared" si="216"/>
        <v>17439000</v>
      </c>
      <c r="V218" s="336">
        <f t="shared" si="216"/>
        <v>19322000</v>
      </c>
      <c r="W218" s="336">
        <f t="shared" si="216"/>
        <v>24151000</v>
      </c>
      <c r="X218" s="336">
        <f t="shared" si="216"/>
        <v>23263000</v>
      </c>
      <c r="Y218" s="336">
        <f t="shared" si="216"/>
        <v>22634000</v>
      </c>
      <c r="Z218" s="336">
        <f t="shared" si="216"/>
        <v>22984000</v>
      </c>
      <c r="AA218" s="336">
        <f t="shared" si="216"/>
        <v>22998000</v>
      </c>
      <c r="AB218" s="336">
        <f t="shared" si="216"/>
        <v>23217000</v>
      </c>
      <c r="AC218" s="336">
        <f t="shared" ref="AC218:AH218" si="217">AC217*1000</f>
        <v>23339000</v>
      </c>
      <c r="AD218" s="336">
        <f t="shared" si="217"/>
        <v>23072000</v>
      </c>
      <c r="AE218" s="336">
        <f t="shared" si="217"/>
        <v>23102000</v>
      </c>
      <c r="AF218" s="336">
        <f t="shared" si="217"/>
        <v>23074000</v>
      </c>
      <c r="AG218" s="336">
        <f t="shared" si="217"/>
        <v>18416000</v>
      </c>
      <c r="AH218" s="336">
        <f t="shared" si="217"/>
        <v>20845000</v>
      </c>
      <c r="AI218" s="336">
        <f t="shared" ref="AI218" si="218">AI217*1000</f>
        <v>20876000</v>
      </c>
    </row>
    <row r="219" spans="1:35" ht="26.5">
      <c r="B219" s="315" t="s">
        <v>815</v>
      </c>
      <c r="C219" s="45">
        <f t="shared" ref="C219:AB219" si="219">C218*$F215</f>
        <v>0</v>
      </c>
      <c r="D219" s="45">
        <f t="shared" si="219"/>
        <v>0</v>
      </c>
      <c r="E219" s="45">
        <f t="shared" si="219"/>
        <v>0</v>
      </c>
      <c r="F219" s="45">
        <f t="shared" si="219"/>
        <v>0</v>
      </c>
      <c r="G219" s="45">
        <f t="shared" si="219"/>
        <v>0</v>
      </c>
      <c r="H219" s="45">
        <f t="shared" si="219"/>
        <v>0</v>
      </c>
      <c r="I219" s="45">
        <f t="shared" si="219"/>
        <v>0</v>
      </c>
      <c r="J219" s="45">
        <f t="shared" si="219"/>
        <v>0</v>
      </c>
      <c r="K219" s="45">
        <f t="shared" si="219"/>
        <v>0</v>
      </c>
      <c r="L219" s="45">
        <f t="shared" si="219"/>
        <v>0</v>
      </c>
      <c r="M219" s="45">
        <f t="shared" si="219"/>
        <v>0</v>
      </c>
      <c r="N219" s="45">
        <f t="shared" si="219"/>
        <v>0</v>
      </c>
      <c r="O219" s="45">
        <f t="shared" si="219"/>
        <v>10863661.8816</v>
      </c>
      <c r="P219" s="45">
        <f t="shared" si="219"/>
        <v>10863661.8816</v>
      </c>
      <c r="Q219" s="45">
        <f t="shared" si="219"/>
        <v>103204787.87519999</v>
      </c>
      <c r="R219" s="45">
        <f t="shared" si="219"/>
        <v>908021072.27039993</v>
      </c>
      <c r="S219" s="45">
        <f t="shared" si="219"/>
        <v>2454282280.0847998</v>
      </c>
      <c r="T219" s="45">
        <f t="shared" si="219"/>
        <v>3155139355.6408</v>
      </c>
      <c r="U219" s="45">
        <f t="shared" si="219"/>
        <v>2631269438.2392001</v>
      </c>
      <c r="V219" s="45">
        <f t="shared" si="219"/>
        <v>2915384373.2816</v>
      </c>
      <c r="W219" s="45">
        <f t="shared" si="219"/>
        <v>3644004140.3127999</v>
      </c>
      <c r="X219" s="45">
        <f t="shared" si="219"/>
        <v>3510018977.1064</v>
      </c>
      <c r="Y219" s="45">
        <f t="shared" si="219"/>
        <v>3415112819.8351998</v>
      </c>
      <c r="Z219" s="45">
        <f t="shared" si="219"/>
        <v>3467922287.3151999</v>
      </c>
      <c r="AA219" s="45">
        <f t="shared" si="219"/>
        <v>3470034666.0144</v>
      </c>
      <c r="AB219" s="45">
        <f t="shared" si="219"/>
        <v>3503078304.2375998</v>
      </c>
      <c r="AC219" s="45">
        <f t="shared" ref="AC219:AH219" si="220">AC218*$F215</f>
        <v>3521486175.7591996</v>
      </c>
      <c r="AD219" s="45">
        <f t="shared" si="220"/>
        <v>3481200096.2816</v>
      </c>
      <c r="AE219" s="45">
        <f t="shared" si="220"/>
        <v>3485726622.0655999</v>
      </c>
      <c r="AF219" s="45">
        <f t="shared" si="220"/>
        <v>3481501864.6672001</v>
      </c>
      <c r="AG219" s="45">
        <f t="shared" si="220"/>
        <v>2778683294.6047997</v>
      </c>
      <c r="AH219" s="45">
        <f t="shared" si="220"/>
        <v>3145180998.9159999</v>
      </c>
      <c r="AI219" s="45">
        <f t="shared" ref="AI219" si="221">AI218*$F215</f>
        <v>3149858408.8927999</v>
      </c>
    </row>
    <row r="220" spans="1:35">
      <c r="B220" s="449" t="s">
        <v>317</v>
      </c>
      <c r="C220" s="317">
        <f t="shared" ref="C220:AB220" si="222">C219/(2205*1000000)</f>
        <v>0</v>
      </c>
      <c r="D220" s="317">
        <f t="shared" si="222"/>
        <v>0</v>
      </c>
      <c r="E220" s="317">
        <f t="shared" si="222"/>
        <v>0</v>
      </c>
      <c r="F220" s="317">
        <f t="shared" si="222"/>
        <v>0</v>
      </c>
      <c r="G220" s="317">
        <f t="shared" si="222"/>
        <v>0</v>
      </c>
      <c r="H220" s="317">
        <f t="shared" si="222"/>
        <v>0</v>
      </c>
      <c r="I220" s="317">
        <f t="shared" si="222"/>
        <v>0</v>
      </c>
      <c r="J220" s="317">
        <f t="shared" si="222"/>
        <v>0</v>
      </c>
      <c r="K220" s="317">
        <f t="shared" si="222"/>
        <v>0</v>
      </c>
      <c r="L220" s="317">
        <f t="shared" si="222"/>
        <v>0</v>
      </c>
      <c r="M220" s="317">
        <f t="shared" si="222"/>
        <v>0</v>
      </c>
      <c r="N220" s="317">
        <f t="shared" si="222"/>
        <v>0</v>
      </c>
      <c r="O220" s="317">
        <f t="shared" si="222"/>
        <v>4.9268307853061223E-3</v>
      </c>
      <c r="P220" s="317">
        <f t="shared" si="222"/>
        <v>4.9268307853061223E-3</v>
      </c>
      <c r="Q220" s="317">
        <f t="shared" si="222"/>
        <v>4.6804892460408157E-2</v>
      </c>
      <c r="R220" s="317">
        <f t="shared" si="222"/>
        <v>0.41180093980517002</v>
      </c>
      <c r="S220" s="317">
        <f t="shared" si="222"/>
        <v>1.1130531882470747</v>
      </c>
      <c r="T220" s="317">
        <f t="shared" si="222"/>
        <v>1.4309022021046711</v>
      </c>
      <c r="U220" s="317">
        <f t="shared" si="222"/>
        <v>1.1933194731243537</v>
      </c>
      <c r="V220" s="317">
        <f t="shared" si="222"/>
        <v>1.3221697838011792</v>
      </c>
      <c r="W220" s="317">
        <f t="shared" si="222"/>
        <v>1.6526095874434468</v>
      </c>
      <c r="X220" s="317">
        <f t="shared" si="222"/>
        <v>1.5918453410913378</v>
      </c>
      <c r="Y220" s="317">
        <f t="shared" si="222"/>
        <v>1.5488039999252607</v>
      </c>
      <c r="Z220" s="317">
        <f t="shared" si="222"/>
        <v>1.5727538717982765</v>
      </c>
      <c r="AA220" s="317">
        <f t="shared" si="222"/>
        <v>1.5737118666731973</v>
      </c>
      <c r="AB220" s="317">
        <f t="shared" si="222"/>
        <v>1.5886976436451701</v>
      </c>
      <c r="AC220" s="317">
        <f t="shared" ref="AC220:AH220" si="223">AC219/(2205*1000000)</f>
        <v>1.5970458846980498</v>
      </c>
      <c r="AD220" s="317">
        <f t="shared" si="223"/>
        <v>1.5787755538692063</v>
      </c>
      <c r="AE220" s="317">
        <f t="shared" si="223"/>
        <v>1.5808284000297506</v>
      </c>
      <c r="AF220" s="317">
        <f t="shared" si="223"/>
        <v>1.5789124102799093</v>
      </c>
      <c r="AG220" s="317">
        <f t="shared" si="223"/>
        <v>1.2601738297527436</v>
      </c>
      <c r="AH220" s="317">
        <f t="shared" si="223"/>
        <v>1.4263859405514738</v>
      </c>
      <c r="AI220" s="317">
        <f t="shared" ref="AI220" si="224">AI219/(2205*1000000)</f>
        <v>1.4285072149173696</v>
      </c>
    </row>
    <row r="221" spans="1:35">
      <c r="B221" s="687" t="s">
        <v>28</v>
      </c>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row>
    <row r="222" spans="1:35">
      <c r="B222" s="685" t="s">
        <v>521</v>
      </c>
      <c r="C222" s="354"/>
      <c r="D222" s="350"/>
      <c r="E222" s="350"/>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c r="AB222" s="350"/>
      <c r="AC222" s="350"/>
      <c r="AD222" s="350"/>
      <c r="AE222" s="350"/>
      <c r="AF222" s="350"/>
      <c r="AG222" s="350"/>
      <c r="AH222" s="350"/>
      <c r="AI222" s="350"/>
    </row>
    <row r="223" spans="1:35">
      <c r="B223" s="685" t="s">
        <v>522</v>
      </c>
      <c r="C223" s="355"/>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row>
    <row r="224" spans="1:35">
      <c r="B224" s="686" t="s">
        <v>523</v>
      </c>
      <c r="C224" s="356"/>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row>
    <row r="225" spans="1:35">
      <c r="B225" s="687" t="s">
        <v>30</v>
      </c>
      <c r="C225" s="349"/>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349"/>
      <c r="AI225" s="349"/>
    </row>
    <row r="226" spans="1:35">
      <c r="B226" s="685" t="s">
        <v>524</v>
      </c>
      <c r="C226" s="354"/>
      <c r="D226" s="350"/>
      <c r="E226" s="350"/>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c r="AB226" s="350"/>
      <c r="AC226" s="350"/>
      <c r="AD226" s="350"/>
      <c r="AE226" s="350"/>
      <c r="AF226" s="350"/>
      <c r="AG226" s="350"/>
      <c r="AH226" s="350"/>
      <c r="AI226" s="350"/>
    </row>
    <row r="227" spans="1:35">
      <c r="B227" s="685" t="s">
        <v>522</v>
      </c>
      <c r="C227" s="355"/>
      <c r="D227" s="351"/>
      <c r="E227" s="351"/>
      <c r="F227" s="351"/>
      <c r="G227" s="351"/>
      <c r="H227" s="351"/>
      <c r="I227" s="351"/>
      <c r="J227" s="351"/>
      <c r="K227" s="351"/>
      <c r="L227" s="351"/>
      <c r="M227" s="351"/>
      <c r="N227" s="351"/>
      <c r="O227" s="351"/>
      <c r="P227" s="351"/>
      <c r="Q227" s="351"/>
      <c r="R227" s="351"/>
      <c r="S227" s="351"/>
      <c r="T227" s="351"/>
      <c r="U227" s="351"/>
      <c r="V227" s="351"/>
      <c r="W227" s="351"/>
      <c r="X227" s="351"/>
      <c r="Y227" s="351"/>
      <c r="Z227" s="351"/>
      <c r="AA227" s="351"/>
      <c r="AB227" s="351"/>
      <c r="AC227" s="351"/>
      <c r="AD227" s="351"/>
      <c r="AE227" s="351"/>
      <c r="AF227" s="351"/>
      <c r="AG227" s="351"/>
      <c r="AH227" s="351"/>
      <c r="AI227" s="351"/>
    </row>
    <row r="228" spans="1:35">
      <c r="B228" s="686" t="s">
        <v>525</v>
      </c>
      <c r="C228" s="357"/>
      <c r="D228" s="353"/>
      <c r="E228" s="353"/>
      <c r="F228" s="353"/>
      <c r="G228" s="353"/>
      <c r="H228" s="353"/>
      <c r="I228" s="353"/>
      <c r="J228" s="353"/>
      <c r="K228" s="353"/>
      <c r="L228" s="353"/>
      <c r="M228" s="353"/>
      <c r="N228" s="353"/>
      <c r="O228" s="353"/>
      <c r="P228" s="353"/>
      <c r="Q228" s="353"/>
      <c r="R228" s="353"/>
      <c r="S228" s="353"/>
      <c r="T228" s="353"/>
      <c r="U228" s="353"/>
      <c r="V228" s="353"/>
      <c r="W228" s="353"/>
      <c r="X228" s="353"/>
      <c r="Y228" s="353"/>
      <c r="Z228" s="353"/>
      <c r="AA228" s="353"/>
      <c r="AB228" s="353"/>
      <c r="AC228" s="353"/>
      <c r="AD228" s="353"/>
      <c r="AE228" s="353"/>
      <c r="AF228" s="353"/>
      <c r="AG228" s="353"/>
      <c r="AH228" s="353"/>
      <c r="AI228" s="353"/>
    </row>
    <row r="229" spans="1:35">
      <c r="B229" s="686" t="s">
        <v>817</v>
      </c>
      <c r="C229" s="357"/>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row>
    <row r="230" spans="1:35">
      <c r="B230" s="359"/>
      <c r="C230" s="360"/>
      <c r="D230" s="360"/>
      <c r="E230" s="360"/>
      <c r="F230" s="360"/>
      <c r="G230" s="360"/>
      <c r="H230" s="360"/>
      <c r="I230" s="360"/>
      <c r="J230" s="360"/>
      <c r="K230" s="360"/>
      <c r="L230" s="360"/>
      <c r="M230" s="360"/>
      <c r="N230" s="360"/>
      <c r="O230" s="360"/>
      <c r="P230" s="360"/>
      <c r="Q230" s="360"/>
      <c r="R230" s="360"/>
      <c r="S230" s="360"/>
      <c r="T230" s="360"/>
      <c r="U230" s="360"/>
      <c r="V230" s="360"/>
      <c r="W230" s="360"/>
      <c r="X230" s="360"/>
      <c r="Y230" s="360"/>
      <c r="Z230" s="360"/>
      <c r="AA230" s="360"/>
      <c r="AB230" s="360"/>
    </row>
    <row r="231" spans="1:35" ht="15" thickBot="1">
      <c r="A231" s="886"/>
      <c r="B231" s="359"/>
      <c r="C231" s="1284" t="s">
        <v>862</v>
      </c>
      <c r="D231" s="360"/>
      <c r="E231" s="360"/>
      <c r="F231" s="360"/>
      <c r="G231" s="360"/>
      <c r="H231" s="360"/>
      <c r="I231" s="360"/>
      <c r="J231" s="360"/>
      <c r="K231" s="360"/>
      <c r="L231" s="360"/>
      <c r="M231" s="360"/>
      <c r="N231" s="360"/>
      <c r="O231" s="360"/>
      <c r="P231" s="360"/>
      <c r="Q231" s="360"/>
      <c r="R231" s="360"/>
      <c r="S231" s="360"/>
      <c r="T231" s="360"/>
      <c r="U231" s="360"/>
      <c r="V231" s="360"/>
      <c r="W231" s="360"/>
      <c r="X231" s="360"/>
      <c r="Y231" s="360"/>
      <c r="Z231" s="360"/>
      <c r="AA231" s="360"/>
      <c r="AB231" s="360"/>
    </row>
    <row r="232" spans="1:35" ht="15" thickBot="1">
      <c r="A232" s="888"/>
      <c r="B232" s="523" t="s">
        <v>860</v>
      </c>
      <c r="C232" s="1283"/>
      <c r="D232" s="1907" t="s">
        <v>459</v>
      </c>
      <c r="E232" s="1908"/>
      <c r="F232" s="1909"/>
      <c r="G232" s="1910" t="s">
        <v>28</v>
      </c>
      <c r="H232" s="1908"/>
      <c r="I232" s="1909"/>
      <c r="J232" s="1907" t="s">
        <v>30</v>
      </c>
      <c r="K232" s="1908"/>
      <c r="L232" s="1909"/>
    </row>
    <row r="233" spans="1:35" ht="78.5">
      <c r="A233" s="889"/>
      <c r="B233" s="414" t="s">
        <v>507</v>
      </c>
      <c r="C233" s="338" t="s">
        <v>838</v>
      </c>
      <c r="D233" s="362" t="s">
        <v>509</v>
      </c>
      <c r="E233" s="316"/>
      <c r="F233" s="363" t="s">
        <v>510</v>
      </c>
      <c r="G233" s="362" t="s">
        <v>806</v>
      </c>
      <c r="H233" s="316"/>
      <c r="I233" s="361" t="s">
        <v>807</v>
      </c>
      <c r="J233" s="362" t="s">
        <v>808</v>
      </c>
      <c r="K233" s="316"/>
      <c r="L233" s="361" t="s">
        <v>809</v>
      </c>
      <c r="N233" s="886"/>
      <c r="O233" s="1503"/>
      <c r="P233" s="1503"/>
      <c r="Q233" s="1503"/>
    </row>
    <row r="234" spans="1:35" ht="15" thickBot="1">
      <c r="A234" s="234"/>
      <c r="B234" s="343" t="s">
        <v>857</v>
      </c>
      <c r="C234" s="342" t="s">
        <v>858</v>
      </c>
      <c r="D234" s="862">
        <v>73.84</v>
      </c>
      <c r="E234" s="320"/>
      <c r="F234" s="863">
        <f>D234*2.20462</f>
        <v>162.78914079999998</v>
      </c>
      <c r="G234" s="534">
        <v>1.1000000000000001E-3</v>
      </c>
      <c r="H234" s="320"/>
      <c r="I234" s="539">
        <f>G234*2.20462</f>
        <v>2.4250819999999998E-3</v>
      </c>
      <c r="J234" s="535">
        <v>1.1E-4</v>
      </c>
      <c r="K234" s="320"/>
      <c r="L234" s="539">
        <f>J234*2.20462</f>
        <v>2.4250819999999999E-4</v>
      </c>
      <c r="AA234" s="620"/>
      <c r="AB234" s="620"/>
    </row>
    <row r="235" spans="1:35">
      <c r="A235" s="886"/>
      <c r="B235" s="344"/>
      <c r="C235" s="329">
        <v>1990</v>
      </c>
      <c r="D235" s="329">
        <v>1991</v>
      </c>
      <c r="E235" s="329">
        <v>1992</v>
      </c>
      <c r="F235" s="329">
        <v>1993</v>
      </c>
      <c r="G235" s="329">
        <v>1994</v>
      </c>
      <c r="H235" s="329">
        <v>1995</v>
      </c>
      <c r="I235" s="329">
        <v>1996</v>
      </c>
      <c r="J235" s="329">
        <v>1997</v>
      </c>
      <c r="K235" s="329">
        <v>1998</v>
      </c>
      <c r="L235" s="329">
        <v>1999</v>
      </c>
      <c r="M235" s="330">
        <v>2000</v>
      </c>
      <c r="N235" s="330">
        <v>2001</v>
      </c>
      <c r="O235" s="330">
        <v>2002</v>
      </c>
      <c r="P235" s="330">
        <v>2003</v>
      </c>
      <c r="Q235" s="330">
        <v>2004</v>
      </c>
      <c r="R235" s="330">
        <v>2005</v>
      </c>
      <c r="S235" s="330">
        <v>2006</v>
      </c>
      <c r="T235" s="330">
        <v>2007</v>
      </c>
      <c r="U235" s="330">
        <v>2008</v>
      </c>
      <c r="V235" s="330">
        <v>2009</v>
      </c>
      <c r="W235" s="330">
        <v>2010</v>
      </c>
      <c r="X235" s="330">
        <v>2011</v>
      </c>
      <c r="Y235" s="330">
        <v>2012</v>
      </c>
      <c r="Z235" s="330">
        <v>2013</v>
      </c>
      <c r="AA235" s="330">
        <v>2014</v>
      </c>
      <c r="AB235" s="330">
        <v>2015</v>
      </c>
      <c r="AC235" s="330">
        <v>2016</v>
      </c>
      <c r="AD235" s="330">
        <v>2017</v>
      </c>
      <c r="AE235" s="330">
        <v>2018</v>
      </c>
      <c r="AF235" s="330">
        <v>2019</v>
      </c>
      <c r="AG235" s="330">
        <v>2020</v>
      </c>
      <c r="AH235" s="330">
        <v>2021</v>
      </c>
      <c r="AI235" s="330">
        <v>2022</v>
      </c>
    </row>
    <row r="236" spans="1:35">
      <c r="A236" s="886"/>
      <c r="B236" s="346" t="s">
        <v>859</v>
      </c>
      <c r="C236" s="27">
        <v>0</v>
      </c>
      <c r="D236" s="27">
        <v>0</v>
      </c>
      <c r="E236" s="27">
        <v>0</v>
      </c>
      <c r="F236" s="27">
        <v>0</v>
      </c>
      <c r="G236" s="27">
        <v>0</v>
      </c>
      <c r="H236" s="27">
        <v>0</v>
      </c>
      <c r="I236" s="27">
        <v>0</v>
      </c>
      <c r="J236" s="27">
        <v>0</v>
      </c>
      <c r="K236" s="27">
        <v>0</v>
      </c>
      <c r="L236" s="27">
        <v>0</v>
      </c>
      <c r="M236" s="27">
        <v>0</v>
      </c>
      <c r="N236" s="27">
        <v>3</v>
      </c>
      <c r="O236" s="27">
        <v>5</v>
      </c>
      <c r="P236" s="27">
        <v>4</v>
      </c>
      <c r="Q236" s="27">
        <v>8</v>
      </c>
      <c r="R236" s="27">
        <v>27</v>
      </c>
      <c r="S236" s="27">
        <v>77</v>
      </c>
      <c r="T236" s="27">
        <v>104.5</v>
      </c>
      <c r="U236" s="27">
        <v>89.5</v>
      </c>
      <c r="V236" s="27">
        <v>95</v>
      </c>
      <c r="W236" s="27">
        <v>76.5</v>
      </c>
      <c r="X236" s="27">
        <v>261.5</v>
      </c>
      <c r="Y236" s="27">
        <v>194.5</v>
      </c>
      <c r="Z236" s="27">
        <v>1076</v>
      </c>
      <c r="AA236" s="27">
        <v>947.5</v>
      </c>
      <c r="AB236" s="27">
        <v>1124.5</v>
      </c>
      <c r="AC236" s="27">
        <v>1688</v>
      </c>
      <c r="AD236" s="27">
        <v>1826</v>
      </c>
      <c r="AE236" s="27">
        <v>1010.5</v>
      </c>
      <c r="AF236" s="27">
        <v>791.5</v>
      </c>
      <c r="AG236" s="27">
        <v>814</v>
      </c>
      <c r="AH236">
        <v>687.5</v>
      </c>
      <c r="AI236">
        <v>568.5</v>
      </c>
    </row>
    <row r="237" spans="1:35" ht="26.5">
      <c r="A237" s="890"/>
      <c r="B237" s="335" t="s">
        <v>814</v>
      </c>
      <c r="C237" s="336">
        <f>C236*1000</f>
        <v>0</v>
      </c>
      <c r="D237" s="336">
        <f t="shared" ref="D237:AG237" si="225">D236*1000</f>
        <v>0</v>
      </c>
      <c r="E237" s="336">
        <f t="shared" si="225"/>
        <v>0</v>
      </c>
      <c r="F237" s="336">
        <f t="shared" si="225"/>
        <v>0</v>
      </c>
      <c r="G237" s="336">
        <f t="shared" si="225"/>
        <v>0</v>
      </c>
      <c r="H237" s="336">
        <f t="shared" si="225"/>
        <v>0</v>
      </c>
      <c r="I237" s="336">
        <f t="shared" si="225"/>
        <v>0</v>
      </c>
      <c r="J237" s="336">
        <f t="shared" si="225"/>
        <v>0</v>
      </c>
      <c r="K237" s="336">
        <f t="shared" si="225"/>
        <v>0</v>
      </c>
      <c r="L237" s="336">
        <f t="shared" si="225"/>
        <v>0</v>
      </c>
      <c r="M237" s="336">
        <f t="shared" si="225"/>
        <v>0</v>
      </c>
      <c r="N237" s="336">
        <f t="shared" si="225"/>
        <v>3000</v>
      </c>
      <c r="O237" s="336">
        <f t="shared" si="225"/>
        <v>5000</v>
      </c>
      <c r="P237" s="336">
        <f t="shared" si="225"/>
        <v>4000</v>
      </c>
      <c r="Q237" s="336">
        <f t="shared" si="225"/>
        <v>8000</v>
      </c>
      <c r="R237" s="336">
        <f t="shared" si="225"/>
        <v>27000</v>
      </c>
      <c r="S237" s="336">
        <f t="shared" si="225"/>
        <v>77000</v>
      </c>
      <c r="T237" s="336">
        <f t="shared" si="225"/>
        <v>104500</v>
      </c>
      <c r="U237" s="336">
        <f t="shared" si="225"/>
        <v>89500</v>
      </c>
      <c r="V237" s="336">
        <f t="shared" si="225"/>
        <v>95000</v>
      </c>
      <c r="W237" s="336">
        <f t="shared" si="225"/>
        <v>76500</v>
      </c>
      <c r="X237" s="336">
        <f t="shared" si="225"/>
        <v>261500</v>
      </c>
      <c r="Y237" s="336">
        <f t="shared" si="225"/>
        <v>194500</v>
      </c>
      <c r="Z237" s="336">
        <f t="shared" si="225"/>
        <v>1076000</v>
      </c>
      <c r="AA237" s="336">
        <f t="shared" si="225"/>
        <v>947500</v>
      </c>
      <c r="AB237" s="336">
        <f t="shared" si="225"/>
        <v>1124500</v>
      </c>
      <c r="AC237" s="336">
        <f t="shared" si="225"/>
        <v>1688000</v>
      </c>
      <c r="AD237" s="336">
        <f t="shared" si="225"/>
        <v>1826000</v>
      </c>
      <c r="AE237" s="336">
        <f t="shared" si="225"/>
        <v>1010500</v>
      </c>
      <c r="AF237" s="336">
        <f t="shared" si="225"/>
        <v>791500</v>
      </c>
      <c r="AG237" s="336">
        <f t="shared" si="225"/>
        <v>814000</v>
      </c>
      <c r="AH237" s="336">
        <f t="shared" ref="AH237:AI237" si="226">AH236*1000</f>
        <v>687500</v>
      </c>
      <c r="AI237" s="336">
        <f t="shared" si="226"/>
        <v>568500</v>
      </c>
    </row>
    <row r="238" spans="1:35" ht="26.5">
      <c r="A238" s="886"/>
      <c r="B238" s="315" t="s">
        <v>815</v>
      </c>
      <c r="C238" s="45">
        <f t="shared" ref="C238:AB238" si="227">C237*$F234</f>
        <v>0</v>
      </c>
      <c r="D238" s="45">
        <f t="shared" si="227"/>
        <v>0</v>
      </c>
      <c r="E238" s="45">
        <f t="shared" si="227"/>
        <v>0</v>
      </c>
      <c r="F238" s="45">
        <f t="shared" si="227"/>
        <v>0</v>
      </c>
      <c r="G238" s="45">
        <f t="shared" si="227"/>
        <v>0</v>
      </c>
      <c r="H238" s="45">
        <f t="shared" si="227"/>
        <v>0</v>
      </c>
      <c r="I238" s="45">
        <f t="shared" si="227"/>
        <v>0</v>
      </c>
      <c r="J238" s="45">
        <f t="shared" si="227"/>
        <v>0</v>
      </c>
      <c r="K238" s="45">
        <f t="shared" si="227"/>
        <v>0</v>
      </c>
      <c r="L238" s="45">
        <f t="shared" si="227"/>
        <v>0</v>
      </c>
      <c r="M238" s="45">
        <f t="shared" si="227"/>
        <v>0</v>
      </c>
      <c r="N238" s="45">
        <f t="shared" si="227"/>
        <v>488367.42239999998</v>
      </c>
      <c r="O238" s="45">
        <f t="shared" si="227"/>
        <v>813945.70399999991</v>
      </c>
      <c r="P238" s="45">
        <f t="shared" si="227"/>
        <v>651156.56319999998</v>
      </c>
      <c r="Q238" s="45">
        <f t="shared" si="227"/>
        <v>1302313.1264</v>
      </c>
      <c r="R238" s="45">
        <f t="shared" si="227"/>
        <v>4395306.8015999999</v>
      </c>
      <c r="S238" s="45">
        <f t="shared" si="227"/>
        <v>12534763.841599999</v>
      </c>
      <c r="T238" s="45">
        <f t="shared" si="227"/>
        <v>17011465.213599999</v>
      </c>
      <c r="U238" s="45">
        <f t="shared" si="227"/>
        <v>14569628.101599999</v>
      </c>
      <c r="V238" s="45">
        <f t="shared" si="227"/>
        <v>15464968.375999998</v>
      </c>
      <c r="W238" s="45">
        <f t="shared" si="227"/>
        <v>12453369.271199999</v>
      </c>
      <c r="X238" s="45">
        <f t="shared" si="227"/>
        <v>42569360.319199994</v>
      </c>
      <c r="Y238" s="45">
        <f t="shared" si="227"/>
        <v>31662487.885599997</v>
      </c>
      <c r="Z238" s="45">
        <f t="shared" si="227"/>
        <v>175161115.50079998</v>
      </c>
      <c r="AA238" s="45">
        <f t="shared" si="227"/>
        <v>154242710.90799999</v>
      </c>
      <c r="AB238" s="45">
        <f t="shared" si="227"/>
        <v>183056388.82959998</v>
      </c>
      <c r="AC238" s="45">
        <f t="shared" ref="AC238:AH238" si="228">AC237*$F234</f>
        <v>274788069.67039996</v>
      </c>
      <c r="AD238" s="45">
        <f t="shared" si="228"/>
        <v>297252971.10079998</v>
      </c>
      <c r="AE238" s="45">
        <f t="shared" si="228"/>
        <v>164498426.77839997</v>
      </c>
      <c r="AF238" s="45">
        <f t="shared" si="228"/>
        <v>128847604.94319999</v>
      </c>
      <c r="AG238" s="45">
        <f t="shared" si="228"/>
        <v>132510360.61119999</v>
      </c>
      <c r="AH238" s="45">
        <f t="shared" si="228"/>
        <v>111917534.29999998</v>
      </c>
      <c r="AI238" s="45">
        <f t="shared" ref="AI238" si="229">AI237*$F234</f>
        <v>92545626.544799998</v>
      </c>
    </row>
    <row r="239" spans="1:35">
      <c r="A239" s="886"/>
      <c r="B239" s="449" t="s">
        <v>317</v>
      </c>
      <c r="C239" s="317">
        <f t="shared" ref="C239:AB239" si="230">C238/(2205*1000000)</f>
        <v>0</v>
      </c>
      <c r="D239" s="317">
        <f t="shared" si="230"/>
        <v>0</v>
      </c>
      <c r="E239" s="317">
        <f t="shared" si="230"/>
        <v>0</v>
      </c>
      <c r="F239" s="317">
        <f t="shared" si="230"/>
        <v>0</v>
      </c>
      <c r="G239" s="317">
        <f t="shared" si="230"/>
        <v>0</v>
      </c>
      <c r="H239" s="317">
        <f t="shared" si="230"/>
        <v>0</v>
      </c>
      <c r="I239" s="317">
        <f t="shared" si="230"/>
        <v>0</v>
      </c>
      <c r="J239" s="317">
        <f t="shared" si="230"/>
        <v>0</v>
      </c>
      <c r="K239" s="317">
        <f t="shared" si="230"/>
        <v>0</v>
      </c>
      <c r="L239" s="317">
        <f t="shared" si="230"/>
        <v>0</v>
      </c>
      <c r="M239" s="317">
        <f t="shared" si="230"/>
        <v>0</v>
      </c>
      <c r="N239" s="317">
        <f t="shared" si="230"/>
        <v>2.2148182421768706E-4</v>
      </c>
      <c r="O239" s="317">
        <f t="shared" si="230"/>
        <v>3.691363736961451E-4</v>
      </c>
      <c r="P239" s="317">
        <f t="shared" si="230"/>
        <v>2.9530909895691607E-4</v>
      </c>
      <c r="Q239" s="317">
        <f t="shared" si="230"/>
        <v>5.9061819791383214E-4</v>
      </c>
      <c r="R239" s="317">
        <f t="shared" si="230"/>
        <v>1.9933364179591838E-3</v>
      </c>
      <c r="S239" s="317">
        <f t="shared" si="230"/>
        <v>5.6847001549206345E-3</v>
      </c>
      <c r="T239" s="317">
        <f t="shared" si="230"/>
        <v>7.7149502102494324E-3</v>
      </c>
      <c r="U239" s="317">
        <f t="shared" si="230"/>
        <v>6.6075410891609969E-3</v>
      </c>
      <c r="V239" s="317">
        <f t="shared" si="230"/>
        <v>7.013591100226757E-3</v>
      </c>
      <c r="W239" s="317">
        <f t="shared" si="230"/>
        <v>5.6477865175510204E-3</v>
      </c>
      <c r="X239" s="317">
        <f t="shared" si="230"/>
        <v>1.9305832344308386E-2</v>
      </c>
      <c r="Y239" s="317">
        <f t="shared" si="230"/>
        <v>1.4359404936780043E-2</v>
      </c>
      <c r="Z239" s="317">
        <f t="shared" si="230"/>
        <v>7.9438147619410426E-2</v>
      </c>
      <c r="AA239" s="317">
        <f t="shared" si="230"/>
        <v>6.9951342815419496E-2</v>
      </c>
      <c r="AB239" s="317">
        <f t="shared" si="230"/>
        <v>8.3018770444263035E-2</v>
      </c>
      <c r="AC239" s="317">
        <f t="shared" ref="AC239:AH239" si="231">AC238/(2205*1000000)</f>
        <v>0.12462043975981858</v>
      </c>
      <c r="AD239" s="317">
        <f t="shared" si="231"/>
        <v>0.13480860367383218</v>
      </c>
      <c r="AE239" s="317">
        <f t="shared" si="231"/>
        <v>7.4602461123990924E-2</v>
      </c>
      <c r="AF239" s="317">
        <f t="shared" si="231"/>
        <v>5.843428795609977E-2</v>
      </c>
      <c r="AG239" s="317">
        <f t="shared" si="231"/>
        <v>6.0095401637732422E-2</v>
      </c>
      <c r="AH239" s="317">
        <f t="shared" si="231"/>
        <v>5.0756251383219944E-2</v>
      </c>
      <c r="AI239" s="317">
        <f t="shared" ref="AI239" si="232">AI238/(2205*1000000)</f>
        <v>4.1970805689251697E-2</v>
      </c>
    </row>
    <row r="240" spans="1:35">
      <c r="B240" s="687" t="s">
        <v>28</v>
      </c>
      <c r="C240" s="349"/>
      <c r="D240" s="349"/>
      <c r="E240" s="349"/>
      <c r="F240" s="349"/>
      <c r="G240" s="349"/>
      <c r="H240" s="349"/>
      <c r="I240" s="349"/>
      <c r="J240" s="349"/>
      <c r="K240" s="349"/>
      <c r="L240" s="349"/>
      <c r="M240" s="349"/>
      <c r="N240" s="349"/>
      <c r="O240" s="349"/>
      <c r="P240" s="349"/>
      <c r="Q240" s="349"/>
      <c r="R240" s="349"/>
      <c r="S240" s="349"/>
      <c r="T240" s="349"/>
      <c r="U240" s="349"/>
      <c r="V240" s="349"/>
      <c r="W240" s="349"/>
      <c r="X240" s="349"/>
      <c r="Y240" s="349"/>
      <c r="Z240" s="349"/>
      <c r="AA240" s="349"/>
      <c r="AB240" s="349"/>
      <c r="AC240" s="349"/>
      <c r="AD240" s="349"/>
      <c r="AE240" s="349"/>
      <c r="AF240" s="349"/>
      <c r="AG240" s="349"/>
      <c r="AH240" s="349"/>
      <c r="AI240" s="349"/>
    </row>
    <row r="241" spans="1:36">
      <c r="A241" s="886"/>
      <c r="B241" s="685" t="s">
        <v>521</v>
      </c>
      <c r="C241" s="354"/>
      <c r="D241" s="350"/>
      <c r="E241" s="350"/>
      <c r="F241" s="350"/>
      <c r="G241" s="350"/>
      <c r="H241" s="350"/>
      <c r="I241" s="350"/>
      <c r="J241" s="350"/>
      <c r="K241" s="350"/>
      <c r="L241" s="350"/>
      <c r="M241" s="350"/>
      <c r="N241" s="350"/>
      <c r="O241" s="350"/>
      <c r="P241" s="350"/>
      <c r="Q241" s="350"/>
      <c r="R241" s="350"/>
      <c r="S241" s="350"/>
      <c r="T241" s="350"/>
      <c r="U241" s="350"/>
      <c r="V241" s="350"/>
      <c r="W241" s="350"/>
      <c r="X241" s="350"/>
      <c r="Y241" s="350"/>
      <c r="Z241" s="350"/>
      <c r="AA241" s="350"/>
      <c r="AB241" s="350"/>
      <c r="AC241" s="350"/>
      <c r="AD241" s="350"/>
      <c r="AE241" s="350"/>
      <c r="AF241" s="350"/>
      <c r="AG241" s="350"/>
      <c r="AH241" s="350"/>
      <c r="AI241" s="350"/>
    </row>
    <row r="242" spans="1:36">
      <c r="A242" s="886"/>
      <c r="B242" s="685" t="s">
        <v>522</v>
      </c>
      <c r="C242" s="355"/>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row>
    <row r="243" spans="1:36">
      <c r="A243" s="886"/>
      <c r="B243" s="686" t="s">
        <v>523</v>
      </c>
      <c r="C243" s="356"/>
      <c r="D243" s="352"/>
      <c r="E243" s="352"/>
      <c r="F243" s="352"/>
      <c r="G243" s="352"/>
      <c r="H243" s="352"/>
      <c r="I243" s="352"/>
      <c r="J243" s="352"/>
      <c r="K243" s="352"/>
      <c r="L243" s="352"/>
      <c r="M243" s="352"/>
      <c r="N243" s="352"/>
      <c r="O243" s="352"/>
      <c r="P243" s="352"/>
      <c r="Q243" s="352"/>
      <c r="R243" s="352"/>
      <c r="S243" s="352"/>
      <c r="T243" s="352"/>
      <c r="U243" s="352"/>
      <c r="V243" s="352"/>
      <c r="W243" s="352"/>
      <c r="X243" s="352"/>
      <c r="Y243" s="352"/>
      <c r="Z243" s="352"/>
      <c r="AA243" s="352"/>
      <c r="AB243" s="352"/>
      <c r="AC243" s="352"/>
      <c r="AD243" s="352"/>
      <c r="AE243" s="352"/>
      <c r="AF243" s="352"/>
      <c r="AG243" s="352"/>
      <c r="AH243" s="352"/>
      <c r="AI243" s="352"/>
    </row>
    <row r="244" spans="1:36">
      <c r="A244" s="886"/>
      <c r="B244" s="687" t="s">
        <v>30</v>
      </c>
      <c r="C244" s="349"/>
      <c r="D244" s="349"/>
      <c r="E244" s="349"/>
      <c r="F244" s="349"/>
      <c r="G244" s="349"/>
      <c r="H244" s="349"/>
      <c r="I244" s="349"/>
      <c r="J244" s="349"/>
      <c r="K244" s="349"/>
      <c r="L244" s="349"/>
      <c r="M244" s="349"/>
      <c r="N244" s="349"/>
      <c r="O244" s="349"/>
      <c r="P244" s="349"/>
      <c r="Q244" s="349"/>
      <c r="R244" s="349"/>
      <c r="S244" s="349"/>
      <c r="T244" s="349"/>
      <c r="U244" s="349"/>
      <c r="V244" s="349"/>
      <c r="W244" s="349"/>
      <c r="X244" s="349"/>
      <c r="Y244" s="349"/>
      <c r="Z244" s="349"/>
      <c r="AA244" s="349"/>
      <c r="AB244" s="349"/>
      <c r="AC244" s="349"/>
      <c r="AD244" s="349"/>
      <c r="AE244" s="349"/>
      <c r="AF244" s="349"/>
      <c r="AG244" s="349"/>
      <c r="AH244" s="349"/>
      <c r="AI244" s="349"/>
    </row>
    <row r="245" spans="1:36">
      <c r="A245" s="886"/>
      <c r="B245" s="685" t="s">
        <v>524</v>
      </c>
      <c r="C245" s="354"/>
      <c r="D245" s="350"/>
      <c r="E245" s="350"/>
      <c r="F245" s="350"/>
      <c r="G245" s="350"/>
      <c r="H245" s="350"/>
      <c r="I245" s="350"/>
      <c r="J245" s="350"/>
      <c r="K245" s="350"/>
      <c r="L245" s="350"/>
      <c r="M245" s="350"/>
      <c r="N245" s="350"/>
      <c r="O245" s="350"/>
      <c r="P245" s="350"/>
      <c r="Q245" s="350"/>
      <c r="R245" s="350"/>
      <c r="S245" s="350"/>
      <c r="T245" s="350"/>
      <c r="U245" s="350"/>
      <c r="V245" s="350"/>
      <c r="W245" s="350"/>
      <c r="X245" s="350"/>
      <c r="Y245" s="350"/>
      <c r="Z245" s="350"/>
      <c r="AA245" s="350"/>
      <c r="AB245" s="350"/>
      <c r="AC245" s="350"/>
      <c r="AD245" s="350"/>
      <c r="AE245" s="350"/>
      <c r="AF245" s="350"/>
      <c r="AG245" s="350"/>
      <c r="AH245" s="350"/>
      <c r="AI245" s="350"/>
    </row>
    <row r="246" spans="1:36">
      <c r="A246" s="886"/>
      <c r="B246" s="685" t="s">
        <v>522</v>
      </c>
      <c r="C246" s="355"/>
      <c r="D246" s="351"/>
      <c r="E246" s="351"/>
      <c r="F246" s="351"/>
      <c r="G246" s="351"/>
      <c r="H246" s="351"/>
      <c r="I246" s="351"/>
      <c r="J246" s="351"/>
      <c r="K246" s="351"/>
      <c r="L246" s="351"/>
      <c r="M246" s="351"/>
      <c r="N246" s="351"/>
      <c r="O246" s="351"/>
      <c r="P246" s="351"/>
      <c r="Q246" s="351"/>
      <c r="R246" s="351"/>
      <c r="S246" s="351"/>
      <c r="T246" s="351"/>
      <c r="U246" s="351"/>
      <c r="V246" s="351"/>
      <c r="W246" s="351"/>
      <c r="X246" s="351"/>
      <c r="Y246" s="351"/>
      <c r="Z246" s="351"/>
      <c r="AA246" s="351"/>
      <c r="AB246" s="351"/>
      <c r="AC246" s="351"/>
      <c r="AD246" s="351"/>
      <c r="AE246" s="351"/>
      <c r="AF246" s="351"/>
      <c r="AG246" s="351"/>
      <c r="AH246" s="351"/>
      <c r="AI246" s="351"/>
    </row>
    <row r="247" spans="1:36">
      <c r="A247" s="886"/>
      <c r="B247" s="686" t="s">
        <v>525</v>
      </c>
      <c r="C247" s="357"/>
      <c r="D247" s="353"/>
      <c r="E247" s="353"/>
      <c r="F247" s="353"/>
      <c r="G247" s="353"/>
      <c r="H247" s="353"/>
      <c r="I247" s="353"/>
      <c r="J247" s="353"/>
      <c r="K247" s="353"/>
      <c r="L247" s="353"/>
      <c r="M247" s="353"/>
      <c r="N247" s="353"/>
      <c r="O247" s="353"/>
      <c r="P247" s="353"/>
      <c r="Q247" s="353"/>
      <c r="R247" s="353"/>
      <c r="S247" s="353"/>
      <c r="T247" s="353"/>
      <c r="U247" s="353"/>
      <c r="V247" s="353"/>
      <c r="W247" s="353"/>
      <c r="X247" s="353"/>
      <c r="Y247" s="353"/>
      <c r="Z247" s="353"/>
      <c r="AA247" s="353"/>
      <c r="AB247" s="353"/>
      <c r="AC247" s="353"/>
      <c r="AD247" s="353"/>
      <c r="AE247" s="353"/>
      <c r="AF247" s="353"/>
      <c r="AG247" s="353"/>
      <c r="AH247" s="353"/>
      <c r="AI247" s="353"/>
    </row>
    <row r="248" spans="1:36">
      <c r="A248" s="886"/>
      <c r="B248" s="686" t="s">
        <v>817</v>
      </c>
      <c r="C248" s="357"/>
      <c r="D248" s="353"/>
      <c r="E248" s="353"/>
      <c r="F248" s="353"/>
      <c r="G248" s="353"/>
      <c r="H248" s="353"/>
      <c r="I248" s="353"/>
      <c r="J248" s="353"/>
      <c r="K248" s="353"/>
      <c r="L248" s="353"/>
      <c r="M248" s="353"/>
      <c r="N248" s="353"/>
      <c r="O248" s="353"/>
      <c r="P248" s="353"/>
      <c r="Q248" s="353"/>
      <c r="R248" s="353"/>
      <c r="S248" s="353"/>
      <c r="T248" s="353"/>
      <c r="U248" s="353"/>
      <c r="V248" s="353"/>
      <c r="W248" s="353"/>
      <c r="X248" s="353"/>
      <c r="Y248" s="353"/>
      <c r="Z248" s="353"/>
      <c r="AA248" s="353"/>
      <c r="AB248" s="353"/>
      <c r="AC248" s="353"/>
      <c r="AD248" s="353"/>
      <c r="AE248" s="353"/>
      <c r="AF248" s="353"/>
      <c r="AG248" s="353"/>
      <c r="AH248" s="353"/>
      <c r="AI248" s="353"/>
    </row>
    <row r="249" spans="1:36">
      <c r="A249" s="581"/>
      <c r="B249" s="359"/>
      <c r="C249" s="360"/>
      <c r="D249" s="360"/>
      <c r="E249" s="360"/>
      <c r="F249" s="360"/>
      <c r="G249" s="360"/>
      <c r="H249" s="360"/>
      <c r="I249" s="360"/>
      <c r="J249" s="360"/>
      <c r="K249" s="360"/>
      <c r="L249" s="360"/>
      <c r="M249" s="360"/>
      <c r="N249" s="360"/>
      <c r="O249" s="360"/>
      <c r="P249" s="360"/>
      <c r="Q249" s="360"/>
      <c r="R249" s="360"/>
      <c r="S249" s="360"/>
      <c r="T249" s="360"/>
      <c r="U249" s="360"/>
      <c r="V249" s="360"/>
      <c r="W249" s="360"/>
      <c r="X249" s="360"/>
      <c r="Y249" s="360"/>
      <c r="Z249" s="360"/>
      <c r="AA249" s="360"/>
      <c r="AB249" s="360"/>
    </row>
    <row r="250" spans="1:36" ht="15" thickBot="1">
      <c r="B250" s="684"/>
      <c r="C250" s="684"/>
      <c r="D250" s="684"/>
      <c r="E250" s="684"/>
      <c r="F250" s="211"/>
      <c r="G250" s="211"/>
      <c r="H250" s="211"/>
      <c r="I250" s="211"/>
    </row>
    <row r="251" spans="1:36">
      <c r="B251" s="442" t="s">
        <v>863</v>
      </c>
      <c r="D251" s="1907" t="s">
        <v>459</v>
      </c>
      <c r="E251" s="1908"/>
      <c r="F251" s="1909"/>
      <c r="G251" s="1907" t="s">
        <v>28</v>
      </c>
      <c r="H251" s="1908"/>
      <c r="I251" s="1909"/>
      <c r="J251" s="1907" t="s">
        <v>30</v>
      </c>
      <c r="K251" s="1908"/>
      <c r="L251" s="1909"/>
    </row>
    <row r="252" spans="1:36" ht="78.5">
      <c r="B252" s="311" t="s">
        <v>507</v>
      </c>
      <c r="C252" s="328" t="s">
        <v>805</v>
      </c>
      <c r="D252" s="362" t="s">
        <v>509</v>
      </c>
      <c r="E252" s="316"/>
      <c r="F252" s="363" t="s">
        <v>510</v>
      </c>
      <c r="G252" s="362" t="s">
        <v>806</v>
      </c>
      <c r="H252" s="316"/>
      <c r="I252" s="361" t="s">
        <v>807</v>
      </c>
      <c r="J252" s="362" t="s">
        <v>808</v>
      </c>
      <c r="K252" s="316"/>
      <c r="L252" s="361" t="s">
        <v>809</v>
      </c>
      <c r="R252" s="8"/>
      <c r="S252" s="8"/>
      <c r="T252" s="8"/>
      <c r="U252" s="8"/>
      <c r="V252" s="8"/>
      <c r="W252" s="8"/>
      <c r="X252" s="8"/>
      <c r="Y252" s="8"/>
      <c r="Z252" s="8"/>
      <c r="AA252" s="8"/>
    </row>
    <row r="253" spans="1:36">
      <c r="A253" s="234"/>
      <c r="B253" s="343" t="s">
        <v>831</v>
      </c>
      <c r="C253" s="342" t="s">
        <v>796</v>
      </c>
      <c r="D253" s="313">
        <v>52.07</v>
      </c>
      <c r="E253" s="313"/>
      <c r="F253" s="404">
        <f>D253*2.20462</f>
        <v>114.79456339999999</v>
      </c>
      <c r="G253" s="405">
        <v>7.1999999999999998E-3</v>
      </c>
      <c r="H253" s="406"/>
      <c r="I253" s="404">
        <f>G253*2.20462</f>
        <v>1.5873263999999998E-2</v>
      </c>
      <c r="J253" s="405">
        <v>3.5999999999999999E-3</v>
      </c>
      <c r="K253" s="406"/>
      <c r="L253" s="412">
        <f>J253*2.20462</f>
        <v>7.936631999999999E-3</v>
      </c>
      <c r="AG253" s="234"/>
    </row>
    <row r="254" spans="1:36">
      <c r="B254" s="344" t="s">
        <v>864</v>
      </c>
      <c r="C254" s="329">
        <v>1990</v>
      </c>
      <c r="D254" s="329">
        <v>1991</v>
      </c>
      <c r="E254" s="329">
        <v>1992</v>
      </c>
      <c r="F254" s="329">
        <v>1993</v>
      </c>
      <c r="G254" s="329">
        <v>1994</v>
      </c>
      <c r="H254" s="329">
        <v>1995</v>
      </c>
      <c r="I254" s="329">
        <v>1996</v>
      </c>
      <c r="J254" s="329">
        <v>1997</v>
      </c>
      <c r="K254" s="329">
        <v>1998</v>
      </c>
      <c r="L254" s="329">
        <v>1999</v>
      </c>
      <c r="M254" s="330">
        <v>2000</v>
      </c>
      <c r="N254" s="330">
        <v>2001</v>
      </c>
      <c r="O254" s="330">
        <v>2002</v>
      </c>
      <c r="P254" s="330">
        <v>2003</v>
      </c>
      <c r="Q254" s="330">
        <v>2004</v>
      </c>
      <c r="R254" s="330">
        <v>2005</v>
      </c>
      <c r="S254" s="330">
        <v>2006</v>
      </c>
      <c r="T254" s="330">
        <v>2007</v>
      </c>
      <c r="U254" s="330">
        <v>2008</v>
      </c>
      <c r="V254" s="330">
        <v>2009</v>
      </c>
      <c r="W254" s="330">
        <v>2010</v>
      </c>
      <c r="X254" s="330">
        <v>2011</v>
      </c>
      <c r="Y254" s="330">
        <v>2012</v>
      </c>
      <c r="Z254" s="330">
        <v>2013</v>
      </c>
      <c r="AA254" s="330">
        <v>2014</v>
      </c>
      <c r="AB254" s="330">
        <v>2015</v>
      </c>
      <c r="AC254" s="330">
        <v>2016</v>
      </c>
      <c r="AD254" s="330">
        <v>2017</v>
      </c>
      <c r="AE254" s="330">
        <v>2018</v>
      </c>
      <c r="AF254" s="330">
        <v>2019</v>
      </c>
      <c r="AG254" s="330">
        <v>2020</v>
      </c>
      <c r="AH254" s="330">
        <v>2021</v>
      </c>
      <c r="AI254" s="330">
        <v>2022</v>
      </c>
      <c r="AJ254" s="330">
        <v>2023</v>
      </c>
    </row>
    <row r="255" spans="1:36" ht="27" thickBot="1">
      <c r="B255" s="750" t="s">
        <v>865</v>
      </c>
      <c r="C255" s="327"/>
      <c r="D255" s="327"/>
      <c r="E255" s="327"/>
      <c r="F255" s="327"/>
      <c r="G255" s="327"/>
      <c r="H255" s="327"/>
      <c r="I255" s="327"/>
      <c r="J255" s="327"/>
      <c r="K255" s="327"/>
      <c r="L255" s="327"/>
      <c r="M255" s="648"/>
      <c r="N255" s="648"/>
      <c r="O255" s="648"/>
      <c r="P255" s="648"/>
      <c r="Q255" s="648"/>
      <c r="R255" s="327">
        <v>77260.23280815121</v>
      </c>
      <c r="S255" s="327">
        <v>40407.809385237597</v>
      </c>
      <c r="T255" s="327">
        <v>23138.748009595009</v>
      </c>
      <c r="U255" s="327">
        <v>17285.127026819926</v>
      </c>
      <c r="V255" s="327">
        <v>15960.007332236526</v>
      </c>
      <c r="W255" s="327">
        <v>33973.801032096337</v>
      </c>
      <c r="X255" s="327">
        <v>20376.490528815484</v>
      </c>
      <c r="Y255" s="327">
        <v>25166.435801582178</v>
      </c>
      <c r="Z255" s="327">
        <v>23196.866052975223</v>
      </c>
      <c r="AA255" s="327">
        <v>30155.223418685455</v>
      </c>
      <c r="AB255" s="327">
        <v>17088.518825448053</v>
      </c>
      <c r="AC255" s="327">
        <v>28165.307117338805</v>
      </c>
      <c r="AD255" s="327">
        <v>18463.288658423233</v>
      </c>
      <c r="AE255" s="327">
        <v>9961.0022990831294</v>
      </c>
      <c r="AF255" s="327">
        <v>30812.343406336746</v>
      </c>
      <c r="AG255" s="327">
        <v>14517.301106914132</v>
      </c>
      <c r="AH255" s="327">
        <v>19899.025038609787</v>
      </c>
      <c r="AI255" s="327">
        <v>15536.436643233286</v>
      </c>
      <c r="AJ255" s="327">
        <v>13484.4</v>
      </c>
    </row>
    <row r="256" spans="1:36" ht="26.5">
      <c r="B256" s="315" t="s">
        <v>815</v>
      </c>
      <c r="C256" s="45">
        <f t="shared" ref="C256:Z256" si="233">C255*$F253</f>
        <v>0</v>
      </c>
      <c r="D256" s="45">
        <f t="shared" si="233"/>
        <v>0</v>
      </c>
      <c r="E256" s="45">
        <f t="shared" si="233"/>
        <v>0</v>
      </c>
      <c r="F256" s="45">
        <f t="shared" si="233"/>
        <v>0</v>
      </c>
      <c r="G256" s="45">
        <f t="shared" si="233"/>
        <v>0</v>
      </c>
      <c r="H256" s="45">
        <f t="shared" si="233"/>
        <v>0</v>
      </c>
      <c r="I256" s="45">
        <f t="shared" si="233"/>
        <v>0</v>
      </c>
      <c r="J256" s="45">
        <f t="shared" si="233"/>
        <v>0</v>
      </c>
      <c r="K256" s="45">
        <f t="shared" si="233"/>
        <v>0</v>
      </c>
      <c r="L256" s="45">
        <f t="shared" si="233"/>
        <v>0</v>
      </c>
      <c r="M256" s="45">
        <f t="shared" si="233"/>
        <v>0</v>
      </c>
      <c r="N256" s="45">
        <f t="shared" si="233"/>
        <v>0</v>
      </c>
      <c r="O256" s="45">
        <f t="shared" si="233"/>
        <v>0</v>
      </c>
      <c r="P256" s="45">
        <f t="shared" si="233"/>
        <v>0</v>
      </c>
      <c r="Q256" s="45">
        <f t="shared" si="233"/>
        <v>0</v>
      </c>
      <c r="R256" s="45">
        <f t="shared" si="233"/>
        <v>8869054.6933940724</v>
      </c>
      <c r="S256" s="45">
        <f t="shared" si="233"/>
        <v>4638596.8363287719</v>
      </c>
      <c r="T256" s="45">
        <f t="shared" si="233"/>
        <v>2656202.4753840775</v>
      </c>
      <c r="U256" s="45">
        <f t="shared" si="233"/>
        <v>1984238.6103573332</v>
      </c>
      <c r="V256" s="45">
        <f t="shared" si="233"/>
        <v>1832122.0735648905</v>
      </c>
      <c r="W256" s="45">
        <f t="shared" si="233"/>
        <v>3900007.656517968</v>
      </c>
      <c r="X256" s="45">
        <f t="shared" si="233"/>
        <v>2339110.3338796082</v>
      </c>
      <c r="Y256" s="45">
        <f t="shared" si="233"/>
        <v>2888970.010176755</v>
      </c>
      <c r="Z256" s="45">
        <f t="shared" si="233"/>
        <v>2662874.1107995715</v>
      </c>
      <c r="AA256" s="45">
        <f t="shared" ref="AA256:AF256" si="234">AA255*$F253</f>
        <v>3461655.7065774519</v>
      </c>
      <c r="AB256" s="45">
        <f t="shared" si="234"/>
        <v>1961669.0577199897</v>
      </c>
      <c r="AC256" s="45">
        <f t="shared" si="234"/>
        <v>3233224.1335618203</v>
      </c>
      <c r="AD256" s="45">
        <f t="shared" si="234"/>
        <v>2119485.1604718664</v>
      </c>
      <c r="AE256" s="45">
        <f t="shared" si="234"/>
        <v>1143468.909949644</v>
      </c>
      <c r="AF256" s="45">
        <f t="shared" si="234"/>
        <v>3537089.5086612953</v>
      </c>
      <c r="AG256" s="45">
        <f t="shared" ref="AG256:AI256" si="235">AG255*$F253</f>
        <v>1666507.2423145443</v>
      </c>
      <c r="AH256" s="45">
        <f t="shared" si="235"/>
        <v>2284299.8913928783</v>
      </c>
      <c r="AI256" s="45">
        <f t="shared" si="235"/>
        <v>1783498.4612517264</v>
      </c>
      <c r="AJ256" s="45">
        <f t="shared" ref="AJ256" si="236">AJ255*$F253</f>
        <v>1547935.8107109598</v>
      </c>
    </row>
    <row r="257" spans="1:36" ht="15" thickBot="1">
      <c r="B257" s="449" t="s">
        <v>317</v>
      </c>
      <c r="C257" s="317">
        <f t="shared" ref="C257:N257" si="237">C256/(2205*1000000)</f>
        <v>0</v>
      </c>
      <c r="D257" s="317">
        <f t="shared" si="237"/>
        <v>0</v>
      </c>
      <c r="E257" s="317">
        <f t="shared" si="237"/>
        <v>0</v>
      </c>
      <c r="F257" s="317">
        <f t="shared" si="237"/>
        <v>0</v>
      </c>
      <c r="G257" s="317">
        <f t="shared" si="237"/>
        <v>0</v>
      </c>
      <c r="H257" s="317">
        <f t="shared" si="237"/>
        <v>0</v>
      </c>
      <c r="I257" s="317">
        <f t="shared" si="237"/>
        <v>0</v>
      </c>
      <c r="J257" s="317">
        <f t="shared" si="237"/>
        <v>0</v>
      </c>
      <c r="K257" s="317">
        <f t="shared" si="237"/>
        <v>0</v>
      </c>
      <c r="L257" s="317">
        <f t="shared" si="237"/>
        <v>0</v>
      </c>
      <c r="M257" s="317">
        <f t="shared" si="237"/>
        <v>0</v>
      </c>
      <c r="N257" s="317">
        <f t="shared" si="237"/>
        <v>0</v>
      </c>
      <c r="O257" s="317">
        <f t="shared" ref="O257:AB257" si="238">O256/(2205*1000000)</f>
        <v>0</v>
      </c>
      <c r="P257" s="317">
        <f t="shared" si="238"/>
        <v>0</v>
      </c>
      <c r="Q257" s="317">
        <f t="shared" si="238"/>
        <v>0</v>
      </c>
      <c r="R257" s="317">
        <f t="shared" si="238"/>
        <v>4.0222470264825727E-3</v>
      </c>
      <c r="S257" s="317">
        <f t="shared" si="238"/>
        <v>2.1036720346162231E-3</v>
      </c>
      <c r="T257" s="317">
        <f t="shared" si="238"/>
        <v>1.2046269729633005E-3</v>
      </c>
      <c r="U257" s="317">
        <f t="shared" si="238"/>
        <v>8.9988145594436879E-4</v>
      </c>
      <c r="V257" s="317">
        <f t="shared" si="238"/>
        <v>8.3089436442852175E-4</v>
      </c>
      <c r="W257" s="317">
        <f t="shared" si="238"/>
        <v>1.7687109553369469E-3</v>
      </c>
      <c r="X257" s="317">
        <f t="shared" si="238"/>
        <v>1.0608210130973279E-3</v>
      </c>
      <c r="Y257" s="317">
        <f t="shared" si="238"/>
        <v>1.3101904808057846E-3</v>
      </c>
      <c r="Z257" s="317">
        <f t="shared" si="238"/>
        <v>1.2076526579589894E-3</v>
      </c>
      <c r="AA257" s="317">
        <f t="shared" si="238"/>
        <v>1.5699118850691391E-3</v>
      </c>
      <c r="AB257" s="317">
        <f t="shared" si="238"/>
        <v>8.8964583116552822E-4</v>
      </c>
      <c r="AC257" s="317">
        <f>AC256/(2205*1000000)</f>
        <v>1.4663147998012791E-3</v>
      </c>
      <c r="AD257" s="317">
        <f>AD256/(2205*1000000)</f>
        <v>9.6121775985118652E-4</v>
      </c>
      <c r="AE257" s="317">
        <f>AE256/(2205*1000000)</f>
        <v>5.1858000451231016E-4</v>
      </c>
      <c r="AF257" s="317">
        <f>AF256/(2205*1000000)</f>
        <v>1.6041222261502473E-3</v>
      </c>
      <c r="AG257" s="317">
        <f>AG256/(2205*1000000)</f>
        <v>7.5578559742156201E-4</v>
      </c>
      <c r="AH257" s="317">
        <f t="shared" ref="AH257:AI257" si="239">AH256/(2205*1000000)</f>
        <v>1.0359636695659311E-3</v>
      </c>
      <c r="AI257" s="317">
        <f t="shared" si="239"/>
        <v>8.0884283956994389E-4</v>
      </c>
      <c r="AJ257" s="317">
        <f t="shared" ref="AJ257" si="240">AJ256/(2205*1000000)</f>
        <v>7.0201170553785025E-4</v>
      </c>
    </row>
    <row r="258" spans="1:36" ht="15" thickBot="1">
      <c r="B258" s="314" t="s">
        <v>28</v>
      </c>
      <c r="C258" s="324"/>
      <c r="D258" s="325"/>
      <c r="E258" s="325"/>
      <c r="F258" s="325"/>
      <c r="G258" s="325"/>
      <c r="H258" s="325"/>
      <c r="I258" s="325"/>
      <c r="J258" s="325"/>
      <c r="K258" s="325"/>
      <c r="L258" s="325"/>
      <c r="M258" s="325"/>
      <c r="N258" s="325"/>
      <c r="O258" s="325"/>
      <c r="P258" s="325"/>
      <c r="Q258" s="325"/>
      <c r="R258" s="325"/>
      <c r="S258" s="325"/>
      <c r="T258" s="325"/>
      <c r="U258" s="325"/>
      <c r="V258" s="325"/>
      <c r="W258" s="325"/>
      <c r="X258" s="325"/>
      <c r="Y258" s="325"/>
      <c r="Z258" s="325"/>
      <c r="AA258" s="325"/>
      <c r="AB258" s="325"/>
      <c r="AC258" s="325"/>
      <c r="AD258" s="325"/>
      <c r="AE258" s="325"/>
      <c r="AF258" s="325"/>
      <c r="AG258" s="325"/>
      <c r="AH258" s="325"/>
      <c r="AI258" s="325"/>
      <c r="AJ258" s="325"/>
    </row>
    <row r="259" spans="1:36">
      <c r="B259" s="321" t="s">
        <v>521</v>
      </c>
      <c r="C259" s="323">
        <f>C255*$I$253</f>
        <v>0</v>
      </c>
      <c r="D259" s="323">
        <f t="shared" ref="D259:AB259" si="241">D255*$I$253</f>
        <v>0</v>
      </c>
      <c r="E259" s="323">
        <f t="shared" si="241"/>
        <v>0</v>
      </c>
      <c r="F259" s="323">
        <f t="shared" si="241"/>
        <v>0</v>
      </c>
      <c r="G259" s="323">
        <f t="shared" si="241"/>
        <v>0</v>
      </c>
      <c r="H259" s="323">
        <f t="shared" si="241"/>
        <v>0</v>
      </c>
      <c r="I259" s="323">
        <f t="shared" si="241"/>
        <v>0</v>
      </c>
      <c r="J259" s="323">
        <f t="shared" si="241"/>
        <v>0</v>
      </c>
      <c r="K259" s="323">
        <f t="shared" si="241"/>
        <v>0</v>
      </c>
      <c r="L259" s="323">
        <f t="shared" si="241"/>
        <v>0</v>
      </c>
      <c r="M259" s="323">
        <f t="shared" si="241"/>
        <v>0</v>
      </c>
      <c r="N259" s="323">
        <f t="shared" si="241"/>
        <v>0</v>
      </c>
      <c r="O259" s="323">
        <f t="shared" si="241"/>
        <v>0</v>
      </c>
      <c r="P259" s="323">
        <f t="shared" si="241"/>
        <v>0</v>
      </c>
      <c r="Q259" s="323">
        <f t="shared" si="241"/>
        <v>0</v>
      </c>
      <c r="R259" s="323">
        <f t="shared" si="241"/>
        <v>1226.3720720652454</v>
      </c>
      <c r="S259" s="323">
        <f t="shared" si="241"/>
        <v>641.40382603355397</v>
      </c>
      <c r="T259" s="323">
        <f t="shared" si="241"/>
        <v>367.28745578577605</v>
      </c>
      <c r="U259" s="323">
        <f t="shared" si="241"/>
        <v>274.37138457024776</v>
      </c>
      <c r="V259" s="323">
        <f t="shared" si="241"/>
        <v>253.33740982652606</v>
      </c>
      <c r="W259" s="323">
        <f t="shared" si="241"/>
        <v>539.27511286593756</v>
      </c>
      <c r="X259" s="323">
        <f t="shared" si="241"/>
        <v>323.44141355738776</v>
      </c>
      <c r="Y259" s="323">
        <f t="shared" si="241"/>
        <v>399.4734794175655</v>
      </c>
      <c r="Z259" s="323">
        <f t="shared" si="241"/>
        <v>368.20997883151364</v>
      </c>
      <c r="AA259" s="323">
        <f t="shared" si="241"/>
        <v>478.66182230377672</v>
      </c>
      <c r="AB259" s="323">
        <f t="shared" si="241"/>
        <v>271.2505706853068</v>
      </c>
      <c r="AC259" s="323">
        <f>AC255*$I$253</f>
        <v>447.07535551459779</v>
      </c>
      <c r="AD259" s="323">
        <f>AD255*$I$253</f>
        <v>293.07265518335777</v>
      </c>
      <c r="AE259" s="323">
        <f>AE255*$I$253</f>
        <v>158.11361919795345</v>
      </c>
      <c r="AF259" s="323">
        <f>AF255*$I$253</f>
        <v>489.09246134744239</v>
      </c>
      <c r="AG259" s="323">
        <f>AG255*$I$253</f>
        <v>230.43695303754021</v>
      </c>
      <c r="AH259" s="323">
        <f t="shared" ref="AH259:AI259" si="242">AH255*$I$253</f>
        <v>315.86247778046328</v>
      </c>
      <c r="AI259" s="323">
        <f t="shared" si="242"/>
        <v>246.61396045731573</v>
      </c>
      <c r="AJ259" s="323">
        <f t="shared" ref="AJ259" si="243">AJ255*$I$253</f>
        <v>214.04144108159997</v>
      </c>
    </row>
    <row r="260" spans="1:36">
      <c r="B260" s="312" t="s">
        <v>522</v>
      </c>
      <c r="C260" s="45">
        <f t="shared" ref="C260:AB260" si="244">C259*$M$3</f>
        <v>0</v>
      </c>
      <c r="D260" s="45">
        <f t="shared" si="244"/>
        <v>0</v>
      </c>
      <c r="E260" s="45">
        <f t="shared" si="244"/>
        <v>0</v>
      </c>
      <c r="F260" s="45">
        <f t="shared" si="244"/>
        <v>0</v>
      </c>
      <c r="G260" s="45">
        <f t="shared" si="244"/>
        <v>0</v>
      </c>
      <c r="H260" s="45">
        <f t="shared" si="244"/>
        <v>0</v>
      </c>
      <c r="I260" s="45">
        <f t="shared" si="244"/>
        <v>0</v>
      </c>
      <c r="J260" s="45">
        <f t="shared" si="244"/>
        <v>0</v>
      </c>
      <c r="K260" s="45">
        <f t="shared" si="244"/>
        <v>0</v>
      </c>
      <c r="L260" s="45">
        <f t="shared" si="244"/>
        <v>0</v>
      </c>
      <c r="M260" s="45">
        <f t="shared" si="244"/>
        <v>0</v>
      </c>
      <c r="N260" s="45">
        <f t="shared" si="244"/>
        <v>0</v>
      </c>
      <c r="O260" s="45">
        <f t="shared" si="244"/>
        <v>0</v>
      </c>
      <c r="P260" s="45">
        <f t="shared" si="244"/>
        <v>0</v>
      </c>
      <c r="Q260" s="45">
        <f t="shared" si="244"/>
        <v>0</v>
      </c>
      <c r="R260" s="45">
        <f t="shared" si="244"/>
        <v>30659.301801631136</v>
      </c>
      <c r="S260" s="45">
        <f t="shared" si="244"/>
        <v>16035.09565083885</v>
      </c>
      <c r="T260" s="45">
        <f t="shared" si="244"/>
        <v>9182.1863946444009</v>
      </c>
      <c r="U260" s="45">
        <f t="shared" si="244"/>
        <v>6859.2846142561939</v>
      </c>
      <c r="V260" s="45">
        <f t="shared" si="244"/>
        <v>6333.4352456631514</v>
      </c>
      <c r="W260" s="45">
        <f t="shared" si="244"/>
        <v>13481.877821648439</v>
      </c>
      <c r="X260" s="45">
        <f t="shared" si="244"/>
        <v>8086.0353389346938</v>
      </c>
      <c r="Y260" s="45">
        <f t="shared" si="244"/>
        <v>9986.8369854391367</v>
      </c>
      <c r="Z260" s="45">
        <f t="shared" si="244"/>
        <v>9205.2494707878413</v>
      </c>
      <c r="AA260" s="45">
        <f t="shared" si="244"/>
        <v>11966.545557594418</v>
      </c>
      <c r="AB260" s="45">
        <f t="shared" si="244"/>
        <v>6781.2642671326703</v>
      </c>
      <c r="AC260" s="45">
        <f>AC259*$M$3</f>
        <v>11176.883887864944</v>
      </c>
      <c r="AD260" s="45">
        <f>AD259*$M$3</f>
        <v>7326.8163795839446</v>
      </c>
      <c r="AE260" s="45">
        <f>AE259*$M$3</f>
        <v>3952.8404799488362</v>
      </c>
      <c r="AF260" s="45">
        <f>AF259*$M$3</f>
        <v>12227.311533686059</v>
      </c>
      <c r="AG260" s="45">
        <f>AG259*$M$3</f>
        <v>5760.9238259385056</v>
      </c>
      <c r="AH260" s="45">
        <f t="shared" ref="AH260:AI260" si="245">AH259*$M$3</f>
        <v>7896.5619445115817</v>
      </c>
      <c r="AI260" s="45">
        <f t="shared" si="245"/>
        <v>6165.3490114328933</v>
      </c>
      <c r="AJ260" s="45">
        <f t="shared" ref="AJ260" si="246">AJ259*$M$3</f>
        <v>5351.0360270399997</v>
      </c>
    </row>
    <row r="261" spans="1:36" ht="15" thickBot="1">
      <c r="B261" s="322" t="s">
        <v>523</v>
      </c>
      <c r="C261" s="326">
        <f t="shared" ref="C261:H261" si="247">C260/(2205*1000000)</f>
        <v>0</v>
      </c>
      <c r="D261" s="326">
        <f t="shared" si="247"/>
        <v>0</v>
      </c>
      <c r="E261" s="326">
        <f t="shared" si="247"/>
        <v>0</v>
      </c>
      <c r="F261" s="326">
        <f t="shared" si="247"/>
        <v>0</v>
      </c>
      <c r="G261" s="326">
        <f t="shared" si="247"/>
        <v>0</v>
      </c>
      <c r="H261" s="326">
        <f t="shared" si="247"/>
        <v>0</v>
      </c>
      <c r="I261" s="326">
        <f t="shared" ref="I261:V261" si="248">I260/(2205*1000000)</f>
        <v>0</v>
      </c>
      <c r="J261" s="326">
        <f t="shared" si="248"/>
        <v>0</v>
      </c>
      <c r="K261" s="326">
        <f t="shared" si="248"/>
        <v>0</v>
      </c>
      <c r="L261" s="326">
        <f t="shared" si="248"/>
        <v>0</v>
      </c>
      <c r="M261" s="326">
        <f t="shared" si="248"/>
        <v>0</v>
      </c>
      <c r="N261" s="326">
        <f t="shared" si="248"/>
        <v>0</v>
      </c>
      <c r="O261" s="326">
        <f t="shared" si="248"/>
        <v>0</v>
      </c>
      <c r="P261" s="326">
        <f t="shared" si="248"/>
        <v>0</v>
      </c>
      <c r="Q261" s="326">
        <f t="shared" si="248"/>
        <v>0</v>
      </c>
      <c r="R261" s="326">
        <f t="shared" si="248"/>
        <v>1.3904445261510719E-5</v>
      </c>
      <c r="S261" s="326">
        <f t="shared" si="248"/>
        <v>7.2721522226026531E-6</v>
      </c>
      <c r="T261" s="326">
        <f t="shared" si="248"/>
        <v>4.1642568683194558E-6</v>
      </c>
      <c r="U261" s="326">
        <f t="shared" si="248"/>
        <v>3.1107866731320607E-6</v>
      </c>
      <c r="V261" s="326">
        <f t="shared" si="248"/>
        <v>2.8723062338608397E-6</v>
      </c>
      <c r="W261" s="326">
        <f t="shared" ref="W261:AB261" si="249">W260/(2205*1000000)</f>
        <v>6.1142303046024662E-6</v>
      </c>
      <c r="X261" s="326">
        <f t="shared" si="249"/>
        <v>3.6671362081336479E-6</v>
      </c>
      <c r="Y261" s="326">
        <f t="shared" si="249"/>
        <v>4.5291777711742115E-6</v>
      </c>
      <c r="Z261" s="326">
        <f t="shared" si="249"/>
        <v>4.1747163132824679E-6</v>
      </c>
      <c r="AA261" s="326">
        <f t="shared" si="249"/>
        <v>5.427004788024679E-6</v>
      </c>
      <c r="AB261" s="326">
        <f t="shared" si="249"/>
        <v>3.0754032957517778E-6</v>
      </c>
      <c r="AC261" s="326">
        <f>AC260/(2205*1000000)</f>
        <v>5.0688815817981607E-6</v>
      </c>
      <c r="AD261" s="326">
        <f>AD260/(2205*1000000)</f>
        <v>3.3228192197659614E-6</v>
      </c>
      <c r="AE261" s="326">
        <f>AE260/(2205*1000000)</f>
        <v>1.7926714194779303E-6</v>
      </c>
      <c r="AF261" s="326">
        <f>AF260/(2205*1000000)</f>
        <v>5.5452660016716818E-6</v>
      </c>
      <c r="AG261" s="326">
        <f>AG260/(2205*1000000)</f>
        <v>2.612663866638778E-6</v>
      </c>
      <c r="AH261" s="326">
        <f t="shared" ref="AH261:AI261" si="250">AH260/(2205*1000000)</f>
        <v>3.5812072310710121E-6</v>
      </c>
      <c r="AI261" s="326">
        <f t="shared" si="250"/>
        <v>2.7960766491759153E-6</v>
      </c>
      <c r="AJ261" s="326">
        <f t="shared" ref="AJ261" si="251">AJ260/(2205*1000000)</f>
        <v>2.4267737084081633E-6</v>
      </c>
    </row>
    <row r="262" spans="1:36" ht="15" thickBot="1">
      <c r="B262" s="314" t="s">
        <v>30</v>
      </c>
      <c r="C262" s="324"/>
      <c r="D262" s="325"/>
      <c r="E262" s="325"/>
      <c r="F262" s="325"/>
      <c r="G262" s="325"/>
      <c r="H262" s="325"/>
      <c r="I262" s="325"/>
      <c r="J262" s="325"/>
      <c r="K262" s="325"/>
      <c r="L262" s="325"/>
      <c r="M262" s="325"/>
      <c r="N262" s="325"/>
      <c r="O262" s="325"/>
      <c r="P262" s="325"/>
      <c r="Q262" s="325"/>
      <c r="R262" s="325"/>
      <c r="S262" s="325"/>
      <c r="T262" s="325"/>
      <c r="U262" s="325"/>
      <c r="V262" s="325"/>
      <c r="W262" s="325"/>
      <c r="X262" s="325"/>
      <c r="Y262" s="325"/>
      <c r="Z262" s="325"/>
      <c r="AA262" s="325"/>
      <c r="AB262" s="325"/>
      <c r="AC262" s="325"/>
      <c r="AD262" s="325"/>
      <c r="AE262" s="325"/>
      <c r="AF262" s="325"/>
      <c r="AG262" s="325"/>
      <c r="AH262" s="325"/>
      <c r="AI262" s="325"/>
      <c r="AJ262" s="325"/>
    </row>
    <row r="263" spans="1:36">
      <c r="B263" s="321" t="s">
        <v>524</v>
      </c>
      <c r="C263" s="323">
        <f>C255*$L$253</f>
        <v>0</v>
      </c>
      <c r="D263" s="323">
        <f t="shared" ref="D263:AB263" si="252">D255*$L$253</f>
        <v>0</v>
      </c>
      <c r="E263" s="323">
        <f t="shared" si="252"/>
        <v>0</v>
      </c>
      <c r="F263" s="323">
        <f t="shared" si="252"/>
        <v>0</v>
      </c>
      <c r="G263" s="323">
        <f t="shared" si="252"/>
        <v>0</v>
      </c>
      <c r="H263" s="323">
        <f t="shared" si="252"/>
        <v>0</v>
      </c>
      <c r="I263" s="323">
        <f t="shared" si="252"/>
        <v>0</v>
      </c>
      <c r="J263" s="323">
        <f t="shared" si="252"/>
        <v>0</v>
      </c>
      <c r="K263" s="323">
        <f t="shared" si="252"/>
        <v>0</v>
      </c>
      <c r="L263" s="323">
        <f t="shared" si="252"/>
        <v>0</v>
      </c>
      <c r="M263" s="323">
        <f t="shared" si="252"/>
        <v>0</v>
      </c>
      <c r="N263" s="323">
        <f t="shared" si="252"/>
        <v>0</v>
      </c>
      <c r="O263" s="323">
        <f t="shared" si="252"/>
        <v>0</v>
      </c>
      <c r="P263" s="323">
        <f t="shared" si="252"/>
        <v>0</v>
      </c>
      <c r="Q263" s="323">
        <f t="shared" si="252"/>
        <v>0</v>
      </c>
      <c r="R263" s="323">
        <f t="shared" si="252"/>
        <v>613.18603603262272</v>
      </c>
      <c r="S263" s="323">
        <f t="shared" si="252"/>
        <v>320.70191301677698</v>
      </c>
      <c r="T263" s="323">
        <f t="shared" si="252"/>
        <v>183.64372789288802</v>
      </c>
      <c r="U263" s="323">
        <f t="shared" si="252"/>
        <v>137.18569228512388</v>
      </c>
      <c r="V263" s="323">
        <f t="shared" si="252"/>
        <v>126.66870491326303</v>
      </c>
      <c r="W263" s="323">
        <f t="shared" si="252"/>
        <v>269.63755643296878</v>
      </c>
      <c r="X263" s="323">
        <f t="shared" si="252"/>
        <v>161.72070677869388</v>
      </c>
      <c r="Y263" s="323">
        <f t="shared" si="252"/>
        <v>199.73673970878275</v>
      </c>
      <c r="Z263" s="323">
        <f t="shared" si="252"/>
        <v>184.10498941575682</v>
      </c>
      <c r="AA263" s="323">
        <f t="shared" si="252"/>
        <v>239.33091115188836</v>
      </c>
      <c r="AB263" s="323">
        <f t="shared" si="252"/>
        <v>135.6252853426534</v>
      </c>
      <c r="AC263" s="323">
        <f>AC255*$L$253</f>
        <v>223.53767775729889</v>
      </c>
      <c r="AD263" s="323">
        <f>AD255*$L$253</f>
        <v>146.53632759167888</v>
      </c>
      <c r="AE263" s="323">
        <f>AE255*$L$253</f>
        <v>79.056809598976727</v>
      </c>
      <c r="AF263" s="323">
        <f>AF255*$L$253</f>
        <v>244.5462306737212</v>
      </c>
      <c r="AG263" s="323">
        <f>AG255*$L$253</f>
        <v>115.2184765187701</v>
      </c>
      <c r="AH263" s="323">
        <f t="shared" ref="AH263:AI263" si="253">AH255*$L$253</f>
        <v>157.93123889023164</v>
      </c>
      <c r="AI263" s="323">
        <f t="shared" si="253"/>
        <v>123.30698022865786</v>
      </c>
      <c r="AJ263" s="323">
        <f t="shared" ref="AJ263" si="254">AJ255*$L$253</f>
        <v>107.02072054079999</v>
      </c>
    </row>
    <row r="264" spans="1:36">
      <c r="B264" s="312" t="s">
        <v>522</v>
      </c>
      <c r="C264" s="45">
        <f t="shared" ref="C264:AB264" si="255">C263*$M$4</f>
        <v>0</v>
      </c>
      <c r="D264" s="45">
        <f t="shared" si="255"/>
        <v>0</v>
      </c>
      <c r="E264" s="45">
        <f t="shared" si="255"/>
        <v>0</v>
      </c>
      <c r="F264" s="45">
        <f t="shared" si="255"/>
        <v>0</v>
      </c>
      <c r="G264" s="45">
        <f t="shared" si="255"/>
        <v>0</v>
      </c>
      <c r="H264" s="45">
        <f t="shared" si="255"/>
        <v>0</v>
      </c>
      <c r="I264" s="45">
        <f t="shared" si="255"/>
        <v>0</v>
      </c>
      <c r="J264" s="45">
        <f t="shared" si="255"/>
        <v>0</v>
      </c>
      <c r="K264" s="45">
        <f t="shared" si="255"/>
        <v>0</v>
      </c>
      <c r="L264" s="45">
        <f t="shared" si="255"/>
        <v>0</v>
      </c>
      <c r="M264" s="45">
        <f t="shared" si="255"/>
        <v>0</v>
      </c>
      <c r="N264" s="45">
        <f t="shared" si="255"/>
        <v>0</v>
      </c>
      <c r="O264" s="45">
        <f t="shared" si="255"/>
        <v>0</v>
      </c>
      <c r="P264" s="45">
        <f t="shared" si="255"/>
        <v>0</v>
      </c>
      <c r="Q264" s="45">
        <f t="shared" si="255"/>
        <v>0</v>
      </c>
      <c r="R264" s="45">
        <f t="shared" si="255"/>
        <v>182729.43873772156</v>
      </c>
      <c r="S264" s="45">
        <f t="shared" si="255"/>
        <v>95569.170078999538</v>
      </c>
      <c r="T264" s="45">
        <f t="shared" si="255"/>
        <v>54725.83091208063</v>
      </c>
      <c r="U264" s="45">
        <f t="shared" si="255"/>
        <v>40881.336300966912</v>
      </c>
      <c r="V264" s="45">
        <f t="shared" si="255"/>
        <v>37747.274064152385</v>
      </c>
      <c r="W264" s="45">
        <f t="shared" si="255"/>
        <v>80351.991817024697</v>
      </c>
      <c r="X264" s="45">
        <f t="shared" si="255"/>
        <v>48192.770620050775</v>
      </c>
      <c r="Y264" s="45">
        <f t="shared" si="255"/>
        <v>59521.548433217256</v>
      </c>
      <c r="Z264" s="45">
        <f t="shared" si="255"/>
        <v>54863.286845895534</v>
      </c>
      <c r="AA264" s="45">
        <f t="shared" si="255"/>
        <v>71320.611523262734</v>
      </c>
      <c r="AB264" s="45">
        <f t="shared" si="255"/>
        <v>40416.335032110714</v>
      </c>
      <c r="AC264" s="45">
        <f>AC263*$M$4</f>
        <v>66614.227971675064</v>
      </c>
      <c r="AD264" s="45">
        <f>AD263*$M$4</f>
        <v>43667.825622320306</v>
      </c>
      <c r="AE264" s="45">
        <f>AE263*$M$4</f>
        <v>23558.929260495064</v>
      </c>
      <c r="AF264" s="45">
        <f>AF263*$M$4</f>
        <v>72874.77674076891</v>
      </c>
      <c r="AG264" s="45">
        <f>AG263*$M$4</f>
        <v>34335.106002593493</v>
      </c>
      <c r="AH264" s="45">
        <f t="shared" ref="AH264:AI264" si="256">AH263*$M$4</f>
        <v>47063.509189289027</v>
      </c>
      <c r="AI264" s="45">
        <f t="shared" si="256"/>
        <v>36745.480108140044</v>
      </c>
      <c r="AJ264" s="45">
        <f t="shared" ref="AJ264" si="257">AJ263*$M$4</f>
        <v>31892.174721158397</v>
      </c>
    </row>
    <row r="265" spans="1:36">
      <c r="B265" s="322" t="s">
        <v>525</v>
      </c>
      <c r="C265" s="313">
        <f t="shared" ref="C265:H265" si="258">C264/(2205*1000000)</f>
        <v>0</v>
      </c>
      <c r="D265" s="313">
        <f t="shared" si="258"/>
        <v>0</v>
      </c>
      <c r="E265" s="313">
        <f t="shared" si="258"/>
        <v>0</v>
      </c>
      <c r="F265" s="313">
        <f t="shared" si="258"/>
        <v>0</v>
      </c>
      <c r="G265" s="313">
        <f t="shared" si="258"/>
        <v>0</v>
      </c>
      <c r="H265" s="313">
        <f t="shared" si="258"/>
        <v>0</v>
      </c>
      <c r="I265" s="313">
        <f t="shared" ref="I265:V265" si="259">I264/(2205*1000000)</f>
        <v>0</v>
      </c>
      <c r="J265" s="313">
        <f t="shared" si="259"/>
        <v>0</v>
      </c>
      <c r="K265" s="313">
        <f t="shared" si="259"/>
        <v>0</v>
      </c>
      <c r="L265" s="313">
        <f t="shared" si="259"/>
        <v>0</v>
      </c>
      <c r="M265" s="313">
        <f t="shared" si="259"/>
        <v>0</v>
      </c>
      <c r="N265" s="313">
        <f t="shared" si="259"/>
        <v>0</v>
      </c>
      <c r="O265" s="313">
        <f t="shared" si="259"/>
        <v>0</v>
      </c>
      <c r="P265" s="313">
        <f t="shared" si="259"/>
        <v>0</v>
      </c>
      <c r="Q265" s="313">
        <f t="shared" si="259"/>
        <v>0</v>
      </c>
      <c r="R265" s="313">
        <f t="shared" si="259"/>
        <v>8.287049375860388E-5</v>
      </c>
      <c r="S265" s="313">
        <f t="shared" si="259"/>
        <v>4.334202724671181E-5</v>
      </c>
      <c r="T265" s="313">
        <f t="shared" si="259"/>
        <v>2.4818970935183959E-5</v>
      </c>
      <c r="U265" s="313">
        <f t="shared" si="259"/>
        <v>1.8540288571867081E-5</v>
      </c>
      <c r="V265" s="313">
        <f t="shared" si="259"/>
        <v>1.7118945153810605E-5</v>
      </c>
      <c r="W265" s="313">
        <f t="shared" ref="W265:AB265" si="260">W264/(2205*1000000)</f>
        <v>3.6440812615430698E-5</v>
      </c>
      <c r="X265" s="313">
        <f t="shared" si="260"/>
        <v>2.1856131800476541E-5</v>
      </c>
      <c r="Y265" s="313">
        <f t="shared" si="260"/>
        <v>2.6993899516198303E-5</v>
      </c>
      <c r="Z265" s="313">
        <f t="shared" si="260"/>
        <v>2.4881309227163509E-5</v>
      </c>
      <c r="AA265" s="313">
        <f t="shared" si="260"/>
        <v>3.2344948536627092E-5</v>
      </c>
      <c r="AB265" s="313">
        <f t="shared" si="260"/>
        <v>1.8329403642680597E-5</v>
      </c>
      <c r="AC265" s="313">
        <f>AC264/(2205*1000000)</f>
        <v>3.0210534227517035E-5</v>
      </c>
      <c r="AD265" s="313">
        <f>AD264/(2205*1000000)</f>
        <v>1.9804002549805126E-5</v>
      </c>
      <c r="AE265" s="313">
        <f>AE264/(2205*1000000)</f>
        <v>1.0684321660088464E-5</v>
      </c>
      <c r="AF265" s="313">
        <f>AF264/(2205*1000000)</f>
        <v>3.3049785369963224E-5</v>
      </c>
      <c r="AG265" s="313">
        <f>AG264/(2205*1000000)</f>
        <v>1.5571476645167116E-5</v>
      </c>
      <c r="AH265" s="313">
        <f t="shared" ref="AH265:AI265" si="261">AH264/(2205*1000000)</f>
        <v>2.1343995097183231E-5</v>
      </c>
      <c r="AI265" s="313">
        <f t="shared" si="261"/>
        <v>1.6664616829088456E-5</v>
      </c>
      <c r="AJ265" s="313">
        <f t="shared" ref="AJ265" si="262">AJ264/(2205*1000000)</f>
        <v>1.4463571302112651E-5</v>
      </c>
    </row>
    <row r="266" spans="1:36">
      <c r="B266" s="322" t="s">
        <v>817</v>
      </c>
      <c r="C266" s="313">
        <f t="shared" ref="C266:AB266" si="263">C261+C265</f>
        <v>0</v>
      </c>
      <c r="D266" s="313">
        <f t="shared" si="263"/>
        <v>0</v>
      </c>
      <c r="E266" s="313">
        <f t="shared" si="263"/>
        <v>0</v>
      </c>
      <c r="F266" s="313">
        <f t="shared" si="263"/>
        <v>0</v>
      </c>
      <c r="G266" s="313">
        <f t="shared" si="263"/>
        <v>0</v>
      </c>
      <c r="H266" s="313">
        <f t="shared" si="263"/>
        <v>0</v>
      </c>
      <c r="I266" s="313">
        <f t="shared" si="263"/>
        <v>0</v>
      </c>
      <c r="J266" s="313">
        <f t="shared" si="263"/>
        <v>0</v>
      </c>
      <c r="K266" s="313">
        <f t="shared" si="263"/>
        <v>0</v>
      </c>
      <c r="L266" s="313">
        <f t="shared" si="263"/>
        <v>0</v>
      </c>
      <c r="M266" s="313">
        <f t="shared" si="263"/>
        <v>0</v>
      </c>
      <c r="N266" s="313">
        <f t="shared" si="263"/>
        <v>0</v>
      </c>
      <c r="O266" s="313">
        <f t="shared" si="263"/>
        <v>0</v>
      </c>
      <c r="P266" s="313">
        <f t="shared" si="263"/>
        <v>0</v>
      </c>
      <c r="Q266" s="313">
        <f t="shared" si="263"/>
        <v>0</v>
      </c>
      <c r="R266" s="313">
        <f t="shared" si="263"/>
        <v>9.6774939020114601E-5</v>
      </c>
      <c r="S266" s="313">
        <f t="shared" si="263"/>
        <v>5.0614179469314464E-5</v>
      </c>
      <c r="T266" s="313">
        <f t="shared" si="263"/>
        <v>2.8983227803503414E-5</v>
      </c>
      <c r="U266" s="313">
        <f t="shared" si="263"/>
        <v>2.1651075244999142E-5</v>
      </c>
      <c r="V266" s="313">
        <f t="shared" si="263"/>
        <v>1.9991251387671444E-5</v>
      </c>
      <c r="W266" s="313">
        <f t="shared" si="263"/>
        <v>4.2555042920033164E-5</v>
      </c>
      <c r="X266" s="313">
        <f t="shared" si="263"/>
        <v>2.5523268008610187E-5</v>
      </c>
      <c r="Y266" s="313">
        <f t="shared" si="263"/>
        <v>3.1523077287372516E-5</v>
      </c>
      <c r="Z266" s="313">
        <f t="shared" si="263"/>
        <v>2.9056025540445976E-5</v>
      </c>
      <c r="AA266" s="313">
        <f t="shared" si="263"/>
        <v>3.7771953324651772E-5</v>
      </c>
      <c r="AB266" s="313">
        <f t="shared" si="263"/>
        <v>2.1404806938432375E-5</v>
      </c>
      <c r="AC266" s="313">
        <f>AC261+AC265</f>
        <v>3.5279415809315194E-5</v>
      </c>
      <c r="AD266" s="313">
        <f>AD261+AD265</f>
        <v>2.3126821769571087E-5</v>
      </c>
      <c r="AE266" s="313">
        <f>AE261+AE265</f>
        <v>1.2476993079566394E-5</v>
      </c>
      <c r="AF266" s="313">
        <f>AF261+AF265</f>
        <v>3.8595051371634904E-5</v>
      </c>
      <c r="AG266" s="313">
        <f>AG261+AG265</f>
        <v>1.8184140511805893E-5</v>
      </c>
      <c r="AH266" s="313">
        <f t="shared" ref="AH266:AI266" si="264">AH261+AH265</f>
        <v>2.4925202328254244E-5</v>
      </c>
      <c r="AI266" s="313">
        <f t="shared" si="264"/>
        <v>1.9460693478264373E-5</v>
      </c>
      <c r="AJ266" s="313">
        <f t="shared" ref="AJ266" si="265">AJ261+AJ265</f>
        <v>1.6890345010520813E-5</v>
      </c>
    </row>
    <row r="267" spans="1:36">
      <c r="A267" s="581"/>
      <c r="B267" s="210"/>
      <c r="C267" s="211"/>
      <c r="D267" s="211"/>
      <c r="E267" s="211"/>
      <c r="F267" s="211"/>
      <c r="G267" s="211"/>
      <c r="H267" s="211"/>
      <c r="I267" s="211"/>
    </row>
    <row r="268" spans="1:36">
      <c r="F268" s="345"/>
    </row>
    <row r="269" spans="1:36" ht="15" thickBot="1"/>
    <row r="270" spans="1:36" ht="24" customHeight="1">
      <c r="F270" s="1918" t="s">
        <v>866</v>
      </c>
      <c r="G270" s="1919"/>
      <c r="H270" s="1919"/>
      <c r="I270" s="1919"/>
      <c r="J270" s="1920"/>
    </row>
    <row r="271" spans="1:36" ht="22.5" customHeight="1" thickBot="1">
      <c r="F271" s="1921"/>
      <c r="G271" s="1922"/>
      <c r="H271" s="1922"/>
      <c r="I271" s="1922"/>
      <c r="J271" s="1923"/>
    </row>
    <row r="272" spans="1:36" ht="15" thickBot="1">
      <c r="F272" s="1924" t="s">
        <v>804</v>
      </c>
      <c r="G272" s="1925"/>
      <c r="H272" s="1927" t="s">
        <v>867</v>
      </c>
      <c r="I272" s="1928"/>
      <c r="J272" s="1929"/>
    </row>
    <row r="273" spans="1:10" ht="17" thickBot="1">
      <c r="F273" s="1921"/>
      <c r="G273" s="1926"/>
      <c r="H273" s="238" t="s">
        <v>868</v>
      </c>
      <c r="I273" s="238" t="s">
        <v>56</v>
      </c>
      <c r="J273" s="238" t="s">
        <v>869</v>
      </c>
    </row>
    <row r="274" spans="1:10" ht="29.5" thickBot="1">
      <c r="F274" s="1911" t="s">
        <v>789</v>
      </c>
      <c r="G274" s="1912"/>
      <c r="H274" s="239" t="s">
        <v>870</v>
      </c>
      <c r="I274" s="239" t="s">
        <v>871</v>
      </c>
      <c r="J274" s="239" t="s">
        <v>871</v>
      </c>
    </row>
    <row r="275" spans="1:10" ht="15" thickBot="1">
      <c r="F275" s="1911" t="s">
        <v>872</v>
      </c>
      <c r="G275" s="1917"/>
      <c r="H275" s="239" t="s">
        <v>870</v>
      </c>
      <c r="I275" s="239" t="s">
        <v>870</v>
      </c>
      <c r="J275" s="239" t="s">
        <v>870</v>
      </c>
    </row>
    <row r="276" spans="1:10" ht="102" thickBot="1">
      <c r="F276" s="1905" t="s">
        <v>873</v>
      </c>
      <c r="G276" s="240" t="s">
        <v>874</v>
      </c>
      <c r="H276" s="537" t="s">
        <v>875</v>
      </c>
      <c r="I276" s="537" t="s">
        <v>876</v>
      </c>
      <c r="J276" s="537" t="s">
        <v>876</v>
      </c>
    </row>
    <row r="277" spans="1:10" ht="87.5" thickBot="1">
      <c r="F277" s="1906"/>
      <c r="G277" s="240" t="s">
        <v>877</v>
      </c>
      <c r="H277" s="537" t="s">
        <v>876</v>
      </c>
      <c r="I277" s="537" t="s">
        <v>876</v>
      </c>
      <c r="J277" s="537" t="s">
        <v>876</v>
      </c>
    </row>
    <row r="278" spans="1:10">
      <c r="A278" s="581"/>
    </row>
  </sheetData>
  <mergeCells count="58">
    <mergeCell ref="V6:Z6"/>
    <mergeCell ref="V3:Z3"/>
    <mergeCell ref="G8:I8"/>
    <mergeCell ref="J8:L8"/>
    <mergeCell ref="P2:Q2"/>
    <mergeCell ref="B3:L3"/>
    <mergeCell ref="G62:I62"/>
    <mergeCell ref="B45:C45"/>
    <mergeCell ref="J62:L62"/>
    <mergeCell ref="G45:I45"/>
    <mergeCell ref="J45:L45"/>
    <mergeCell ref="B47:B48"/>
    <mergeCell ref="D62:F62"/>
    <mergeCell ref="B1:L1"/>
    <mergeCell ref="B2:L2"/>
    <mergeCell ref="D26:F26"/>
    <mergeCell ref="D45:F45"/>
    <mergeCell ref="D8:F8"/>
    <mergeCell ref="F275:G275"/>
    <mergeCell ref="F270:J271"/>
    <mergeCell ref="J175:L175"/>
    <mergeCell ref="D118:F118"/>
    <mergeCell ref="D99:F99"/>
    <mergeCell ref="G175:I175"/>
    <mergeCell ref="D156:F156"/>
    <mergeCell ref="D232:F232"/>
    <mergeCell ref="G232:I232"/>
    <mergeCell ref="J232:L232"/>
    <mergeCell ref="G194:I194"/>
    <mergeCell ref="J194:L194"/>
    <mergeCell ref="J118:L118"/>
    <mergeCell ref="F272:G273"/>
    <mergeCell ref="H272:J272"/>
    <mergeCell ref="J251:L251"/>
    <mergeCell ref="N214:Q214"/>
    <mergeCell ref="B158:B159"/>
    <mergeCell ref="J99:L99"/>
    <mergeCell ref="G80:I80"/>
    <mergeCell ref="D194:F194"/>
    <mergeCell ref="D213:F213"/>
    <mergeCell ref="J213:L213"/>
    <mergeCell ref="D80:F80"/>
    <mergeCell ref="F276:F277"/>
    <mergeCell ref="G136:I136"/>
    <mergeCell ref="G99:I99"/>
    <mergeCell ref="G26:I26"/>
    <mergeCell ref="J26:L26"/>
    <mergeCell ref="F274:G274"/>
    <mergeCell ref="D251:F251"/>
    <mergeCell ref="G251:I251"/>
    <mergeCell ref="J136:L136"/>
    <mergeCell ref="G213:I213"/>
    <mergeCell ref="G156:I156"/>
    <mergeCell ref="J156:L156"/>
    <mergeCell ref="J80:L80"/>
    <mergeCell ref="D175:F175"/>
    <mergeCell ref="D136:F136"/>
    <mergeCell ref="G118:I118"/>
  </mergeCells>
  <hyperlinks>
    <hyperlink ref="B5" r:id="rId1" xr:uid="{00000000-0004-0000-1200-000000000000}"/>
    <hyperlink ref="S2" location="'Biogenic Calcs'!B8" display="Electric" xr:uid="{00000000-0004-0000-1200-000001000000}"/>
    <hyperlink ref="S3" location="'Biogenic Calcs'!B45" display="Electric (from Waste)" xr:uid="{00000000-0004-0000-1200-000002000000}"/>
    <hyperlink ref="S4" location="'Biogenic Calcs'!B62" display="Commercial" xr:uid="{00000000-0004-0000-1200-000003000000}"/>
    <hyperlink ref="S5" location="'Biogenic Calcs'!B118" display="Industrial" xr:uid="{00000000-0004-0000-1200-000004000000}"/>
    <hyperlink ref="S6" location="'Biogenic Calcs'!B156" display="Industrial (from Waste)" xr:uid="{00000000-0004-0000-1200-000005000000}"/>
    <hyperlink ref="S7" location="'Biogenic Calcs'!B173" display="Residential" xr:uid="{00000000-0004-0000-1200-000006000000}"/>
    <hyperlink ref="S8" location="'Biogenic Calcs'!B192" display="Transportation" xr:uid="{00000000-0004-0000-1200-000007000000}"/>
    <hyperlink ref="S9" location="'Biogenic Calcs'!B211" display="Wastewater" xr:uid="{00000000-0004-0000-1200-000008000000}"/>
    <hyperlink ref="B168" location="'Solid Waste'!B57" display="MMTCO2e from CH4" xr:uid="{00000000-0004-0000-1200-000010000000}"/>
    <hyperlink ref="B172" location="'Solid Waste'!B58" display="MMTCO2e from N2O" xr:uid="{00000000-0004-0000-1200-000011000000}"/>
    <hyperlink ref="V3" location="'Biogenic Calcs'!B230" display="See table below for summary of Electric Sector Biogenic emissions" xr:uid="{00000000-0004-0000-1200-000012000000}"/>
    <hyperlink ref="V3:Z3" location="'Biogenic Combustion'!F270" display="See table below for summary of Electric Sector Biogenic emissions" xr:uid="{3ED166E8-BADF-4801-A696-F0755A32A5A8}"/>
  </hyperlinks>
  <pageMargins left="0" right="0" top="0.75" bottom="0.75" header="0.3" footer="0.3"/>
  <pageSetup scale="31" fitToHeight="3" orientation="landscape" r:id="rId2"/>
  <headerFooter>
    <oddFooter>&amp;L&amp;F &amp;A&amp;R Page &amp;P of &amp;N</oddFooter>
  </headerFooter>
  <rowBreaks count="3" manualBreakCount="3">
    <brk id="79" max="16383" man="1"/>
    <brk id="153" max="16383" man="1"/>
    <brk id="230" max="16383" man="1"/>
  </rowBreaks>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328F-D5B5-4059-87F7-6D8D6AF2BD25}">
  <dimension ref="B1:AT68"/>
  <sheetViews>
    <sheetView zoomScale="107" workbookViewId="0"/>
  </sheetViews>
  <sheetFormatPr defaultColWidth="8.26953125" defaultRowHeight="14.5"/>
  <cols>
    <col min="1" max="1" width="4.7265625" style="1405" customWidth="1"/>
    <col min="2" max="2" width="48.36328125" style="1405" customWidth="1"/>
    <col min="3" max="3" width="6.453125" style="1405" customWidth="1"/>
    <col min="4" max="30" width="5.1796875" style="1405" customWidth="1"/>
    <col min="31" max="33" width="5.1796875" style="1423" customWidth="1"/>
    <col min="34" max="43" width="5.1796875" style="1405" customWidth="1"/>
    <col min="44" max="44" width="5.7265625" style="1405" bestFit="1" customWidth="1"/>
    <col min="45" max="16384" width="8.26953125" style="1405"/>
  </cols>
  <sheetData>
    <row r="1" spans="2:46" ht="23.5">
      <c r="B1" s="1624" t="s">
        <v>953</v>
      </c>
      <c r="C1" s="1404"/>
      <c r="D1" s="347"/>
      <c r="E1" s="347"/>
      <c r="F1" s="347"/>
      <c r="G1" s="347"/>
      <c r="H1" s="347"/>
      <c r="I1" s="347"/>
      <c r="J1" s="347"/>
      <c r="K1" s="347"/>
      <c r="L1" s="347"/>
      <c r="M1" s="347"/>
      <c r="N1" s="347"/>
      <c r="O1" s="347"/>
      <c r="P1" s="347"/>
      <c r="Q1" s="347"/>
      <c r="R1" s="1444"/>
      <c r="S1" s="347"/>
      <c r="T1" s="347"/>
      <c r="U1" s="347"/>
      <c r="V1" s="347"/>
      <c r="W1" s="347"/>
      <c r="X1" s="347"/>
      <c r="Y1" s="347"/>
      <c r="Z1" s="347"/>
      <c r="AA1" s="347"/>
      <c r="AB1" s="347"/>
      <c r="AC1" s="347"/>
      <c r="AD1" s="347"/>
      <c r="AE1" s="347"/>
      <c r="AF1" s="347"/>
      <c r="AG1" s="347"/>
    </row>
    <row r="2" spans="2:46">
      <c r="B2" s="1406" t="s">
        <v>878</v>
      </c>
      <c r="C2" s="1407">
        <v>1990</v>
      </c>
      <c r="D2" s="1407">
        <v>1991</v>
      </c>
      <c r="E2" s="1407">
        <v>1992</v>
      </c>
      <c r="F2" s="1407">
        <v>1993</v>
      </c>
      <c r="G2" s="1407">
        <v>1994</v>
      </c>
      <c r="H2" s="1407">
        <v>1995</v>
      </c>
      <c r="I2" s="1407">
        <v>1996</v>
      </c>
      <c r="J2" s="1407">
        <v>1997</v>
      </c>
      <c r="K2" s="1407">
        <v>1998</v>
      </c>
      <c r="L2" s="1407">
        <v>1999</v>
      </c>
      <c r="M2" s="1407">
        <v>2000</v>
      </c>
      <c r="N2" s="1407">
        <v>2001</v>
      </c>
      <c r="O2" s="1407">
        <v>2002</v>
      </c>
      <c r="P2" s="1407">
        <v>2003</v>
      </c>
      <c r="Q2" s="1407">
        <v>2004</v>
      </c>
      <c r="R2" s="1407">
        <v>2005</v>
      </c>
      <c r="S2" s="1407">
        <v>2006</v>
      </c>
      <c r="T2" s="1407">
        <v>2007</v>
      </c>
      <c r="U2" s="1407">
        <v>2008</v>
      </c>
      <c r="V2" s="1407">
        <v>2009</v>
      </c>
      <c r="W2" s="1407">
        <v>2010</v>
      </c>
      <c r="X2" s="1407">
        <v>2011</v>
      </c>
      <c r="Y2" s="1407">
        <v>2012</v>
      </c>
      <c r="Z2" s="1407">
        <v>2013</v>
      </c>
      <c r="AA2" s="1407">
        <v>2014</v>
      </c>
      <c r="AB2" s="1407">
        <v>2015</v>
      </c>
      <c r="AC2" s="1407">
        <v>2016</v>
      </c>
      <c r="AD2" s="1407">
        <v>2017</v>
      </c>
      <c r="AE2" s="1407">
        <v>2018</v>
      </c>
      <c r="AF2" s="1407">
        <v>2019</v>
      </c>
      <c r="AG2" s="1407">
        <v>2020</v>
      </c>
      <c r="AH2" s="1407">
        <v>2021</v>
      </c>
      <c r="AI2" s="1407"/>
      <c r="AJ2" s="1407"/>
      <c r="AK2" s="1407"/>
      <c r="AL2" s="1407"/>
      <c r="AM2" s="1407"/>
      <c r="AN2" s="1407"/>
      <c r="AO2" s="1407"/>
      <c r="AP2" s="1407"/>
      <c r="AQ2" s="1407"/>
      <c r="AR2" s="1407"/>
      <c r="AT2" s="1408"/>
    </row>
    <row r="3" spans="2:46">
      <c r="B3" s="1588" t="s">
        <v>763</v>
      </c>
      <c r="C3" s="1589">
        <v>-4.9076768905666128</v>
      </c>
      <c r="D3" s="1589">
        <v>-4.9276768905666124</v>
      </c>
      <c r="E3" s="1589">
        <v>-4.9476768905666129</v>
      </c>
      <c r="F3" s="1589">
        <v>-5.0797651136523783</v>
      </c>
      <c r="G3" s="1589">
        <v>-5.1197651136523783</v>
      </c>
      <c r="H3" s="1589">
        <v>-5.1497651136523785</v>
      </c>
      <c r="I3" s="1589">
        <v>-5.1997651136523784</v>
      </c>
      <c r="J3" s="1589">
        <v>-5.2397651136523784</v>
      </c>
      <c r="K3" s="1589">
        <v>-5.2797651136523784</v>
      </c>
      <c r="L3" s="1589">
        <v>-5.3097651136523787</v>
      </c>
      <c r="M3" s="1589">
        <v>-5.2997651136523789</v>
      </c>
      <c r="N3" s="1589">
        <v>-5.3397651136523789</v>
      </c>
      <c r="O3" s="1589">
        <v>-5.3597651136523785</v>
      </c>
      <c r="P3" s="1589">
        <v>-5.4097651136523783</v>
      </c>
      <c r="Q3" s="1589">
        <v>-5.419765113652379</v>
      </c>
      <c r="R3" s="1589">
        <v>-5.4497651136523784</v>
      </c>
      <c r="S3" s="1589">
        <v>-5.4997651136523791</v>
      </c>
      <c r="T3" s="1589">
        <v>-5.5297651136523784</v>
      </c>
      <c r="U3" s="1589">
        <v>-5.5497651136523789</v>
      </c>
      <c r="V3" s="1589">
        <v>-5.5897651136523789</v>
      </c>
      <c r="W3" s="1589">
        <v>-5.629765113652379</v>
      </c>
      <c r="X3" s="1589">
        <v>-5.669765113652379</v>
      </c>
      <c r="Y3" s="1589">
        <v>-5.709765113652379</v>
      </c>
      <c r="Z3" s="1589">
        <v>-5.7397651136523784</v>
      </c>
      <c r="AA3" s="1589">
        <v>-5.7797651136523776</v>
      </c>
      <c r="AB3" s="1589">
        <v>-5.8097651136523778</v>
      </c>
      <c r="AC3" s="1589">
        <v>-5.8097651136523778</v>
      </c>
      <c r="AD3" s="1589">
        <v>-5.7897651136523782</v>
      </c>
      <c r="AE3" s="1589">
        <v>-5.799765113652378</v>
      </c>
      <c r="AF3" s="1589">
        <v>-5.7897651136523782</v>
      </c>
      <c r="AG3" s="1589">
        <v>-5.7797651136523776</v>
      </c>
      <c r="AH3" s="1589">
        <v>-5.7797651136523776</v>
      </c>
      <c r="AI3" s="1411"/>
    </row>
    <row r="4" spans="2:46">
      <c r="B4" s="1590" t="s">
        <v>879</v>
      </c>
      <c r="C4" s="1591">
        <v>-4.2976768905666125</v>
      </c>
      <c r="D4" s="1591">
        <v>-4.3076768905666123</v>
      </c>
      <c r="E4" s="1591">
        <v>-4.3276768905666128</v>
      </c>
      <c r="F4" s="1591">
        <v>-4.4597651136523782</v>
      </c>
      <c r="G4" s="1591">
        <v>-4.4997651136523782</v>
      </c>
      <c r="H4" s="1591">
        <v>-4.5297651136523784</v>
      </c>
      <c r="I4" s="1591">
        <v>-4.5797651136523783</v>
      </c>
      <c r="J4" s="1591">
        <v>-4.6197651136523783</v>
      </c>
      <c r="K4" s="1591">
        <v>-4.6597651136523783</v>
      </c>
      <c r="L4" s="1591">
        <v>-4.6897651136523786</v>
      </c>
      <c r="M4" s="1591">
        <v>-4.6897651136523786</v>
      </c>
      <c r="N4" s="1591">
        <v>-4.7297651136523786</v>
      </c>
      <c r="O4" s="1591">
        <v>-4.7497651136523782</v>
      </c>
      <c r="P4" s="1591">
        <v>-4.799765113652378</v>
      </c>
      <c r="Q4" s="1591">
        <v>-4.8097651136523787</v>
      </c>
      <c r="R4" s="1591">
        <v>-4.839765113652378</v>
      </c>
      <c r="S4" s="1591">
        <v>-4.8897651136523788</v>
      </c>
      <c r="T4" s="1591">
        <v>-4.9197651136523781</v>
      </c>
      <c r="U4" s="1591">
        <v>-4.9397651136523786</v>
      </c>
      <c r="V4" s="1591">
        <v>-4.9797651136523786</v>
      </c>
      <c r="W4" s="1591">
        <v>-5.0197651136523787</v>
      </c>
      <c r="X4" s="1591">
        <v>-5.0597651136523787</v>
      </c>
      <c r="Y4" s="1591">
        <v>-5.0997651136523787</v>
      </c>
      <c r="Z4" s="1591">
        <v>-5.1297651136523781</v>
      </c>
      <c r="AA4" s="1591">
        <v>-5.1797651136523779</v>
      </c>
      <c r="AB4" s="1591">
        <v>-5.2097651136523782</v>
      </c>
      <c r="AC4" s="1591">
        <v>-5.2097651136523782</v>
      </c>
      <c r="AD4" s="1591">
        <v>-5.1897651136523786</v>
      </c>
      <c r="AE4" s="1591">
        <v>-5.1997651136523784</v>
      </c>
      <c r="AF4" s="1591">
        <v>-5.1897651136523786</v>
      </c>
      <c r="AG4" s="1591">
        <v>-5.1797651136523779</v>
      </c>
      <c r="AH4" s="1591">
        <v>-5.1797651136523779</v>
      </c>
    </row>
    <row r="5" spans="2:46">
      <c r="B5" s="1592" t="s">
        <v>880</v>
      </c>
      <c r="C5" s="1593">
        <v>-3.74</v>
      </c>
      <c r="D5" s="1593">
        <v>-3.75</v>
      </c>
      <c r="E5" s="1593">
        <v>-3.77</v>
      </c>
      <c r="F5" s="1593">
        <v>-3.8</v>
      </c>
      <c r="G5" s="1593">
        <v>-3.84</v>
      </c>
      <c r="H5" s="1593">
        <v>-3.87</v>
      </c>
      <c r="I5" s="1593">
        <v>-3.92</v>
      </c>
      <c r="J5" s="1593">
        <v>-3.96</v>
      </c>
      <c r="K5" s="1593">
        <v>-4</v>
      </c>
      <c r="L5" s="1593">
        <v>-4.03</v>
      </c>
      <c r="M5" s="1593">
        <v>-4.03</v>
      </c>
      <c r="N5" s="1593">
        <v>-4.07</v>
      </c>
      <c r="O5" s="1593">
        <v>-4.09</v>
      </c>
      <c r="P5" s="1593">
        <v>-4.1399999999999997</v>
      </c>
      <c r="Q5" s="1593">
        <v>-4.1500000000000004</v>
      </c>
      <c r="R5" s="1593">
        <v>-4.18</v>
      </c>
      <c r="S5" s="1593">
        <v>-4.2300000000000004</v>
      </c>
      <c r="T5" s="1593">
        <v>-4.26</v>
      </c>
      <c r="U5" s="1593">
        <v>-4.28</v>
      </c>
      <c r="V5" s="1593">
        <v>-4.32</v>
      </c>
      <c r="W5" s="1593">
        <v>-4.3600000000000003</v>
      </c>
      <c r="X5" s="1593">
        <v>-4.4000000000000004</v>
      </c>
      <c r="Y5" s="1593">
        <v>-4.4400000000000004</v>
      </c>
      <c r="Z5" s="1593">
        <v>-4.47</v>
      </c>
      <c r="AA5" s="1593">
        <v>-4.5199999999999996</v>
      </c>
      <c r="AB5" s="1593">
        <v>-4.55</v>
      </c>
      <c r="AC5" s="1593">
        <v>-4.55</v>
      </c>
      <c r="AD5" s="1593">
        <v>-4.53</v>
      </c>
      <c r="AE5" s="1593">
        <v>-4.54</v>
      </c>
      <c r="AF5" s="1593">
        <v>-4.53</v>
      </c>
      <c r="AG5" s="1593">
        <v>-4.5199999999999996</v>
      </c>
      <c r="AH5" s="1593">
        <v>-4.5199999999999996</v>
      </c>
    </row>
    <row r="6" spans="2:46">
      <c r="B6" s="1592" t="s">
        <v>949</v>
      </c>
      <c r="C6" s="1594">
        <v>-0.55767689056661229</v>
      </c>
      <c r="D6" s="1594">
        <v>-0.55767689056661229</v>
      </c>
      <c r="E6" s="1594">
        <v>-0.55767689056661229</v>
      </c>
      <c r="F6" s="1594">
        <v>-0.659765113652378</v>
      </c>
      <c r="G6" s="1594">
        <v>-0.659765113652378</v>
      </c>
      <c r="H6" s="1594">
        <v>-0.659765113652378</v>
      </c>
      <c r="I6" s="1594">
        <v>-0.659765113652378</v>
      </c>
      <c r="J6" s="1594">
        <v>-0.659765113652378</v>
      </c>
      <c r="K6" s="1594">
        <v>-0.659765113652378</v>
      </c>
      <c r="L6" s="1594">
        <v>-0.659765113652378</v>
      </c>
      <c r="M6" s="1594">
        <v>-0.659765113652378</v>
      </c>
      <c r="N6" s="1594">
        <v>-0.659765113652378</v>
      </c>
      <c r="O6" s="1594">
        <v>-0.659765113652378</v>
      </c>
      <c r="P6" s="1594">
        <v>-0.659765113652378</v>
      </c>
      <c r="Q6" s="1594">
        <v>-0.659765113652378</v>
      </c>
      <c r="R6" s="1594">
        <v>-0.659765113652378</v>
      </c>
      <c r="S6" s="1594">
        <v>-0.659765113652378</v>
      </c>
      <c r="T6" s="1594">
        <v>-0.659765113652378</v>
      </c>
      <c r="U6" s="1594">
        <v>-0.659765113652378</v>
      </c>
      <c r="V6" s="1594">
        <v>-0.659765113652378</v>
      </c>
      <c r="W6" s="1594">
        <v>-0.659765113652378</v>
      </c>
      <c r="X6" s="1594">
        <v>-0.659765113652378</v>
      </c>
      <c r="Y6" s="1594">
        <v>-0.659765113652378</v>
      </c>
      <c r="Z6" s="1594">
        <v>-0.659765113652378</v>
      </c>
      <c r="AA6" s="1594">
        <v>-0.659765113652378</v>
      </c>
      <c r="AB6" s="1594">
        <v>-0.659765113652378</v>
      </c>
      <c r="AC6" s="1594">
        <v>-0.659765113652378</v>
      </c>
      <c r="AD6" s="1594">
        <v>-0.659765113652378</v>
      </c>
      <c r="AE6" s="1594">
        <v>-0.659765113652378</v>
      </c>
      <c r="AF6" s="1594">
        <v>-0.659765113652378</v>
      </c>
      <c r="AG6" s="1594">
        <v>-0.659765113652378</v>
      </c>
      <c r="AH6" s="1594">
        <v>-0.659765113652378</v>
      </c>
    </row>
    <row r="7" spans="2:46">
      <c r="B7" s="1595" t="s">
        <v>881</v>
      </c>
      <c r="C7" s="1590">
        <v>-0.61</v>
      </c>
      <c r="D7" s="1590">
        <v>-0.62</v>
      </c>
      <c r="E7" s="1590">
        <v>-0.62</v>
      </c>
      <c r="F7" s="1590">
        <v>-0.62</v>
      </c>
      <c r="G7" s="1590">
        <v>-0.62</v>
      </c>
      <c r="H7" s="1590">
        <v>-0.62</v>
      </c>
      <c r="I7" s="1590">
        <v>-0.62</v>
      </c>
      <c r="J7" s="1590">
        <v>-0.62</v>
      </c>
      <c r="K7" s="1590">
        <v>-0.62</v>
      </c>
      <c r="L7" s="1590">
        <v>-0.62</v>
      </c>
      <c r="M7" s="1590">
        <v>-0.61</v>
      </c>
      <c r="N7" s="1590">
        <v>-0.61</v>
      </c>
      <c r="O7" s="1590">
        <v>-0.61</v>
      </c>
      <c r="P7" s="1590">
        <v>-0.61</v>
      </c>
      <c r="Q7" s="1590">
        <v>-0.61</v>
      </c>
      <c r="R7" s="1590">
        <v>-0.61</v>
      </c>
      <c r="S7" s="1590">
        <v>-0.61</v>
      </c>
      <c r="T7" s="1590">
        <v>-0.61</v>
      </c>
      <c r="U7" s="1590">
        <v>-0.61</v>
      </c>
      <c r="V7" s="1590">
        <v>-0.61</v>
      </c>
      <c r="W7" s="1590">
        <v>-0.61</v>
      </c>
      <c r="X7" s="1590">
        <v>-0.61</v>
      </c>
      <c r="Y7" s="1590">
        <v>-0.61</v>
      </c>
      <c r="Z7" s="1590">
        <v>-0.61</v>
      </c>
      <c r="AA7" s="1590">
        <v>-0.6</v>
      </c>
      <c r="AB7" s="1590">
        <v>-0.6</v>
      </c>
      <c r="AC7" s="1590">
        <v>-0.6</v>
      </c>
      <c r="AD7" s="1590">
        <v>-0.6</v>
      </c>
      <c r="AE7" s="1590">
        <v>-0.6</v>
      </c>
      <c r="AF7" s="1590">
        <v>-0.6</v>
      </c>
      <c r="AG7" s="1590">
        <v>-0.6</v>
      </c>
      <c r="AH7" s="1590">
        <v>-0.6</v>
      </c>
    </row>
    <row r="8" spans="2:46">
      <c r="B8" s="1596" t="s">
        <v>918</v>
      </c>
      <c r="C8" s="1597">
        <v>-0.61</v>
      </c>
      <c r="D8" s="1597">
        <v>-0.62</v>
      </c>
      <c r="E8" s="1597">
        <v>-0.62</v>
      </c>
      <c r="F8" s="1597">
        <v>-0.62</v>
      </c>
      <c r="G8" s="1597">
        <v>-0.62</v>
      </c>
      <c r="H8" s="1597">
        <v>-0.62</v>
      </c>
      <c r="I8" s="1597">
        <v>-0.62</v>
      </c>
      <c r="J8" s="1597">
        <v>-0.62</v>
      </c>
      <c r="K8" s="1597">
        <v>-0.62</v>
      </c>
      <c r="L8" s="1597">
        <v>-0.62</v>
      </c>
      <c r="M8" s="1597">
        <v>-0.61</v>
      </c>
      <c r="N8" s="1597">
        <v>-0.61</v>
      </c>
      <c r="O8" s="1597">
        <v>-0.61</v>
      </c>
      <c r="P8" s="1597">
        <v>-0.61</v>
      </c>
      <c r="Q8" s="1597">
        <v>-0.61</v>
      </c>
      <c r="R8" s="1597">
        <v>-0.61</v>
      </c>
      <c r="S8" s="1597">
        <v>-0.61</v>
      </c>
      <c r="T8" s="1597">
        <v>-0.61</v>
      </c>
      <c r="U8" s="1597">
        <v>-0.61</v>
      </c>
      <c r="V8" s="1597">
        <v>-0.61</v>
      </c>
      <c r="W8" s="1597">
        <v>-0.61</v>
      </c>
      <c r="X8" s="1597">
        <v>-0.61</v>
      </c>
      <c r="Y8" s="1597">
        <v>-0.61</v>
      </c>
      <c r="Z8" s="1597">
        <v>-0.61</v>
      </c>
      <c r="AA8" s="1597">
        <v>-0.6</v>
      </c>
      <c r="AB8" s="1597">
        <v>-0.6</v>
      </c>
      <c r="AC8" s="1597">
        <v>-0.6</v>
      </c>
      <c r="AD8" s="1597">
        <v>-0.6</v>
      </c>
      <c r="AE8" s="1597">
        <v>-0.6</v>
      </c>
      <c r="AF8" s="1597">
        <v>-0.6</v>
      </c>
      <c r="AG8" s="1597">
        <v>-0.6</v>
      </c>
      <c r="AH8" s="1597">
        <v>-0.6</v>
      </c>
    </row>
    <row r="9" spans="2:46">
      <c r="B9" s="1598" t="s">
        <v>764</v>
      </c>
      <c r="C9" s="1599">
        <v>0.28978702310560001</v>
      </c>
      <c r="D9" s="1599">
        <v>0.30046698151260004</v>
      </c>
      <c r="E9" s="1599">
        <v>0.26979463935530001</v>
      </c>
      <c r="F9" s="1599">
        <v>0.28551053537109999</v>
      </c>
      <c r="G9" s="1599">
        <v>0.27143371585099996</v>
      </c>
      <c r="H9" s="1599">
        <v>0.26360081351260001</v>
      </c>
      <c r="I9" s="1599">
        <v>0.26174698088670001</v>
      </c>
      <c r="J9" s="1599">
        <v>0.24125841543590001</v>
      </c>
      <c r="K9" s="1599">
        <v>0.25571400048340004</v>
      </c>
      <c r="L9" s="1599">
        <v>0.23268648722169999</v>
      </c>
      <c r="M9" s="1599">
        <v>0.30953517288330001</v>
      </c>
      <c r="N9" s="1599">
        <v>0.28330836780590002</v>
      </c>
      <c r="O9" s="1599">
        <v>0.2838346253813</v>
      </c>
      <c r="P9" s="1599">
        <v>0.27816865413269998</v>
      </c>
      <c r="Q9" s="1599">
        <v>0.2981598121465</v>
      </c>
      <c r="R9" s="1599">
        <v>0.22517721354000003</v>
      </c>
      <c r="S9" s="1599">
        <v>0.21536012199120003</v>
      </c>
      <c r="T9" s="1599">
        <v>0.22735671178019998</v>
      </c>
      <c r="U9" s="1599">
        <v>0.2608287179371</v>
      </c>
      <c r="V9" s="1599">
        <v>0.29591659239920004</v>
      </c>
      <c r="W9" s="1599">
        <v>0.26099809392119999</v>
      </c>
      <c r="X9" s="1599">
        <v>0.2563052145345</v>
      </c>
      <c r="Y9" s="1599">
        <v>0.2523459240682</v>
      </c>
      <c r="Z9" s="1599">
        <v>0.27834175921420001</v>
      </c>
      <c r="AA9" s="1599">
        <v>0.28444429139360006</v>
      </c>
      <c r="AB9" s="1599">
        <v>0.24042800620539997</v>
      </c>
      <c r="AC9" s="1599">
        <v>0.25895812800950002</v>
      </c>
      <c r="AD9" s="1599">
        <v>0.27081783066769999</v>
      </c>
      <c r="AE9" s="1599">
        <v>0.27479130450050004</v>
      </c>
      <c r="AF9" s="1599">
        <v>0.27635183497850002</v>
      </c>
      <c r="AG9" s="1599">
        <v>0.27636179565230001</v>
      </c>
      <c r="AH9" s="1599">
        <v>0.2769859872955</v>
      </c>
    </row>
    <row r="10" spans="2:46">
      <c r="B10" s="1600" t="s">
        <v>882</v>
      </c>
      <c r="C10" s="1601">
        <v>0.23243880619419999</v>
      </c>
      <c r="D10" s="1601">
        <v>0.24189697362440002</v>
      </c>
      <c r="E10" s="1601">
        <v>0.20879906367090001</v>
      </c>
      <c r="F10" s="1601">
        <v>0.22532466179669999</v>
      </c>
      <c r="G10" s="1601">
        <v>0.22398986388609998</v>
      </c>
      <c r="H10" s="1601">
        <v>0.19638103195849999</v>
      </c>
      <c r="I10" s="1601">
        <v>0.1918394319417</v>
      </c>
      <c r="J10" s="1601">
        <v>0.17159063671040001</v>
      </c>
      <c r="K10" s="1601">
        <v>0.18677308753920002</v>
      </c>
      <c r="L10" s="1601">
        <v>0.1492163017615</v>
      </c>
      <c r="M10" s="1601">
        <v>0.2204648167422</v>
      </c>
      <c r="N10" s="1601">
        <v>0.19498677616250001</v>
      </c>
      <c r="O10" s="1601">
        <v>0.19708165905970002</v>
      </c>
      <c r="P10" s="1601">
        <v>0.21511330410019999</v>
      </c>
      <c r="Q10" s="1601">
        <v>0.23282803042799999</v>
      </c>
      <c r="R10" s="1601">
        <v>0.17844505632240001</v>
      </c>
      <c r="S10" s="1601">
        <v>0.14047169860130002</v>
      </c>
      <c r="T10" s="1601">
        <v>0.18478416422729999</v>
      </c>
      <c r="U10" s="1601">
        <v>0.2198304202011</v>
      </c>
      <c r="V10" s="1601">
        <v>0.20579940541900002</v>
      </c>
      <c r="W10" s="1601">
        <v>0.18292136400289999</v>
      </c>
      <c r="X10" s="1601">
        <v>0.17192163354160001</v>
      </c>
      <c r="Y10" s="1601">
        <v>0.1719014805032</v>
      </c>
      <c r="Z10" s="1601">
        <v>0.1897127532947</v>
      </c>
      <c r="AA10" s="1601">
        <v>0.18500759584100002</v>
      </c>
      <c r="AB10" s="1601">
        <v>0.19780722545149998</v>
      </c>
      <c r="AC10" s="1601">
        <v>0.1801143416314</v>
      </c>
      <c r="AD10" s="1601">
        <v>0.19181846814920001</v>
      </c>
      <c r="AE10" s="1601">
        <v>0.19422243175580001</v>
      </c>
      <c r="AF10" s="1601">
        <v>0.1947294453399</v>
      </c>
      <c r="AG10" s="1601">
        <v>0.19598955804070001</v>
      </c>
      <c r="AH10" s="1601">
        <v>0.1954600972809</v>
      </c>
    </row>
    <row r="11" spans="2:46" ht="15" customHeight="1">
      <c r="B11" s="1602" t="s">
        <v>883</v>
      </c>
      <c r="C11" s="1603">
        <v>0.22573561392059999</v>
      </c>
      <c r="D11" s="1603">
        <v>0.24850911211500001</v>
      </c>
      <c r="E11" s="1603">
        <v>0.24433622689039999</v>
      </c>
      <c r="F11" s="1603">
        <v>0.22426084774239999</v>
      </c>
      <c r="G11" s="1603">
        <v>0.225541065805</v>
      </c>
      <c r="H11" s="1603">
        <v>0.23103207266779999</v>
      </c>
      <c r="I11" s="1603">
        <v>0.22789955039859999</v>
      </c>
      <c r="J11" s="1603">
        <v>0.2052110650374</v>
      </c>
      <c r="K11" s="1603">
        <v>0.20149960515340001</v>
      </c>
      <c r="L11" s="1603">
        <v>0.1901613167542</v>
      </c>
      <c r="M11" s="1603">
        <v>0.2327191141503</v>
      </c>
      <c r="N11" s="1603">
        <v>0.20751462413880001</v>
      </c>
      <c r="O11" s="1603">
        <v>0.22243023165</v>
      </c>
      <c r="P11" s="1603">
        <v>0.2310594792715</v>
      </c>
      <c r="Q11" s="1603">
        <v>0.2248060503157</v>
      </c>
      <c r="R11" s="1603">
        <v>0.2067540346193</v>
      </c>
      <c r="S11" s="1603">
        <v>0.17383175280570001</v>
      </c>
      <c r="T11" s="1603">
        <v>0.19751137362599999</v>
      </c>
      <c r="U11" s="1603">
        <v>0.21341379779389999</v>
      </c>
      <c r="V11" s="1603">
        <v>0.21472291732500001</v>
      </c>
      <c r="W11" s="1603">
        <v>0.19764621059119999</v>
      </c>
      <c r="X11" s="1603">
        <v>0.19602324305890001</v>
      </c>
      <c r="Y11" s="1603">
        <v>0.2054055945179</v>
      </c>
      <c r="Z11" s="1603">
        <v>0.2058197044043</v>
      </c>
      <c r="AA11" s="1603">
        <v>0.20976160847540001</v>
      </c>
      <c r="AB11" s="1603">
        <v>0.22521307640839999</v>
      </c>
      <c r="AC11" s="1603">
        <v>0.2011710362213</v>
      </c>
      <c r="AD11" s="1603">
        <v>0.2135814729154</v>
      </c>
      <c r="AE11" s="1603">
        <v>0.21680462356880001</v>
      </c>
      <c r="AF11" s="1603">
        <v>0.21942559364219999</v>
      </c>
      <c r="AG11" s="1603">
        <v>0.21725275330470001</v>
      </c>
      <c r="AH11" s="1603">
        <v>0.2193941496248</v>
      </c>
    </row>
    <row r="12" spans="2:46">
      <c r="B12" s="1602" t="s">
        <v>884</v>
      </c>
      <c r="C12" s="1604">
        <v>6.7031922735999996E-3</v>
      </c>
      <c r="D12" s="1604">
        <v>-6.6121384905999999E-3</v>
      </c>
      <c r="E12" s="1604">
        <v>-3.5537163219499998E-2</v>
      </c>
      <c r="F12" s="1604">
        <v>1.0638140543E-3</v>
      </c>
      <c r="G12" s="1604">
        <v>-1.5512019189E-3</v>
      </c>
      <c r="H12" s="1604">
        <v>-3.4651040709300002E-2</v>
      </c>
      <c r="I12" s="1604">
        <v>-3.6060118456899999E-2</v>
      </c>
      <c r="J12" s="1604">
        <v>-3.3620428326999997E-2</v>
      </c>
      <c r="K12" s="1604">
        <v>-1.47265176142E-2</v>
      </c>
      <c r="L12" s="1604">
        <v>-4.09450149927E-2</v>
      </c>
      <c r="M12" s="1604">
        <v>-1.2254297408100001E-2</v>
      </c>
      <c r="N12" s="1604">
        <v>-1.2527847976300001E-2</v>
      </c>
      <c r="O12" s="1604">
        <v>-2.53485725903E-2</v>
      </c>
      <c r="P12" s="1604">
        <v>-1.5946175171299998E-2</v>
      </c>
      <c r="Q12" s="1604">
        <v>8.0219801123000006E-3</v>
      </c>
      <c r="R12" s="1604">
        <v>-2.83089782969E-2</v>
      </c>
      <c r="S12" s="1604">
        <v>-3.3360054204399997E-2</v>
      </c>
      <c r="T12" s="1604">
        <v>-1.27272093987E-2</v>
      </c>
      <c r="U12" s="1604">
        <v>6.4166224071999997E-3</v>
      </c>
      <c r="V12" s="1604">
        <v>-8.9235119059999993E-3</v>
      </c>
      <c r="W12" s="1604">
        <v>-1.47248465883E-2</v>
      </c>
      <c r="X12" s="1604">
        <v>-2.4101609517300001E-2</v>
      </c>
      <c r="Y12" s="1604">
        <v>-3.35041140147E-2</v>
      </c>
      <c r="Z12" s="1604">
        <v>-1.6106951109600001E-2</v>
      </c>
      <c r="AA12" s="1604">
        <v>-2.47540126344E-2</v>
      </c>
      <c r="AB12" s="1604">
        <v>-2.7405850956899999E-2</v>
      </c>
      <c r="AC12" s="1604">
        <v>-2.1056694589900001E-2</v>
      </c>
      <c r="AD12" s="1604">
        <v>-2.1763004766199998E-2</v>
      </c>
      <c r="AE12" s="1604">
        <v>-2.2582191812999999E-2</v>
      </c>
      <c r="AF12" s="1604">
        <v>-2.4696148302299999E-2</v>
      </c>
      <c r="AG12" s="1604">
        <v>-2.1263195264000001E-2</v>
      </c>
      <c r="AH12" s="1604">
        <v>-2.39340523439E-2</v>
      </c>
    </row>
    <row r="13" spans="2:46" ht="14.25" customHeight="1">
      <c r="B13" s="1600" t="s">
        <v>885</v>
      </c>
      <c r="C13" s="1601">
        <v>5.7348216911399998E-2</v>
      </c>
      <c r="D13" s="1601">
        <v>5.8570007888200007E-2</v>
      </c>
      <c r="E13" s="1601">
        <v>6.0995575684399998E-2</v>
      </c>
      <c r="F13" s="1601">
        <v>6.0185873574400001E-2</v>
      </c>
      <c r="G13" s="1601">
        <v>4.7443851964900002E-2</v>
      </c>
      <c r="H13" s="1601">
        <v>6.7219781554099994E-2</v>
      </c>
      <c r="I13" s="1601">
        <v>6.9907548945000009E-2</v>
      </c>
      <c r="J13" s="1601">
        <v>6.9667778725500007E-2</v>
      </c>
      <c r="K13" s="1601">
        <v>6.8940912944200003E-2</v>
      </c>
      <c r="L13" s="1601">
        <v>8.3470185460199992E-2</v>
      </c>
      <c r="M13" s="1601">
        <v>8.9070356141099996E-2</v>
      </c>
      <c r="N13" s="1601">
        <v>8.8321591643400005E-2</v>
      </c>
      <c r="O13" s="1601">
        <v>8.6752966321599997E-2</v>
      </c>
      <c r="P13" s="1601">
        <v>6.3055350032499999E-2</v>
      </c>
      <c r="Q13" s="1601">
        <v>6.5331781718500001E-2</v>
      </c>
      <c r="R13" s="1601">
        <v>4.6732157217600004E-2</v>
      </c>
      <c r="S13" s="1601">
        <v>7.4888423389900011E-2</v>
      </c>
      <c r="T13" s="1601">
        <v>4.2572547552899999E-2</v>
      </c>
      <c r="U13" s="1601">
        <v>4.0998297736E-2</v>
      </c>
      <c r="V13" s="1601">
        <v>9.0117186980200006E-2</v>
      </c>
      <c r="W13" s="1601">
        <v>7.8076729918300003E-2</v>
      </c>
      <c r="X13" s="1601">
        <v>8.4383580992899998E-2</v>
      </c>
      <c r="Y13" s="1601">
        <v>8.0444443565000009E-2</v>
      </c>
      <c r="Z13" s="1601">
        <v>8.8629005919500001E-2</v>
      </c>
      <c r="AA13" s="1601">
        <v>9.9436695552600013E-2</v>
      </c>
      <c r="AB13" s="1601">
        <v>4.2620780753900002E-2</v>
      </c>
      <c r="AC13" s="1601">
        <v>7.8843786378099995E-2</v>
      </c>
      <c r="AD13" s="1601">
        <v>7.8999362518499996E-2</v>
      </c>
      <c r="AE13" s="1601">
        <v>8.056887274470001E-2</v>
      </c>
      <c r="AF13" s="1601">
        <v>8.162238963860001E-2</v>
      </c>
      <c r="AG13" s="1601">
        <v>8.0372237611600006E-2</v>
      </c>
      <c r="AH13" s="1601">
        <v>8.1525890014600005E-2</v>
      </c>
    </row>
    <row r="14" spans="2:46">
      <c r="B14" s="1602" t="s">
        <v>919</v>
      </c>
      <c r="C14" s="1603">
        <v>6.9525112782999998E-2</v>
      </c>
      <c r="D14" s="1603">
        <v>7.3777638778400004E-2</v>
      </c>
      <c r="E14" s="1603">
        <v>7.1273382216999998E-2</v>
      </c>
      <c r="F14" s="1603">
        <v>6.5073515299800003E-2</v>
      </c>
      <c r="G14" s="1603">
        <v>5.3836765146100002E-2</v>
      </c>
      <c r="H14" s="1603">
        <v>7.3251095785500001E-2</v>
      </c>
      <c r="I14" s="1603">
        <v>7.5646126185200002E-2</v>
      </c>
      <c r="J14" s="1603">
        <v>7.3470940702200005E-2</v>
      </c>
      <c r="K14" s="1603">
        <v>7.4361332380400005E-2</v>
      </c>
      <c r="L14" s="1603">
        <v>9.9771276831899999E-2</v>
      </c>
      <c r="M14" s="1603">
        <v>9.7817909237399997E-2</v>
      </c>
      <c r="N14" s="1603">
        <v>0.1065581454561</v>
      </c>
      <c r="O14" s="1603">
        <v>0.1026078821422</v>
      </c>
      <c r="P14" s="1603">
        <v>7.52697912921E-2</v>
      </c>
      <c r="Q14" s="1603">
        <v>8.7452419729900005E-2</v>
      </c>
      <c r="R14" s="1603">
        <v>7.8959374196800006E-2</v>
      </c>
      <c r="S14" s="1603">
        <v>0.10015150955630001</v>
      </c>
      <c r="T14" s="1603">
        <v>7.8521403089300001E-2</v>
      </c>
      <c r="U14" s="1603">
        <v>8.1790132597199999E-2</v>
      </c>
      <c r="V14" s="1603">
        <v>9.1210658779800002E-2</v>
      </c>
      <c r="W14" s="1603">
        <v>7.8049214529699998E-2</v>
      </c>
      <c r="X14" s="1603">
        <v>8.4780356292300005E-2</v>
      </c>
      <c r="Y14" s="1603">
        <v>8.2931772347200006E-2</v>
      </c>
      <c r="Z14" s="1603">
        <v>9.2288089432700005E-2</v>
      </c>
      <c r="AA14" s="1603">
        <v>0.10159648664320001</v>
      </c>
      <c r="AB14" s="1603">
        <v>6.7069683593400001E-2</v>
      </c>
      <c r="AC14" s="1603">
        <v>8.8574186648799999E-2</v>
      </c>
      <c r="AD14" s="1603">
        <v>8.9069978449399997E-2</v>
      </c>
      <c r="AE14" s="1603">
        <v>9.0742154766400004E-2</v>
      </c>
      <c r="AF14" s="1603">
        <v>9.1690359963600004E-2</v>
      </c>
      <c r="AG14" s="1603">
        <v>9.1346646036200005E-2</v>
      </c>
      <c r="AH14" s="1603">
        <v>9.2392615271600004E-2</v>
      </c>
    </row>
    <row r="15" spans="2:46">
      <c r="B15" s="1602" t="s">
        <v>884</v>
      </c>
      <c r="C15" s="1603">
        <v>-1.2176895871600001E-2</v>
      </c>
      <c r="D15" s="1603">
        <v>-1.52076308902E-2</v>
      </c>
      <c r="E15" s="1603">
        <v>-1.0277806532599999E-2</v>
      </c>
      <c r="F15" s="1603">
        <v>-4.8876417254000003E-3</v>
      </c>
      <c r="G15" s="1603">
        <v>-6.3929131812000004E-3</v>
      </c>
      <c r="H15" s="1603">
        <v>-6.0313142314000001E-3</v>
      </c>
      <c r="I15" s="1603">
        <v>-5.7385772402000004E-3</v>
      </c>
      <c r="J15" s="1603">
        <v>-3.8031619767000002E-3</v>
      </c>
      <c r="K15" s="1603">
        <v>-5.4204194361999998E-3</v>
      </c>
      <c r="L15" s="1603">
        <v>-1.6301091371700001E-2</v>
      </c>
      <c r="M15" s="1603">
        <v>-8.7475530962999992E-3</v>
      </c>
      <c r="N15" s="1603">
        <v>-1.82365538127E-2</v>
      </c>
      <c r="O15" s="1603">
        <v>-1.5854915820599998E-2</v>
      </c>
      <c r="P15" s="1603">
        <v>-1.2214441259600001E-2</v>
      </c>
      <c r="Q15" s="1603">
        <v>-2.21206380114E-2</v>
      </c>
      <c r="R15" s="1603">
        <v>-3.2227216979200002E-2</v>
      </c>
      <c r="S15" s="1603">
        <v>-2.5263086166399999E-2</v>
      </c>
      <c r="T15" s="1603">
        <v>-3.5948855536400003E-2</v>
      </c>
      <c r="U15" s="1603">
        <v>-4.0791834861199999E-2</v>
      </c>
      <c r="V15" s="1603">
        <v>-1.0934717996000001E-3</v>
      </c>
      <c r="W15" s="1603">
        <v>2.7515388600000001E-5</v>
      </c>
      <c r="X15" s="1603">
        <v>-3.967752994E-4</v>
      </c>
      <c r="Y15" s="1603">
        <v>-2.4873287822000001E-3</v>
      </c>
      <c r="Z15" s="1603">
        <v>-3.6590835131999999E-3</v>
      </c>
      <c r="AA15" s="1603">
        <v>-2.1597910906E-3</v>
      </c>
      <c r="AB15" s="1603">
        <v>-2.4448902839499999E-2</v>
      </c>
      <c r="AC15" s="1603">
        <v>-9.7304002707000008E-3</v>
      </c>
      <c r="AD15" s="1603">
        <v>-1.0070615930899999E-2</v>
      </c>
      <c r="AE15" s="1603">
        <v>-1.01732820217E-2</v>
      </c>
      <c r="AF15" s="1603">
        <v>-1.0067970325E-2</v>
      </c>
      <c r="AG15" s="1603">
        <v>-1.0974408424600001E-2</v>
      </c>
      <c r="AH15" s="1603">
        <v>-1.0866725257E-2</v>
      </c>
    </row>
    <row r="16" spans="2:46">
      <c r="B16" s="1605" t="s">
        <v>765</v>
      </c>
      <c r="C16" s="1606">
        <v>7.9161219477199965E-2</v>
      </c>
      <c r="D16" s="1606">
        <v>7.5639151131400004E-2</v>
      </c>
      <c r="E16" s="1606">
        <v>7.3852744419999991E-2</v>
      </c>
      <c r="F16" s="1606">
        <v>7.4202946167700012E-2</v>
      </c>
      <c r="G16" s="1606">
        <v>7.2713172091900008E-2</v>
      </c>
      <c r="H16" s="1606">
        <v>7.5141272146499988E-2</v>
      </c>
      <c r="I16" s="1606">
        <v>7.0660668598099996E-2</v>
      </c>
      <c r="J16" s="1606">
        <v>7.4928919787399989E-2</v>
      </c>
      <c r="K16" s="1606">
        <v>7.4472834159899998E-2</v>
      </c>
      <c r="L16" s="1606">
        <v>7.6323808444699964E-2</v>
      </c>
      <c r="M16" s="1606">
        <v>7.7802728788699982E-2</v>
      </c>
      <c r="N16" s="1606">
        <v>8.0112403677399996E-2</v>
      </c>
      <c r="O16" s="1606">
        <v>7.6298821827700036E-2</v>
      </c>
      <c r="P16" s="1606">
        <v>7.5725315558599987E-2</v>
      </c>
      <c r="Q16" s="1606">
        <v>7.7764213371699989E-2</v>
      </c>
      <c r="R16" s="1606">
        <v>7.6903455339100021E-2</v>
      </c>
      <c r="S16" s="1606">
        <v>7.9459336996399996E-2</v>
      </c>
      <c r="T16" s="1606">
        <v>8.3116101311900004E-2</v>
      </c>
      <c r="U16" s="1606">
        <v>8.2724922095100017E-2</v>
      </c>
      <c r="V16" s="1606">
        <v>8.21669477393E-2</v>
      </c>
      <c r="W16" s="1606">
        <v>8.4117234552400014E-2</v>
      </c>
      <c r="X16" s="1606">
        <v>7.264064191910001E-2</v>
      </c>
      <c r="Y16" s="1606">
        <v>6.9757187211800006E-2</v>
      </c>
      <c r="Z16" s="1606">
        <v>7.1630844382900016E-2</v>
      </c>
      <c r="AA16" s="1606">
        <v>7.3030609059599988E-2</v>
      </c>
      <c r="AB16" s="1606">
        <v>7.2667445020299995E-2</v>
      </c>
      <c r="AC16" s="1606">
        <v>7.2251007459700006E-2</v>
      </c>
      <c r="AD16" s="1606">
        <v>7.417031378860002E-2</v>
      </c>
      <c r="AE16" s="1606">
        <v>7.3331760052699979E-2</v>
      </c>
      <c r="AF16" s="1606">
        <v>7.2490651950900001E-2</v>
      </c>
      <c r="AG16" s="1606">
        <v>7.2110015527699994E-2</v>
      </c>
      <c r="AH16" s="1606">
        <v>7.1433277902600012E-2</v>
      </c>
    </row>
    <row r="17" spans="2:40">
      <c r="B17" s="1607" t="s">
        <v>886</v>
      </c>
      <c r="C17" s="1608">
        <v>7.094523383129997E-2</v>
      </c>
      <c r="D17" s="1608">
        <v>6.9629929873700008E-2</v>
      </c>
      <c r="E17" s="1608">
        <v>6.8297106606499985E-2</v>
      </c>
      <c r="F17" s="1608">
        <v>7.0072536842500005E-2</v>
      </c>
      <c r="G17" s="1608">
        <v>6.9177267469600012E-2</v>
      </c>
      <c r="H17" s="1608">
        <v>7.1941970118699988E-2</v>
      </c>
      <c r="I17" s="1608">
        <v>6.8075669928999993E-2</v>
      </c>
      <c r="J17" s="1608">
        <v>7.2464631540699986E-2</v>
      </c>
      <c r="K17" s="1608">
        <v>7.1952497785399999E-2</v>
      </c>
      <c r="L17" s="1608">
        <v>7.3444093750599959E-2</v>
      </c>
      <c r="M17" s="1608">
        <v>7.4923678683899986E-2</v>
      </c>
      <c r="N17" s="1608">
        <v>7.6162274293199994E-2</v>
      </c>
      <c r="O17" s="1608">
        <v>7.2489066559900034E-2</v>
      </c>
      <c r="P17" s="1608">
        <v>7.1779199554499989E-2</v>
      </c>
      <c r="Q17" s="1608">
        <v>7.345418254979999E-2</v>
      </c>
      <c r="R17" s="1608">
        <v>7.2800477392000018E-2</v>
      </c>
      <c r="S17" s="1608">
        <v>7.6640329800199997E-2</v>
      </c>
      <c r="T17" s="1608">
        <v>8.0017608089500009E-2</v>
      </c>
      <c r="U17" s="1608">
        <v>7.9384708917600022E-2</v>
      </c>
      <c r="V17" s="1608">
        <v>7.9295616192600005E-2</v>
      </c>
      <c r="W17" s="1608">
        <v>8.0031571451000011E-2</v>
      </c>
      <c r="X17" s="1608">
        <v>6.8272078759800015E-2</v>
      </c>
      <c r="Y17" s="1608">
        <v>6.5723611662100001E-2</v>
      </c>
      <c r="Z17" s="1608">
        <v>6.5005436639100023E-2</v>
      </c>
      <c r="AA17" s="1608">
        <v>6.5203050152299991E-2</v>
      </c>
      <c r="AB17" s="1608">
        <v>6.4850037383999998E-2</v>
      </c>
      <c r="AC17" s="1608">
        <v>6.4503872893400011E-2</v>
      </c>
      <c r="AD17" s="1608">
        <v>6.6474443216200024E-2</v>
      </c>
      <c r="AE17" s="1608">
        <v>6.5993162238099978E-2</v>
      </c>
      <c r="AF17" s="1608">
        <v>6.5296550239899998E-2</v>
      </c>
      <c r="AG17" s="1608">
        <v>6.5056994112699995E-2</v>
      </c>
      <c r="AH17" s="1608">
        <v>6.4394990387400014E-2</v>
      </c>
    </row>
    <row r="18" spans="2:40" ht="15" customHeight="1">
      <c r="B18" s="1609" t="s">
        <v>950</v>
      </c>
      <c r="C18" s="1610">
        <v>2.4643394242900001E-2</v>
      </c>
      <c r="D18" s="1610">
        <v>2.2719047598299999E-2</v>
      </c>
      <c r="E18" s="1610">
        <v>2.1256241430799998E-2</v>
      </c>
      <c r="F18" s="1610">
        <v>2.2538797488100001E-2</v>
      </c>
      <c r="G18" s="1610">
        <v>2.1451451992199999E-2</v>
      </c>
      <c r="H18" s="1610">
        <v>2.4092322122999998E-2</v>
      </c>
      <c r="I18" s="1610">
        <v>2.00577542606E-2</v>
      </c>
      <c r="J18" s="1610">
        <v>2.4399900168100001E-2</v>
      </c>
      <c r="K18" s="1610">
        <v>2.38919607445E-2</v>
      </c>
      <c r="L18" s="1610">
        <v>2.5386202641499999E-2</v>
      </c>
      <c r="M18" s="1610">
        <v>2.6827159213299999E-2</v>
      </c>
      <c r="N18" s="1610">
        <v>2.4765522784900001E-2</v>
      </c>
      <c r="O18" s="1610">
        <v>2.1574615513400001E-2</v>
      </c>
      <c r="P18" s="1610">
        <v>2.0985767550900002E-2</v>
      </c>
      <c r="Q18" s="1610">
        <v>2.27960748368E-2</v>
      </c>
      <c r="R18" s="1610">
        <v>2.2193974764699999E-2</v>
      </c>
      <c r="S18" s="1610">
        <v>1.7700205044300001E-2</v>
      </c>
      <c r="T18" s="1610">
        <v>2.0385267196899998E-2</v>
      </c>
      <c r="U18" s="1610">
        <v>1.9683479957799999E-2</v>
      </c>
      <c r="V18" s="1610">
        <v>1.9443256358699999E-2</v>
      </c>
      <c r="W18" s="1610">
        <v>2.0107992602999999E-2</v>
      </c>
      <c r="X18" s="1610">
        <v>1.8164777158900001E-2</v>
      </c>
      <c r="Y18" s="1610">
        <v>1.5724704147000002E-2</v>
      </c>
      <c r="Z18" s="1610">
        <v>1.4884601842399999E-2</v>
      </c>
      <c r="AA18" s="1610">
        <v>1.4999136783199999E-2</v>
      </c>
      <c r="AB18" s="1610">
        <v>1.45450157189E-2</v>
      </c>
      <c r="AC18" s="1610">
        <v>1.40739854447E-2</v>
      </c>
      <c r="AD18" s="1610">
        <v>1.5934066539100001E-2</v>
      </c>
      <c r="AE18" s="1610">
        <v>1.52567754986E-2</v>
      </c>
      <c r="AF18" s="1610">
        <v>1.4423526668E-2</v>
      </c>
      <c r="AG18" s="1610">
        <v>1.4045620133600001E-2</v>
      </c>
      <c r="AH18" s="1610">
        <v>1.33134878275E-2</v>
      </c>
      <c r="AJ18" s="1414"/>
      <c r="AK18" s="1415"/>
      <c r="AL18" s="1416"/>
      <c r="AN18" s="1417"/>
    </row>
    <row r="19" spans="2:40" ht="15" customHeight="1">
      <c r="B19" s="1609" t="s">
        <v>887</v>
      </c>
      <c r="C19" s="1610">
        <v>-0.20315504388880001</v>
      </c>
      <c r="D19" s="1610">
        <v>-0.20315679754739999</v>
      </c>
      <c r="E19" s="1610">
        <v>-0.20315855120590001</v>
      </c>
      <c r="F19" s="1610">
        <v>-0.20316030486440001</v>
      </c>
      <c r="G19" s="1610">
        <v>-0.20316205852300001</v>
      </c>
      <c r="H19" s="1610">
        <v>-0.20316381218150001</v>
      </c>
      <c r="I19" s="1610">
        <v>-0.20316556584000001</v>
      </c>
      <c r="J19" s="1610">
        <v>-0.20316731949860001</v>
      </c>
      <c r="K19" s="1610">
        <v>-0.20316907315710001</v>
      </c>
      <c r="L19" s="1610">
        <v>-0.20317082681570001</v>
      </c>
      <c r="M19" s="1610">
        <v>-0.2031725804742</v>
      </c>
      <c r="N19" s="1610">
        <v>-0.20004084366409999</v>
      </c>
      <c r="O19" s="1610">
        <v>-0.20052438873709999</v>
      </c>
      <c r="P19" s="1610">
        <v>-0.20062764008600001</v>
      </c>
      <c r="Q19" s="1610">
        <v>-0.200730891435</v>
      </c>
      <c r="R19" s="1610">
        <v>-0.20083414278389999</v>
      </c>
      <c r="S19" s="1610">
        <v>-0.19246010309770001</v>
      </c>
      <c r="T19" s="1610">
        <v>-0.1917480686926</v>
      </c>
      <c r="U19" s="1610">
        <v>-0.19169061839019999</v>
      </c>
      <c r="V19" s="1610">
        <v>-0.19163316808770001</v>
      </c>
      <c r="W19" s="1610">
        <v>-0.19157571778519999</v>
      </c>
      <c r="X19" s="1610">
        <v>-0.20140360824789999</v>
      </c>
      <c r="Y19" s="1610">
        <v>-0.2016209179573</v>
      </c>
      <c r="Z19" s="1610">
        <v>-0.20155668138569999</v>
      </c>
      <c r="AA19" s="1610">
        <v>-0.2014924448141</v>
      </c>
      <c r="AB19" s="1610">
        <v>-0.20142820824249999</v>
      </c>
      <c r="AC19" s="1610">
        <v>-0.2013639716709</v>
      </c>
      <c r="AD19" s="1610">
        <v>-0.20129973509929999</v>
      </c>
      <c r="AE19" s="1610">
        <v>-0.20123549852770001</v>
      </c>
      <c r="AF19" s="1610">
        <v>-0.20117126195609999</v>
      </c>
      <c r="AG19" s="1610">
        <v>-0.20110702538450001</v>
      </c>
      <c r="AH19" s="1610">
        <v>-0.2010427888129</v>
      </c>
      <c r="AJ19" s="1414"/>
      <c r="AK19" s="1415"/>
      <c r="AL19" s="1416"/>
      <c r="AN19" s="1417"/>
    </row>
    <row r="20" spans="2:40" ht="15" customHeight="1">
      <c r="B20" s="1611" t="s">
        <v>954</v>
      </c>
      <c r="C20" s="1612">
        <v>1.22809815912E-2</v>
      </c>
      <c r="D20" s="1612">
        <v>1.2278540918E-2</v>
      </c>
      <c r="E20" s="1612">
        <v>1.22761002448E-2</v>
      </c>
      <c r="F20" s="1612">
        <v>1.2273659571599999E-2</v>
      </c>
      <c r="G20" s="1612">
        <v>1.2271218895600001E-2</v>
      </c>
      <c r="H20" s="1612">
        <v>1.22687782224E-2</v>
      </c>
      <c r="I20" s="1612">
        <v>1.22663375492E-2</v>
      </c>
      <c r="J20" s="1612">
        <v>1.2263896876E-2</v>
      </c>
      <c r="K20" s="1612">
        <v>1.2261456202799999E-2</v>
      </c>
      <c r="L20" s="1612">
        <v>1.2259015529600001E-2</v>
      </c>
      <c r="M20" s="1612">
        <v>1.2256574853600001E-2</v>
      </c>
      <c r="N20" s="1612">
        <v>1.22541341804E-2</v>
      </c>
      <c r="O20" s="1612">
        <v>1.22137166256E-2</v>
      </c>
      <c r="P20" s="1612">
        <v>1.21732990708E-2</v>
      </c>
      <c r="Q20" s="1612">
        <v>1.2132881516E-2</v>
      </c>
      <c r="R20" s="1612">
        <v>1.2092463961199999E-2</v>
      </c>
      <c r="S20" s="1612">
        <v>1.2052046403599999E-2</v>
      </c>
      <c r="T20" s="1612">
        <v>1.2032228135199999E-2</v>
      </c>
      <c r="U20" s="1612">
        <v>1.2012409864E-2</v>
      </c>
      <c r="V20" s="1612">
        <v>1.19925915956E-2</v>
      </c>
      <c r="W20" s="1612">
        <v>1.1972773324400001E-2</v>
      </c>
      <c r="X20" s="1612">
        <v>1.1952955055999999E-2</v>
      </c>
      <c r="Y20" s="1612">
        <v>1.1971797054E-2</v>
      </c>
      <c r="Z20" s="1612">
        <v>1.19906390548E-2</v>
      </c>
      <c r="AA20" s="1612">
        <v>1.2009481055599999E-2</v>
      </c>
      <c r="AB20" s="1612">
        <v>1.20283230564E-2</v>
      </c>
      <c r="AC20" s="1612">
        <v>1.20471650572E-2</v>
      </c>
      <c r="AD20" s="1612">
        <v>1.2066007058000001E-2</v>
      </c>
      <c r="AE20" s="1612">
        <v>1.20848490588E-2</v>
      </c>
      <c r="AF20" s="1612">
        <v>1.21036910596E-2</v>
      </c>
      <c r="AG20" s="1612">
        <v>1.2122533060400001E-2</v>
      </c>
      <c r="AH20" s="1944">
        <v>1.2122533060400001E-2</v>
      </c>
      <c r="AJ20" s="1414"/>
      <c r="AK20" s="1415"/>
      <c r="AL20" s="1416"/>
    </row>
    <row r="21" spans="2:40">
      <c r="B21" s="1607" t="s">
        <v>955</v>
      </c>
      <c r="C21" s="1608">
        <v>0.23717590188599999</v>
      </c>
      <c r="D21" s="1608">
        <v>0.2377891389048</v>
      </c>
      <c r="E21" s="1608">
        <v>0.23792331613680001</v>
      </c>
      <c r="F21" s="1608">
        <v>0.2384203846472</v>
      </c>
      <c r="G21" s="1608">
        <v>0.23861665510480001</v>
      </c>
      <c r="H21" s="1608">
        <v>0.2387446819548</v>
      </c>
      <c r="I21" s="1608">
        <v>0.2389171439592</v>
      </c>
      <c r="J21" s="1608">
        <v>0.23896815399519999</v>
      </c>
      <c r="K21" s="1608">
        <v>0.23896815399519999</v>
      </c>
      <c r="L21" s="1608">
        <v>0.23896970239519999</v>
      </c>
      <c r="M21" s="1608">
        <v>0.2390125250912</v>
      </c>
      <c r="N21" s="1608">
        <v>0.239183460992</v>
      </c>
      <c r="O21" s="1608">
        <v>0.23922512315800001</v>
      </c>
      <c r="P21" s="1608">
        <v>0.23924777301879999</v>
      </c>
      <c r="Q21" s="1608">
        <v>0.239256117632</v>
      </c>
      <c r="R21" s="1608">
        <v>0.23934818145</v>
      </c>
      <c r="S21" s="1608">
        <v>0.23934818145</v>
      </c>
      <c r="T21" s="1608">
        <v>0.23934818145</v>
      </c>
      <c r="U21" s="1608">
        <v>0.23937943748599999</v>
      </c>
      <c r="V21" s="1608">
        <v>0.23949293632599999</v>
      </c>
      <c r="W21" s="1608">
        <v>0.2395265233088</v>
      </c>
      <c r="X21" s="1608">
        <v>0.23955795479280001</v>
      </c>
      <c r="Y21" s="1608">
        <v>0.23964802841839999</v>
      </c>
      <c r="Z21" s="1608">
        <v>0.23968687712760001</v>
      </c>
      <c r="AA21" s="1608">
        <v>0.23968687712760001</v>
      </c>
      <c r="AB21" s="1608">
        <v>0.23970490685119999</v>
      </c>
      <c r="AC21" s="1608">
        <v>0.23974669406240001</v>
      </c>
      <c r="AD21" s="1608">
        <v>0.23977410471839999</v>
      </c>
      <c r="AE21" s="1608">
        <v>0.23988703620839999</v>
      </c>
      <c r="AF21" s="1608">
        <v>0.23994059446839999</v>
      </c>
      <c r="AG21" s="1608">
        <v>0.2399958663032</v>
      </c>
      <c r="AH21" s="1608">
        <v>0.2400017583124</v>
      </c>
      <c r="AJ21" s="1414"/>
      <c r="AK21" s="1415"/>
      <c r="AL21" s="1416"/>
    </row>
    <row r="22" spans="2:40">
      <c r="B22" s="1609" t="s">
        <v>888</v>
      </c>
      <c r="C22" s="1610">
        <v>8.2159856459000005E-3</v>
      </c>
      <c r="D22" s="1610">
        <v>6.0092212577000006E-3</v>
      </c>
      <c r="E22" s="1610">
        <v>5.5556378135000004E-3</v>
      </c>
      <c r="F22" s="1610">
        <v>4.1304093252000004E-3</v>
      </c>
      <c r="G22" s="1610">
        <v>3.5359046223E-3</v>
      </c>
      <c r="H22" s="1610">
        <v>3.1993020277999999E-3</v>
      </c>
      <c r="I22" s="1610">
        <v>2.5849986691E-3</v>
      </c>
      <c r="J22" s="1610">
        <v>2.4642882467000001E-3</v>
      </c>
      <c r="K22" s="1610">
        <v>2.5203363744999998E-3</v>
      </c>
      <c r="L22" s="1610">
        <v>2.8797146940999999E-3</v>
      </c>
      <c r="M22" s="1610">
        <v>2.8790501047999996E-3</v>
      </c>
      <c r="N22" s="1610">
        <v>3.9501293842000001E-3</v>
      </c>
      <c r="O22" s="1610">
        <v>3.8097552677999998E-3</v>
      </c>
      <c r="P22" s="1610">
        <v>3.9461160041000002E-3</v>
      </c>
      <c r="Q22" s="1610">
        <v>4.3100308218999997E-3</v>
      </c>
      <c r="R22" s="1610">
        <v>4.1029779470999998E-3</v>
      </c>
      <c r="S22" s="1610">
        <v>2.8190071961999999E-3</v>
      </c>
      <c r="T22" s="1610">
        <v>3.0984932223999998E-3</v>
      </c>
      <c r="U22" s="1610">
        <v>3.3402131774999998E-3</v>
      </c>
      <c r="V22" s="1610">
        <v>2.8713315466999999E-3</v>
      </c>
      <c r="W22" s="1610">
        <v>4.0856631014000002E-3</v>
      </c>
      <c r="X22" s="1610">
        <v>4.3685631593000001E-3</v>
      </c>
      <c r="Y22" s="1610">
        <v>4.0335755497000001E-3</v>
      </c>
      <c r="Z22" s="1610">
        <v>6.6254077437999997E-3</v>
      </c>
      <c r="AA22" s="1610">
        <v>7.8275589073000008E-3</v>
      </c>
      <c r="AB22" s="1610">
        <v>7.8174076363000007E-3</v>
      </c>
      <c r="AC22" s="1610">
        <v>7.7471345663000001E-3</v>
      </c>
      <c r="AD22" s="1610">
        <v>7.6958705724000003E-3</v>
      </c>
      <c r="AE22" s="1610">
        <v>7.3385978146000008E-3</v>
      </c>
      <c r="AF22" s="1610">
        <v>7.1941017109999998E-3</v>
      </c>
      <c r="AG22" s="1610">
        <v>7.0530214149999992E-3</v>
      </c>
      <c r="AH22" s="1610">
        <v>7.0382875151999997E-3</v>
      </c>
      <c r="AJ22" s="1418"/>
      <c r="AK22" s="1419"/>
      <c r="AL22" s="1416"/>
    </row>
    <row r="23" spans="2:40">
      <c r="B23" s="1609" t="s">
        <v>956</v>
      </c>
      <c r="C23" s="1610">
        <v>4.7218738246999998E-3</v>
      </c>
      <c r="D23" s="1610">
        <v>3.4388765577000003E-3</v>
      </c>
      <c r="E23" s="1610">
        <v>3.1637827731000002E-3</v>
      </c>
      <c r="F23" s="1610">
        <v>2.3336149104000001E-3</v>
      </c>
      <c r="G23" s="1610">
        <v>1.9828358603000001E-3</v>
      </c>
      <c r="H23" s="1610">
        <v>1.8023311686E-3</v>
      </c>
      <c r="I23" s="1610">
        <v>1.4417918911E-3</v>
      </c>
      <c r="J23" s="1610">
        <v>1.3593044423E-3</v>
      </c>
      <c r="K23" s="1610">
        <v>1.3879419112999998E-3</v>
      </c>
      <c r="L23" s="1610">
        <v>1.5926887188999999E-3</v>
      </c>
      <c r="M23" s="1610">
        <v>1.5890408807999999E-3</v>
      </c>
      <c r="N23" s="1610">
        <v>2.8112546766E-3</v>
      </c>
      <c r="O23" s="1610">
        <v>2.7004625910000001E-3</v>
      </c>
      <c r="P23" s="1610">
        <v>2.7520511124999999E-3</v>
      </c>
      <c r="Q23" s="1610">
        <v>2.9378987122999998E-3</v>
      </c>
      <c r="R23" s="1610">
        <v>2.7942414551E-3</v>
      </c>
      <c r="S23" s="1610">
        <v>1.4680855234E-3</v>
      </c>
      <c r="T23" s="1610">
        <v>1.5995577255999999E-3</v>
      </c>
      <c r="U23" s="1610">
        <v>1.7096575095E-3</v>
      </c>
      <c r="V23" s="1610">
        <v>1.4157169974999999E-3</v>
      </c>
      <c r="W23" s="1610">
        <v>2.0979536854000003E-3</v>
      </c>
      <c r="X23" s="1610">
        <v>2.3590967605E-3</v>
      </c>
      <c r="Y23" s="1610">
        <v>2.1502382113000001E-3</v>
      </c>
      <c r="Z23" s="1610">
        <v>3.6715095573999997E-3</v>
      </c>
      <c r="AA23" s="1610">
        <v>4.3515943340999997E-3</v>
      </c>
      <c r="AB23" s="1610">
        <v>4.3299057079000001E-3</v>
      </c>
      <c r="AC23" s="1610">
        <v>4.2845303834999999E-3</v>
      </c>
      <c r="AD23" s="1610">
        <v>4.2437875884000003E-3</v>
      </c>
      <c r="AE23" s="1610">
        <v>4.0258052798000004E-3</v>
      </c>
      <c r="AF23" s="1610">
        <v>3.9305865581999999E-3</v>
      </c>
      <c r="AG23" s="1610">
        <v>3.8414412501999997E-3</v>
      </c>
      <c r="AH23" s="1610">
        <v>3.8455837408E-3</v>
      </c>
      <c r="AJ23" s="1418"/>
      <c r="AK23" s="1419"/>
      <c r="AL23" s="1416"/>
    </row>
    <row r="24" spans="2:40">
      <c r="B24" s="1609" t="s">
        <v>957</v>
      </c>
      <c r="C24" s="1610">
        <v>3.4941118212000002E-3</v>
      </c>
      <c r="D24" s="1610">
        <v>2.5703447000000003E-3</v>
      </c>
      <c r="E24" s="1610">
        <v>2.3918550404000002E-3</v>
      </c>
      <c r="F24" s="1610">
        <v>1.7967944147999999E-3</v>
      </c>
      <c r="G24" s="1610">
        <v>1.5530687619999999E-3</v>
      </c>
      <c r="H24" s="1610">
        <v>1.3969708592E-3</v>
      </c>
      <c r="I24" s="1610">
        <v>1.1432067779999998E-3</v>
      </c>
      <c r="J24" s="1610">
        <v>1.1049838043999999E-3</v>
      </c>
      <c r="K24" s="1610">
        <v>1.1323944631999999E-3</v>
      </c>
      <c r="L24" s="1610">
        <v>1.2870259752E-3</v>
      </c>
      <c r="M24" s="1610">
        <v>1.2900092239999999E-3</v>
      </c>
      <c r="N24" s="1610">
        <v>1.1388747075999999E-3</v>
      </c>
      <c r="O24" s="1610">
        <v>1.1092926767999999E-3</v>
      </c>
      <c r="P24" s="1610">
        <v>1.1940648916000001E-3</v>
      </c>
      <c r="Q24" s="1610">
        <v>1.3721321095999999E-3</v>
      </c>
      <c r="R24" s="1610">
        <v>1.308736492E-3</v>
      </c>
      <c r="S24" s="1610">
        <v>1.3509216727999999E-3</v>
      </c>
      <c r="T24" s="1610">
        <v>1.4989354967999999E-3</v>
      </c>
      <c r="U24" s="1610">
        <v>1.630555668E-3</v>
      </c>
      <c r="V24" s="1610">
        <v>1.4556145492E-3</v>
      </c>
      <c r="W24" s="1610">
        <v>1.9877094159999999E-3</v>
      </c>
      <c r="X24" s="1610">
        <v>2.0094663988000001E-3</v>
      </c>
      <c r="Y24" s="1610">
        <v>1.8833373384E-3</v>
      </c>
      <c r="Z24" s="1610">
        <v>2.9538981864E-3</v>
      </c>
      <c r="AA24" s="1610">
        <v>3.4759645732000003E-3</v>
      </c>
      <c r="AB24" s="1610">
        <v>3.4875019284000002E-3</v>
      </c>
      <c r="AC24" s="1610">
        <v>3.4626041828000002E-3</v>
      </c>
      <c r="AD24" s="1610">
        <v>3.452082984E-3</v>
      </c>
      <c r="AE24" s="1610">
        <v>3.3127925348E-3</v>
      </c>
      <c r="AF24" s="1610">
        <v>3.2635151527999999E-3</v>
      </c>
      <c r="AG24" s="1610">
        <v>3.2115801647999999E-3</v>
      </c>
      <c r="AH24" s="1610">
        <v>3.1927037744000001E-3</v>
      </c>
      <c r="AJ24" s="1418"/>
      <c r="AK24" s="1419"/>
      <c r="AL24" s="1416"/>
    </row>
    <row r="25" spans="2:40">
      <c r="B25" s="1613" t="s">
        <v>766</v>
      </c>
      <c r="C25" s="1614">
        <v>-1.1454179257269832</v>
      </c>
      <c r="D25" s="1614">
        <v>-1.1430593718748079</v>
      </c>
      <c r="E25" s="1614">
        <v>-1.1530090121479271</v>
      </c>
      <c r="F25" s="1614">
        <v>-1.1585748364226691</v>
      </c>
      <c r="G25" s="1614">
        <v>-1.1633325320271455</v>
      </c>
      <c r="H25" s="1614">
        <v>-1.1713006558608419</v>
      </c>
      <c r="I25" s="1614">
        <v>-1.1882673219216933</v>
      </c>
      <c r="J25" s="1614">
        <v>-1.2229448716438389</v>
      </c>
      <c r="K25" s="1614">
        <v>-1.2311766904948203</v>
      </c>
      <c r="L25" s="1614">
        <v>-1.2342939058213673</v>
      </c>
      <c r="M25" s="1614">
        <v>-1.2531334030172829</v>
      </c>
      <c r="N25" s="1614">
        <v>-1.2567457878843864</v>
      </c>
      <c r="O25" s="1614">
        <v>-1.2623614455748076</v>
      </c>
      <c r="P25" s="1614">
        <v>-1.2707765225426035</v>
      </c>
      <c r="Q25" s="1614">
        <v>-1.2972769474918953</v>
      </c>
      <c r="R25" s="1614">
        <v>-1.3180083497299573</v>
      </c>
      <c r="S25" s="1614">
        <v>-1.3343009821492982</v>
      </c>
      <c r="T25" s="1614">
        <v>-1.3583312320194252</v>
      </c>
      <c r="U25" s="1614">
        <v>-1.3357002837578615</v>
      </c>
      <c r="V25" s="1614">
        <v>-1.3819834086279228</v>
      </c>
      <c r="W25" s="1614">
        <v>-1.3994370169927701</v>
      </c>
      <c r="X25" s="1614">
        <v>-1.4008962808020939</v>
      </c>
      <c r="Y25" s="1614">
        <v>-1.4046341420053516</v>
      </c>
      <c r="Z25" s="1614">
        <v>-1.4139106695810997</v>
      </c>
      <c r="AA25" s="1614">
        <v>-1.425362352888383</v>
      </c>
      <c r="AB25" s="1614">
        <v>-1.4523758355129994</v>
      </c>
      <c r="AC25" s="1614">
        <v>-1.4242748173710091</v>
      </c>
      <c r="AD25" s="1614">
        <v>-1.421112856598449</v>
      </c>
      <c r="AE25" s="1614">
        <v>-1.4488200792786954</v>
      </c>
      <c r="AF25" s="1614">
        <v>-1.4457120244844244</v>
      </c>
      <c r="AG25" s="1614">
        <v>-1.665003946209636</v>
      </c>
      <c r="AH25" s="1614">
        <v>-1.6839923561929644</v>
      </c>
    </row>
    <row r="26" spans="2:40">
      <c r="B26" s="1615" t="s">
        <v>889</v>
      </c>
      <c r="C26" s="1616">
        <v>-1.5510834346855833</v>
      </c>
      <c r="D26" s="1616">
        <v>-1.5493602090682079</v>
      </c>
      <c r="E26" s="1616">
        <v>-1.5599451775762272</v>
      </c>
      <c r="F26" s="1616">
        <v>-1.5661463300858691</v>
      </c>
      <c r="G26" s="1616">
        <v>-1.5715393539252456</v>
      </c>
      <c r="H26" s="1616">
        <v>-1.5802863417629418</v>
      </c>
      <c r="I26" s="1616">
        <v>-1.5980318718279933</v>
      </c>
      <c r="J26" s="1616">
        <v>-1.633488285554239</v>
      </c>
      <c r="K26" s="1616">
        <v>-1.6424989684093203</v>
      </c>
      <c r="L26" s="1616">
        <v>-1.6463950477398672</v>
      </c>
      <c r="M26" s="1616">
        <v>-1.6658972148290829</v>
      </c>
      <c r="N26" s="1616">
        <v>-1.6701722695895864</v>
      </c>
      <c r="O26" s="1616">
        <v>-1.6764505971733075</v>
      </c>
      <c r="P26" s="1616">
        <v>-1.6855283440346036</v>
      </c>
      <c r="Q26" s="1616">
        <v>-1.7126914388772951</v>
      </c>
      <c r="R26" s="1616">
        <v>-1.7340855110087574</v>
      </c>
      <c r="S26" s="1616">
        <v>-1.7510542352637981</v>
      </c>
      <c r="T26" s="1616">
        <v>-1.7757605769698253</v>
      </c>
      <c r="U26" s="1616">
        <v>-1.7538057205440616</v>
      </c>
      <c r="V26" s="1616">
        <v>-1.8007649372501229</v>
      </c>
      <c r="W26" s="1616">
        <v>-1.8188946374507702</v>
      </c>
      <c r="X26" s="1616">
        <v>-1.8210299930957941</v>
      </c>
      <c r="Y26" s="1616">
        <v>-1.8255949142576515</v>
      </c>
      <c r="Z26" s="1616">
        <v>-1.8356985017920997</v>
      </c>
      <c r="AA26" s="1616">
        <v>-1.847977245057983</v>
      </c>
      <c r="AB26" s="1616">
        <v>-1.8758177876412994</v>
      </c>
      <c r="AC26" s="1616">
        <v>-1.8485438294580092</v>
      </c>
      <c r="AD26" s="1616">
        <v>-1.8453818686854491</v>
      </c>
      <c r="AE26" s="1616">
        <v>-1.8730890913656955</v>
      </c>
      <c r="AF26" s="1616">
        <v>-1.8699810365714244</v>
      </c>
      <c r="AG26" s="1616">
        <v>-2.0892729582966361</v>
      </c>
      <c r="AH26" s="1616">
        <v>-2.1082613682799645</v>
      </c>
      <c r="AI26" s="1411"/>
      <c r="AK26" s="1417"/>
    </row>
    <row r="27" spans="2:40">
      <c r="B27" s="1617" t="s">
        <v>920</v>
      </c>
      <c r="C27" s="1618">
        <v>-2.0584406869090999</v>
      </c>
      <c r="D27" s="1618">
        <v>-2.0658107909239001</v>
      </c>
      <c r="E27" s="1618">
        <v>-2.0773476210183</v>
      </c>
      <c r="F27" s="1618">
        <v>-2.0855299712580999</v>
      </c>
      <c r="G27" s="1618">
        <v>-2.0960069553327001</v>
      </c>
      <c r="H27" s="1618">
        <v>-2.1123955087236999</v>
      </c>
      <c r="I27" s="1618">
        <v>-2.1325362237085002</v>
      </c>
      <c r="J27" s="1618">
        <v>-2.1425655180813998</v>
      </c>
      <c r="K27" s="1618">
        <v>-2.1514542462917001</v>
      </c>
      <c r="L27" s="1618">
        <v>-2.1551373380529002</v>
      </c>
      <c r="M27" s="1618">
        <v>-2.1642906422283001</v>
      </c>
      <c r="N27" s="1618">
        <v>-2.1696567163839999</v>
      </c>
      <c r="O27" s="1618">
        <v>-2.1761877442364002</v>
      </c>
      <c r="P27" s="1618">
        <v>-2.2150424577121002</v>
      </c>
      <c r="Q27" s="1618">
        <v>-2.2452451420637001</v>
      </c>
      <c r="R27" s="1618">
        <v>-2.2826560533771998</v>
      </c>
      <c r="S27" s="1618">
        <v>-2.3148240368647999</v>
      </c>
      <c r="T27" s="1618">
        <v>-2.3556475329582001</v>
      </c>
      <c r="U27" s="1618">
        <v>-2.3946712802777999</v>
      </c>
      <c r="V27" s="1618">
        <v>-2.4520150395985998</v>
      </c>
      <c r="W27" s="1618">
        <v>-2.4948092514706</v>
      </c>
      <c r="X27" s="1618">
        <v>-2.5291016924592</v>
      </c>
      <c r="Y27" s="1618">
        <v>-2.5532969504498002</v>
      </c>
      <c r="Z27" s="1618">
        <v>-2.5925788638370002</v>
      </c>
      <c r="AA27" s="1618">
        <v>-2.6385311887978999</v>
      </c>
      <c r="AB27" s="1618">
        <v>-2.6912600662532</v>
      </c>
      <c r="AC27" s="1618">
        <v>-2.6790824188946001</v>
      </c>
      <c r="AD27" s="1618">
        <v>-2.6755894782728999</v>
      </c>
      <c r="AE27" s="1618">
        <v>-2.6721010916857</v>
      </c>
      <c r="AF27" s="1618">
        <v>-2.6686172531958001</v>
      </c>
      <c r="AG27" s="1618">
        <v>-2.8868060522487999</v>
      </c>
      <c r="AH27" s="1618">
        <v>-2.9063777798629999</v>
      </c>
    </row>
    <row r="28" spans="2:40">
      <c r="B28" s="1617" t="s">
        <v>951</v>
      </c>
      <c r="C28" s="1618">
        <v>0.55587766666670002</v>
      </c>
      <c r="D28" s="1618">
        <v>0.55590700000000004</v>
      </c>
      <c r="E28" s="1618">
        <v>0.55591066666669997</v>
      </c>
      <c r="F28" s="1618">
        <v>0.55597300000000005</v>
      </c>
      <c r="G28" s="1618">
        <v>0.55600966666670004</v>
      </c>
      <c r="H28" s="1618">
        <v>0.5561086666667</v>
      </c>
      <c r="I28" s="1618">
        <v>0.55611966666669999</v>
      </c>
      <c r="J28" s="1618">
        <v>0.5561233333333</v>
      </c>
      <c r="K28" s="1618">
        <v>0.56063333333330001</v>
      </c>
      <c r="L28" s="1618">
        <v>0.56078366666669999</v>
      </c>
      <c r="M28" s="1618">
        <v>0.56089366666670004</v>
      </c>
      <c r="N28" s="1618">
        <v>0.56102933333329996</v>
      </c>
      <c r="O28" s="1618">
        <v>0.56107700000000005</v>
      </c>
      <c r="P28" s="1618">
        <v>0.58749166666670005</v>
      </c>
      <c r="Q28" s="1618">
        <v>0.59955866666669999</v>
      </c>
      <c r="R28" s="1618">
        <v>0.61109400000000003</v>
      </c>
      <c r="S28" s="1618">
        <v>0.62253766666669996</v>
      </c>
      <c r="T28" s="1618">
        <v>0.6357193333333</v>
      </c>
      <c r="U28" s="1618">
        <v>0.69460966666669999</v>
      </c>
      <c r="V28" s="1618">
        <v>0.70707266666669999</v>
      </c>
      <c r="W28" s="1618">
        <v>0.73184833333330002</v>
      </c>
      <c r="X28" s="1618">
        <v>0.76106433333330004</v>
      </c>
      <c r="Y28" s="1618">
        <v>0.77864599999999995</v>
      </c>
      <c r="Z28" s="1618">
        <v>0.80716166666669997</v>
      </c>
      <c r="AA28" s="1618">
        <v>0.8422883333333</v>
      </c>
      <c r="AB28" s="1618">
        <v>0.86729500000000004</v>
      </c>
      <c r="AC28" s="1618">
        <v>0.88213447389970001</v>
      </c>
      <c r="AD28" s="1618">
        <v>0.88094452266120005</v>
      </c>
      <c r="AE28" s="1618">
        <v>0.87976753791770002</v>
      </c>
      <c r="AF28" s="1618">
        <v>0.87860338306100005</v>
      </c>
      <c r="AG28" s="1618">
        <v>0.87745192294060004</v>
      </c>
      <c r="AH28" s="1619">
        <v>0.87745192294060004</v>
      </c>
    </row>
    <row r="29" spans="2:40">
      <c r="B29" s="1617" t="s">
        <v>958</v>
      </c>
      <c r="C29" s="1618">
        <v>4.6168545654216133E-3</v>
      </c>
      <c r="D29" s="1618">
        <v>4.4174245753570429E-3</v>
      </c>
      <c r="E29" s="1618">
        <v>4.881439790415546E-3</v>
      </c>
      <c r="F29" s="1618">
        <v>5.0094102677615176E-3</v>
      </c>
      <c r="G29" s="1618">
        <v>5.1727714838078944E-3</v>
      </c>
      <c r="H29" s="1618">
        <v>5.2980734532007585E-3</v>
      </c>
      <c r="I29" s="1618">
        <v>5.5504604646945434E-3</v>
      </c>
      <c r="J29" s="1618">
        <v>5.7460915454246352E-3</v>
      </c>
      <c r="K29" s="1618">
        <v>4.788435595918827E-3</v>
      </c>
      <c r="L29" s="1618">
        <v>4.9398219066089689E-3</v>
      </c>
      <c r="M29" s="1618">
        <v>5.5356339954493938E-3</v>
      </c>
      <c r="N29" s="1618">
        <v>5.7949675256183074E-3</v>
      </c>
      <c r="O29" s="1618">
        <v>5.4899204259245167E-3</v>
      </c>
      <c r="P29" s="1618">
        <v>5.5569087890999314E-3</v>
      </c>
      <c r="Q29" s="1618">
        <v>6.1422431771701981E-3</v>
      </c>
      <c r="R29" s="1618">
        <v>6.6576020008903636E-3</v>
      </c>
      <c r="S29" s="1618">
        <v>7.0912740021450756E-3</v>
      </c>
      <c r="T29" s="1618">
        <v>6.9348296303397908E-3</v>
      </c>
      <c r="U29" s="1618">
        <v>6.112379740975938E-3</v>
      </c>
      <c r="V29" s="1618">
        <v>5.3311151893915753E-3</v>
      </c>
      <c r="W29" s="1618">
        <v>5.055199940593039E-3</v>
      </c>
      <c r="X29" s="1618">
        <v>5.5087368693260306E-3</v>
      </c>
      <c r="Y29" s="1618">
        <v>5.4730177851852121E-3</v>
      </c>
      <c r="Z29" s="1618">
        <v>5.504687300746121E-3</v>
      </c>
      <c r="AA29" s="1618">
        <v>4.9727287006248828E-3</v>
      </c>
      <c r="AB29" s="1618">
        <v>4.9727287006248828E-3</v>
      </c>
      <c r="AC29" s="1618">
        <v>4.9727287006248828E-3</v>
      </c>
      <c r="AD29" s="1618">
        <v>4.9727287006248828E-3</v>
      </c>
      <c r="AE29" s="1618">
        <v>4.9727287006248828E-3</v>
      </c>
      <c r="AF29" s="1618">
        <v>4.9727287006248828E-3</v>
      </c>
      <c r="AG29" s="1618">
        <v>4.9727287006248828E-3</v>
      </c>
      <c r="AH29" s="1943">
        <v>4.9727287006248828E-3</v>
      </c>
    </row>
    <row r="30" spans="2:40">
      <c r="B30" s="1617" t="s">
        <v>952</v>
      </c>
      <c r="C30" s="1618">
        <v>-5.3137269008605055E-2</v>
      </c>
      <c r="D30" s="1618">
        <v>-4.3873842719664782E-2</v>
      </c>
      <c r="E30" s="1618">
        <v>-4.338966301504274E-2</v>
      </c>
      <c r="F30" s="1618">
        <v>-4.1598769095530841E-2</v>
      </c>
      <c r="G30" s="1618">
        <v>-3.6714836743053411E-2</v>
      </c>
      <c r="H30" s="1618">
        <v>-2.9297573159142717E-2</v>
      </c>
      <c r="I30" s="1618">
        <v>-2.716577525088754E-2</v>
      </c>
      <c r="J30" s="1618">
        <v>-5.2792192351563655E-2</v>
      </c>
      <c r="K30" s="1618">
        <v>-5.6466491046839144E-2</v>
      </c>
      <c r="L30" s="1618">
        <v>-5.6981198260275916E-2</v>
      </c>
      <c r="M30" s="1618">
        <v>-6.8035873262932339E-2</v>
      </c>
      <c r="N30" s="1618">
        <v>-6.7339854064505017E-2</v>
      </c>
      <c r="O30" s="1618">
        <v>-6.6829773362831815E-2</v>
      </c>
      <c r="P30" s="1618">
        <v>-6.3534461778303311E-2</v>
      </c>
      <c r="Q30" s="1618">
        <v>-7.3147206657465366E-2</v>
      </c>
      <c r="R30" s="1618">
        <v>-6.9181059632447986E-2</v>
      </c>
      <c r="S30" s="1618">
        <v>-6.5859139067843395E-2</v>
      </c>
      <c r="T30" s="1618">
        <v>-6.2767206975265055E-2</v>
      </c>
      <c r="U30" s="1618">
        <v>-5.9856486673937524E-2</v>
      </c>
      <c r="V30" s="1618">
        <v>-6.1153679507614543E-2</v>
      </c>
      <c r="W30" s="1618">
        <v>-6.0988919254063148E-2</v>
      </c>
      <c r="X30" s="1618">
        <v>-5.8501370839220232E-2</v>
      </c>
      <c r="Y30" s="1618">
        <v>-5.6416981593036396E-2</v>
      </c>
      <c r="Z30" s="1618">
        <v>-5.5785991922545353E-2</v>
      </c>
      <c r="AA30" s="1618">
        <v>-5.6707118294007916E-2</v>
      </c>
      <c r="AB30" s="1618">
        <v>-5.6825450088724284E-2</v>
      </c>
      <c r="AC30" s="1618">
        <v>-5.656861316373412E-2</v>
      </c>
      <c r="AD30" s="1618">
        <v>-5.5709641774374132E-2</v>
      </c>
      <c r="AE30" s="1618">
        <v>-8.5728266298320213E-2</v>
      </c>
      <c r="AF30" s="1618">
        <v>-8.4939895137249283E-2</v>
      </c>
      <c r="AG30" s="1618">
        <v>-8.4891557689061189E-2</v>
      </c>
      <c r="AH30" s="1943">
        <v>-8.430824005818946E-2</v>
      </c>
    </row>
    <row r="31" spans="2:40">
      <c r="B31" s="1620" t="s">
        <v>890</v>
      </c>
      <c r="C31" s="1616">
        <v>0.40566550895859999</v>
      </c>
      <c r="D31" s="1616">
        <v>0.40630083719339999</v>
      </c>
      <c r="E31" s="1616">
        <v>0.40693616542830002</v>
      </c>
      <c r="F31" s="1616">
        <v>0.4075714936632</v>
      </c>
      <c r="G31" s="1616">
        <v>0.40820682189809998</v>
      </c>
      <c r="H31" s="1616">
        <v>0.40898568590209999</v>
      </c>
      <c r="I31" s="1616">
        <v>0.40976454990630001</v>
      </c>
      <c r="J31" s="1616">
        <v>0.4105434139104</v>
      </c>
      <c r="K31" s="1616">
        <v>0.41132227791449999</v>
      </c>
      <c r="L31" s="1616">
        <v>0.4121011419185</v>
      </c>
      <c r="M31" s="1616">
        <v>0.4127638118118</v>
      </c>
      <c r="N31" s="1616">
        <v>0.41342648170520002</v>
      </c>
      <c r="O31" s="1616">
        <v>0.41408915159850002</v>
      </c>
      <c r="P31" s="1616">
        <v>0.41475182149200002</v>
      </c>
      <c r="Q31" s="1616">
        <v>0.41541449138539999</v>
      </c>
      <c r="R31" s="1616">
        <v>0.41607716127880001</v>
      </c>
      <c r="S31" s="1616">
        <v>0.41675325311450001</v>
      </c>
      <c r="T31" s="1616">
        <v>0.41742934495040002</v>
      </c>
      <c r="U31" s="1616">
        <v>0.41810543678619999</v>
      </c>
      <c r="V31" s="1616">
        <v>0.41878152862220003</v>
      </c>
      <c r="W31" s="1616">
        <v>0.419457620458</v>
      </c>
      <c r="X31" s="1616">
        <v>0.4201337122937</v>
      </c>
      <c r="Y31" s="1616">
        <v>0.4209607722523</v>
      </c>
      <c r="Z31" s="1616">
        <v>0.42178783221100002</v>
      </c>
      <c r="AA31" s="1616">
        <v>0.42261489216960002</v>
      </c>
      <c r="AB31" s="1616">
        <v>0.42344195212829999</v>
      </c>
      <c r="AC31" s="1616">
        <v>0.42426901208700002</v>
      </c>
      <c r="AD31" s="1616">
        <v>0.42426901208700002</v>
      </c>
      <c r="AE31" s="1616">
        <v>0.42426901208700002</v>
      </c>
      <c r="AF31" s="1616">
        <v>0.42426901208700002</v>
      </c>
      <c r="AG31" s="1616">
        <v>0.42426901208700002</v>
      </c>
      <c r="AH31" s="1616">
        <v>0.42426901208700002</v>
      </c>
    </row>
    <row r="32" spans="2:40">
      <c r="B32" s="1617" t="s">
        <v>921</v>
      </c>
      <c r="C32" s="1618">
        <v>0.40566550895859999</v>
      </c>
      <c r="D32" s="1618">
        <v>0.40630083719339999</v>
      </c>
      <c r="E32" s="1618">
        <v>0.40693616542830002</v>
      </c>
      <c r="F32" s="1618">
        <v>0.4075714936632</v>
      </c>
      <c r="G32" s="1618">
        <v>0.40820682189809998</v>
      </c>
      <c r="H32" s="1618">
        <v>0.40898568590209999</v>
      </c>
      <c r="I32" s="1618">
        <v>0.40976454990630001</v>
      </c>
      <c r="J32" s="1618">
        <v>0.4105434139104</v>
      </c>
      <c r="K32" s="1618">
        <v>0.41132227791449999</v>
      </c>
      <c r="L32" s="1618">
        <v>0.4121011419185</v>
      </c>
      <c r="M32" s="1618">
        <v>0.4127638118118</v>
      </c>
      <c r="N32" s="1618">
        <v>0.41342648170520002</v>
      </c>
      <c r="O32" s="1618">
        <v>0.41408915159850002</v>
      </c>
      <c r="P32" s="1618">
        <v>0.41475182149200002</v>
      </c>
      <c r="Q32" s="1618">
        <v>0.41541449138539999</v>
      </c>
      <c r="R32" s="1618">
        <v>0.41607716127880001</v>
      </c>
      <c r="S32" s="1618">
        <v>0.41675325311450001</v>
      </c>
      <c r="T32" s="1618">
        <v>0.41742934495040002</v>
      </c>
      <c r="U32" s="1618">
        <v>0.41810543678619999</v>
      </c>
      <c r="V32" s="1618">
        <v>0.41878152862220003</v>
      </c>
      <c r="W32" s="1618">
        <v>0.419457620458</v>
      </c>
      <c r="X32" s="1618">
        <v>0.4201337122937</v>
      </c>
      <c r="Y32" s="1618">
        <v>0.4209607722523</v>
      </c>
      <c r="Z32" s="1618">
        <v>0.42178783221100002</v>
      </c>
      <c r="AA32" s="1618">
        <v>0.42261489216960002</v>
      </c>
      <c r="AB32" s="1618">
        <v>0.42344195212829999</v>
      </c>
      <c r="AC32" s="1618">
        <v>0.42426901208700002</v>
      </c>
      <c r="AD32" s="1618">
        <v>0.42426901208700002</v>
      </c>
      <c r="AE32" s="1618">
        <v>0.42426901208700002</v>
      </c>
      <c r="AF32" s="1618">
        <v>0.42426901208700002</v>
      </c>
      <c r="AG32" s="1618">
        <v>0.42426901208700002</v>
      </c>
      <c r="AH32" s="1618">
        <v>0.42426901208700002</v>
      </c>
    </row>
    <row r="33" spans="2:44">
      <c r="B33" s="1621" t="s">
        <v>767</v>
      </c>
      <c r="C33" s="1622">
        <v>0</v>
      </c>
      <c r="D33" s="1622">
        <v>0</v>
      </c>
      <c r="E33" s="1622">
        <v>0</v>
      </c>
      <c r="F33" s="1622">
        <v>0</v>
      </c>
      <c r="G33" s="1622">
        <v>0</v>
      </c>
      <c r="H33" s="1622">
        <v>0</v>
      </c>
      <c r="I33" s="1622">
        <v>0</v>
      </c>
      <c r="J33" s="1622">
        <v>0</v>
      </c>
      <c r="K33" s="1622">
        <v>0</v>
      </c>
      <c r="L33" s="1622">
        <v>0</v>
      </c>
      <c r="M33" s="1622">
        <v>0</v>
      </c>
      <c r="N33" s="1622">
        <v>0</v>
      </c>
      <c r="O33" s="1622">
        <v>0</v>
      </c>
      <c r="P33" s="1622">
        <v>0</v>
      </c>
      <c r="Q33" s="1622">
        <v>0</v>
      </c>
      <c r="R33" s="1622">
        <v>0</v>
      </c>
      <c r="S33" s="1622">
        <v>0</v>
      </c>
      <c r="T33" s="1622">
        <v>0</v>
      </c>
      <c r="U33" s="1622">
        <v>0</v>
      </c>
      <c r="V33" s="1622">
        <v>0</v>
      </c>
      <c r="W33" s="1622">
        <v>0</v>
      </c>
      <c r="X33" s="1622">
        <v>0</v>
      </c>
      <c r="Y33" s="1622">
        <v>0</v>
      </c>
      <c r="Z33" s="1622">
        <v>0</v>
      </c>
      <c r="AA33" s="1622">
        <v>0</v>
      </c>
      <c r="AB33" s="1622">
        <v>0</v>
      </c>
      <c r="AC33" s="1622">
        <v>0</v>
      </c>
      <c r="AD33" s="1622">
        <v>0</v>
      </c>
      <c r="AE33" s="1622">
        <v>0</v>
      </c>
      <c r="AF33" s="1622">
        <v>0</v>
      </c>
      <c r="AG33" s="1622">
        <v>0</v>
      </c>
      <c r="AH33" s="1622">
        <v>0</v>
      </c>
    </row>
    <row r="34" spans="2:44">
      <c r="B34" s="1422" t="s">
        <v>891</v>
      </c>
      <c r="C34" s="1623">
        <v>-5.6841465737107963</v>
      </c>
      <c r="D34" s="1623">
        <v>-5.6946301297974209</v>
      </c>
      <c r="E34" s="1623">
        <v>-5.7570385189392397</v>
      </c>
      <c r="F34" s="1623">
        <v>-5.8786264685362468</v>
      </c>
      <c r="G34" s="1623">
        <v>-5.9389507577366238</v>
      </c>
      <c r="H34" s="1623">
        <v>-5.9823236838541201</v>
      </c>
      <c r="I34" s="1623">
        <v>-6.0556247860892718</v>
      </c>
      <c r="J34" s="1623">
        <v>-6.1465226500729173</v>
      </c>
      <c r="K34" s="1623">
        <v>-6.1807549695038979</v>
      </c>
      <c r="L34" s="1623">
        <v>-6.2350487238073464</v>
      </c>
      <c r="M34" s="1623">
        <v>-6.1655606149976618</v>
      </c>
      <c r="N34" s="1623">
        <v>-6.2330901300534656</v>
      </c>
      <c r="O34" s="1623">
        <v>-6.2619931120181862</v>
      </c>
      <c r="P34" s="1623">
        <v>-6.3266476665036819</v>
      </c>
      <c r="Q34" s="1623">
        <v>-6.3411180356260743</v>
      </c>
      <c r="R34" s="1623">
        <v>-6.4656927945032354</v>
      </c>
      <c r="S34" s="1623">
        <v>-6.5392466368140774</v>
      </c>
      <c r="T34" s="1623">
        <v>-6.5776235325797039</v>
      </c>
      <c r="U34" s="1623">
        <v>-6.541911757378041</v>
      </c>
      <c r="V34" s="1623">
        <v>-6.5936649821418012</v>
      </c>
      <c r="W34" s="1623">
        <v>-6.6840868021715494</v>
      </c>
      <c r="X34" s="1623">
        <v>-6.7417155380008733</v>
      </c>
      <c r="Y34" s="1623">
        <v>-6.7922961443777314</v>
      </c>
      <c r="Z34" s="1623">
        <v>-6.8037031796363774</v>
      </c>
      <c r="AA34" s="1623">
        <v>-6.8476525660875609</v>
      </c>
      <c r="AB34" s="1623">
        <v>-6.949045497939677</v>
      </c>
      <c r="AC34" s="1623">
        <v>-6.9028307955541877</v>
      </c>
      <c r="AD34" s="1623">
        <v>-6.8658898257945271</v>
      </c>
      <c r="AE34" s="1623">
        <v>-6.9004621283778729</v>
      </c>
      <c r="AF34" s="1623">
        <v>-6.8866346512074035</v>
      </c>
      <c r="AG34" s="1623">
        <v>-7.0962972486820135</v>
      </c>
      <c r="AH34" s="1623">
        <v>-7.1153382046472409</v>
      </c>
    </row>
    <row r="35" spans="2:44">
      <c r="B35" s="1443"/>
      <c r="AC35" s="1423"/>
      <c r="AD35" s="1423"/>
      <c r="AR35" s="1424"/>
    </row>
    <row r="36" spans="2:44">
      <c r="B36" s="1425" t="s">
        <v>892</v>
      </c>
      <c r="AC36" s="1423"/>
      <c r="AD36" s="1423"/>
      <c r="AR36" s="1424"/>
    </row>
    <row r="37" spans="2:44">
      <c r="B37" t="s">
        <v>959</v>
      </c>
      <c r="E37"/>
      <c r="F37"/>
      <c r="G37"/>
      <c r="H37"/>
      <c r="I37"/>
      <c r="J37"/>
      <c r="K37"/>
      <c r="L37"/>
      <c r="M37"/>
      <c r="N37"/>
      <c r="O37"/>
      <c r="P37"/>
      <c r="Q37"/>
      <c r="R37"/>
      <c r="S37"/>
      <c r="T37"/>
      <c r="U37"/>
      <c r="V37"/>
      <c r="W37"/>
      <c r="X37"/>
      <c r="Y37"/>
      <c r="Z37"/>
      <c r="AA37"/>
      <c r="AB37"/>
      <c r="AC37"/>
      <c r="AD37"/>
      <c r="AE37"/>
      <c r="AF37"/>
      <c r="AG37"/>
    </row>
    <row r="38" spans="2:44">
      <c r="B38" s="1719" t="s">
        <v>960</v>
      </c>
      <c r="C38" s="1428" t="s">
        <v>961</v>
      </c>
      <c r="F38"/>
      <c r="G38"/>
      <c r="H38"/>
      <c r="I38"/>
      <c r="J38"/>
      <c r="K38"/>
      <c r="L38"/>
      <c r="M38"/>
      <c r="N38"/>
      <c r="O38"/>
      <c r="P38"/>
      <c r="Q38"/>
      <c r="R38"/>
      <c r="S38"/>
      <c r="T38"/>
      <c r="U38"/>
      <c r="V38"/>
      <c r="W38"/>
      <c r="X38"/>
      <c r="Y38"/>
      <c r="Z38"/>
      <c r="AA38"/>
      <c r="AB38"/>
      <c r="AC38"/>
      <c r="AD38"/>
      <c r="AE38"/>
      <c r="AF38"/>
      <c r="AG38"/>
    </row>
    <row r="39" spans="2:44">
      <c r="B39" s="1427" t="s">
        <v>962</v>
      </c>
      <c r="C39" s="1720" t="s">
        <v>963</v>
      </c>
      <c r="G39" s="1426"/>
      <c r="H39" s="1426"/>
      <c r="I39" s="1426"/>
      <c r="AC39" s="1423"/>
      <c r="AD39" s="1423"/>
    </row>
    <row r="40" spans="2:44">
      <c r="B40" s="1721" t="s">
        <v>964</v>
      </c>
      <c r="C40" s="1722" t="s">
        <v>965</v>
      </c>
      <c r="F40"/>
      <c r="G40"/>
      <c r="H40"/>
      <c r="I40"/>
      <c r="J40"/>
      <c r="K40"/>
      <c r="L40"/>
      <c r="M40"/>
      <c r="N40"/>
      <c r="O40"/>
      <c r="P40"/>
      <c r="Q40"/>
      <c r="R40"/>
      <c r="S40"/>
      <c r="T40"/>
      <c r="U40"/>
      <c r="V40"/>
      <c r="W40"/>
      <c r="X40"/>
      <c r="Y40"/>
      <c r="Z40"/>
      <c r="AA40"/>
      <c r="AB40"/>
      <c r="AC40"/>
      <c r="AD40"/>
      <c r="AE40"/>
      <c r="AF40"/>
      <c r="AG40"/>
    </row>
    <row r="41" spans="2:44">
      <c r="B41" s="1723" t="s">
        <v>966</v>
      </c>
      <c r="C41" s="1722"/>
      <c r="AC41" s="1423"/>
      <c r="AD41" s="1423"/>
    </row>
    <row r="42" spans="2:44">
      <c r="B42" s="1724" t="s">
        <v>967</v>
      </c>
      <c r="C42" s="1722"/>
      <c r="AC42" s="1423"/>
      <c r="AD42" s="1423"/>
    </row>
    <row r="43" spans="2:44">
      <c r="B43" s="1724" t="s">
        <v>968</v>
      </c>
      <c r="C43" s="1722"/>
      <c r="AC43" s="1423"/>
      <c r="AD43" s="1423"/>
    </row>
    <row r="44" spans="2:44">
      <c r="B44" s="1942" t="s">
        <v>969</v>
      </c>
      <c r="C44" s="1429" t="s">
        <v>893</v>
      </c>
      <c r="AC44" s="1423"/>
      <c r="AD44" s="1423"/>
    </row>
    <row r="45" spans="2:44">
      <c r="B45" s="1942"/>
      <c r="C45" s="1429" t="s">
        <v>970</v>
      </c>
      <c r="AC45" s="1423"/>
      <c r="AD45" s="1423"/>
    </row>
    <row r="46" spans="2:44">
      <c r="B46" s="1942"/>
      <c r="C46" s="1429" t="s">
        <v>971</v>
      </c>
      <c r="AC46" s="1423"/>
      <c r="AD46" s="1423"/>
    </row>
    <row r="47" spans="2:44">
      <c r="E47" s="1430"/>
      <c r="AC47" s="1423"/>
      <c r="AD47" s="1423"/>
    </row>
    <row r="48" spans="2:44">
      <c r="D48" s="1417"/>
      <c r="E48" s="1430"/>
      <c r="AC48" s="1423"/>
      <c r="AD48" s="1423"/>
    </row>
    <row r="49" spans="2:30">
      <c r="AC49" s="1423"/>
      <c r="AD49" s="1423"/>
    </row>
    <row r="50" spans="2:30">
      <c r="B50" s="1431"/>
      <c r="C50" s="1431"/>
      <c r="D50" s="1432"/>
      <c r="AC50" s="1423"/>
      <c r="AD50" s="1423"/>
    </row>
    <row r="51" spans="2:30">
      <c r="B51" s="1431"/>
      <c r="C51" s="1431"/>
      <c r="D51" s="1432"/>
      <c r="AC51" s="1423"/>
      <c r="AD51" s="1423"/>
    </row>
    <row r="52" spans="2:30">
      <c r="B52" s="1431"/>
      <c r="C52" s="1431"/>
      <c r="D52" s="1432"/>
      <c r="AC52" s="1423"/>
      <c r="AD52" s="1423"/>
    </row>
    <row r="53" spans="2:30">
      <c r="B53" s="1433"/>
      <c r="C53" s="1433"/>
      <c r="D53" s="1432"/>
      <c r="AC53" s="1423"/>
      <c r="AD53" s="1423"/>
    </row>
    <row r="54" spans="2:30">
      <c r="B54" s="1431"/>
      <c r="C54" s="1431"/>
      <c r="D54" s="1432"/>
      <c r="AC54" s="1423"/>
      <c r="AD54" s="1423"/>
    </row>
    <row r="55" spans="2:30">
      <c r="B55" s="1431"/>
      <c r="C55" s="1431"/>
      <c r="D55" s="1432"/>
      <c r="AC55" s="1423"/>
      <c r="AD55" s="1423"/>
    </row>
    <row r="56" spans="2:30">
      <c r="B56" s="1434"/>
      <c r="C56" s="1434"/>
      <c r="D56" s="1432"/>
      <c r="AC56" s="1423"/>
      <c r="AD56" s="1423"/>
    </row>
    <row r="57" spans="2:30">
      <c r="B57" s="1433"/>
      <c r="C57" s="1433"/>
      <c r="D57" s="1432"/>
      <c r="AC57" s="1423"/>
      <c r="AD57" s="1423"/>
    </row>
    <row r="58" spans="2:30">
      <c r="B58" s="1431"/>
      <c r="C58" s="1431"/>
      <c r="D58" s="1432"/>
      <c r="AC58" s="1423"/>
      <c r="AD58" s="1423"/>
    </row>
    <row r="59" spans="2:30">
      <c r="B59" s="1431"/>
      <c r="C59" s="1431"/>
      <c r="D59" s="1432"/>
      <c r="AC59" s="1423"/>
      <c r="AD59" s="1423"/>
    </row>
    <row r="60" spans="2:30">
      <c r="B60" s="1431"/>
      <c r="C60" s="1431"/>
      <c r="D60" s="1432"/>
      <c r="AC60" s="1423"/>
      <c r="AD60" s="1423"/>
    </row>
    <row r="61" spans="2:30">
      <c r="B61" s="1431"/>
      <c r="C61" s="1431"/>
      <c r="D61" s="1432"/>
      <c r="AC61" s="1423"/>
      <c r="AD61" s="1423"/>
    </row>
    <row r="62" spans="2:30">
      <c r="B62" s="1433"/>
      <c r="C62" s="1433"/>
      <c r="D62" s="1432"/>
      <c r="AC62" s="1423"/>
      <c r="AD62" s="1423"/>
    </row>
    <row r="63" spans="2:30">
      <c r="B63" s="1431"/>
      <c r="C63" s="1431"/>
      <c r="D63" s="1432"/>
      <c r="AC63" s="1423"/>
      <c r="AD63" s="1423"/>
    </row>
    <row r="64" spans="2:30">
      <c r="B64" s="1435"/>
      <c r="C64" s="1435"/>
      <c r="D64" s="1436"/>
      <c r="AC64" s="1423"/>
      <c r="AD64" s="1423"/>
    </row>
    <row r="65" spans="2:30">
      <c r="B65" s="1430"/>
      <c r="C65" s="1430"/>
      <c r="D65" s="1437"/>
      <c r="AC65" s="1423"/>
      <c r="AD65" s="1423"/>
    </row>
    <row r="66" spans="2:30">
      <c r="B66" s="1430"/>
      <c r="C66" s="1430"/>
      <c r="D66" s="1437"/>
      <c r="AC66" s="1423"/>
      <c r="AD66" s="1423"/>
    </row>
    <row r="67" spans="2:30" ht="15.5">
      <c r="B67" s="1438"/>
      <c r="C67" s="1438"/>
      <c r="D67" s="1439"/>
      <c r="AC67" s="1423"/>
      <c r="AD67" s="1423"/>
    </row>
    <row r="68" spans="2:30">
      <c r="AC68" s="1423"/>
      <c r="AD68" s="1423"/>
    </row>
  </sheetData>
  <mergeCells count="1">
    <mergeCell ref="B44:B46"/>
  </mergeCells>
  <hyperlinks>
    <hyperlink ref="D39:I39" r:id="rId1" display="EPA State Inventory and Projection Tool (Updated March 2022), default values for Massachusetts" xr:uid="{FCB8242F-7A28-4030-A504-80D2C9C62DD3}"/>
    <hyperlink ref="C38" r:id="rId2" display="EPA State GHG Emissions and Removals (1990-2021, downloaded Sep 2023)" xr:uid="{0795F048-A614-4FA9-BB50-E18E8EB69157}"/>
    <hyperlink ref="C44" r:id="rId3" xr:uid="{971848DB-F960-49D0-A297-F290F9BECF93}"/>
    <hyperlink ref="C40" r:id="rId4" xr:uid="{FED5B729-A7DB-4288-8ADF-AF8D1954C084}"/>
    <hyperlink ref="C45" r:id="rId5" display="Methodology Report: Inventory of U.S. Greenhouse Gas Emissions and Sinks by State: 1990-2021" xr:uid="{5D091BC8-3DC7-42A1-9CD1-C63D2D1BC857}"/>
    <hyperlink ref="C46" r:id="rId6" display="Inventory of U.S. Greenhouse Gas Emissions and Sinks: 1990-2021" xr:uid="{8CAC03C0-F1D6-4188-B6F2-7029E004A90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N118"/>
  <sheetViews>
    <sheetView zoomScaleNormal="100" zoomScaleSheetLayoutView="20" zoomScalePageLayoutView="30" workbookViewId="0">
      <selection activeCell="B2" sqref="B2"/>
    </sheetView>
  </sheetViews>
  <sheetFormatPr defaultColWidth="8.81640625" defaultRowHeight="14.5"/>
  <cols>
    <col min="1" max="1" width="3.453125" customWidth="1"/>
    <col min="2" max="2" width="4.1796875" customWidth="1"/>
    <col min="3" max="3" width="51.453125" customWidth="1"/>
    <col min="4" max="4" width="10.1796875" bestFit="1" customWidth="1"/>
    <col min="5" max="5" width="10" customWidth="1"/>
    <col min="6" max="6" width="8.81640625" customWidth="1"/>
    <col min="7" max="13" width="8.54296875" bestFit="1" customWidth="1"/>
    <col min="14" max="14" width="8.1796875" customWidth="1"/>
    <col min="15" max="22" width="8.54296875" bestFit="1" customWidth="1"/>
    <col min="23" max="23" width="10.1796875" customWidth="1"/>
    <col min="24" max="24" width="10.453125" customWidth="1"/>
    <col min="25" max="25" width="11.453125" customWidth="1"/>
    <col min="26" max="32" width="10.1796875" customWidth="1"/>
    <col min="33" max="33" width="13.1796875" customWidth="1"/>
    <col min="34" max="36" width="10.1796875" customWidth="1"/>
  </cols>
  <sheetData>
    <row r="2" spans="3:46" ht="28" customHeight="1">
      <c r="C2" s="1728" t="s">
        <v>936</v>
      </c>
      <c r="D2" s="1729"/>
      <c r="E2" s="1729"/>
      <c r="F2" s="1729"/>
      <c r="G2" s="1729"/>
      <c r="H2" s="1729"/>
      <c r="I2" s="1729"/>
      <c r="J2" s="1729"/>
      <c r="K2" s="1729"/>
      <c r="L2" s="1730"/>
      <c r="N2" s="909" t="str">
        <f>C6</f>
        <v>AR4, 100-year</v>
      </c>
      <c r="X2" s="909" t="str">
        <f>C6</f>
        <v>AR4, 100-year</v>
      </c>
      <c r="AF2" s="909" t="str">
        <f>C6</f>
        <v>AR4, 100-year</v>
      </c>
      <c r="AR2">
        <v>2021</v>
      </c>
      <c r="AS2" s="6">
        <v>2021</v>
      </c>
    </row>
    <row r="3" spans="3:46" ht="21" customHeight="1">
      <c r="C3" s="891"/>
      <c r="D3" s="891"/>
      <c r="E3" s="891"/>
      <c r="F3" s="891"/>
      <c r="G3" s="891"/>
      <c r="H3" s="891"/>
      <c r="I3" s="891"/>
      <c r="J3" s="891"/>
      <c r="K3" s="891"/>
      <c r="L3" s="891"/>
      <c r="Q3" s="235"/>
      <c r="AQ3" s="268">
        <f>AR3/$AR$8</f>
        <v>0.83462795647100563</v>
      </c>
      <c r="AR3" s="1004">
        <f>AI22</f>
        <v>55.952979029143179</v>
      </c>
      <c r="AS3" s="270" t="s">
        <v>26</v>
      </c>
    </row>
    <row r="4" spans="3:46" ht="21" customHeight="1" thickBot="1">
      <c r="C4" s="892" t="s">
        <v>27</v>
      </c>
      <c r="F4" s="891"/>
      <c r="G4" s="891"/>
      <c r="H4" s="891"/>
      <c r="I4" s="891"/>
      <c r="J4" s="891"/>
      <c r="K4" s="891"/>
      <c r="L4" s="891"/>
      <c r="N4" s="235"/>
      <c r="O4" s="235"/>
      <c r="Q4" s="235"/>
      <c r="AQ4" s="268">
        <f>AR4/$AR$8</f>
        <v>2.2091469608761335E-2</v>
      </c>
      <c r="AR4" s="1004">
        <f>AI23</f>
        <v>1.4809994395208321</v>
      </c>
      <c r="AS4" s="270" t="s">
        <v>28</v>
      </c>
    </row>
    <row r="5" spans="3:46" ht="21" customHeight="1">
      <c r="C5" s="1002" t="s">
        <v>29</v>
      </c>
      <c r="D5" s="1003" t="s">
        <v>28</v>
      </c>
      <c r="E5" s="976" t="s">
        <v>30</v>
      </c>
      <c r="F5" s="977" t="s">
        <v>31</v>
      </c>
      <c r="G5" s="891"/>
      <c r="H5" s="1731" t="s">
        <v>32</v>
      </c>
      <c r="I5" s="1732"/>
      <c r="J5" s="1732"/>
      <c r="K5" s="1733"/>
      <c r="L5" s="891"/>
      <c r="N5" s="235"/>
      <c r="O5" s="235"/>
      <c r="Q5" s="235"/>
      <c r="AQ5" s="268">
        <f>AR5/$AR$8</f>
        <v>8.1230969434307743E-3</v>
      </c>
      <c r="AR5" s="1004">
        <f>AI24</f>
        <v>0.54456775549342451</v>
      </c>
      <c r="AS5" s="270" t="s">
        <v>30</v>
      </c>
    </row>
    <row r="6" spans="3:46" ht="21" customHeight="1" thickBot="1">
      <c r="C6" s="1001" t="s">
        <v>33</v>
      </c>
      <c r="D6" s="913">
        <f>IF(C6=C9,D9,IF(C6=C10,D10,IF(C6=C11,D11,IF(C6=C12,D12,IF(C6=C13,D13,IF(C6=C14,D14))))))</f>
        <v>25</v>
      </c>
      <c r="E6" s="914">
        <f>IF(D6=D9,E9,IF(D6=D10,E10,IF(D6=D11,E11,IF(D6=D12,E12,IF(D6=D13,E13,IF(D6=D14,E14))))))</f>
        <v>298</v>
      </c>
      <c r="F6" s="915">
        <f>IF(E6=E9,F9,IF(E6=E10,F10,IF(E6=E11,F11,IF(E6=E12,F12,IF(E6=E13,F13,IF(E6=E14,F14))))))</f>
        <v>22800</v>
      </c>
      <c r="G6" s="891"/>
      <c r="H6" s="1734"/>
      <c r="I6" s="1735"/>
      <c r="J6" s="1735"/>
      <c r="K6" s="1736"/>
      <c r="L6" s="891"/>
      <c r="N6" s="235"/>
      <c r="O6" s="235"/>
      <c r="Q6" s="235"/>
      <c r="AQ6" s="268">
        <f>AR6/$AR$8</f>
        <v>5.8905799833453905E-2</v>
      </c>
      <c r="AR6" s="625">
        <f>AI26</f>
        <v>3.949011002114271</v>
      </c>
      <c r="AS6" s="270" t="s">
        <v>34</v>
      </c>
    </row>
    <row r="7" spans="3:46" ht="21" customHeight="1">
      <c r="C7" s="891"/>
      <c r="D7" s="891"/>
      <c r="E7" s="891"/>
      <c r="F7" s="891"/>
      <c r="G7" s="891"/>
      <c r="H7" s="1734"/>
      <c r="I7" s="1735"/>
      <c r="J7" s="1735"/>
      <c r="K7" s="1736"/>
      <c r="L7" s="891"/>
      <c r="N7" s="235"/>
      <c r="O7" s="235"/>
      <c r="Q7" s="235"/>
      <c r="AQ7" s="268">
        <f>AR7/$AR$8</f>
        <v>7.6251677143348365E-2</v>
      </c>
      <c r="AR7" s="625">
        <f>AI27</f>
        <v>5.111868658436177</v>
      </c>
      <c r="AS7" s="270" t="s">
        <v>35</v>
      </c>
    </row>
    <row r="8" spans="3:46" ht="21" customHeight="1">
      <c r="C8" s="893" t="s">
        <v>36</v>
      </c>
      <c r="D8" s="974" t="s">
        <v>28</v>
      </c>
      <c r="E8" s="974" t="s">
        <v>30</v>
      </c>
      <c r="F8" s="975" t="s">
        <v>31</v>
      </c>
      <c r="G8" s="891"/>
      <c r="H8" s="1734"/>
      <c r="I8" s="1735"/>
      <c r="J8" s="1735"/>
      <c r="K8" s="1736"/>
      <c r="L8" s="891"/>
      <c r="N8" s="235"/>
      <c r="O8" s="235"/>
      <c r="Q8" s="235"/>
      <c r="AQ8" s="268">
        <f>SUM(AQ3:AQ7)</f>
        <v>1</v>
      </c>
      <c r="AR8" s="270">
        <f>SUM(AR3:AR7)</f>
        <v>67.039425884707882</v>
      </c>
      <c r="AS8" s="270" t="s">
        <v>37</v>
      </c>
    </row>
    <row r="9" spans="3:46" ht="21" customHeight="1">
      <c r="C9" s="894" t="s">
        <v>33</v>
      </c>
      <c r="D9" s="896">
        <v>25</v>
      </c>
      <c r="E9" s="896">
        <v>298</v>
      </c>
      <c r="F9" s="900">
        <v>22800</v>
      </c>
      <c r="G9" s="891"/>
      <c r="H9" s="1734"/>
      <c r="I9" s="1735"/>
      <c r="J9" s="1735"/>
      <c r="K9" s="1736"/>
      <c r="L9" s="891"/>
      <c r="N9" s="235"/>
      <c r="O9" s="235"/>
      <c r="Q9" s="235"/>
    </row>
    <row r="10" spans="3:46" ht="21" customHeight="1" thickBot="1">
      <c r="C10" s="894" t="s">
        <v>38</v>
      </c>
      <c r="D10" s="896">
        <v>28</v>
      </c>
      <c r="E10" s="896">
        <v>265</v>
      </c>
      <c r="F10" s="900">
        <v>23500</v>
      </c>
      <c r="G10" s="891"/>
      <c r="H10" s="1737"/>
      <c r="I10" s="1738"/>
      <c r="J10" s="1738"/>
      <c r="K10" s="1739"/>
      <c r="L10" s="891"/>
      <c r="N10" s="235"/>
      <c r="O10" s="235"/>
      <c r="Q10" s="235"/>
      <c r="AT10" s="341" t="s">
        <v>907</v>
      </c>
    </row>
    <row r="11" spans="3:46" ht="21" customHeight="1">
      <c r="C11" s="894" t="s">
        <v>932</v>
      </c>
      <c r="D11" s="1664">
        <v>29.8</v>
      </c>
      <c r="E11" s="1664">
        <v>273</v>
      </c>
      <c r="F11" s="900">
        <v>24300</v>
      </c>
      <c r="G11" s="891"/>
      <c r="H11" s="997"/>
      <c r="I11" s="891"/>
      <c r="J11" s="891"/>
      <c r="K11" s="891"/>
      <c r="L11" s="891"/>
      <c r="N11" s="235"/>
      <c r="O11" s="235"/>
      <c r="Q11" s="235"/>
      <c r="AR11" s="910" t="s">
        <v>1</v>
      </c>
      <c r="AS11" s="289">
        <f>(AI34+AI35+AI36)+(((AI44+AI45+AI46)/25)*D6)+(((AI55+AI56+AI57)/298)*E6)</f>
        <v>23.309427042465355</v>
      </c>
      <c r="AT11" s="619">
        <f t="shared" ref="AT11:AT17" si="0">AS11/$AS$18</f>
        <v>0.34780564668912695</v>
      </c>
    </row>
    <row r="12" spans="3:46" ht="21" customHeight="1">
      <c r="C12" s="894" t="s">
        <v>39</v>
      </c>
      <c r="D12" s="896">
        <v>72</v>
      </c>
      <c r="E12" s="896">
        <v>289</v>
      </c>
      <c r="F12" s="900">
        <v>16300</v>
      </c>
      <c r="G12" s="891"/>
      <c r="H12" s="997"/>
      <c r="I12" s="891"/>
      <c r="J12" s="891"/>
      <c r="K12" s="891"/>
      <c r="L12" s="891"/>
      <c r="N12" s="235"/>
      <c r="O12" s="235"/>
      <c r="Q12" s="235"/>
      <c r="AR12" s="910" t="s">
        <v>3</v>
      </c>
      <c r="AS12" s="289">
        <f>(AI38+AI42)+(((AI46+AI47)/25)*D6)+(((AI58+AI59)/298)*E6)+AI69</f>
        <v>12.494511026989262</v>
      </c>
      <c r="AT12" s="619">
        <f t="shared" si="0"/>
        <v>0.18643364677687946</v>
      </c>
    </row>
    <row r="13" spans="3:46" ht="21" customHeight="1">
      <c r="C13" s="894" t="s">
        <v>40</v>
      </c>
      <c r="D13" s="896">
        <v>84</v>
      </c>
      <c r="E13" s="896">
        <v>264</v>
      </c>
      <c r="F13" s="900">
        <v>17500</v>
      </c>
      <c r="G13" s="891"/>
      <c r="H13" s="997"/>
      <c r="I13" s="891"/>
      <c r="J13" s="891"/>
      <c r="K13" s="891"/>
      <c r="L13" s="891"/>
      <c r="N13" s="235"/>
      <c r="O13" s="235"/>
      <c r="Q13" s="235"/>
      <c r="AR13" s="910" t="s">
        <v>5</v>
      </c>
      <c r="AS13" s="289">
        <f>AI37+((AI49/25)*D6)+((AI61/298)*E6)</f>
        <v>25.606773851436834</v>
      </c>
      <c r="AT13" s="619">
        <f t="shared" si="0"/>
        <v>0.38208491880970918</v>
      </c>
    </row>
    <row r="14" spans="3:46" ht="21" customHeight="1">
      <c r="C14" s="894" t="s">
        <v>933</v>
      </c>
      <c r="D14" s="1664">
        <v>81.2</v>
      </c>
      <c r="E14" s="1664">
        <v>273</v>
      </c>
      <c r="F14" s="900">
        <v>18200</v>
      </c>
      <c r="G14" s="891"/>
      <c r="H14" s="997"/>
      <c r="I14" s="891"/>
      <c r="J14" s="891"/>
      <c r="K14" s="891"/>
      <c r="L14" s="891"/>
      <c r="N14" s="235"/>
      <c r="O14" s="235"/>
      <c r="Q14" s="235"/>
      <c r="AR14" s="911" t="s">
        <v>6</v>
      </c>
      <c r="AS14" s="289">
        <f>(AI50/25*D6)+AI39</f>
        <v>0.7154107575658164</v>
      </c>
      <c r="AT14" s="619">
        <f t="shared" si="0"/>
        <v>1.067481842132915E-2</v>
      </c>
    </row>
    <row r="15" spans="3:46" ht="21" customHeight="1">
      <c r="D15" s="895"/>
      <c r="E15" s="895"/>
      <c r="F15" s="895"/>
      <c r="G15" s="891"/>
      <c r="H15" s="997"/>
      <c r="I15" s="891"/>
      <c r="J15" s="891"/>
      <c r="K15" s="891"/>
      <c r="L15" s="891"/>
      <c r="N15" s="235"/>
      <c r="O15" s="235"/>
      <c r="Q15" s="235"/>
      <c r="AR15" s="911" t="s">
        <v>7</v>
      </c>
      <c r="AS15" s="289">
        <f>AI40+AI26</f>
        <v>4.1022563243660652</v>
      </c>
      <c r="AT15" s="619">
        <f t="shared" si="0"/>
        <v>6.1210767265165431E-2</v>
      </c>
    </row>
    <row r="16" spans="3:46" ht="21" customHeight="1">
      <c r="C16" s="897" t="s">
        <v>41</v>
      </c>
      <c r="D16" s="895"/>
      <c r="E16" s="895"/>
      <c r="F16" s="895"/>
      <c r="G16" s="891"/>
      <c r="H16" s="997"/>
      <c r="I16" s="891"/>
      <c r="J16" s="891"/>
      <c r="K16" s="891"/>
      <c r="L16" s="891"/>
      <c r="N16" s="235"/>
      <c r="O16" s="235"/>
      <c r="Q16" s="235"/>
      <c r="AR16" s="911" t="s">
        <v>8</v>
      </c>
      <c r="AS16" s="289">
        <f>AI41+(AI51/25*D6)+(AI62/298*E6)</f>
        <v>0.19358342282429986</v>
      </c>
      <c r="AT16" s="619">
        <f t="shared" si="0"/>
        <v>2.8885054721010045E-3</v>
      </c>
    </row>
    <row r="17" spans="1:66" ht="21" customHeight="1">
      <c r="C17" s="897" t="s">
        <v>42</v>
      </c>
      <c r="D17" s="891"/>
      <c r="E17" s="891"/>
      <c r="F17" s="891"/>
      <c r="G17" s="891"/>
      <c r="H17" s="997"/>
      <c r="I17" s="891"/>
      <c r="J17" s="891"/>
      <c r="K17" s="891"/>
      <c r="L17" s="891"/>
      <c r="N17" s="235"/>
      <c r="O17" s="235"/>
      <c r="Q17" s="235"/>
      <c r="AR17" s="912" t="s">
        <v>9</v>
      </c>
      <c r="AS17" s="289">
        <f>(((AI52+AI53)/25)*D6)+(((AI60+AI63)/298)*E6)</f>
        <v>0.59657871753171532</v>
      </c>
      <c r="AT17" s="619">
        <f t="shared" si="0"/>
        <v>8.9016965656888332E-3</v>
      </c>
    </row>
    <row r="18" spans="1:66" ht="21" customHeight="1">
      <c r="C18" s="897" t="s">
        <v>934</v>
      </c>
      <c r="D18" s="891"/>
      <c r="E18" s="891"/>
      <c r="F18" s="891"/>
      <c r="G18" s="891"/>
      <c r="H18" s="891"/>
      <c r="I18" s="891"/>
      <c r="J18" s="891"/>
      <c r="K18" s="891"/>
      <c r="L18" s="891"/>
      <c r="N18" s="235"/>
      <c r="O18" s="235"/>
      <c r="Q18" s="235"/>
      <c r="AS18" s="1463">
        <f>SUM(AS11:AS17)</f>
        <v>67.018541143179348</v>
      </c>
      <c r="AT18" s="619">
        <f>SUM(AT11:AT17)</f>
        <v>0.99999999999999989</v>
      </c>
    </row>
    <row r="19" spans="1:66" ht="21" customHeight="1" thickBot="1">
      <c r="C19" s="897"/>
      <c r="D19" s="1558"/>
      <c r="E19" s="891"/>
      <c r="F19" s="891"/>
      <c r="G19" s="891"/>
      <c r="H19" s="891"/>
      <c r="I19" s="891"/>
      <c r="J19" s="891"/>
      <c r="K19" s="891"/>
      <c r="L19" s="891"/>
      <c r="N19" s="235"/>
      <c r="O19" s="235"/>
      <c r="Q19" s="235"/>
      <c r="AH19" s="151"/>
      <c r="AI19" s="151"/>
      <c r="AJ19" s="151"/>
    </row>
    <row r="20" spans="1:66">
      <c r="B20" s="58"/>
      <c r="C20" s="383"/>
      <c r="D20" s="345"/>
      <c r="E20" s="383"/>
      <c r="F20" s="383"/>
      <c r="G20" s="383"/>
      <c r="H20" s="383"/>
      <c r="I20" s="383"/>
      <c r="J20" s="383"/>
      <c r="K20" s="383"/>
      <c r="L20" s="383"/>
      <c r="M20" s="383"/>
      <c r="N20" s="383"/>
      <c r="O20" s="383"/>
      <c r="P20" s="383"/>
      <c r="Q20" s="383"/>
      <c r="R20" s="383"/>
      <c r="S20" s="383"/>
      <c r="T20" s="383"/>
      <c r="U20" s="383"/>
      <c r="V20" s="383"/>
      <c r="W20" s="901"/>
      <c r="X20" s="901"/>
      <c r="Y20" s="901"/>
      <c r="Z20" s="901"/>
      <c r="AA20" s="901"/>
      <c r="AB20" s="901"/>
      <c r="AC20" s="902"/>
      <c r="AD20" s="902"/>
      <c r="AE20" s="902"/>
      <c r="AF20" s="902"/>
      <c r="AG20" s="902"/>
      <c r="AH20" s="784"/>
      <c r="AI20" s="784"/>
      <c r="AJ20" s="784" t="s">
        <v>0</v>
      </c>
      <c r="AK20" s="384"/>
    </row>
    <row r="21" spans="1:66" ht="15">
      <c r="B21" s="10"/>
      <c r="C21" s="998" t="s">
        <v>43</v>
      </c>
      <c r="D21" s="972">
        <v>1990</v>
      </c>
      <c r="E21" s="972">
        <v>1991</v>
      </c>
      <c r="F21" s="972">
        <v>1992</v>
      </c>
      <c r="G21" s="972">
        <v>1993</v>
      </c>
      <c r="H21" s="972">
        <v>1994</v>
      </c>
      <c r="I21" s="972">
        <v>1995</v>
      </c>
      <c r="J21" s="972">
        <v>1996</v>
      </c>
      <c r="K21" s="972">
        <v>1997</v>
      </c>
      <c r="L21" s="972">
        <v>1998</v>
      </c>
      <c r="M21" s="972">
        <v>1999</v>
      </c>
      <c r="N21" s="972">
        <v>2000</v>
      </c>
      <c r="O21" s="972">
        <v>2001</v>
      </c>
      <c r="P21" s="972">
        <v>2002</v>
      </c>
      <c r="Q21" s="972">
        <v>2003</v>
      </c>
      <c r="R21" s="972">
        <v>2004</v>
      </c>
      <c r="S21" s="972">
        <v>2005</v>
      </c>
      <c r="T21" s="972">
        <v>2006</v>
      </c>
      <c r="U21" s="972">
        <v>2007</v>
      </c>
      <c r="V21" s="972">
        <v>2008</v>
      </c>
      <c r="W21" s="972">
        <v>2009</v>
      </c>
      <c r="X21" s="972">
        <v>2010</v>
      </c>
      <c r="Y21" s="972">
        <v>2011</v>
      </c>
      <c r="Z21" s="972">
        <v>2012</v>
      </c>
      <c r="AA21" s="972">
        <v>2013</v>
      </c>
      <c r="AB21" s="972">
        <v>2014</v>
      </c>
      <c r="AC21" s="972">
        <v>2015</v>
      </c>
      <c r="AD21" s="972">
        <v>2016</v>
      </c>
      <c r="AE21" s="972">
        <v>2017</v>
      </c>
      <c r="AF21" s="972">
        <v>2018</v>
      </c>
      <c r="AG21" s="972">
        <v>2019</v>
      </c>
      <c r="AH21" s="972">
        <v>2020</v>
      </c>
      <c r="AI21" s="972">
        <v>2021</v>
      </c>
      <c r="AJ21" s="1390">
        <v>2022</v>
      </c>
      <c r="AK21" s="7"/>
    </row>
    <row r="22" spans="1:66" ht="15">
      <c r="B22" s="10"/>
      <c r="C22" s="970" t="s">
        <v>44</v>
      </c>
      <c r="D22" s="971">
        <f>D72/1000000</f>
        <v>83.895847239273991</v>
      </c>
      <c r="E22" s="971">
        <f t="shared" ref="E22:AF22" si="1">E72/1000000</f>
        <v>82.232474302760636</v>
      </c>
      <c r="F22" s="971">
        <f t="shared" si="1"/>
        <v>83.863532688370654</v>
      </c>
      <c r="G22" s="971">
        <f t="shared" si="1"/>
        <v>81.132198684691915</v>
      </c>
      <c r="H22" s="971">
        <f t="shared" si="1"/>
        <v>81.558014061956371</v>
      </c>
      <c r="I22" s="971">
        <f t="shared" si="1"/>
        <v>79.1386144958107</v>
      </c>
      <c r="J22" s="971">
        <f t="shared" si="1"/>
        <v>79.415168917866922</v>
      </c>
      <c r="K22" s="971">
        <f t="shared" si="1"/>
        <v>85.3747346945717</v>
      </c>
      <c r="L22" s="971">
        <f t="shared" si="1"/>
        <v>83.431043289475852</v>
      </c>
      <c r="M22" s="971">
        <f t="shared" si="1"/>
        <v>81.053843054956275</v>
      </c>
      <c r="N22" s="971">
        <f t="shared" si="1"/>
        <v>82.669759411832828</v>
      </c>
      <c r="O22" s="971">
        <f t="shared" si="1"/>
        <v>82.559100552364328</v>
      </c>
      <c r="P22" s="971">
        <f t="shared" si="1"/>
        <v>83.728504499354244</v>
      </c>
      <c r="Q22" s="971">
        <f t="shared" si="1"/>
        <v>85.897544828487256</v>
      </c>
      <c r="R22" s="971">
        <f t="shared" si="1"/>
        <v>83.897375457031515</v>
      </c>
      <c r="S22" s="971">
        <f t="shared" si="1"/>
        <v>85.123775670628334</v>
      </c>
      <c r="T22" s="971">
        <f t="shared" si="1"/>
        <v>77.531823404685895</v>
      </c>
      <c r="U22" s="971">
        <f t="shared" si="1"/>
        <v>80.777660106793547</v>
      </c>
      <c r="V22" s="971">
        <f t="shared" si="1"/>
        <v>77.317256331301522</v>
      </c>
      <c r="W22" s="971">
        <f t="shared" si="1"/>
        <v>71.746397345180185</v>
      </c>
      <c r="X22" s="971">
        <f t="shared" si="1"/>
        <v>74.058218643622567</v>
      </c>
      <c r="Y22" s="971">
        <f t="shared" si="1"/>
        <v>68.52975079615689</v>
      </c>
      <c r="Z22" s="971">
        <f t="shared" si="1"/>
        <v>62.286280582803393</v>
      </c>
      <c r="AA22" s="971">
        <f t="shared" si="1"/>
        <v>66.353334243710052</v>
      </c>
      <c r="AB22" s="971">
        <f t="shared" si="1"/>
        <v>64.306225172329647</v>
      </c>
      <c r="AC22" s="971">
        <f t="shared" si="1"/>
        <v>65.663343349149727</v>
      </c>
      <c r="AD22" s="971">
        <f t="shared" si="1"/>
        <v>62.39661259389564</v>
      </c>
      <c r="AE22" s="971">
        <f t="shared" si="1"/>
        <v>62.766065026942329</v>
      </c>
      <c r="AF22" s="971">
        <f t="shared" si="1"/>
        <v>62.41508481416772</v>
      </c>
      <c r="AG22" s="971">
        <f t="shared" ref="AG22" si="2">AG72/1000000</f>
        <v>61.206244600069454</v>
      </c>
      <c r="AH22" s="971">
        <f t="shared" ref="AH22:AI22" si="3">AH72/1000000</f>
        <v>52.168713108994488</v>
      </c>
      <c r="AI22" s="971">
        <f t="shared" si="3"/>
        <v>55.952979029143179</v>
      </c>
      <c r="AJ22" s="1391">
        <f t="shared" ref="AJ22" si="4">AJ72/1000000</f>
        <v>58.455606760428509</v>
      </c>
      <c r="AK22" s="236"/>
      <c r="AL22" s="637"/>
      <c r="AM22" s="637"/>
      <c r="AO22" s="270"/>
    </row>
    <row r="23" spans="1:66" ht="15">
      <c r="B23" s="10"/>
      <c r="C23" s="980" t="s">
        <v>45</v>
      </c>
      <c r="D23" s="908">
        <f t="shared" ref="D23:AF23" si="5">(D73*$D$6)/1000000</f>
        <v>5.1774503553999587</v>
      </c>
      <c r="E23" s="908">
        <f t="shared" si="5"/>
        <v>5.2339724343504237</v>
      </c>
      <c r="F23" s="908">
        <f t="shared" si="5"/>
        <v>5.1280105008198573</v>
      </c>
      <c r="G23" s="908">
        <f t="shared" si="5"/>
        <v>4.9276742620927489</v>
      </c>
      <c r="H23" s="908">
        <f t="shared" si="5"/>
        <v>4.8405621939278269</v>
      </c>
      <c r="I23" s="908">
        <f t="shared" si="5"/>
        <v>4.8061675591934252</v>
      </c>
      <c r="J23" s="908">
        <f t="shared" si="5"/>
        <v>4.354183077508309</v>
      </c>
      <c r="K23" s="908">
        <f t="shared" si="5"/>
        <v>3.7918582415991473</v>
      </c>
      <c r="L23" s="908">
        <f t="shared" si="5"/>
        <v>3.6211719760523264</v>
      </c>
      <c r="M23" s="908">
        <f t="shared" si="5"/>
        <v>3.5526708693466151</v>
      </c>
      <c r="N23" s="908">
        <f t="shared" si="5"/>
        <v>2.9199064091848217</v>
      </c>
      <c r="O23" s="908">
        <f t="shared" si="5"/>
        <v>2.4588556550142471</v>
      </c>
      <c r="P23" s="908">
        <f t="shared" si="5"/>
        <v>2.8014758726098097</v>
      </c>
      <c r="Q23" s="908">
        <f t="shared" si="5"/>
        <v>3.2350255342743668</v>
      </c>
      <c r="R23" s="908">
        <f t="shared" si="5"/>
        <v>2.9621898070909176</v>
      </c>
      <c r="S23" s="908">
        <f t="shared" si="5"/>
        <v>2.7959826101623317</v>
      </c>
      <c r="T23" s="908">
        <f t="shared" si="5"/>
        <v>2.6172961880610943</v>
      </c>
      <c r="U23" s="908">
        <f t="shared" si="5"/>
        <v>2.4808648279017609</v>
      </c>
      <c r="V23" s="908">
        <f t="shared" si="5"/>
        <v>2.4730422196810666</v>
      </c>
      <c r="W23" s="908">
        <f t="shared" si="5"/>
        <v>2.4960327715151296</v>
      </c>
      <c r="X23" s="908">
        <f t="shared" si="5"/>
        <v>2.0515745961197771</v>
      </c>
      <c r="Y23" s="908">
        <f t="shared" si="5"/>
        <v>1.9013244708958126</v>
      </c>
      <c r="Z23" s="908">
        <f t="shared" si="5"/>
        <v>1.9203799639968526</v>
      </c>
      <c r="AA23" s="908">
        <f t="shared" si="5"/>
        <v>1.8322196779423892</v>
      </c>
      <c r="AB23" s="908">
        <f t="shared" si="5"/>
        <v>1.7512340426633826</v>
      </c>
      <c r="AC23" s="908">
        <f t="shared" si="5"/>
        <v>1.7736878564632832</v>
      </c>
      <c r="AD23" s="908">
        <f t="shared" si="5"/>
        <v>1.6935882296123266</v>
      </c>
      <c r="AE23" s="908">
        <f t="shared" si="5"/>
        <v>1.6458191015579251</v>
      </c>
      <c r="AF23" s="908">
        <f t="shared" si="5"/>
        <v>1.6248356562723598</v>
      </c>
      <c r="AG23" s="908">
        <f t="shared" ref="AG23" si="6">(AG73*$D$6)/1000000</f>
        <v>1.6371027260696183</v>
      </c>
      <c r="AH23" s="908">
        <f t="shared" ref="AH23:AI23" si="7">(AH73*$D$6)/1000000</f>
        <v>1.5847636756460195</v>
      </c>
      <c r="AI23" s="908">
        <f t="shared" si="7"/>
        <v>1.4809994395208321</v>
      </c>
      <c r="AJ23" s="1392">
        <f t="shared" ref="AJ23" si="8">(AJ73*$D$6)/1000000</f>
        <v>1.3714607490799693</v>
      </c>
      <c r="AK23" s="236"/>
      <c r="AL23" s="637"/>
      <c r="AM23" s="637"/>
      <c r="AO23" s="270"/>
    </row>
    <row r="24" spans="1:66" ht="15">
      <c r="B24" s="10"/>
      <c r="C24" s="302" t="s">
        <v>46</v>
      </c>
      <c r="D24" s="908">
        <f t="shared" ref="D24:AF24" si="9">(D74*$E$6)/1000000</f>
        <v>1.564486212334198</v>
      </c>
      <c r="E24" s="908">
        <f t="shared" si="9"/>
        <v>1.4955950377476577</v>
      </c>
      <c r="F24" s="908">
        <f t="shared" si="9"/>
        <v>1.5363736772498184</v>
      </c>
      <c r="G24" s="908">
        <f t="shared" si="9"/>
        <v>1.5247699277065485</v>
      </c>
      <c r="H24" s="908">
        <f t="shared" si="9"/>
        <v>1.5489080279666021</v>
      </c>
      <c r="I24" s="908">
        <f t="shared" si="9"/>
        <v>1.5752718328242239</v>
      </c>
      <c r="J24" s="908">
        <f t="shared" si="9"/>
        <v>1.6282792394003203</v>
      </c>
      <c r="K24" s="908">
        <f t="shared" si="9"/>
        <v>1.6305569989046633</v>
      </c>
      <c r="L24" s="908">
        <f t="shared" si="9"/>
        <v>1.6092539001338109</v>
      </c>
      <c r="M24" s="908">
        <f t="shared" si="9"/>
        <v>1.5359658239359852</v>
      </c>
      <c r="N24" s="908">
        <f t="shared" si="9"/>
        <v>1.5303971434768702</v>
      </c>
      <c r="O24" s="908">
        <f t="shared" si="9"/>
        <v>1.4891342311217228</v>
      </c>
      <c r="P24" s="908">
        <f t="shared" si="9"/>
        <v>1.4179822796250086</v>
      </c>
      <c r="Q24" s="908">
        <f t="shared" si="9"/>
        <v>1.3824227860898008</v>
      </c>
      <c r="R24" s="908">
        <f t="shared" si="9"/>
        <v>1.3265611935304364</v>
      </c>
      <c r="S24" s="908">
        <f t="shared" si="9"/>
        <v>1.2951920909083761</v>
      </c>
      <c r="T24" s="908">
        <f t="shared" si="9"/>
        <v>1.2654737935973424</v>
      </c>
      <c r="U24" s="908">
        <f t="shared" si="9"/>
        <v>1.1791183531603564</v>
      </c>
      <c r="V24" s="908">
        <f t="shared" si="9"/>
        <v>1.1159102306424495</v>
      </c>
      <c r="W24" s="908">
        <f t="shared" si="9"/>
        <v>1.0234112065793413</v>
      </c>
      <c r="X24" s="908">
        <f t="shared" si="9"/>
        <v>0.96138646279248885</v>
      </c>
      <c r="Y24" s="908">
        <f t="shared" si="9"/>
        <v>0.94585100439595438</v>
      </c>
      <c r="Z24" s="908">
        <f t="shared" si="9"/>
        <v>0.86746466753329721</v>
      </c>
      <c r="AA24" s="908">
        <f t="shared" si="9"/>
        <v>0.87516244487956307</v>
      </c>
      <c r="AB24" s="908">
        <f t="shared" si="9"/>
        <v>0.83739253618565135</v>
      </c>
      <c r="AC24" s="908">
        <f t="shared" si="9"/>
        <v>0.75767177501043714</v>
      </c>
      <c r="AD24" s="908">
        <f t="shared" si="9"/>
        <v>0.68560557556766533</v>
      </c>
      <c r="AE24" s="908">
        <f t="shared" si="9"/>
        <v>0.64405659400762283</v>
      </c>
      <c r="AF24" s="908">
        <f t="shared" si="9"/>
        <v>0.6183643533436074</v>
      </c>
      <c r="AG24" s="908">
        <f t="shared" ref="AG24" si="10">(AG74*$E$6)/1000000</f>
        <v>0.64705229771492412</v>
      </c>
      <c r="AH24" s="908">
        <f t="shared" ref="AH24:AI24" si="11">(AH74*$E$6)/1000000</f>
        <v>0.56600131211479177</v>
      </c>
      <c r="AI24" s="908">
        <f t="shared" si="11"/>
        <v>0.54456775549342451</v>
      </c>
      <c r="AJ24" s="1392">
        <f t="shared" ref="AJ24" si="12">(AJ74*$E$6)/1000000</f>
        <v>0.21395044985627515</v>
      </c>
      <c r="AK24" s="236"/>
      <c r="AL24" s="637"/>
      <c r="AM24" s="637"/>
      <c r="AO24" s="270"/>
    </row>
    <row r="25" spans="1:66" ht="15">
      <c r="B25" s="10"/>
      <c r="C25" s="907" t="s">
        <v>47</v>
      </c>
      <c r="D25" s="908">
        <f>(('Indust. Proc.'!C21/$AO$44)*$F$6)/1000000</f>
        <v>0.38789975619760453</v>
      </c>
      <c r="E25" s="908">
        <f>(('Indust. Proc.'!D21/$AO$44)*$F$6)/1000000</f>
        <v>0.3718260641647354</v>
      </c>
      <c r="F25" s="908">
        <f>(('Indust. Proc.'!E21/$AO$44)*$F$6)/1000000</f>
        <v>0.37215208156089641</v>
      </c>
      <c r="G25" s="908">
        <f>(('Indust. Proc.'!F21/$AO$44)*$F$6)/1000000</f>
        <v>0.35059306348162167</v>
      </c>
      <c r="H25" s="908">
        <f>(('Indust. Proc.'!G21/$AO$44)*$F$6)/1000000</f>
        <v>0.32777458754937455</v>
      </c>
      <c r="I25" s="908">
        <f>(('Indust. Proc.'!H21/$AO$44)*$F$6)/1000000</f>
        <v>0.29696578337512486</v>
      </c>
      <c r="J25" s="908">
        <f>(('Indust. Proc.'!I21/$AO$44)*$F$6)/1000000</f>
        <v>0.26831279500899841</v>
      </c>
      <c r="K25" s="908">
        <f>(('Indust. Proc.'!J21/$AO$44)*$F$6)/1000000</f>
        <v>0.24549879852171885</v>
      </c>
      <c r="L25" s="908">
        <f>(('Indust. Proc.'!K21/$AO$44)*$F$6)/1000000</f>
        <v>0.20426712546738821</v>
      </c>
      <c r="M25" s="908">
        <f>(('Indust. Proc.'!L21/$AO$44)*$F$6)/1000000</f>
        <v>0.20938205540256527</v>
      </c>
      <c r="N25" s="908">
        <f>(('Indust. Proc.'!M21/$AO$44)*$F$6)/1000000</f>
        <v>0.20538617220111405</v>
      </c>
      <c r="O25" s="908">
        <f>(('Indust. Proc.'!N21/$AO$44)*$F$6)/1000000</f>
        <v>0.20572862214132048</v>
      </c>
      <c r="P25" s="908">
        <f>(('Indust. Proc.'!O21/$AO$44)*$F$6)/1000000</f>
        <v>0.19499097337850929</v>
      </c>
      <c r="Q25" s="908">
        <f>(('Indust. Proc.'!P21/$AO$44)*$F$6)/1000000</f>
        <v>0.19259226561409309</v>
      </c>
      <c r="R25" s="908">
        <f>(('Indust. Proc.'!Q21/$AO$44)*$F$6)/1000000</f>
        <v>0.18664815304992144</v>
      </c>
      <c r="S25" s="908">
        <f>(('Indust. Proc.'!R21/$AO$44)*$F$6)/1000000</f>
        <v>0.17963885239526922</v>
      </c>
      <c r="T25" s="908">
        <f>(('Indust. Proc.'!S21/$AO$44)*$F$6)/1000000</f>
        <v>0.16198195834948043</v>
      </c>
      <c r="U25" s="908">
        <f>(('Indust. Proc.'!T21/$AO$44)*$F$6)/1000000</f>
        <v>0.15036008802009723</v>
      </c>
      <c r="V25" s="908">
        <f>(('Indust. Proc.'!U21/$AO$44)*$F$6)/1000000</f>
        <v>0.14753401409735378</v>
      </c>
      <c r="W25" s="908">
        <f>(('Indust. Proc.'!V21/$AO$44)*$F$6)/1000000</f>
        <v>0.13190623467939996</v>
      </c>
      <c r="X25" s="908">
        <f>(('Indust. Proc.'!W21/$AO$44)*$F$6)/1000000</f>
        <v>0.11458593451620261</v>
      </c>
      <c r="Y25" s="908">
        <f>(('Indust. Proc.'!X21/$AO$44)*$F$6)/1000000</f>
        <v>0.10261998235595651</v>
      </c>
      <c r="Z25" s="908">
        <f>(('Indust. Proc.'!Y21/$AO$44)*$F$6)/1000000</f>
        <v>8.8556426713883349E-2</v>
      </c>
      <c r="AA25" s="908">
        <f>(('Indust. Proc.'!Z21/$AO$44)*$F$6)/1000000</f>
        <v>8.4644758816187687E-2</v>
      </c>
      <c r="AB25" s="908">
        <f>(('Indust. Proc.'!AA21/$AO$44)*$F$6)/1000000</f>
        <v>8.56357110837309E-2</v>
      </c>
      <c r="AC25" s="908">
        <f>(('Indust. Proc.'!AB21/$AO$44)*$F$6)/1000000</f>
        <v>7.5052550926182612E-2</v>
      </c>
      <c r="AD25" s="908">
        <f>(('Indust. Proc.'!AC21/$AO$44)*$F$6)/1000000</f>
        <v>7.6700192109095663E-2</v>
      </c>
      <c r="AE25" s="908">
        <f>(('Indust. Proc.'!AD21/$AO$44)*$F$6)/1000000</f>
        <v>7.4945534066795869E-2</v>
      </c>
      <c r="AF25" s="908">
        <f>(('Indust. Proc.'!AE21/$AO$44)*$F$6)/1000000</f>
        <v>7.0238405761697736E-2</v>
      </c>
      <c r="AG25" s="908">
        <f>(('Indust. Proc.'!AF21/$AO$44)*$F$6)/1000000</f>
        <v>7.9562782950133915E-2</v>
      </c>
      <c r="AH25" s="908">
        <f>(('Indust. Proc.'!AG21/$AO$44)*$F$6)/1000000</f>
        <v>7.6434475695087434E-2</v>
      </c>
      <c r="AI25" s="908">
        <f>(('Indust. Proc.'!AH21/$AO$44)*$F$6)/1000000</f>
        <v>7.7486947937451728E-2</v>
      </c>
      <c r="AJ25" s="1392">
        <f>(('Indust. Proc.'!AI21/$AO$44)*$F$6)/1000000</f>
        <v>0</v>
      </c>
      <c r="AK25" s="236"/>
      <c r="AL25" s="637"/>
      <c r="AM25" s="637"/>
      <c r="AO25" s="270"/>
    </row>
    <row r="26" spans="1:66" ht="15">
      <c r="B26" s="10"/>
      <c r="C26" s="978" t="s">
        <v>48</v>
      </c>
      <c r="D26" s="908">
        <f t="shared" ref="D26:AF26" si="13">D25+D66+D67</f>
        <v>0.48138328615922965</v>
      </c>
      <c r="E26" s="908">
        <f t="shared" si="13"/>
        <v>0.46529148834258227</v>
      </c>
      <c r="F26" s="908">
        <f t="shared" si="13"/>
        <v>0.48652128246690873</v>
      </c>
      <c r="G26" s="908">
        <f t="shared" si="13"/>
        <v>0.55976312398357897</v>
      </c>
      <c r="H26" s="908">
        <f t="shared" si="13"/>
        <v>0.69991080705756736</v>
      </c>
      <c r="I26" s="908">
        <f t="shared" si="13"/>
        <v>1.0096285768811575</v>
      </c>
      <c r="J26" s="908">
        <f t="shared" si="13"/>
        <v>1.2270874909229028</v>
      </c>
      <c r="K26" s="908">
        <f t="shared" si="13"/>
        <v>1.430746486275341</v>
      </c>
      <c r="L26" s="908">
        <f t="shared" si="13"/>
        <v>1.6444085872431364</v>
      </c>
      <c r="M26" s="908">
        <f t="shared" si="13"/>
        <v>1.8818905739800844</v>
      </c>
      <c r="N26" s="908">
        <f t="shared" si="13"/>
        <v>2.0225838871160193</v>
      </c>
      <c r="O26" s="908">
        <f t="shared" si="13"/>
        <v>2.101178751343558</v>
      </c>
      <c r="P26" s="908">
        <f t="shared" si="13"/>
        <v>2.2472329580084796</v>
      </c>
      <c r="Q26" s="908">
        <f t="shared" si="13"/>
        <v>2.2728014810555566</v>
      </c>
      <c r="R26" s="908">
        <f t="shared" si="13"/>
        <v>2.2814287160123681</v>
      </c>
      <c r="S26" s="908">
        <f t="shared" si="13"/>
        <v>2.3114360742542002</v>
      </c>
      <c r="T26" s="908">
        <f t="shared" si="13"/>
        <v>2.4025151103988636</v>
      </c>
      <c r="U26" s="908">
        <f t="shared" si="13"/>
        <v>2.4884749500308887</v>
      </c>
      <c r="V26" s="908">
        <f t="shared" si="13"/>
        <v>2.6600021936905893</v>
      </c>
      <c r="W26" s="908">
        <f t="shared" si="13"/>
        <v>2.7127203035823739</v>
      </c>
      <c r="X26" s="908">
        <f t="shared" si="13"/>
        <v>2.5801942468803643</v>
      </c>
      <c r="Y26" s="908">
        <f t="shared" si="13"/>
        <v>2.8121403761619899</v>
      </c>
      <c r="Z26" s="908">
        <f t="shared" si="13"/>
        <v>3.0455043545793794</v>
      </c>
      <c r="AA26" s="908">
        <f t="shared" si="13"/>
        <v>3.4622474424496583</v>
      </c>
      <c r="AB26" s="908">
        <f t="shared" si="13"/>
        <v>3.8679355522063457</v>
      </c>
      <c r="AC26" s="908">
        <f t="shared" si="13"/>
        <v>3.7271996809326224</v>
      </c>
      <c r="AD26" s="908">
        <f t="shared" si="13"/>
        <v>3.7544585266230239</v>
      </c>
      <c r="AE26" s="908">
        <f t="shared" si="13"/>
        <v>3.263749667026314</v>
      </c>
      <c r="AF26" s="908">
        <f t="shared" si="13"/>
        <v>3.6254868312521999</v>
      </c>
      <c r="AG26" s="908">
        <f t="shared" ref="AG26" si="14">AG25+AG66+AG67</f>
        <v>3.4776280502116483</v>
      </c>
      <c r="AH26" s="908">
        <f t="shared" ref="AH26:AI26" si="15">AH25+AH66+AH67</f>
        <v>3.7840702413895992</v>
      </c>
      <c r="AI26" s="908">
        <f t="shared" si="15"/>
        <v>3.949011002114271</v>
      </c>
      <c r="AJ26" s="1392">
        <f t="shared" ref="AJ26" si="16">AJ25+AJ66+AJ67</f>
        <v>0</v>
      </c>
      <c r="AK26" s="236"/>
      <c r="AL26" s="637"/>
      <c r="AM26" s="637"/>
      <c r="AO26" s="270"/>
    </row>
    <row r="27" spans="1:66" ht="15">
      <c r="B27" s="10"/>
      <c r="C27" s="979" t="s">
        <v>49</v>
      </c>
      <c r="D27" s="969">
        <f>D69</f>
        <v>1.8858940212182027</v>
      </c>
      <c r="E27" s="969">
        <f t="shared" ref="E27:AE27" si="17">E69</f>
        <v>1.1724041159564047</v>
      </c>
      <c r="F27" s="969">
        <f t="shared" si="17"/>
        <v>1.4752219821672543</v>
      </c>
      <c r="G27" s="969">
        <f t="shared" si="17"/>
        <v>2.1606319969895238</v>
      </c>
      <c r="H27" s="969">
        <f t="shared" si="17"/>
        <v>1.8606896976971012</v>
      </c>
      <c r="I27" s="969">
        <f t="shared" si="17"/>
        <v>1.9424413128723124</v>
      </c>
      <c r="J27" s="969">
        <f t="shared" si="17"/>
        <v>2.1100141227923412</v>
      </c>
      <c r="K27" s="969">
        <f t="shared" si="17"/>
        <v>0.92218599359594056</v>
      </c>
      <c r="L27" s="969">
        <f t="shared" si="17"/>
        <v>0.9110947061645297</v>
      </c>
      <c r="M27" s="969">
        <f t="shared" si="17"/>
        <v>2.2206927454267458</v>
      </c>
      <c r="N27" s="969">
        <f t="shared" si="17"/>
        <v>3.1177751602306079</v>
      </c>
      <c r="O27" s="969">
        <f t="shared" si="17"/>
        <v>2.7304610756268213</v>
      </c>
      <c r="P27" s="969">
        <f t="shared" si="17"/>
        <v>3.3680431512014977</v>
      </c>
      <c r="Q27" s="969">
        <f t="shared" si="17"/>
        <v>2.7376472247771821</v>
      </c>
      <c r="R27" s="969">
        <f t="shared" si="17"/>
        <v>2.8617100488563549</v>
      </c>
      <c r="S27" s="969">
        <f t="shared" si="17"/>
        <v>3.4144696386176672</v>
      </c>
      <c r="T27" s="969">
        <f t="shared" si="17"/>
        <v>2.5534994899415717</v>
      </c>
      <c r="U27" s="969">
        <f t="shared" si="17"/>
        <v>2.2266959156511517</v>
      </c>
      <c r="V27" s="969">
        <f t="shared" si="17"/>
        <v>2.7135384030986245</v>
      </c>
      <c r="W27" s="969">
        <f t="shared" si="17"/>
        <v>2.7435998839761511</v>
      </c>
      <c r="X27" s="969">
        <f t="shared" si="17"/>
        <v>2.4424966762479952</v>
      </c>
      <c r="Y27" s="969">
        <f t="shared" si="17"/>
        <v>2.762607960078582</v>
      </c>
      <c r="Z27" s="969">
        <f t="shared" si="17"/>
        <v>2.5791425425944108</v>
      </c>
      <c r="AA27" s="969">
        <f t="shared" si="17"/>
        <v>2.5775033696333551</v>
      </c>
      <c r="AB27" s="969">
        <f t="shared" si="17"/>
        <v>2.8572204393981666</v>
      </c>
      <c r="AC27" s="969">
        <f t="shared" si="17"/>
        <v>3.1280148954123335</v>
      </c>
      <c r="AD27" s="969">
        <f t="shared" si="17"/>
        <v>2.7685856857608093</v>
      </c>
      <c r="AE27" s="969">
        <f t="shared" si="17"/>
        <v>2.1456933025826213</v>
      </c>
      <c r="AF27" s="969">
        <f t="shared" ref="AF27:AH27" si="18">AF69</f>
        <v>3.3046574846037937</v>
      </c>
      <c r="AG27" s="969">
        <f t="shared" ref="AG27" si="19">AG69</f>
        <v>3.3996567306085903</v>
      </c>
      <c r="AH27" s="969">
        <f t="shared" si="18"/>
        <v>5.8843166806447158</v>
      </c>
      <c r="AI27" s="969">
        <f t="shared" ref="AI27:AJ27" si="20">AI69</f>
        <v>5.111868658436177</v>
      </c>
      <c r="AJ27" s="1393">
        <f t="shared" si="20"/>
        <v>0</v>
      </c>
      <c r="AK27" s="236"/>
      <c r="AL27" s="637"/>
      <c r="AM27" s="637"/>
      <c r="AO27" s="270"/>
    </row>
    <row r="28" spans="1:66">
      <c r="B28" s="10"/>
      <c r="C28" s="973" t="s">
        <v>25</v>
      </c>
      <c r="D28" s="981">
        <f t="shared" ref="D28:AF28" si="21">D22+D23+D24+D26+D27</f>
        <v>93.005061114385583</v>
      </c>
      <c r="E28" s="981">
        <f t="shared" si="21"/>
        <v>90.599737379157716</v>
      </c>
      <c r="F28" s="981">
        <f t="shared" si="21"/>
        <v>92.489660131074487</v>
      </c>
      <c r="G28" s="981">
        <f t="shared" si="21"/>
        <v>90.305037995464303</v>
      </c>
      <c r="H28" s="981">
        <f t="shared" si="21"/>
        <v>90.508084788605458</v>
      </c>
      <c r="I28" s="981">
        <f t="shared" si="21"/>
        <v>88.472123777581828</v>
      </c>
      <c r="J28" s="981">
        <f t="shared" si="21"/>
        <v>88.734732848490779</v>
      </c>
      <c r="K28" s="981">
        <f t="shared" si="21"/>
        <v>93.150082414946795</v>
      </c>
      <c r="L28" s="981">
        <f t="shared" si="21"/>
        <v>91.216972459069652</v>
      </c>
      <c r="M28" s="981">
        <f t="shared" si="21"/>
        <v>90.245063067645702</v>
      </c>
      <c r="N28" s="981">
        <f t="shared" si="21"/>
        <v>92.260422011841143</v>
      </c>
      <c r="O28" s="981">
        <f t="shared" si="21"/>
        <v>91.338730265470673</v>
      </c>
      <c r="P28" s="981">
        <f t="shared" si="21"/>
        <v>93.563238760799038</v>
      </c>
      <c r="Q28" s="981">
        <f t="shared" si="21"/>
        <v>95.525441854684161</v>
      </c>
      <c r="R28" s="981">
        <f t="shared" si="21"/>
        <v>93.329265222521599</v>
      </c>
      <c r="S28" s="981">
        <f t="shared" si="21"/>
        <v>94.940856084570896</v>
      </c>
      <c r="T28" s="981">
        <f t="shared" si="21"/>
        <v>86.37060798668476</v>
      </c>
      <c r="U28" s="981">
        <f t="shared" si="21"/>
        <v>89.152814153537705</v>
      </c>
      <c r="V28" s="981">
        <f t="shared" si="21"/>
        <v>86.279749378414252</v>
      </c>
      <c r="W28" s="981">
        <f t="shared" si="21"/>
        <v>80.722161510833175</v>
      </c>
      <c r="X28" s="981">
        <f t="shared" si="21"/>
        <v>82.0938706256632</v>
      </c>
      <c r="Y28" s="981">
        <f t="shared" si="21"/>
        <v>76.951674607689228</v>
      </c>
      <c r="Z28" s="981">
        <f t="shared" si="21"/>
        <v>70.698772111507338</v>
      </c>
      <c r="AA28" s="981">
        <f t="shared" si="21"/>
        <v>75.10046717861502</v>
      </c>
      <c r="AB28" s="981">
        <f t="shared" si="21"/>
        <v>73.620007742783187</v>
      </c>
      <c r="AC28" s="981">
        <f t="shared" si="21"/>
        <v>75.04991755696841</v>
      </c>
      <c r="AD28" s="981">
        <f t="shared" si="21"/>
        <v>71.298850611459471</v>
      </c>
      <c r="AE28" s="981">
        <f t="shared" si="21"/>
        <v>70.465383692116802</v>
      </c>
      <c r="AF28" s="981">
        <f t="shared" si="21"/>
        <v>71.588429139639686</v>
      </c>
      <c r="AG28" s="981">
        <f t="shared" ref="AG28:AI28" si="22">AG22+AG23+AG24+AG26+AG27</f>
        <v>70.367684404674222</v>
      </c>
      <c r="AH28" s="981">
        <f t="shared" si="22"/>
        <v>63.987865018789613</v>
      </c>
      <c r="AI28" s="981">
        <f t="shared" si="22"/>
        <v>67.039425884707882</v>
      </c>
      <c r="AJ28" s="1394"/>
      <c r="AK28" s="236"/>
      <c r="AL28" s="637"/>
      <c r="AM28" s="637"/>
      <c r="AO28" s="270"/>
    </row>
    <row r="29" spans="1:66" ht="21" customHeight="1" thickBot="1">
      <c r="B29" s="150"/>
      <c r="C29" s="183" t="s">
        <v>50</v>
      </c>
      <c r="D29" s="904"/>
      <c r="E29" s="904"/>
      <c r="F29" s="904"/>
      <c r="G29" s="904"/>
      <c r="H29" s="904"/>
      <c r="I29" s="904"/>
      <c r="J29" s="904"/>
      <c r="K29" s="904"/>
      <c r="L29" s="904"/>
      <c r="M29" s="151"/>
      <c r="N29" s="408"/>
      <c r="O29" s="408"/>
      <c r="P29" s="151"/>
      <c r="Q29" s="408"/>
      <c r="R29" s="151"/>
      <c r="S29" s="151"/>
      <c r="T29" s="151"/>
      <c r="U29" s="151"/>
      <c r="V29" s="151"/>
      <c r="W29" s="151"/>
      <c r="X29" s="151"/>
      <c r="Y29" s="151"/>
      <c r="Z29" s="151"/>
      <c r="AA29" s="151"/>
      <c r="AB29" s="151"/>
      <c r="AC29" s="151"/>
      <c r="AD29" s="151"/>
      <c r="AE29" s="151"/>
      <c r="AF29" s="151"/>
      <c r="AG29" s="151"/>
      <c r="AH29" s="151"/>
      <c r="AI29" s="151"/>
      <c r="AJ29" s="151"/>
      <c r="AK29" s="540"/>
    </row>
    <row r="30" spans="1:66" ht="21" customHeight="1" thickBot="1">
      <c r="A30" s="151"/>
      <c r="B30" s="151"/>
      <c r="C30" s="903"/>
      <c r="D30" s="904"/>
      <c r="E30" s="904"/>
      <c r="F30" s="904"/>
      <c r="G30" s="904"/>
      <c r="H30" s="904"/>
      <c r="I30" s="904"/>
      <c r="J30" s="904"/>
      <c r="K30" s="904"/>
      <c r="L30" s="904"/>
      <c r="M30" s="151"/>
      <c r="N30" s="408"/>
      <c r="O30" s="408"/>
      <c r="P30" s="151"/>
      <c r="Q30" s="408"/>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row>
    <row r="31" spans="1:66" ht="21.5" thickBot="1">
      <c r="C31" s="799" t="s">
        <v>51</v>
      </c>
      <c r="D31" s="1559"/>
      <c r="W31" s="151"/>
      <c r="X31" s="151"/>
      <c r="Y31" s="151"/>
      <c r="Z31" s="151"/>
      <c r="AA31" s="151"/>
      <c r="AB31" s="151"/>
      <c r="AC31" s="151"/>
      <c r="AD31" s="151"/>
      <c r="AE31" s="151"/>
      <c r="AF31" s="151"/>
      <c r="AG31" s="151"/>
      <c r="AH31" s="151"/>
      <c r="AI31" s="151"/>
      <c r="AJ31" s="151"/>
    </row>
    <row r="32" spans="1:66">
      <c r="B32" s="58"/>
      <c r="C32" s="383"/>
      <c r="D32" s="345"/>
      <c r="E32" s="383"/>
      <c r="F32" s="383"/>
      <c r="G32" s="383"/>
      <c r="H32" s="383"/>
      <c r="I32" s="383"/>
      <c r="J32" s="383"/>
      <c r="K32" s="383"/>
      <c r="L32" s="383"/>
      <c r="M32" s="383"/>
      <c r="N32" s="383"/>
      <c r="O32" s="383"/>
      <c r="P32" s="383"/>
      <c r="Q32" s="383"/>
      <c r="R32" s="383"/>
      <c r="S32" s="383"/>
      <c r="T32" s="383"/>
      <c r="U32" s="383"/>
      <c r="V32" s="383"/>
      <c r="W32" s="241"/>
      <c r="X32" s="241"/>
      <c r="Y32" s="241"/>
      <c r="Z32" s="241"/>
      <c r="AA32" s="241"/>
      <c r="AB32" s="241"/>
      <c r="AC32" s="700"/>
      <c r="AD32" s="700"/>
      <c r="AE32" s="700"/>
      <c r="AF32" s="700"/>
      <c r="AG32" s="700"/>
      <c r="AH32" s="700"/>
      <c r="AI32" s="700"/>
      <c r="AJ32" s="700" t="s">
        <v>0</v>
      </c>
      <c r="AK32" s="782"/>
    </row>
    <row r="33" spans="2:58" ht="15" thickBot="1">
      <c r="B33" s="10"/>
      <c r="C33" s="290" t="s">
        <v>52</v>
      </c>
      <c r="D33" s="291">
        <v>1990</v>
      </c>
      <c r="E33" s="291">
        <v>1991</v>
      </c>
      <c r="F33" s="291">
        <v>1992</v>
      </c>
      <c r="G33" s="291">
        <v>1993</v>
      </c>
      <c r="H33" s="291">
        <v>1994</v>
      </c>
      <c r="I33" s="291">
        <v>1995</v>
      </c>
      <c r="J33" s="291">
        <v>1996</v>
      </c>
      <c r="K33" s="291">
        <v>1997</v>
      </c>
      <c r="L33" s="291">
        <v>1998</v>
      </c>
      <c r="M33" s="291">
        <v>1999</v>
      </c>
      <c r="N33" s="291">
        <v>2000</v>
      </c>
      <c r="O33" s="291">
        <v>2001</v>
      </c>
      <c r="P33" s="291">
        <v>2002</v>
      </c>
      <c r="Q33" s="291">
        <v>2003</v>
      </c>
      <c r="R33" s="291">
        <v>2004</v>
      </c>
      <c r="S33" s="291">
        <v>2005</v>
      </c>
      <c r="T33" s="291">
        <v>2006</v>
      </c>
      <c r="U33" s="291">
        <v>2007</v>
      </c>
      <c r="V33" s="291">
        <v>2008</v>
      </c>
      <c r="W33" s="291">
        <v>2009</v>
      </c>
      <c r="X33" s="291">
        <v>2010</v>
      </c>
      <c r="Y33" s="291">
        <v>2011</v>
      </c>
      <c r="Z33" s="291">
        <v>2012</v>
      </c>
      <c r="AA33" s="291">
        <v>2013</v>
      </c>
      <c r="AB33" s="291">
        <v>2014</v>
      </c>
      <c r="AC33" s="291">
        <v>2015</v>
      </c>
      <c r="AD33" s="291">
        <v>2016</v>
      </c>
      <c r="AE33" s="291">
        <v>2017</v>
      </c>
      <c r="AF33" s="291">
        <v>2018</v>
      </c>
      <c r="AG33" s="291">
        <v>2019</v>
      </c>
      <c r="AH33" s="291">
        <v>2020</v>
      </c>
      <c r="AI33" s="291">
        <v>2021</v>
      </c>
      <c r="AJ33" s="291">
        <v>2022</v>
      </c>
      <c r="AK33" s="7"/>
      <c r="AM33" s="269"/>
      <c r="AN33">
        <v>2021</v>
      </c>
      <c r="AO33" s="270" t="s">
        <v>908</v>
      </c>
    </row>
    <row r="34" spans="2:58">
      <c r="B34" s="10"/>
      <c r="C34" s="296" t="str">
        <f>CO2_FFC!B5</f>
        <v>Residential</v>
      </c>
      <c r="D34" s="817">
        <f>CO2_FFC!C5</f>
        <v>15.09218729035536</v>
      </c>
      <c r="E34" s="297">
        <f>CO2_FFC!D5</f>
        <v>14.295364882071034</v>
      </c>
      <c r="F34" s="297">
        <f>CO2_FFC!E5</f>
        <v>16.396053585147097</v>
      </c>
      <c r="G34" s="297">
        <f>CO2_FFC!F5</f>
        <v>16.518072434056432</v>
      </c>
      <c r="H34" s="297">
        <f>CO2_FFC!G5</f>
        <v>16.3428113958593</v>
      </c>
      <c r="I34" s="297">
        <f>CO2_FFC!H5</f>
        <v>14.751248409471906</v>
      </c>
      <c r="J34" s="297">
        <f>CO2_FFC!I5</f>
        <v>14.548991126703285</v>
      </c>
      <c r="K34" s="297">
        <f>CO2_FFC!J5</f>
        <v>14.378872297176233</v>
      </c>
      <c r="L34" s="297">
        <f>CO2_FFC!K5</f>
        <v>13.187544748996457</v>
      </c>
      <c r="M34" s="297">
        <f>CO2_FFC!L5</f>
        <v>14.010791823643141</v>
      </c>
      <c r="N34" s="297">
        <f>CO2_FFC!M5</f>
        <v>15.683527402244092</v>
      </c>
      <c r="O34" s="297">
        <f>CO2_FFC!N5</f>
        <v>16.029000961089942</v>
      </c>
      <c r="P34" s="297">
        <f>CO2_FFC!O5</f>
        <v>15.947597736625315</v>
      </c>
      <c r="Q34" s="297">
        <f>CO2_FFC!P5</f>
        <v>16.424354633887898</v>
      </c>
      <c r="R34" s="297">
        <f>CO2_FFC!Q5</f>
        <v>15.02439042499277</v>
      </c>
      <c r="S34" s="297">
        <f>CO2_FFC!R5</f>
        <v>14.929934686615209</v>
      </c>
      <c r="T34" s="297">
        <f>CO2_FFC!S5</f>
        <v>12.846312302684595</v>
      </c>
      <c r="U34" s="297">
        <f>CO2_FFC!T5</f>
        <v>13.524855771139288</v>
      </c>
      <c r="V34" s="297">
        <f>CO2_FFC!U5</f>
        <v>14.39714565392285</v>
      </c>
      <c r="W34" s="297">
        <f>CO2_FFC!V5</f>
        <v>13.852964375083578</v>
      </c>
      <c r="X34" s="297">
        <f>CO2_FFC!W5</f>
        <v>13.589313015564603</v>
      </c>
      <c r="Y34" s="297">
        <f>CO2_FFC!X5</f>
        <v>13.624708631879612</v>
      </c>
      <c r="Z34" s="297">
        <f>CO2_FFC!Y5</f>
        <v>11.798985827009325</v>
      </c>
      <c r="AA34" s="297">
        <f>CO2_FFC!Z5</f>
        <v>12.279880650460056</v>
      </c>
      <c r="AB34" s="297">
        <f>CO2_FFC!AA5</f>
        <v>13.581589984107024</v>
      </c>
      <c r="AC34" s="297">
        <f>CO2_FFC!AB5</f>
        <v>13.492417678538322</v>
      </c>
      <c r="AD34" s="297">
        <f>CO2_FFC!AC5</f>
        <v>11.274433436984273</v>
      </c>
      <c r="AE34" s="297">
        <f>CO2_FFC!AD5</f>
        <v>12.235011797173529</v>
      </c>
      <c r="AF34" s="297">
        <f>CO2_FFC!AE5</f>
        <v>13.276887897527338</v>
      </c>
      <c r="AG34" s="297">
        <f>CO2_FFC!AF5</f>
        <v>13.60200809288772</v>
      </c>
      <c r="AH34" s="297">
        <f>CO2_FFC!AG5</f>
        <v>12.102936422079161</v>
      </c>
      <c r="AI34" s="297">
        <f>CO2_FFC!AH5</f>
        <v>12.480073656420144</v>
      </c>
      <c r="AJ34" s="1395">
        <f>CO2_FFC!AI5</f>
        <v>12.883270641350757</v>
      </c>
      <c r="AK34" s="7"/>
      <c r="AM34" s="268">
        <f>AN34/$AN$40</f>
        <v>0.83462795647100563</v>
      </c>
      <c r="AN34" s="1146">
        <f>AI43</f>
        <v>55.952979029143179</v>
      </c>
      <c r="AO34" s="270" t="str">
        <f>C43</f>
        <v xml:space="preserve">CO2 </v>
      </c>
    </row>
    <row r="35" spans="2:58">
      <c r="B35" s="10"/>
      <c r="C35" s="296" t="str">
        <f>CO2_FFC!B10</f>
        <v>Commercial**</v>
      </c>
      <c r="D35" s="817">
        <f>CO2_FFC!C10+CO2_FFC!C53</f>
        <v>8.393199905810599</v>
      </c>
      <c r="E35" s="817">
        <f>CO2_FFC!D10+CO2_FFC!D53</f>
        <v>9.1714074410264725</v>
      </c>
      <c r="F35" s="817">
        <f>CO2_FFC!E10+CO2_FFC!E53</f>
        <v>8.9309955359805997</v>
      </c>
      <c r="G35" s="817">
        <f>CO2_FFC!F10+CO2_FFC!F53</f>
        <v>7.9899165283760158</v>
      </c>
      <c r="H35" s="817">
        <f>CO2_FFC!G10+CO2_FFC!G53</f>
        <v>8.8622762327746258</v>
      </c>
      <c r="I35" s="817">
        <f>CO2_FFC!H10+CO2_FFC!H53</f>
        <v>8.9583234115736357</v>
      </c>
      <c r="J35" s="817">
        <f>CO2_FFC!I10+CO2_FFC!I53</f>
        <v>9.0613426494264484</v>
      </c>
      <c r="K35" s="817">
        <f>CO2_FFC!J10+CO2_FFC!J53</f>
        <v>9.452356588049005</v>
      </c>
      <c r="L35" s="817">
        <f>CO2_FFC!K10+CO2_FFC!K53</f>
        <v>8.0754548915353475</v>
      </c>
      <c r="M35" s="817">
        <f>CO2_FFC!L10+CO2_FFC!L53</f>
        <v>6.1959925594355161</v>
      </c>
      <c r="N35" s="817">
        <f>CO2_FFC!M10+CO2_FFC!M53</f>
        <v>6.7932535616058303</v>
      </c>
      <c r="O35" s="817">
        <f>CO2_FFC!N10+CO2_FFC!N53</f>
        <v>5.7670060508675824</v>
      </c>
      <c r="P35" s="817">
        <f>CO2_FFC!O10+CO2_FFC!O53</f>
        <v>5.8880337932122524</v>
      </c>
      <c r="Q35" s="817">
        <f>CO2_FFC!P10+CO2_FFC!P53</f>
        <v>7.1132084080597151</v>
      </c>
      <c r="R35" s="817">
        <f>CO2_FFC!Q10+CO2_FFC!Q53</f>
        <v>6.5373600288097871</v>
      </c>
      <c r="S35" s="817">
        <f>CO2_FFC!R10+CO2_FFC!R53</f>
        <v>6.6865712143985894</v>
      </c>
      <c r="T35" s="817">
        <f>CO2_FFC!S10+CO2_FFC!S53</f>
        <v>5.0160944446169093</v>
      </c>
      <c r="U35" s="817">
        <f>CO2_FFC!T10+CO2_FFC!T53</f>
        <v>5.3484329327599989</v>
      </c>
      <c r="V35" s="817">
        <f>CO2_FFC!U10+CO2_FFC!U53</f>
        <v>5.5954704389832877</v>
      </c>
      <c r="W35" s="817">
        <f>CO2_FFC!V10+CO2_FFC!V53</f>
        <v>5.7930992378099821</v>
      </c>
      <c r="X35" s="817">
        <f>CO2_FFC!W10+CO2_FFC!W53</f>
        <v>6.7205520029870893</v>
      </c>
      <c r="Y35" s="817">
        <f>CO2_FFC!X10+CO2_FFC!X53</f>
        <v>6.3331977627934153</v>
      </c>
      <c r="Z35" s="817">
        <f>CO2_FFC!Y10+CO2_FFC!Y53</f>
        <v>5.2380301223549299</v>
      </c>
      <c r="AA35" s="817">
        <f>CO2_FFC!Z10+CO2_FFC!Z53</f>
        <v>6.7611893496847895</v>
      </c>
      <c r="AB35" s="817">
        <f>CO2_FFC!AA10+CO2_FFC!AA53</f>
        <v>7.1448860839636392</v>
      </c>
      <c r="AC35" s="817">
        <f>CO2_FFC!AB10+CO2_FFC!AB53</f>
        <v>7.545627367910976</v>
      </c>
      <c r="AD35" s="817">
        <f>CO2_FFC!AC10+CO2_FFC!AC53</f>
        <v>6.9641016411483267</v>
      </c>
      <c r="AE35" s="817">
        <f>CO2_FFC!AD10+CO2_FFC!AD53</f>
        <v>7.3076283203949952</v>
      </c>
      <c r="AF35" s="817">
        <f>CO2_FFC!AE10+CO2_FFC!AE53</f>
        <v>7.8526499108781254</v>
      </c>
      <c r="AG35" s="817">
        <f>CO2_FFC!AF10+CO2_FFC!AF53</f>
        <v>8.0342460855084337</v>
      </c>
      <c r="AH35" s="817">
        <f>CO2_FFC!AG10+CO2_FFC!AG53</f>
        <v>7.2358740975832836</v>
      </c>
      <c r="AI35" s="817">
        <f>CO2_FFC!AH10+CO2_FFC!AH53</f>
        <v>7.3761263380248492</v>
      </c>
      <c r="AJ35" s="1289">
        <f>CO2_FFC!AI10+CO2_FFC!AI53</f>
        <v>8.1121950620591647</v>
      </c>
      <c r="AK35" s="7"/>
      <c r="AM35" s="268">
        <f>AN35/$AN$40</f>
        <v>2.2091469608761335E-2</v>
      </c>
      <c r="AN35" s="1146">
        <f>AI54</f>
        <v>1.4809994395208321</v>
      </c>
      <c r="AO35" s="270" t="str">
        <f>C54</f>
        <v>CH4</v>
      </c>
    </row>
    <row r="36" spans="2:58">
      <c r="B36" s="10"/>
      <c r="C36" s="296" t="str">
        <f>CO2_FFC!B15</f>
        <v>Industrial*</v>
      </c>
      <c r="D36" s="817">
        <f>Process!D20+CO2_FFC!C43</f>
        <v>5.470849078973556</v>
      </c>
      <c r="E36" s="297">
        <f>Process!E20+CO2_FFC!D43</f>
        <v>4.6061722180743727</v>
      </c>
      <c r="F36" s="297">
        <f>Process!F20+CO2_FFC!E43</f>
        <v>6.2955421424410654</v>
      </c>
      <c r="G36" s="297">
        <f>Process!G20+CO2_FFC!F43</f>
        <v>6.4851221216699191</v>
      </c>
      <c r="H36" s="297">
        <f>Process!H20+CO2_FFC!G43</f>
        <v>5.5889812556546019</v>
      </c>
      <c r="I36" s="297">
        <f>Process!I20+CO2_FFC!H43</f>
        <v>4.910195998872199</v>
      </c>
      <c r="J36" s="297">
        <f>Process!J20+CO2_FFC!I43</f>
        <v>4.8773651098809037</v>
      </c>
      <c r="K36" s="297">
        <f>Process!K20+CO2_FFC!J43</f>
        <v>4.9759352170795959</v>
      </c>
      <c r="L36" s="297">
        <f>Process!L20+CO2_FFC!K43</f>
        <v>4.7511815275607256</v>
      </c>
      <c r="M36" s="297">
        <f>Process!M20+CO2_FFC!L43</f>
        <v>5.4817467461803497</v>
      </c>
      <c r="N36" s="297">
        <f>Process!N20+CO2_FFC!M43</f>
        <v>5.3458202219906843</v>
      </c>
      <c r="O36" s="297">
        <f>Process!O20+CO2_FFC!N43</f>
        <v>6.4830382934837569</v>
      </c>
      <c r="P36" s="297">
        <f>Process!P20+CO2_FFC!O43</f>
        <v>6.4012195615022538</v>
      </c>
      <c r="Q36" s="297">
        <f>Process!Q20+CO2_FFC!P43</f>
        <v>4.3474837138150981</v>
      </c>
      <c r="R36" s="297">
        <f>Process!R20+CO2_FFC!Q43</f>
        <v>4.2405002309235948</v>
      </c>
      <c r="S36" s="297">
        <f>Process!S20+CO2_FFC!R43</f>
        <v>4.4948942944493133</v>
      </c>
      <c r="T36" s="297">
        <f>Process!T20+CO2_FFC!S43</f>
        <v>4.3283389570401001</v>
      </c>
      <c r="U36" s="297">
        <f>Process!U20+CO2_FFC!T43</f>
        <v>4.2366455964676168</v>
      </c>
      <c r="V36" s="297">
        <f>Process!V20+CO2_FFC!U43</f>
        <v>3.907951206262946</v>
      </c>
      <c r="W36" s="297">
        <f>Process!W20+CO2_FFC!V43</f>
        <v>3.1987446940302426</v>
      </c>
      <c r="X36" s="297">
        <f>Process!X20+CO2_FFC!W43</f>
        <v>3.6721862449144922</v>
      </c>
      <c r="Y36" s="297">
        <f>Process!Y20+CO2_FFC!X43</f>
        <v>3.8253793707726436</v>
      </c>
      <c r="Z36" s="297">
        <f>Process!Z20+CO2_FFC!Y43</f>
        <v>3.2748259132388609</v>
      </c>
      <c r="AA36" s="297">
        <f>Process!AA20+CO2_FFC!Z43</f>
        <v>3.4632253532753441</v>
      </c>
      <c r="AB36" s="297">
        <f>Process!AB20+CO2_FFC!AA43</f>
        <v>3.3870766388419962</v>
      </c>
      <c r="AC36" s="297">
        <f>Process!AC20+CO2_FFC!AB43</f>
        <v>3.4010050519916546</v>
      </c>
      <c r="AD36" s="297">
        <f>Process!AD20+CO2_FFC!AC43</f>
        <v>3.1850546834898963</v>
      </c>
      <c r="AE36" s="297">
        <f>Process!AE20+CO2_FFC!AD43</f>
        <v>3.2765361116806164</v>
      </c>
      <c r="AF36" s="297">
        <f>Process!AF20+CO2_FFC!AE43</f>
        <v>3.2928340913163887</v>
      </c>
      <c r="AG36" s="297">
        <f>Process!AG20+CO2_FFC!AF43</f>
        <v>3.3993123470512745</v>
      </c>
      <c r="AH36" s="297">
        <f>Process!AH20+CO2_FFC!AG43</f>
        <v>3.1509190143642392</v>
      </c>
      <c r="AI36" s="297">
        <f>Process!AI20+CO2_FFC!AH43</f>
        <v>3.2961141897396322</v>
      </c>
      <c r="AJ36" s="1395">
        <f>Process!AJ20+CO2_FFC!AI43</f>
        <v>3.4268557468588874</v>
      </c>
      <c r="AK36" s="7"/>
      <c r="AM36" s="268">
        <f>AN36/$AN$40</f>
        <v>8.1230969434307743E-3</v>
      </c>
      <c r="AN36" s="1146">
        <f>AI64</f>
        <v>0.54456775549342451</v>
      </c>
      <c r="AO36" s="270" t="str">
        <f>C64</f>
        <v>N2O</v>
      </c>
    </row>
    <row r="37" spans="2:58">
      <c r="B37" s="10"/>
      <c r="C37" s="296" t="str">
        <f>CO2_FFC!B20</f>
        <v>Transportation</v>
      </c>
      <c r="D37" s="817">
        <f>CO2_FFC!C20</f>
        <v>28.506437825265561</v>
      </c>
      <c r="E37" s="297">
        <f>CO2_FFC!D20</f>
        <v>26.924606252648253</v>
      </c>
      <c r="F37" s="297">
        <f>CO2_FFC!E20</f>
        <v>26.448466366325668</v>
      </c>
      <c r="G37" s="297">
        <f>CO2_FFC!F20</f>
        <v>26.684940195948617</v>
      </c>
      <c r="H37" s="297">
        <f>CO2_FFC!G20</f>
        <v>26.904845065360281</v>
      </c>
      <c r="I37" s="297">
        <f>CO2_FFC!H20</f>
        <v>27.543957964998537</v>
      </c>
      <c r="J37" s="297">
        <f>CO2_FFC!I20</f>
        <v>28.348712325078182</v>
      </c>
      <c r="K37" s="297">
        <f>CO2_FFC!J20</f>
        <v>28.691676822505464</v>
      </c>
      <c r="L37" s="297">
        <f>CO2_FFC!K20</f>
        <v>28.98102039463458</v>
      </c>
      <c r="M37" s="297">
        <f>CO2_FFC!L20</f>
        <v>29.667708078894691</v>
      </c>
      <c r="N37" s="297">
        <f>CO2_FFC!M20</f>
        <v>30.840346353806449</v>
      </c>
      <c r="O37" s="297">
        <f>CO2_FFC!N20</f>
        <v>30.391075770329753</v>
      </c>
      <c r="P37" s="297">
        <f>CO2_FFC!O20</f>
        <v>30.599206279874757</v>
      </c>
      <c r="Q37" s="297">
        <f>CO2_FFC!P20</f>
        <v>31.044336567887118</v>
      </c>
      <c r="R37" s="297">
        <f>CO2_FFC!Q20</f>
        <v>32.341144579996183</v>
      </c>
      <c r="S37" s="297">
        <f>CO2_FFC!R20</f>
        <v>32.347883053926061</v>
      </c>
      <c r="T37" s="297">
        <f>CO2_FFC!S20</f>
        <v>31.473855031392308</v>
      </c>
      <c r="U37" s="297">
        <f>CO2_FFC!T20</f>
        <v>31.828916188486346</v>
      </c>
      <c r="V37" s="297">
        <f>CO2_FFC!U20</f>
        <v>30.871216525399529</v>
      </c>
      <c r="W37" s="297">
        <f>CO2_FFC!V20</f>
        <v>28.987244396457257</v>
      </c>
      <c r="X37" s="297">
        <f>CO2_FFC!W20</f>
        <v>29.194372528968803</v>
      </c>
      <c r="Y37" s="297">
        <f>CO2_FFC!X20</f>
        <v>29.139892806651648</v>
      </c>
      <c r="Z37" s="297">
        <f>CO2_FFC!Y20</f>
        <v>28.60906538035595</v>
      </c>
      <c r="AA37" s="297">
        <f>CO2_FFC!Z20</f>
        <v>29.873225105712574</v>
      </c>
      <c r="AB37" s="297">
        <f>CO2_FFC!AA20</f>
        <v>28.061539553056065</v>
      </c>
      <c r="AC37" s="297">
        <f>CO2_FFC!AB20</f>
        <v>28.545017287030312</v>
      </c>
      <c r="AD37" s="297">
        <f>CO2_FFC!AC20</f>
        <v>28.891424634303558</v>
      </c>
      <c r="AE37" s="297">
        <f>CO2_FFC!AD20</f>
        <v>28.332334902786233</v>
      </c>
      <c r="AF37" s="297">
        <f>CO2_FFC!AE20</f>
        <v>29.002637465691354</v>
      </c>
      <c r="AG37" s="297">
        <f>CO2_FFC!AF20</f>
        <v>28.718318898688366</v>
      </c>
      <c r="AH37" s="297">
        <f>CO2_FFC!AG20</f>
        <v>22.642037334535477</v>
      </c>
      <c r="AI37" s="297">
        <f>CO2_FFC!AH20</f>
        <v>25.3046622669575</v>
      </c>
      <c r="AJ37" s="1395">
        <f>CO2_FFC!AI20</f>
        <v>25.915363713573509</v>
      </c>
      <c r="AK37" s="7"/>
      <c r="AM37" s="268">
        <f>AN37/$AN$40</f>
        <v>5.8905799833453905E-2</v>
      </c>
      <c r="AN37" s="1146">
        <f>AI68</f>
        <v>3.949011002114271</v>
      </c>
      <c r="AO37" s="270" t="str">
        <f>C68</f>
        <v>SF6 &amp; Other GHG Gases</v>
      </c>
    </row>
    <row r="38" spans="2:58">
      <c r="B38" s="10"/>
      <c r="C38" s="296" t="str">
        <f>CO2_FFC!B25</f>
        <v>Electric Power</v>
      </c>
      <c r="D38" s="817">
        <f>CO2_FFC!C25</f>
        <v>25.256636732676711</v>
      </c>
      <c r="E38" s="297">
        <f>CO2_FFC!D25</f>
        <v>25.914728879913365</v>
      </c>
      <c r="F38" s="297">
        <f>CO2_FFC!E25</f>
        <v>24.426681636914616</v>
      </c>
      <c r="G38" s="297">
        <f>CO2_FFC!F25</f>
        <v>21.967535985573292</v>
      </c>
      <c r="H38" s="297">
        <f>CO2_FFC!G25</f>
        <v>22.308384804598031</v>
      </c>
      <c r="I38" s="297">
        <f>CO2_FFC!H25</f>
        <v>21.438788153844321</v>
      </c>
      <c r="J38" s="297">
        <f>CO2_FFC!I25</f>
        <v>20.883901096087193</v>
      </c>
      <c r="K38" s="297">
        <f>CO2_FFC!J25</f>
        <v>26.163942634042538</v>
      </c>
      <c r="L38" s="297">
        <f>CO2_FFC!K25</f>
        <v>26.747611926121518</v>
      </c>
      <c r="M38" s="297">
        <f>CO2_FFC!L25</f>
        <v>24.004093488628136</v>
      </c>
      <c r="N38" s="297">
        <f>CO2_FFC!M25</f>
        <v>22.176187156381239</v>
      </c>
      <c r="O38" s="297">
        <f>CO2_FFC!N25</f>
        <v>21.964418106491603</v>
      </c>
      <c r="P38" s="297">
        <f>CO2_FFC!O25</f>
        <v>22.920165736663851</v>
      </c>
      <c r="Q38" s="297">
        <f>CO2_FFC!P25</f>
        <v>25.008602205089463</v>
      </c>
      <c r="R38" s="297">
        <f>CO2_FFC!Q25</f>
        <v>23.742061768767059</v>
      </c>
      <c r="S38" s="297">
        <f>CO2_FFC!R25</f>
        <v>24.50850883956242</v>
      </c>
      <c r="T38" s="297">
        <f>CO2_FFC!S25</f>
        <v>21.605252315219431</v>
      </c>
      <c r="U38" s="297">
        <f>CO2_FFC!T25</f>
        <v>23.666295740032623</v>
      </c>
      <c r="V38" s="297">
        <f>CO2_FFC!U25</f>
        <v>20.168912335399149</v>
      </c>
      <c r="W38" s="297">
        <f>CO2_FFC!V25</f>
        <v>17.585116309401922</v>
      </c>
      <c r="X38" s="297">
        <f>CO2_FFC!W25</f>
        <v>18.286569094037727</v>
      </c>
      <c r="Y38" s="297">
        <f>CO2_FFC!X25</f>
        <v>14.3548374581957</v>
      </c>
      <c r="Z38" s="297">
        <f>CO2_FFC!Y25</f>
        <v>12.131402331331719</v>
      </c>
      <c r="AA38" s="297">
        <f>CO2_FFC!Z25</f>
        <v>12.659822445437142</v>
      </c>
      <c r="AB38" s="297">
        <f>CO2_FFC!AA25</f>
        <v>10.782306921880682</v>
      </c>
      <c r="AC38" s="297">
        <f>CO2_FFC!AB25</f>
        <v>11.311329440348851</v>
      </c>
      <c r="AD38" s="297">
        <f>CO2_FFC!AC25</f>
        <v>10.704619766914323</v>
      </c>
      <c r="AE38" s="297">
        <f>CO2_FFC!AD25</f>
        <v>10.277665924817709</v>
      </c>
      <c r="AF38" s="297">
        <f>CO2_FFC!AE25</f>
        <v>7.6499388544811335</v>
      </c>
      <c r="AG38" s="297">
        <f>CO2_FFC!AF25</f>
        <v>6.2240808974230486</v>
      </c>
      <c r="AH38" s="297">
        <f>CO2_FFC!AG25</f>
        <v>5.7447834902179782</v>
      </c>
      <c r="AI38" s="297">
        <f>CO2_FFC!AH25</f>
        <v>6.140913821697418</v>
      </c>
      <c r="AJ38" s="1395">
        <f>CO2_FFC!AI25</f>
        <v>6.8040676928351207</v>
      </c>
      <c r="AK38" s="7"/>
      <c r="AM38" s="268">
        <f>AN38/$AN$40</f>
        <v>7.6251677143348365E-2</v>
      </c>
      <c r="AN38" s="1146">
        <f>AI69</f>
        <v>5.111868658436177</v>
      </c>
      <c r="AO38" s="270" t="str">
        <f>C69</f>
        <v>Imported Electric Power (CO2, CH4 &amp; N2O combined)</v>
      </c>
    </row>
    <row r="39" spans="2:58">
      <c r="B39" s="10"/>
      <c r="C39" s="296" t="s">
        <v>53</v>
      </c>
      <c r="D39" s="817">
        <f>'NG Sum&amp;Distribution&amp;PostMeter'!D17/1000000</f>
        <v>2.1989370949961995E-3</v>
      </c>
      <c r="E39" s="817">
        <f>'NG Sum&amp;Distribution&amp;PostMeter'!E17/1000000</f>
        <v>2.1787312764082901E-3</v>
      </c>
      <c r="F39" s="817">
        <f>'NG Sum&amp;Distribution&amp;PostMeter'!F17/1000000</f>
        <v>2.1850684206528239E-3</v>
      </c>
      <c r="G39" s="817">
        <f>'NG Sum&amp;Distribution&amp;PostMeter'!G17/1000000</f>
        <v>2.093032304899641E-3</v>
      </c>
      <c r="H39" s="817">
        <f>'NG Sum&amp;Distribution&amp;PostMeter'!H17/1000000</f>
        <v>2.0383947151501928E-3</v>
      </c>
      <c r="I39" s="817">
        <f>'NG Sum&amp;Distribution&amp;PostMeter'!I17/1000000</f>
        <v>2.0156471964635977E-3</v>
      </c>
      <c r="J39" s="817">
        <f>'NG Sum&amp;Distribution&amp;PostMeter'!J17/1000000</f>
        <v>1.9042318503165218E-3</v>
      </c>
      <c r="K39" s="817">
        <f>'NG Sum&amp;Distribution&amp;PostMeter'!K17/1000000</f>
        <v>1.8556057473257878E-3</v>
      </c>
      <c r="L39" s="817">
        <f>'NG Sum&amp;Distribution&amp;PostMeter'!L17/1000000</f>
        <v>1.770414829929258E-3</v>
      </c>
      <c r="M39" s="817">
        <f>'NG Sum&amp;Distribution&amp;PostMeter'!M17/1000000</f>
        <v>1.7043116983818279E-3</v>
      </c>
      <c r="N39" s="817">
        <f>'NG Sum&amp;Distribution&amp;PostMeter'!N17/1000000</f>
        <v>1.6533051334043092E-3</v>
      </c>
      <c r="O39" s="817">
        <f>'NG Sum&amp;Distribution&amp;PostMeter'!O17/1000000</f>
        <v>1.5800379038467106E-3</v>
      </c>
      <c r="P39" s="817">
        <f>'NG Sum&amp;Distribution&amp;PostMeter'!P17/1000000</f>
        <v>1.5610916602376988E-3</v>
      </c>
      <c r="Q39" s="817">
        <f>'NG Sum&amp;Distribution&amp;PostMeter'!Q17/1000000</f>
        <v>1.4999730344859277E-3</v>
      </c>
      <c r="R39" s="817">
        <f>'NG Sum&amp;Distribution&amp;PostMeter'!R17/1000000</f>
        <v>1.4731415551401579E-3</v>
      </c>
      <c r="S39" s="817">
        <f>'NG Sum&amp;Distribution&amp;PostMeter'!S17/1000000</f>
        <v>1.3629522237261005E-3</v>
      </c>
      <c r="T39" s="817">
        <f>'NG Sum&amp;Distribution&amp;PostMeter'!T17/1000000</f>
        <v>1.3221675689663198E-3</v>
      </c>
      <c r="U39" s="817">
        <f>'NG Sum&amp;Distribution&amp;PostMeter'!U17/1000000</f>
        <v>1.2821026458158539E-3</v>
      </c>
      <c r="V39" s="817">
        <f>'NG Sum&amp;Distribution&amp;PostMeter'!V17/1000000</f>
        <v>8.1779047410921353E-3</v>
      </c>
      <c r="W39" s="817">
        <f>'NG Sum&amp;Distribution&amp;PostMeter'!W17/1000000</f>
        <v>8.1104981026771938E-3</v>
      </c>
      <c r="X39" s="817">
        <f>'NG Sum&amp;Distribution&amp;PostMeter'!X17/1000000</f>
        <v>1.5079101444093608E-2</v>
      </c>
      <c r="Y39" s="817">
        <f>'NG Sum&amp;Distribution&amp;PostMeter'!Y17/1000000</f>
        <v>1.0055276268211226E-3</v>
      </c>
      <c r="Z39" s="817">
        <f>'NG Sum&amp;Distribution&amp;PostMeter'!Z17/1000000</f>
        <v>9.910152581331141E-4</v>
      </c>
      <c r="AA39" s="817">
        <f>'NG Sum&amp;Distribution&amp;PostMeter'!AA17/1000000</f>
        <v>9.5697322592390129E-4</v>
      </c>
      <c r="AB39" s="817">
        <f>'NG Sum&amp;Distribution&amp;PostMeter'!AB17/1000000</f>
        <v>9.0422596618702951E-4</v>
      </c>
      <c r="AC39" s="817">
        <f>'NG Sum&amp;Distribution&amp;PostMeter'!AC17/1000000</f>
        <v>7.885597516847297E-3</v>
      </c>
      <c r="AD39" s="817">
        <f>'NG Sum&amp;Distribution&amp;PostMeter'!AD17/1000000</f>
        <v>7.8663456064307739E-3</v>
      </c>
      <c r="AE39" s="817">
        <f>'NG Sum&amp;Distribution&amp;PostMeter'!AE17/1000000</f>
        <v>8.7242206255701065E-4</v>
      </c>
      <c r="AF39" s="817">
        <f>'NG Sum&amp;Distribution&amp;PostMeter'!AF17/1000000</f>
        <v>8.3212412862567625E-4</v>
      </c>
      <c r="AG39" s="817">
        <f>'NG Sum&amp;Distribution&amp;PostMeter'!AG17/1000000</f>
        <v>3.2883273365786683E-3</v>
      </c>
      <c r="AH39" s="817">
        <f>'NG Sum&amp;Distribution&amp;PostMeter'!AH17/1000000</f>
        <v>8.1908569682581634E-4</v>
      </c>
      <c r="AI39" s="817">
        <f>'NG Sum&amp;Distribution&amp;PostMeter'!AI17/1000000</f>
        <v>7.8909455992389908E-4</v>
      </c>
      <c r="AJ39" s="1289">
        <f>'NG Sum&amp;Distribution&amp;PostMeter'!AJ17/1000000</f>
        <v>1.5028037510738832E-3</v>
      </c>
      <c r="AK39" s="7"/>
      <c r="AM39" s="268"/>
      <c r="AN39" s="1146"/>
      <c r="AO39" s="270"/>
    </row>
    <row r="40" spans="2:58">
      <c r="B40" s="10"/>
      <c r="C40" s="296" t="s">
        <v>7</v>
      </c>
      <c r="D40" s="817">
        <f>'Indust. Proc.'!C5/1000000</f>
        <v>0.17486870435586824</v>
      </c>
      <c r="E40" s="817">
        <f>'Indust. Proc.'!D5/1000000</f>
        <v>0.16802495618437474</v>
      </c>
      <c r="F40" s="817">
        <f>'Indust. Proc.'!E5/1000000</f>
        <v>0.16647146143521593</v>
      </c>
      <c r="G40" s="817">
        <f>'Indust. Proc.'!F5/1000000</f>
        <v>0.16776886728671644</v>
      </c>
      <c r="H40" s="817">
        <f>'Indust. Proc.'!G5/1000000</f>
        <v>0.17123380147318815</v>
      </c>
      <c r="I40" s="817">
        <f>'Indust. Proc.'!H5/1000000</f>
        <v>0.17784788850002828</v>
      </c>
      <c r="J40" s="817">
        <f>'Indust. Proc.'!I5/1000000</f>
        <v>0.15474222736004781</v>
      </c>
      <c r="K40" s="817">
        <f>'Indust. Proc.'!J5/1000000</f>
        <v>0.1606841887589765</v>
      </c>
      <c r="L40" s="817">
        <f>'Indust. Proc.'!K5/1000000</f>
        <v>0.16287532043738079</v>
      </c>
      <c r="M40" s="817">
        <f>'Indust. Proc.'!L5/1000000</f>
        <v>0.15008461634922687</v>
      </c>
      <c r="N40" s="817">
        <f>'Indust. Proc.'!M5/1000000</f>
        <v>0.15566560192136597</v>
      </c>
      <c r="O40" s="817">
        <f>'Indust. Proc.'!N5/1000000</f>
        <v>0.15342201959521024</v>
      </c>
      <c r="P40" s="817">
        <f>'Indust. Proc.'!O5/1000000</f>
        <v>0.16106900239265376</v>
      </c>
      <c r="Q40" s="817">
        <f>'Indust. Proc.'!P5/1000000</f>
        <v>0.16288201663743104</v>
      </c>
      <c r="R40" s="817">
        <f>'Indust. Proc.'!Q5/1000000</f>
        <v>0.17856645821263281</v>
      </c>
      <c r="S40" s="817">
        <f>'Indust. Proc.'!R5/1000000</f>
        <v>0.1843543047002687</v>
      </c>
      <c r="T40" s="817">
        <f>'Indust. Proc.'!S5/1000000</f>
        <v>0.16912192522942632</v>
      </c>
      <c r="U40" s="817">
        <f>'Indust. Proc.'!T5/1000000</f>
        <v>0.16947294606177643</v>
      </c>
      <c r="V40" s="817">
        <f>'Indust. Proc.'!U5/1000000</f>
        <v>0.16999467681789315</v>
      </c>
      <c r="W40" s="817">
        <f>'Indust. Proc.'!V5/1000000</f>
        <v>0.17703708287497213</v>
      </c>
      <c r="X40" s="817">
        <f>'Indust. Proc.'!W5/1000000</f>
        <v>0.1650245185207484</v>
      </c>
      <c r="Y40" s="817">
        <f>'Indust. Proc.'!X5/1000000</f>
        <v>0.15730983808887186</v>
      </c>
      <c r="Z40" s="817">
        <f>'Indust. Proc.'!Y5/1000000</f>
        <v>0.14135005046817997</v>
      </c>
      <c r="AA40" s="817">
        <f>'Indust. Proc.'!Z5/1000000</f>
        <v>0.17274811479382912</v>
      </c>
      <c r="AB40" s="817">
        <f>'Indust. Proc.'!AA5/1000000</f>
        <v>0.15443164337067591</v>
      </c>
      <c r="AC40" s="817">
        <f>'Indust. Proc.'!AB5/1000000</f>
        <v>0.17849446201584365</v>
      </c>
      <c r="AD40" s="817">
        <f>'Indust. Proc.'!AC5/1000000</f>
        <v>0.16737999180826008</v>
      </c>
      <c r="AE40" s="817">
        <f>'Indust. Proc.'!AD5/1000000</f>
        <v>0.16163986486130955</v>
      </c>
      <c r="AF40" s="817">
        <f>'Indust. Proc.'!AE5/1000000</f>
        <v>0.17066999348626716</v>
      </c>
      <c r="AG40" s="817">
        <f>'Indust. Proc.'!AF5/1000000</f>
        <v>0.15656405049563235</v>
      </c>
      <c r="AH40" s="817">
        <f>'Indust. Proc.'!AG5/1000000</f>
        <v>0.15043766880673398</v>
      </c>
      <c r="AI40" s="817">
        <f>'Indust. Proc.'!AH5/1000000</f>
        <v>0.15324532225179405</v>
      </c>
      <c r="AJ40" s="1289">
        <f>'Indust. Proc.'!AI5/1000000</f>
        <v>8.6354E-2</v>
      </c>
      <c r="AK40" s="7"/>
      <c r="AM40" s="269"/>
      <c r="AN40" s="1146">
        <f>AI70</f>
        <v>67.039425884707882</v>
      </c>
      <c r="AO40" s="270" t="str">
        <f>C70</f>
        <v>Total GHG Emissions</v>
      </c>
      <c r="BF40" s="234"/>
    </row>
    <row r="41" spans="2:58" ht="15" thickBot="1">
      <c r="B41" s="10"/>
      <c r="C41" s="296" t="s">
        <v>10</v>
      </c>
      <c r="D41" s="817">
        <f>Agriculture!C55</f>
        <v>0</v>
      </c>
      <c r="E41" s="817">
        <f>Agriculture!D55</f>
        <v>2.5486603163083254E-3</v>
      </c>
      <c r="F41" s="817">
        <f>Agriculture!E55</f>
        <v>2.6618489824306755E-3</v>
      </c>
      <c r="G41" s="817">
        <f>Agriculture!F55</f>
        <v>2.0780988841513203E-3</v>
      </c>
      <c r="H41" s="817">
        <f>Agriculture!G55</f>
        <v>2.1793950830082554E-3</v>
      </c>
      <c r="I41" s="817">
        <f>Agriculture!H55</f>
        <v>2.787119054099005E-3</v>
      </c>
      <c r="J41" s="817">
        <f>Agriculture!I55</f>
        <v>1.8001400707611361E-3</v>
      </c>
      <c r="K41" s="817">
        <f>Agriculture!J55</f>
        <v>1.9693941758142067E-3</v>
      </c>
      <c r="L41" s="817">
        <f>Agriculture!K55</f>
        <v>2.5539878435997467E-3</v>
      </c>
      <c r="M41" s="817">
        <f>Agriculture!L55</f>
        <v>3.8575289243702568E-3</v>
      </c>
      <c r="N41" s="817">
        <f>Agriculture!M55</f>
        <v>3.2551857026217913E-3</v>
      </c>
      <c r="O41" s="817">
        <f>Agriculture!N55</f>
        <v>3.2328204662977408E-3</v>
      </c>
      <c r="P41" s="817">
        <f>Agriculture!O55</f>
        <v>5.8559740974738199E-2</v>
      </c>
      <c r="Q41" s="817">
        <f>Agriculture!P55</f>
        <v>1.4572054221500833E-2</v>
      </c>
      <c r="R41" s="817">
        <f>Agriculture!Q55</f>
        <v>1.3453488012789925E-2</v>
      </c>
      <c r="S41" s="817">
        <f>Agriculture!R55</f>
        <v>2.8659537963245562E-2</v>
      </c>
      <c r="T41" s="817">
        <f>Agriculture!S55</f>
        <v>0.11994581533434354</v>
      </c>
      <c r="U41" s="817">
        <f>Agriculture!T55</f>
        <v>0.10709383983262559</v>
      </c>
      <c r="V41" s="817">
        <f>Agriculture!U55</f>
        <v>2.1178158396080921E-3</v>
      </c>
      <c r="W41" s="817">
        <f>Agriculture!V55</f>
        <v>1.9815088451419758E-3</v>
      </c>
      <c r="X41" s="817">
        <f>Agriculture!W55</f>
        <v>2.5331737185009553E-2</v>
      </c>
      <c r="Y41" s="817">
        <f>Agriculture!X55</f>
        <v>1.1739001481750281E-3</v>
      </c>
      <c r="Z41" s="817">
        <f>Agriculture!Y55</f>
        <v>8.3594278629532193E-4</v>
      </c>
      <c r="AA41" s="817">
        <f>Agriculture!Z55</f>
        <v>8.5555112038465024E-4</v>
      </c>
      <c r="AB41" s="817">
        <f>Agriculture!AA55</f>
        <v>1.6978221143381426E-2</v>
      </c>
      <c r="AC41" s="817">
        <f>Agriculture!AB55</f>
        <v>7.1876379690949236E-4</v>
      </c>
      <c r="AD41" s="817">
        <f>Agriculture!AC55</f>
        <v>6.2669364056971782E-4</v>
      </c>
      <c r="AE41" s="817">
        <f>Agriculture!AD55</f>
        <v>4.1592883165378458E-2</v>
      </c>
      <c r="AF41" s="817">
        <f>Agriculture!AE55</f>
        <v>2.791927665848442E-2</v>
      </c>
      <c r="AG41" s="817">
        <f>Agriculture!AF55</f>
        <v>2.5992200678403306E-2</v>
      </c>
      <c r="AH41" s="817">
        <f>Agriculture!AG55</f>
        <v>1.8869095710801177E-2</v>
      </c>
      <c r="AI41" s="817">
        <f>Agriculture!AH55</f>
        <v>1.3320239491917771E-2</v>
      </c>
      <c r="AJ41" s="1289">
        <f>Agriculture!AI55</f>
        <v>0</v>
      </c>
      <c r="AK41" s="7"/>
    </row>
    <row r="42" spans="2:58" ht="15" thickBot="1">
      <c r="B42" s="10"/>
      <c r="C42" s="296" t="s">
        <v>54</v>
      </c>
      <c r="D42" s="817">
        <f>'Solid Waste'!C8</f>
        <v>0.99946876474132851</v>
      </c>
      <c r="E42" s="297">
        <f>'Solid Waste'!D8</f>
        <v>1.1474422812500469</v>
      </c>
      <c r="F42" s="297">
        <f>'Solid Waste'!E8</f>
        <v>1.1944750427232942</v>
      </c>
      <c r="G42" s="297">
        <f>'Solid Waste'!F8</f>
        <v>1.3146714205918852</v>
      </c>
      <c r="H42" s="297">
        <f>'Solid Waste'!G8</f>
        <v>1.3752637164381702</v>
      </c>
      <c r="I42" s="297">
        <f>'Solid Waste'!H8</f>
        <v>1.3534499022994995</v>
      </c>
      <c r="J42" s="297">
        <f>'Solid Waste'!I8</f>
        <v>1.5364100114097889</v>
      </c>
      <c r="K42" s="297">
        <f>'Solid Waste'!J8</f>
        <v>1.5474419470367446</v>
      </c>
      <c r="L42" s="297">
        <f>'Solid Waste'!K8</f>
        <v>1.5210300775163097</v>
      </c>
      <c r="M42" s="297">
        <f>'Solid Waste'!L8</f>
        <v>1.5378639012024646</v>
      </c>
      <c r="N42" s="297">
        <f>'Solid Waste'!M8</f>
        <v>1.670050623047131</v>
      </c>
      <c r="O42" s="297">
        <f>'Solid Waste'!N8</f>
        <v>1.7663264921363289</v>
      </c>
      <c r="P42" s="297">
        <f>'Solid Waste'!O8</f>
        <v>1.7510915564481899</v>
      </c>
      <c r="Q42" s="297">
        <f>'Solid Waste'!P8</f>
        <v>1.7806052558545533</v>
      </c>
      <c r="R42" s="297">
        <f>'Solid Waste'!Q8</f>
        <v>1.8184253357615712</v>
      </c>
      <c r="S42" s="297">
        <f>'Solid Waste'!R8</f>
        <v>1.9416067867894873</v>
      </c>
      <c r="T42" s="297">
        <f>'Solid Waste'!S8</f>
        <v>1.9715804455998018</v>
      </c>
      <c r="U42" s="297">
        <f>'Solid Waste'!T8</f>
        <v>1.8946649893674625</v>
      </c>
      <c r="V42" s="297">
        <f>'Solid Waste'!U8</f>
        <v>2.1962697739351671</v>
      </c>
      <c r="W42" s="297">
        <f>'Solid Waste'!V8</f>
        <v>2.1420992425744099</v>
      </c>
      <c r="X42" s="297">
        <f>'Solid Waste'!W8</f>
        <v>2.3897903999999999</v>
      </c>
      <c r="Y42" s="297">
        <f>'Solid Waste'!X8</f>
        <v>1.0922455</v>
      </c>
      <c r="Z42" s="297">
        <f>'Solid Waste'!Y8</f>
        <v>1.090794</v>
      </c>
      <c r="AA42" s="297">
        <f>'Solid Waste'!Z8</f>
        <v>1.1414306999999999</v>
      </c>
      <c r="AB42" s="297">
        <f>'Solid Waste'!AA8</f>
        <v>1.1765118999999999</v>
      </c>
      <c r="AC42" s="297">
        <f>'Solid Waste'!AB8</f>
        <v>1.1808476999999999</v>
      </c>
      <c r="AD42" s="297">
        <f>'Solid Waste'!AC8</f>
        <v>1.2011053999999999</v>
      </c>
      <c r="AE42" s="297">
        <f>'Solid Waste'!AD8</f>
        <v>1.1327828</v>
      </c>
      <c r="AF42" s="297">
        <f>'Solid Waste'!AE8</f>
        <v>1.1407152</v>
      </c>
      <c r="AG42" s="297">
        <f>'Solid Waste'!AF8</f>
        <v>1.0424337000000001</v>
      </c>
      <c r="AH42" s="297">
        <f>'Solid Waste'!AG8</f>
        <v>1.1220368999999999</v>
      </c>
      <c r="AI42" s="297">
        <f>'Solid Waste'!AH8</f>
        <v>1.1877340999999999</v>
      </c>
      <c r="AJ42" s="1395">
        <f>'Solid Waste'!AI8</f>
        <v>1.2259970999999998</v>
      </c>
      <c r="AK42" s="7"/>
      <c r="AM42" s="906" t="s">
        <v>55</v>
      </c>
      <c r="AN42" s="381"/>
      <c r="AO42" s="381"/>
      <c r="AP42" s="381"/>
      <c r="AQ42" s="381"/>
      <c r="AR42" s="381"/>
      <c r="AS42" s="146"/>
    </row>
    <row r="43" spans="2:58" ht="16.5">
      <c r="B43" s="10"/>
      <c r="C43" s="299" t="s">
        <v>44</v>
      </c>
      <c r="D43" s="815">
        <f t="shared" ref="D43:AF43" si="23">SUM(D34:D42)</f>
        <v>83.895847239273991</v>
      </c>
      <c r="E43" s="815">
        <f t="shared" si="23"/>
        <v>82.232474302760636</v>
      </c>
      <c r="F43" s="815">
        <f t="shared" si="23"/>
        <v>83.863532688370654</v>
      </c>
      <c r="G43" s="815">
        <f t="shared" si="23"/>
        <v>81.132198684691915</v>
      </c>
      <c r="H43" s="815">
        <f t="shared" si="23"/>
        <v>81.558014061956371</v>
      </c>
      <c r="I43" s="815">
        <f t="shared" si="23"/>
        <v>79.1386144958107</v>
      </c>
      <c r="J43" s="815">
        <f t="shared" si="23"/>
        <v>79.415168917866922</v>
      </c>
      <c r="K43" s="815">
        <f t="shared" si="23"/>
        <v>85.3747346945717</v>
      </c>
      <c r="L43" s="815">
        <f t="shared" si="23"/>
        <v>83.431043289475852</v>
      </c>
      <c r="M43" s="815">
        <f t="shared" si="23"/>
        <v>81.053843054956275</v>
      </c>
      <c r="N43" s="815">
        <f t="shared" si="23"/>
        <v>82.669759411832828</v>
      </c>
      <c r="O43" s="815">
        <f t="shared" si="23"/>
        <v>82.559100552364328</v>
      </c>
      <c r="P43" s="815">
        <f t="shared" si="23"/>
        <v>83.728504499354244</v>
      </c>
      <c r="Q43" s="815">
        <f t="shared" si="23"/>
        <v>85.897544828487256</v>
      </c>
      <c r="R43" s="815">
        <f t="shared" si="23"/>
        <v>83.897375457031515</v>
      </c>
      <c r="S43" s="815">
        <f t="shared" si="23"/>
        <v>85.123775670628334</v>
      </c>
      <c r="T43" s="815">
        <f t="shared" si="23"/>
        <v>77.531823404685895</v>
      </c>
      <c r="U43" s="815">
        <f t="shared" si="23"/>
        <v>80.777660106793547</v>
      </c>
      <c r="V43" s="815">
        <f t="shared" si="23"/>
        <v>77.317256331301522</v>
      </c>
      <c r="W43" s="815">
        <f t="shared" si="23"/>
        <v>71.746397345180185</v>
      </c>
      <c r="X43" s="815">
        <f t="shared" si="23"/>
        <v>74.058218643622567</v>
      </c>
      <c r="Y43" s="815">
        <f t="shared" si="23"/>
        <v>68.52975079615689</v>
      </c>
      <c r="Z43" s="815">
        <f t="shared" si="23"/>
        <v>62.286280582803393</v>
      </c>
      <c r="AA43" s="815">
        <f t="shared" si="23"/>
        <v>66.353334243710052</v>
      </c>
      <c r="AB43" s="815">
        <f t="shared" si="23"/>
        <v>64.306225172329647</v>
      </c>
      <c r="AC43" s="815">
        <f t="shared" si="23"/>
        <v>65.663343349149727</v>
      </c>
      <c r="AD43" s="815">
        <f t="shared" si="23"/>
        <v>62.39661259389564</v>
      </c>
      <c r="AE43" s="815">
        <f t="shared" si="23"/>
        <v>62.766065026942329</v>
      </c>
      <c r="AF43" s="815">
        <f t="shared" si="23"/>
        <v>62.41508481416772</v>
      </c>
      <c r="AG43" s="815">
        <f t="shared" ref="AG43:AJ43" si="24">SUM(AG34:AG42)</f>
        <v>61.206244600069454</v>
      </c>
      <c r="AH43" s="815">
        <f t="shared" si="24"/>
        <v>52.168713108994488</v>
      </c>
      <c r="AI43" s="815">
        <f t="shared" si="24"/>
        <v>55.952979029143179</v>
      </c>
      <c r="AJ43" s="1173">
        <f t="shared" si="24"/>
        <v>58.455606760428509</v>
      </c>
      <c r="AK43" s="236"/>
      <c r="AM43" s="58" t="s">
        <v>56</v>
      </c>
      <c r="AN43" s="383" t="s">
        <v>57</v>
      </c>
      <c r="AO43" s="383" t="s">
        <v>58</v>
      </c>
      <c r="AP43" s="383" t="s">
        <v>59</v>
      </c>
      <c r="AQ43" s="383"/>
      <c r="AR43" s="383"/>
      <c r="AS43" s="384"/>
    </row>
    <row r="44" spans="2:58" ht="15" thickBot="1">
      <c r="B44" s="10"/>
      <c r="C44" s="300" t="str">
        <f>Stationary!B6</f>
        <v>Residential</v>
      </c>
      <c r="D44" s="817">
        <f>Stationary!C42</f>
        <v>0.17554522475000001</v>
      </c>
      <c r="E44" s="817">
        <f>Stationary!D42</f>
        <v>0.17788976950000002</v>
      </c>
      <c r="F44" s="817">
        <f>Stationary!E42</f>
        <v>0.19158834499999997</v>
      </c>
      <c r="G44" s="817">
        <f>Stationary!F42</f>
        <v>0.19633268724999997</v>
      </c>
      <c r="H44" s="817">
        <f>Stationary!G42</f>
        <v>0.18773556150000001</v>
      </c>
      <c r="I44" s="817">
        <f>Stationary!H42</f>
        <v>0.18322357924999999</v>
      </c>
      <c r="J44" s="817">
        <f>Stationary!I42</f>
        <v>0.18746267324999999</v>
      </c>
      <c r="K44" s="817">
        <f>Stationary!J42</f>
        <v>0.14596146899999998</v>
      </c>
      <c r="L44" s="817">
        <f>Stationary!K42</f>
        <v>0.1310636215</v>
      </c>
      <c r="M44" s="817">
        <f>Stationary!L42</f>
        <v>0.1360629065</v>
      </c>
      <c r="N44" s="817">
        <f>Stationary!M42</f>
        <v>0.14773084999999997</v>
      </c>
      <c r="O44" s="817">
        <f>Stationary!N42</f>
        <v>0.12960295873578229</v>
      </c>
      <c r="P44" s="817">
        <f>Stationary!O42</f>
        <v>0.13195822922630385</v>
      </c>
      <c r="Q44" s="817">
        <f>Stationary!P42</f>
        <v>0.13636883398104305</v>
      </c>
      <c r="R44" s="817">
        <f>Stationary!Q42</f>
        <v>0.13400424321208612</v>
      </c>
      <c r="S44" s="817">
        <f>Stationary!R42</f>
        <v>6.932556587204082E-2</v>
      </c>
      <c r="T44" s="817">
        <f>Stationary!S42</f>
        <v>6.0057326885079351E-2</v>
      </c>
      <c r="U44" s="817">
        <f>Stationary!T42</f>
        <v>6.4248651004750565E-2</v>
      </c>
      <c r="V44" s="817">
        <f>Stationary!U42</f>
        <v>6.8704562825838991E-2</v>
      </c>
      <c r="W44" s="817">
        <f>Stationary!V42</f>
        <v>0.11143966654977322</v>
      </c>
      <c r="X44" s="817">
        <f>Stationary!W42</f>
        <v>0.11621295463744896</v>
      </c>
      <c r="Y44" s="817">
        <f>Stationary!X42</f>
        <v>0.11386472551069159</v>
      </c>
      <c r="Z44" s="817">
        <f>Stationary!Y42</f>
        <v>9.604512057821997E-2</v>
      </c>
      <c r="AA44" s="817">
        <f>Stationary!Z42</f>
        <v>0.11692060540058957</v>
      </c>
      <c r="AB44" s="817">
        <f>Stationary!AA42</f>
        <v>0.12180838975958047</v>
      </c>
      <c r="AC44" s="817">
        <f>Stationary!AB42</f>
        <v>0.11300455667073696</v>
      </c>
      <c r="AD44" s="817">
        <f>Stationary!AC42</f>
        <v>9.1285105500181388E-2</v>
      </c>
      <c r="AE44" s="817">
        <f>Stationary!AD42</f>
        <v>9.338541809616778E-2</v>
      </c>
      <c r="AF44" s="817">
        <f>Stationary!AE42</f>
        <v>9.6219820461009048E-2</v>
      </c>
      <c r="AG44" s="817">
        <f>Stationary!AF42</f>
        <v>0.11037375374890021</v>
      </c>
      <c r="AH44" s="817">
        <f>Stationary!AG42</f>
        <v>7.6799483892267567E-2</v>
      </c>
      <c r="AI44" s="817">
        <f>Stationary!AH42</f>
        <v>8.2052200741780032E-2</v>
      </c>
      <c r="AJ44" s="1289">
        <f>Stationary!AI42</f>
        <v>9.0913607805748295E-2</v>
      </c>
      <c r="AK44" s="236"/>
      <c r="AL44" s="268"/>
      <c r="AM44" s="898">
        <v>25</v>
      </c>
      <c r="AN44" s="408">
        <v>298</v>
      </c>
      <c r="AO44" s="905">
        <v>22800</v>
      </c>
      <c r="AP44" s="899" t="s">
        <v>60</v>
      </c>
      <c r="AQ44" s="151"/>
      <c r="AR44" s="151"/>
      <c r="AS44" s="540"/>
    </row>
    <row r="45" spans="2:58">
      <c r="B45" s="10"/>
      <c r="C45" s="300" t="str">
        <f>Stationary!B9</f>
        <v>Commercial</v>
      </c>
      <c r="D45" s="817">
        <f>Stationary!C45</f>
        <v>3.9177636249999995E-2</v>
      </c>
      <c r="E45" s="817">
        <f>Stationary!D45</f>
        <v>4.2314598250000002E-2</v>
      </c>
      <c r="F45" s="817">
        <f>Stationary!E45</f>
        <v>4.1561888499999998E-2</v>
      </c>
      <c r="G45" s="817">
        <f>Stationary!F45</f>
        <v>4.257758675E-2</v>
      </c>
      <c r="H45" s="817">
        <f>Stationary!G45</f>
        <v>4.3600681750000002E-2</v>
      </c>
      <c r="I45" s="817">
        <f>Stationary!H45</f>
        <v>4.4222040999999997E-2</v>
      </c>
      <c r="J45" s="817">
        <f>Stationary!I45</f>
        <v>4.4452232499999994E-2</v>
      </c>
      <c r="K45" s="817">
        <f>Stationary!J45</f>
        <v>4.2709136999999987E-2</v>
      </c>
      <c r="L45" s="817">
        <f>Stationary!K45</f>
        <v>3.6890897749999998E-2</v>
      </c>
      <c r="M45" s="817">
        <f>Stationary!L45</f>
        <v>3.2649490499999996E-2</v>
      </c>
      <c r="N45" s="817">
        <f>Stationary!M45</f>
        <v>3.5957986421814067E-2</v>
      </c>
      <c r="O45" s="817">
        <f>Stationary!N45</f>
        <v>3.0062037455827664E-2</v>
      </c>
      <c r="P45" s="817">
        <f>Stationary!O45</f>
        <v>3.0546931546802721E-2</v>
      </c>
      <c r="Q45" s="817">
        <f>Stationary!P45</f>
        <v>3.5501643340929694E-2</v>
      </c>
      <c r="R45" s="817">
        <f>Stationary!Q45</f>
        <v>3.3618388338866219E-2</v>
      </c>
      <c r="S45" s="817">
        <f>Stationary!R45</f>
        <v>2.322071019898202E-2</v>
      </c>
      <c r="T45" s="817">
        <f>Stationary!S45</f>
        <v>1.7667039313082E-2</v>
      </c>
      <c r="U45" s="817">
        <f>Stationary!T45</f>
        <v>1.8439010795907661E-2</v>
      </c>
      <c r="V45" s="817">
        <f>Stationary!U45</f>
        <v>1.8896449999171009E-2</v>
      </c>
      <c r="W45" s="817">
        <f>Stationary!V45</f>
        <v>2.5534004437790161E-2</v>
      </c>
      <c r="X45" s="817">
        <f>Stationary!W45</f>
        <v>2.8470549204857833E-2</v>
      </c>
      <c r="Y45" s="817">
        <f>Stationary!X45</f>
        <v>2.6271990395592044E-2</v>
      </c>
      <c r="Z45" s="817">
        <f>Stationary!Y45</f>
        <v>2.1831374681256059E-2</v>
      </c>
      <c r="AA45" s="817">
        <f>Stationary!Z45</f>
        <v>2.6706603879983856E-2</v>
      </c>
      <c r="AB45" s="817">
        <f>Stationary!AA45</f>
        <v>2.8131615744235668E-2</v>
      </c>
      <c r="AC45" s="817">
        <f>Stationary!AB45</f>
        <v>3.024139193951926E-2</v>
      </c>
      <c r="AD45" s="817">
        <f>Stationary!AC45</f>
        <v>2.7890469982888917E-2</v>
      </c>
      <c r="AE45" s="817">
        <f>Stationary!AD45</f>
        <v>2.9022143428238008E-2</v>
      </c>
      <c r="AF45" s="817">
        <f>Stationary!AE45</f>
        <v>2.8340713720347448E-2</v>
      </c>
      <c r="AG45" s="817">
        <f>Stationary!AF45</f>
        <v>3.0347699149189764E-2</v>
      </c>
      <c r="AH45" s="817">
        <f>Stationary!AG45</f>
        <v>2.776255272153107E-2</v>
      </c>
      <c r="AI45" s="817">
        <f>Stationary!AH45</f>
        <v>2.958852297353164E-2</v>
      </c>
      <c r="AJ45" s="1289">
        <f>Stationary!AI45</f>
        <v>3.0783869009443101E-2</v>
      </c>
      <c r="AK45" s="236"/>
      <c r="AL45" s="268"/>
      <c r="AM45" s="269"/>
      <c r="AO45" s="270"/>
    </row>
    <row r="46" spans="2:58">
      <c r="B46" s="10"/>
      <c r="C46" s="300" t="str">
        <f>Stationary!B12</f>
        <v>Industrial</v>
      </c>
      <c r="D46" s="817">
        <f>Stationary!C48+Stationary!C58</f>
        <v>7.8727429561641672E-3</v>
      </c>
      <c r="E46" s="817">
        <f>Stationary!D48+Stationary!D58</f>
        <v>7.0782193773518739E-3</v>
      </c>
      <c r="F46" s="817">
        <f>Stationary!E48+Stationary!E58</f>
        <v>8.1593151298454489E-3</v>
      </c>
      <c r="G46" s="817">
        <f>Stationary!F48+Stationary!F58</f>
        <v>8.3366569882326273E-3</v>
      </c>
      <c r="H46" s="817">
        <f>Stationary!G48+Stationary!G58</f>
        <v>7.801958298775496E-3</v>
      </c>
      <c r="I46" s="817">
        <f>Stationary!H48+Stationary!H58</f>
        <v>7.8547952674580743E-3</v>
      </c>
      <c r="J46" s="817">
        <f>Stationary!I48+Stationary!I58</f>
        <v>7.7941939395264051E-3</v>
      </c>
      <c r="K46" s="817">
        <f>Stationary!J48+Stationary!J58</f>
        <v>8.2942118062928998E-3</v>
      </c>
      <c r="L46" s="817">
        <f>Stationary!K48+Stationary!K58</f>
        <v>7.3085935606026185E-3</v>
      </c>
      <c r="M46" s="817">
        <f>Stationary!L48+Stationary!L58</f>
        <v>7.6167672680038248E-3</v>
      </c>
      <c r="N46" s="817">
        <f>Stationary!M48+Stationary!M58</f>
        <v>7.5505958617934753E-3</v>
      </c>
      <c r="O46" s="817">
        <f>Stationary!N48+Stationary!N58</f>
        <v>7.2771082470643525E-3</v>
      </c>
      <c r="P46" s="817">
        <f>Stationary!O48+Stationary!O58</f>
        <v>5.8863103742824874E-3</v>
      </c>
      <c r="Q46" s="817">
        <f>Stationary!P48+Stationary!P58</f>
        <v>5.1640961096567134E-3</v>
      </c>
      <c r="R46" s="817">
        <f>Stationary!Q48+Stationary!Q58</f>
        <v>5.2497216337678721E-3</v>
      </c>
      <c r="S46" s="817">
        <f>Stationary!R48+Stationary!R58</f>
        <v>5.4664058440398447E-3</v>
      </c>
      <c r="T46" s="817">
        <f>Stationary!S48+Stationary!S58</f>
        <v>5.4661245209988683E-3</v>
      </c>
      <c r="U46" s="817">
        <f>Stationary!T48+Stationary!T58</f>
        <v>5.4181315965143332E-3</v>
      </c>
      <c r="V46" s="817">
        <f>Stationary!U48+Stationary!U58</f>
        <v>5.107469514824564E-3</v>
      </c>
      <c r="W46" s="817">
        <f>Stationary!V48+Stationary!V58</f>
        <v>4.123226612232812E-3</v>
      </c>
      <c r="X46" s="817">
        <f>Stationary!W48+Stationary!W58</f>
        <v>6.0178183685998046E-3</v>
      </c>
      <c r="Y46" s="817">
        <f>Stationary!X48+Stationary!X58</f>
        <v>7.4350034871236304E-3</v>
      </c>
      <c r="Z46" s="817">
        <f>Stationary!Y48+Stationary!Y58</f>
        <v>7.0302087316157381E-3</v>
      </c>
      <c r="AA46" s="817">
        <f>Stationary!Z48+Stationary!Z58</f>
        <v>7.0835682940628749E-3</v>
      </c>
      <c r="AB46" s="817">
        <f>Stationary!AA48+Stationary!AA58</f>
        <v>6.8599605393773345E-3</v>
      </c>
      <c r="AC46" s="817">
        <f>Stationary!AB48+Stationary!AB58</f>
        <v>6.8558380526670603E-3</v>
      </c>
      <c r="AD46" s="817">
        <f>Stationary!AC48+Stationary!AC58</f>
        <v>6.5295194249171224E-3</v>
      </c>
      <c r="AE46" s="817">
        <f>Stationary!AD48+Stationary!AD58</f>
        <v>3.753308041943351E-3</v>
      </c>
      <c r="AF46" s="817">
        <f>Stationary!AE48+Stationary!AE58</f>
        <v>3.7099228049169721E-3</v>
      </c>
      <c r="AG46" s="817">
        <f>Stationary!AF48+Stationary!AF58</f>
        <v>3.7558978136993026E-3</v>
      </c>
      <c r="AH46" s="817">
        <f>Stationary!AG48+Stationary!AG58</f>
        <v>3.6267233799246058E-3</v>
      </c>
      <c r="AI46" s="817">
        <f>Stationary!AH48+Stationary!AH58</f>
        <v>3.7225084714611377E-3</v>
      </c>
      <c r="AJ46" s="1289">
        <f>Stationary!AI48+Stationary!AI58</f>
        <v>3.7850325932982389E-3</v>
      </c>
      <c r="AK46" s="236"/>
      <c r="AL46" s="268"/>
      <c r="AM46" s="269"/>
      <c r="AO46" s="270"/>
    </row>
    <row r="47" spans="2:58">
      <c r="B47" s="10"/>
      <c r="C47" s="300" t="str">
        <f>Stationary!B15</f>
        <v>Electric Power</v>
      </c>
      <c r="D47" s="817">
        <f>Stationary!C51</f>
        <v>1.56693015E-2</v>
      </c>
      <c r="E47" s="817">
        <f>Stationary!D51</f>
        <v>1.6014031249999994E-2</v>
      </c>
      <c r="F47" s="817">
        <f>Stationary!E51</f>
        <v>1.5561707250000001E-2</v>
      </c>
      <c r="G47" s="817">
        <f>Stationary!F51</f>
        <v>1.3937454743560092E-2</v>
      </c>
      <c r="H47" s="817">
        <f>Stationary!G51</f>
        <v>1.3488588135555556E-2</v>
      </c>
      <c r="I47" s="817">
        <f>Stationary!H51</f>
        <v>1.1606505475623584E-2</v>
      </c>
      <c r="J47" s="817">
        <f>Stationary!I51</f>
        <v>1.1268622231478459E-2</v>
      </c>
      <c r="K47" s="817">
        <f>Stationary!J51</f>
        <v>1.5539329271992742E-2</v>
      </c>
      <c r="L47" s="817">
        <f>Stationary!K51</f>
        <v>1.7946039285256597E-2</v>
      </c>
      <c r="M47" s="817">
        <f>Stationary!L51</f>
        <v>1.4511051386797098E-2</v>
      </c>
      <c r="N47" s="817">
        <f>Stationary!M51</f>
        <v>1.2923753886797099E-2</v>
      </c>
      <c r="O47" s="817">
        <f>Stationary!N51</f>
        <v>1.2874284238337596E-2</v>
      </c>
      <c r="P47" s="817">
        <f>Stationary!O51</f>
        <v>1.2206359457109477E-2</v>
      </c>
      <c r="Q47" s="817">
        <f>Stationary!P51</f>
        <v>1.3897365306187391E-2</v>
      </c>
      <c r="R47" s="817">
        <f>Stationary!Q51</f>
        <v>1.3134273912450612E-2</v>
      </c>
      <c r="S47" s="817">
        <f>Stationary!R51</f>
        <v>1.3176849670569613E-2</v>
      </c>
      <c r="T47" s="817">
        <f>Stationary!S51</f>
        <v>1.0260606035011338E-2</v>
      </c>
      <c r="U47" s="817">
        <f>Stationary!T51</f>
        <v>1.1255809826478912E-2</v>
      </c>
      <c r="V47" s="817">
        <f>Stationary!U51</f>
        <v>9.5667527799355983E-3</v>
      </c>
      <c r="W47" s="817">
        <f>Stationary!V51</f>
        <v>7.9512640790599543E-3</v>
      </c>
      <c r="X47" s="817">
        <f>Stationary!W51</f>
        <v>8.0604622062156895E-3</v>
      </c>
      <c r="Y47" s="817">
        <f>Stationary!X51</f>
        <v>7.0176616214265766E-3</v>
      </c>
      <c r="Z47" s="817">
        <f>Stationary!Y51</f>
        <v>6.3283145103524719E-3</v>
      </c>
      <c r="AA47" s="817">
        <f>Stationary!Z51</f>
        <v>6.2410557752353747E-3</v>
      </c>
      <c r="AB47" s="817">
        <f>Stationary!AA51</f>
        <v>6.5282622835820406E-3</v>
      </c>
      <c r="AC47" s="817">
        <f>Stationary!AB51</f>
        <v>6.5844998691470301E-3</v>
      </c>
      <c r="AD47" s="817">
        <f>Stationary!AC51</f>
        <v>6.3738661771686172E-3</v>
      </c>
      <c r="AE47" s="817">
        <f>Stationary!AD51</f>
        <v>6.2776413654069847E-3</v>
      </c>
      <c r="AF47" s="817">
        <f>Stationary!AE51</f>
        <v>5.200146061990929E-3</v>
      </c>
      <c r="AG47" s="817">
        <f>Stationary!AF51</f>
        <v>4.2864087624897964E-3</v>
      </c>
      <c r="AH47" s="817">
        <f>Stationary!AG51</f>
        <v>4.2248338455096596E-3</v>
      </c>
      <c r="AI47" s="817">
        <f>Stationary!AH51</f>
        <v>3.9260536615849427E-3</v>
      </c>
      <c r="AJ47" s="1289">
        <f>Stationary!AI51</f>
        <v>4.0668607903365074E-3</v>
      </c>
      <c r="AK47" s="236"/>
      <c r="AL47" s="268"/>
      <c r="AM47" s="269"/>
      <c r="AO47" s="270"/>
    </row>
    <row r="48" spans="2:58">
      <c r="B48" s="10"/>
      <c r="C48" s="300" t="s">
        <v>54</v>
      </c>
      <c r="D48" s="817">
        <f>('Solid Waste'!C44+'Solid Waste'!C54)/1000000</f>
        <v>4.5866461777960155E-3</v>
      </c>
      <c r="E48" s="817">
        <f>('Solid Waste'!D44+'Solid Waste'!D54)/1000000</f>
        <v>4.3506325783396914E-3</v>
      </c>
      <c r="F48" s="817">
        <f>('Solid Waste'!E44+'Solid Waste'!E54)/1000000</f>
        <v>5.4358107558971089E-3</v>
      </c>
      <c r="G48" s="817">
        <f>('Solid Waste'!F44+'Solid Waste'!F54)/1000000</f>
        <v>4.6108155696369365E-3</v>
      </c>
      <c r="H48" s="817">
        <f>('Solid Waste'!G44+'Solid Waste'!G54)/1000000</f>
        <v>4.9426222341261601E-3</v>
      </c>
      <c r="I48" s="817">
        <f>('Solid Waste'!H44+'Solid Waste'!H54)/1000000</f>
        <v>4.6894850383775452E-3</v>
      </c>
      <c r="J48" s="817">
        <f>('Solid Waste'!I44+'Solid Waste'!I54)/1000000</f>
        <v>5.0394746724743145E-3</v>
      </c>
      <c r="K48" s="817">
        <f>('Solid Waste'!J44+'Solid Waste'!J54)/1000000</f>
        <v>4.9709013473867138E-3</v>
      </c>
      <c r="L48" s="817">
        <f>('Solid Waste'!K44+'Solid Waste'!K54)/1000000</f>
        <v>2.634664765141926E-3</v>
      </c>
      <c r="M48" s="817">
        <f>('Solid Waste'!L44+'Solid Waste'!L54)/1000000</f>
        <v>1.9223254079785822E-3</v>
      </c>
      <c r="N48" s="817">
        <f>('Solid Waste'!M44+'Solid Waste'!M54)/1000000</f>
        <v>1.8563628781979207E-3</v>
      </c>
      <c r="O48" s="817">
        <f>('Solid Waste'!N44+'Solid Waste'!N54)/1000000</f>
        <v>2.1808447302362711E-3</v>
      </c>
      <c r="P48" s="817">
        <f>('Solid Waste'!O44+'Solid Waste'!O54)/1000000</f>
        <v>1.8377395459756745E-3</v>
      </c>
      <c r="Q48" s="817">
        <f>('Solid Waste'!P44+'Solid Waste'!P54)/1000000</f>
        <v>1.8479353981636821E-3</v>
      </c>
      <c r="R48" s="817">
        <f>('Solid Waste'!Q44+'Solid Waste'!Q54)/1000000</f>
        <v>1.8277023688821632E-3</v>
      </c>
      <c r="S48" s="817">
        <f>('Solid Waste'!R44+'Solid Waste'!R54)/1000000</f>
        <v>1.8570286462482202E-3</v>
      </c>
      <c r="T48" s="817">
        <f>('Solid Waste'!S44+'Solid Waste'!S54)/1000000</f>
        <v>2.8268481430172897E-3</v>
      </c>
      <c r="U48" s="817">
        <f>('Solid Waste'!T44+'Solid Waste'!T54)/1000000</f>
        <v>2.9535366021918373E-3</v>
      </c>
      <c r="V48" s="817">
        <f>('Solid Waste'!U44+'Solid Waste'!U54)/1000000</f>
        <v>3.0483976057578458E-3</v>
      </c>
      <c r="W48" s="817">
        <f>('Solid Waste'!V44+'Solid Waste'!V54)/1000000</f>
        <v>3.193265271371766E-3</v>
      </c>
      <c r="X48" s="817">
        <f>('Solid Waste'!W44+'Solid Waste'!W54)/1000000</f>
        <v>2.3174750000000001E-2</v>
      </c>
      <c r="Y48" s="817">
        <f>('Solid Waste'!X44+'Solid Waste'!X54)/1000000</f>
        <v>2.3272500000000002E-2</v>
      </c>
      <c r="Z48" s="817">
        <f>('Solid Waste'!Y44+'Solid Waste'!Y54)/1000000</f>
        <v>2.3570000000000001E-2</v>
      </c>
      <c r="AA48" s="817">
        <f>('Solid Waste'!Z44+'Solid Waste'!Z54)/1000000</f>
        <v>2.5412500000000001E-2</v>
      </c>
      <c r="AB48" s="817">
        <f>('Solid Waste'!AA44+'Solid Waste'!AA54)/1000000</f>
        <v>2.5446999999999997E-2</v>
      </c>
      <c r="AC48" s="817">
        <f>('Solid Waste'!AB44+'Solid Waste'!AB54)/1000000</f>
        <v>2.5170999999999999E-2</v>
      </c>
      <c r="AD48" s="817">
        <f>('Solid Waste'!AC44+'Solid Waste'!AC54)/1000000</f>
        <v>2.4948000000000001E-2</v>
      </c>
      <c r="AE48" s="817">
        <f>('Solid Waste'!AD44+'Solid Waste'!AD54)/1000000</f>
        <v>2.4866249999999999E-2</v>
      </c>
      <c r="AF48" s="817">
        <f>('Solid Waste'!AE44+'Solid Waste'!AE54)/1000000</f>
        <v>2.5035749999999999E-2</v>
      </c>
      <c r="AG48" s="817">
        <f>('Solid Waste'!AF44+'Solid Waste'!AF54)/1000000</f>
        <v>2.4478249999999997E-2</v>
      </c>
      <c r="AH48" s="817">
        <f>('Solid Waste'!AG44+'Solid Waste'!AG54)/1000000</f>
        <v>2.3047249999999998E-2</v>
      </c>
      <c r="AI48" s="817">
        <f>('Solid Waste'!AH44+'Solid Waste'!AH54)/1000000</f>
        <v>2.4607249999999997E-2</v>
      </c>
      <c r="AJ48" s="1289">
        <f>('Solid Waste'!AI44+'Solid Waste'!AI54)/1000000</f>
        <v>2.3976750000000005E-2</v>
      </c>
      <c r="AK48" s="236"/>
      <c r="AL48" s="268"/>
      <c r="AM48" s="269"/>
      <c r="AO48" s="270"/>
    </row>
    <row r="49" spans="1:41">
      <c r="A49" s="270"/>
      <c r="B49" s="10"/>
      <c r="C49" s="300" t="s">
        <v>20</v>
      </c>
      <c r="D49" s="817">
        <f>Mobile!C52/1000000</f>
        <v>0.13487797667306803</v>
      </c>
      <c r="E49" s="817">
        <f>Mobile!D52/1000000</f>
        <v>0.12619068031502742</v>
      </c>
      <c r="F49" s="817">
        <f>Mobile!E52/1000000</f>
        <v>0.12130864637936491</v>
      </c>
      <c r="G49" s="817">
        <f>Mobile!F52/1000000</f>
        <v>0.11215701563818174</v>
      </c>
      <c r="H49" s="817">
        <f>Mobile!G52/1000000</f>
        <v>0.11159282718984352</v>
      </c>
      <c r="I49" s="817">
        <f>Mobile!H52/1000000</f>
        <v>0.10853960302532484</v>
      </c>
      <c r="J49" s="817">
        <f>Mobile!I52/1000000</f>
        <v>0.11434670405637454</v>
      </c>
      <c r="K49" s="817">
        <f>Mobile!J52/1000000</f>
        <v>0.1076188916022295</v>
      </c>
      <c r="L49" s="817">
        <f>Mobile!K52/1000000</f>
        <v>9.7536886297966072E-2</v>
      </c>
      <c r="M49" s="817">
        <f>Mobile!L52/1000000</f>
        <v>8.5385152012931759E-2</v>
      </c>
      <c r="N49" s="817">
        <f>Mobile!M52/1000000</f>
        <v>8.209339451799981E-2</v>
      </c>
      <c r="O49" s="817">
        <f>Mobile!N52/1000000</f>
        <v>7.6264959325955187E-2</v>
      </c>
      <c r="P49" s="817">
        <f>Mobile!O52/1000000</f>
        <v>7.0235906892682803E-2</v>
      </c>
      <c r="Q49" s="817">
        <f>Mobile!P52/1000000</f>
        <v>6.5284661891631693E-2</v>
      </c>
      <c r="R49" s="817">
        <f>Mobile!Q52/1000000</f>
        <v>6.240596269662476E-2</v>
      </c>
      <c r="S49" s="817">
        <f>Mobile!R52/1000000</f>
        <v>6.2372937827755576E-2</v>
      </c>
      <c r="T49" s="817">
        <f>Mobile!S52/1000000</f>
        <v>5.8921208609067223E-2</v>
      </c>
      <c r="U49" s="817">
        <f>Mobile!T52/1000000</f>
        <v>5.3512985262808593E-2</v>
      </c>
      <c r="V49" s="817">
        <f>Mobile!U52/1000000</f>
        <v>5.0019099423592818E-2</v>
      </c>
      <c r="W49" s="817">
        <f>Mobile!V52/1000000</f>
        <v>4.6997171070174967E-2</v>
      </c>
      <c r="X49" s="817">
        <f>Mobile!W52/1000000</f>
        <v>4.5647880801822908E-2</v>
      </c>
      <c r="Y49" s="817">
        <f>Mobile!X52/1000000</f>
        <v>4.5551867621930586E-2</v>
      </c>
      <c r="Z49" s="817">
        <f>Mobile!Y52/1000000</f>
        <v>4.0999071431330636E-2</v>
      </c>
      <c r="AA49" s="817">
        <f>Mobile!Z52/1000000</f>
        <v>4.0541001678683221E-2</v>
      </c>
      <c r="AB49" s="817">
        <f>Mobile!AA52/1000000</f>
        <v>3.8589425546998977E-2</v>
      </c>
      <c r="AC49" s="817">
        <f>Mobile!AB52/1000000</f>
        <v>3.3026538385921123E-2</v>
      </c>
      <c r="AD49" s="817">
        <f>Mobile!AC52/1000000</f>
        <v>3.4003106239057265E-2</v>
      </c>
      <c r="AE49" s="817">
        <f>Mobile!AD52/1000000</f>
        <v>3.2914397958595895E-2</v>
      </c>
      <c r="AF49" s="817">
        <f>Mobile!AE52/1000000</f>
        <v>3.0431547914781237E-2</v>
      </c>
      <c r="AG49" s="817">
        <f>Mobile!AF52/1000000</f>
        <v>3.3498703124388775E-2</v>
      </c>
      <c r="AH49" s="817">
        <f>Mobile!AG52/1000000</f>
        <v>2.8049352151545963E-2</v>
      </c>
      <c r="AI49" s="817">
        <f>Mobile!AH52/1000000</f>
        <v>3.101043891923266E-2</v>
      </c>
      <c r="AJ49" s="1289">
        <f>Mobile!AI52/1000000</f>
        <v>2.3404594170729071E-3</v>
      </c>
      <c r="AK49" s="236"/>
      <c r="AL49" s="268"/>
      <c r="AM49" s="269"/>
      <c r="AO49" s="270"/>
    </row>
    <row r="50" spans="1:41">
      <c r="A50" s="270"/>
      <c r="B50" s="10"/>
      <c r="C50" s="300" t="s">
        <v>53</v>
      </c>
      <c r="D50" s="817">
        <f>'NG Sum&amp;Distribution&amp;PostMeter'!D12*25/1000000</f>
        <v>1.8655661887706063</v>
      </c>
      <c r="E50" s="817">
        <f>'NG Sum&amp;Distribution&amp;PostMeter'!E12*25/1000000</f>
        <v>1.8437354539698514</v>
      </c>
      <c r="F50" s="817">
        <f>'NG Sum&amp;Distribution&amp;PostMeter'!F12*25/1000000</f>
        <v>1.8306160464035965</v>
      </c>
      <c r="G50" s="817">
        <f>'NG Sum&amp;Distribution&amp;PostMeter'!G12*25/1000000</f>
        <v>1.7522781861175662</v>
      </c>
      <c r="H50" s="817">
        <f>'NG Sum&amp;Distribution&amp;PostMeter'!H12*25/1000000</f>
        <v>1.695903722833058</v>
      </c>
      <c r="I50" s="817">
        <f>'NG Sum&amp;Distribution&amp;PostMeter'!I12*25/1000000</f>
        <v>1.6619813745426884</v>
      </c>
      <c r="J50" s="817">
        <f>'NG Sum&amp;Distribution&amp;PostMeter'!J12*25/1000000</f>
        <v>1.5835773664816639</v>
      </c>
      <c r="K50" s="817">
        <f>'NG Sum&amp;Distribution&amp;PostMeter'!K12*25/1000000</f>
        <v>1.5323397433334609</v>
      </c>
      <c r="L50" s="817">
        <f>'NG Sum&amp;Distribution&amp;PostMeter'!L12*25/1000000</f>
        <v>1.473151321726756</v>
      </c>
      <c r="M50" s="817">
        <f>'NG Sum&amp;Distribution&amp;PostMeter'!M12*25/1000000</f>
        <v>1.4142197677335866</v>
      </c>
      <c r="N50" s="817">
        <f>'NG Sum&amp;Distribution&amp;PostMeter'!N12*25/1000000</f>
        <v>1.3762775809014685</v>
      </c>
      <c r="O50" s="817">
        <f>'NG Sum&amp;Distribution&amp;PostMeter'!O12*25/1000000</f>
        <v>1.3063095734839643</v>
      </c>
      <c r="P50" s="817">
        <f>'NG Sum&amp;Distribution&amp;PostMeter'!P12*25/1000000</f>
        <v>1.2690293597912961</v>
      </c>
      <c r="Q50" s="817">
        <f>'NG Sum&amp;Distribution&amp;PostMeter'!Q12*25/1000000</f>
        <v>1.2164102440743112</v>
      </c>
      <c r="R50" s="817">
        <f>'NG Sum&amp;Distribution&amp;PostMeter'!R12*25/1000000</f>
        <v>1.2011990165975006</v>
      </c>
      <c r="S50" s="817">
        <f>'NG Sum&amp;Distribution&amp;PostMeter'!S12*25/1000000</f>
        <v>1.108432765040126</v>
      </c>
      <c r="T50" s="817">
        <f>'NG Sum&amp;Distribution&amp;PostMeter'!T12*25/1000000</f>
        <v>1.0690899974500616</v>
      </c>
      <c r="U50" s="817">
        <f>'NG Sum&amp;Distribution&amp;PostMeter'!U12*25/1000000</f>
        <v>1.0258467056244462</v>
      </c>
      <c r="V50" s="817">
        <f>'NG Sum&amp;Distribution&amp;PostMeter'!V12*25/1000000</f>
        <v>1.0024124309381088</v>
      </c>
      <c r="W50" s="817">
        <f>'NG Sum&amp;Distribution&amp;PostMeter'!W12*25/1000000</f>
        <v>0.95208635629248184</v>
      </c>
      <c r="X50" s="817">
        <f>'NG Sum&amp;Distribution&amp;PostMeter'!X12*25/1000000</f>
        <v>0.94814462863652471</v>
      </c>
      <c r="Y50" s="817">
        <f>'NG Sum&amp;Distribution&amp;PostMeter'!Y12*25/1000000</f>
        <v>0.79866986441881593</v>
      </c>
      <c r="Z50" s="817">
        <f>'NG Sum&amp;Distribution&amp;PostMeter'!Z12*25/1000000</f>
        <v>0.79837730350883684</v>
      </c>
      <c r="AA50" s="817">
        <f>'NG Sum&amp;Distribution&amp;PostMeter'!AA12*25/1000000</f>
        <v>0.78348044075329037</v>
      </c>
      <c r="AB50" s="817">
        <f>'NG Sum&amp;Distribution&amp;PostMeter'!AB12*25/1000000</f>
        <v>0.75875049037023801</v>
      </c>
      <c r="AC50" s="817">
        <f>'NG Sum&amp;Distribution&amp;PostMeter'!AC12*25/1000000</f>
        <v>0.78099112339008814</v>
      </c>
      <c r="AD50" s="817">
        <f>'NG Sum&amp;Distribution&amp;PostMeter'!AD12*25/1000000</f>
        <v>0.76061061359195214</v>
      </c>
      <c r="AE50" s="817">
        <f>'NG Sum&amp;Distribution&amp;PostMeter'!AE12*25/1000000</f>
        <v>0.73426182187978806</v>
      </c>
      <c r="AF50" s="817">
        <f>'NG Sum&amp;Distribution&amp;PostMeter'!AF12*25/1000000</f>
        <v>0.71912178157463102</v>
      </c>
      <c r="AG50" s="817">
        <f>'NG Sum&amp;Distribution&amp;PostMeter'!AG12*25/1000000</f>
        <v>0.71308440087511449</v>
      </c>
      <c r="AH50" s="817">
        <f>'NG Sum&amp;Distribution&amp;PostMeter'!AH12*25/1000000</f>
        <v>0.73976840446367209</v>
      </c>
      <c r="AI50" s="817">
        <f>'NG Sum&amp;Distribution&amp;PostMeter'!AI12*25/1000000</f>
        <v>0.71462166300589247</v>
      </c>
      <c r="AJ50" s="1289">
        <f>'NG Sum&amp;Distribution&amp;PostMeter'!AJ12*25/1000000</f>
        <v>0.73267426500894606</v>
      </c>
      <c r="AK50" s="236"/>
      <c r="AL50" s="268"/>
      <c r="AM50" s="269"/>
      <c r="AO50" s="270"/>
    </row>
    <row r="51" spans="1:41">
      <c r="A51" s="270"/>
      <c r="B51" s="573"/>
      <c r="C51" s="300" t="s">
        <v>10</v>
      </c>
      <c r="D51" s="817">
        <f>Agriculture!C53</f>
        <v>0.19364782314664009</v>
      </c>
      <c r="E51" s="817">
        <f>Agriculture!D53</f>
        <v>0.18396166524748131</v>
      </c>
      <c r="F51" s="817">
        <f>Agriculture!E53</f>
        <v>0.18254791411984891</v>
      </c>
      <c r="G51" s="817">
        <f>Agriculture!F53</f>
        <v>0.18240641329038396</v>
      </c>
      <c r="H51" s="817">
        <f>Agriculture!G53</f>
        <v>0.17481916427961744</v>
      </c>
      <c r="I51" s="817">
        <f>Agriculture!H53</f>
        <v>0.16958384826626241</v>
      </c>
      <c r="J51" s="817">
        <f>Agriculture!I53</f>
        <v>0.16651774046894174</v>
      </c>
      <c r="K51" s="817">
        <f>Agriculture!J53</f>
        <v>0.16517978591672722</v>
      </c>
      <c r="L51" s="817">
        <f>Agriculture!K53</f>
        <v>0.16627547500811862</v>
      </c>
      <c r="M51" s="817">
        <f>Agriculture!L53</f>
        <v>0.16209019036885877</v>
      </c>
      <c r="N51" s="817">
        <f>Agriculture!M53</f>
        <v>0.15559378356942632</v>
      </c>
      <c r="O51" s="817">
        <f>Agriculture!N53</f>
        <v>0.1371626357316057</v>
      </c>
      <c r="P51" s="817">
        <f>Agriculture!O53</f>
        <v>0.1423056765143649</v>
      </c>
      <c r="Q51" s="817">
        <f>Agriculture!P53</f>
        <v>0.13805377846362576</v>
      </c>
      <c r="R51" s="817">
        <f>Agriculture!Q53</f>
        <v>0.12883613153863088</v>
      </c>
      <c r="S51" s="817">
        <f>Agriculture!R53</f>
        <v>0.12816650738642341</v>
      </c>
      <c r="T51" s="817">
        <f>Agriculture!S53</f>
        <v>0.12742342384739061</v>
      </c>
      <c r="U51" s="817">
        <f>Agriculture!T53</f>
        <v>0.12403811360786508</v>
      </c>
      <c r="V51" s="817">
        <f>Agriculture!U53</f>
        <v>0.12720538602745507</v>
      </c>
      <c r="W51" s="817">
        <f>Agriculture!V53</f>
        <v>0.12347690565537564</v>
      </c>
      <c r="X51" s="817">
        <f>Agriculture!W53</f>
        <v>0.12209113468383975</v>
      </c>
      <c r="Y51" s="817">
        <f>Agriculture!X53</f>
        <v>0.1127749327381606</v>
      </c>
      <c r="Z51" s="817">
        <f>Agriculture!Y53</f>
        <v>0.11165169784352416</v>
      </c>
      <c r="AA51" s="817">
        <f>Agriculture!Z53</f>
        <v>0.10916270849553637</v>
      </c>
      <c r="AB51" s="817">
        <f>Agriculture!AA53</f>
        <v>0.10666583255099411</v>
      </c>
      <c r="AC51" s="817">
        <f>Agriculture!AB53</f>
        <v>0.10964663162183852</v>
      </c>
      <c r="AD51" s="817">
        <f>Agriculture!AC53</f>
        <v>0.10651291641802826</v>
      </c>
      <c r="AE51" s="817">
        <f>Agriculture!AD53</f>
        <v>0.10068957230553316</v>
      </c>
      <c r="AF51" s="817">
        <f>Agriculture!AE53</f>
        <v>0.10034379313375043</v>
      </c>
      <c r="AG51" s="817">
        <f>Agriculture!AF53</f>
        <v>9.952551713383942E-2</v>
      </c>
      <c r="AH51" s="817">
        <f>Agriculture!AG53</f>
        <v>8.8665348633339247E-2</v>
      </c>
      <c r="AI51" s="817">
        <f>Agriculture!AH53</f>
        <v>9.5505879163480578E-2</v>
      </c>
      <c r="AJ51" s="1289">
        <f>Agriculture!AI53</f>
        <v>0</v>
      </c>
      <c r="AK51" s="236"/>
      <c r="AL51" s="268"/>
      <c r="AM51" s="269"/>
      <c r="AO51" s="270"/>
    </row>
    <row r="52" spans="1:41">
      <c r="A52" s="270"/>
      <c r="B52" s="10"/>
      <c r="C52" s="300" t="s">
        <v>61</v>
      </c>
      <c r="D52" s="817">
        <f>'Solid Waste'!C25/1000000+'Solid Waste'!C33</f>
        <v>2.2601835020631844</v>
      </c>
      <c r="E52" s="817">
        <f>'Solid Waste'!D25/1000000+'Solid Waste'!D33</f>
        <v>2.3269894666793713</v>
      </c>
      <c r="F52" s="817">
        <f>'Solid Waste'!E25/1000000+'Solid Waste'!E33</f>
        <v>2.2262192096728053</v>
      </c>
      <c r="G52" s="817">
        <f>'Solid Waste'!F25/1000000+'Solid Waste'!F33</f>
        <v>2.1085588571841871</v>
      </c>
      <c r="H52" s="817">
        <f>'Solid Waste'!G25/1000000+'Solid Waste'!G33</f>
        <v>2.0924738403488514</v>
      </c>
      <c r="I52" s="817">
        <f>'Solid Waste'!H25/1000000+'Solid Waste'!H33</f>
        <v>2.103652464643941</v>
      </c>
      <c r="J52" s="817">
        <f>'Solid Waste'!I25/1000000+'Solid Waste'!I33</f>
        <v>1.7209673343795986</v>
      </c>
      <c r="K52" s="817">
        <f>'Solid Waste'!J25/1000000+'Solid Waste'!J33</f>
        <v>1.2539532356920571</v>
      </c>
      <c r="L52" s="817">
        <f>'Solid Waste'!K25/1000000+'Solid Waste'!K33</f>
        <v>1.1706352062367344</v>
      </c>
      <c r="M52" s="817">
        <f>'Solid Waste'!L25/1000000+'Solid Waste'!L33</f>
        <v>1.1778919344362087</v>
      </c>
      <c r="N52" s="817">
        <f>'Solid Waste'!M25/1000000+'Solid Waste'!M33</f>
        <v>0.80462307594293714</v>
      </c>
      <c r="O52" s="817">
        <f>'Solid Waste'!N25/1000000+'Solid Waste'!N33</f>
        <v>0.45974826949539027</v>
      </c>
      <c r="P52" s="817">
        <f>'Solid Waste'!O25/1000000+'Solid Waste'!O33</f>
        <v>0.83890015757074898</v>
      </c>
      <c r="Q52" s="817">
        <f>'Solid Waste'!P25/1000000+'Solid Waste'!P33</f>
        <v>1.3235380540079065</v>
      </c>
      <c r="R52" s="817">
        <f>'Solid Waste'!Q25/1000000+'Solid Waste'!Q33</f>
        <v>1.0831422990584416</v>
      </c>
      <c r="S52" s="817">
        <f>'Solid Waste'!R25/1000000+'Solid Waste'!R33</f>
        <v>1.0853203981811241</v>
      </c>
      <c r="T52" s="817">
        <f>'Solid Waste'!S25/1000000+'Solid Waste'!S33</f>
        <v>0.96545902691332919</v>
      </c>
      <c r="U52" s="817">
        <f>'Solid Waste'!T25/1000000+'Solid Waste'!T33</f>
        <v>0.87350457030170892</v>
      </c>
      <c r="V52" s="817">
        <f>'Solid Waste'!U25/1000000+'Solid Waste'!U33</f>
        <v>0.88437843911608727</v>
      </c>
      <c r="W52" s="817">
        <f>'Solid Waste'!V25/1000000+'Solid Waste'!V33</f>
        <v>0.91520769912085664</v>
      </c>
      <c r="X52" s="817">
        <f>'Solid Waste'!W25/1000000+'Solid Waste'!W33</f>
        <v>0.44999630000000002</v>
      </c>
      <c r="Y52" s="817">
        <f>'Solid Waste'!X25/1000000+'Solid Waste'!X33</f>
        <v>0.46108462380952381</v>
      </c>
      <c r="Z52" s="817">
        <f>'Solid Waste'!Y25/1000000+'Solid Waste'!Y33</f>
        <v>0.50753907857142855</v>
      </c>
      <c r="AA52" s="817">
        <f>'Solid Waste'!Z25/1000000+'Solid Waste'!Z33</f>
        <v>0.40803812317999999</v>
      </c>
      <c r="AB52" s="817">
        <f>'Solid Waste'!AA25/1000000+'Solid Waste'!AA33</f>
        <v>0.3528539</v>
      </c>
      <c r="AC52" s="817">
        <f>'Solid Waste'!AB25/1000000+'Solid Waste'!AB33</f>
        <v>0.3609733</v>
      </c>
      <c r="AD52" s="817">
        <f>'Solid Waste'!AC25/1000000+'Solid Waste'!AC33</f>
        <v>0.32664349999999998</v>
      </c>
      <c r="AE52" s="817">
        <f>'Solid Waste'!AD25/1000000+'Solid Waste'!AD33</f>
        <v>0.31026300000000001</v>
      </c>
      <c r="AF52" s="817">
        <f>'Solid Waste'!AE25/1000000+'Solid Waste'!AE33</f>
        <v>0.304452</v>
      </c>
      <c r="AG52" s="817">
        <f>'Solid Waste'!AF25/1000000+'Solid Waste'!AF33</f>
        <v>0.304172</v>
      </c>
      <c r="AH52" s="817">
        <f>'Solid Waste'!AG25/1000000+'Solid Waste'!AG33</f>
        <v>0.27229040000000004</v>
      </c>
      <c r="AI52" s="817">
        <f>'Solid Waste'!AH25/1000000+'Solid Waste'!AH33</f>
        <v>0.17716119999999999</v>
      </c>
      <c r="AJ52" s="1289">
        <f>'Solid Waste'!AI25/1000000+'Solid Waste'!AI33</f>
        <v>0.1642256</v>
      </c>
      <c r="AK52" s="236"/>
      <c r="AL52" s="268"/>
    </row>
    <row r="53" spans="1:41" ht="15" customHeight="1">
      <c r="A53" s="270"/>
      <c r="B53" s="10"/>
      <c r="C53" s="300" t="s">
        <v>62</v>
      </c>
      <c r="D53" s="817">
        <f>Wastewater!C16</f>
        <v>0.48032331311249982</v>
      </c>
      <c r="E53" s="817">
        <f>Wastewater!D16</f>
        <v>0.50544791718299997</v>
      </c>
      <c r="F53" s="817">
        <f>Wastewater!E16</f>
        <v>0.5050116176085</v>
      </c>
      <c r="G53" s="817">
        <f>Wastewater!F16</f>
        <v>0.50647858856099992</v>
      </c>
      <c r="H53" s="817">
        <f>Wastewater!G16</f>
        <v>0.50820322735799994</v>
      </c>
      <c r="I53" s="817">
        <f>Wastewater!H16</f>
        <v>0.51081386268375006</v>
      </c>
      <c r="J53" s="817">
        <f>Wastewater!I16</f>
        <v>0.51275673552824996</v>
      </c>
      <c r="K53" s="817">
        <f>Wastewater!J16</f>
        <v>0.51529153662899985</v>
      </c>
      <c r="L53" s="817">
        <f>Wastewater!K16</f>
        <v>0.51772926992174984</v>
      </c>
      <c r="M53" s="817">
        <f>Wastewater!L16</f>
        <v>0.52032128373224995</v>
      </c>
      <c r="N53" s="817">
        <f>Wastewater!M16</f>
        <v>0.2952990252043875</v>
      </c>
      <c r="O53" s="817">
        <f>Wastewater!N16</f>
        <v>0.29737298357008318</v>
      </c>
      <c r="P53" s="817">
        <f>Wastewater!O16</f>
        <v>0.29856920169024265</v>
      </c>
      <c r="Q53" s="817">
        <f>Wastewater!P16</f>
        <v>0.29895892170091132</v>
      </c>
      <c r="R53" s="817">
        <f>Wastewater!Q16</f>
        <v>0.29877206773366688</v>
      </c>
      <c r="S53" s="817">
        <f>Wastewater!R16</f>
        <v>0.2986434414950217</v>
      </c>
      <c r="T53" s="817">
        <f>Wastewater!S16</f>
        <v>0.30012458634405736</v>
      </c>
      <c r="U53" s="817">
        <f>Wastewater!T16</f>
        <v>0.30164731327908872</v>
      </c>
      <c r="V53" s="817">
        <f>Wastewater!U16</f>
        <v>0.30370323145029421</v>
      </c>
      <c r="W53" s="817">
        <f>Wastewater!V16</f>
        <v>0.30602321242601249</v>
      </c>
      <c r="X53" s="817">
        <f>Wastewater!W16</f>
        <v>0.30375811758046717</v>
      </c>
      <c r="Y53" s="817">
        <f>Wastewater!X16</f>
        <v>0.30538130129254798</v>
      </c>
      <c r="Z53" s="817">
        <f>Wastewater!Y16</f>
        <v>0.30700779414028828</v>
      </c>
      <c r="AA53" s="817">
        <f>Wastewater!Z16</f>
        <v>0.30863307048500765</v>
      </c>
      <c r="AB53" s="817">
        <f>Wastewater!AA16</f>
        <v>0.3055991658683761</v>
      </c>
      <c r="AC53" s="817">
        <f>Wastewater!AB16</f>
        <v>0.30719297653336514</v>
      </c>
      <c r="AD53" s="817">
        <f>Wastewater!AC16</f>
        <v>0.30879113227813265</v>
      </c>
      <c r="AE53" s="817">
        <f>Wastewater!AD16</f>
        <v>0.31038554848225192</v>
      </c>
      <c r="AF53" s="817">
        <f>Wastewater!AE16</f>
        <v>0.31198018060093308</v>
      </c>
      <c r="AG53" s="817">
        <f>Wastewater!AF16</f>
        <v>0.31358009546199667</v>
      </c>
      <c r="AH53" s="817">
        <f>Wastewater!AG16</f>
        <v>0.32052932655822919</v>
      </c>
      <c r="AI53" s="817">
        <f>Wastewater!AH16</f>
        <v>0.31880372258386863</v>
      </c>
      <c r="AJ53" s="1289">
        <f>Wastewater!AI16</f>
        <v>0.31869430445512414</v>
      </c>
      <c r="AK53" s="236"/>
      <c r="AL53" s="268"/>
    </row>
    <row r="54" spans="1:41" ht="15">
      <c r="B54" s="10"/>
      <c r="C54" s="301" t="s">
        <v>63</v>
      </c>
      <c r="D54" s="815">
        <f>SUM(D44:D53)</f>
        <v>5.1774503553999587</v>
      </c>
      <c r="E54" s="815">
        <f t="shared" ref="E54:Z54" si="25">SUM(E44:E53)</f>
        <v>5.2339724343504228</v>
      </c>
      <c r="F54" s="815">
        <f t="shared" si="25"/>
        <v>5.1280105008198573</v>
      </c>
      <c r="G54" s="815">
        <f t="shared" si="25"/>
        <v>4.9276742620927489</v>
      </c>
      <c r="H54" s="815">
        <f t="shared" si="25"/>
        <v>4.8405621939278278</v>
      </c>
      <c r="I54" s="815">
        <f t="shared" si="25"/>
        <v>4.8061675591934252</v>
      </c>
      <c r="J54" s="815">
        <f t="shared" si="25"/>
        <v>4.3541830775083081</v>
      </c>
      <c r="K54" s="815">
        <f t="shared" si="25"/>
        <v>3.7918582415991469</v>
      </c>
      <c r="L54" s="815">
        <f t="shared" si="25"/>
        <v>3.6211719760523264</v>
      </c>
      <c r="M54" s="815">
        <f t="shared" si="25"/>
        <v>3.5526708693466151</v>
      </c>
      <c r="N54" s="815">
        <f t="shared" si="25"/>
        <v>2.9199064091848217</v>
      </c>
      <c r="O54" s="815">
        <f t="shared" si="25"/>
        <v>2.4588556550142471</v>
      </c>
      <c r="P54" s="815">
        <f t="shared" si="25"/>
        <v>2.8014758726098097</v>
      </c>
      <c r="Q54" s="815">
        <f t="shared" si="25"/>
        <v>3.2350255342743668</v>
      </c>
      <c r="R54" s="815">
        <f t="shared" si="25"/>
        <v>2.9621898070909176</v>
      </c>
      <c r="S54" s="815">
        <f t="shared" si="25"/>
        <v>2.7959826101623313</v>
      </c>
      <c r="T54" s="815">
        <f t="shared" si="25"/>
        <v>2.6172961880610943</v>
      </c>
      <c r="U54" s="815">
        <f t="shared" si="25"/>
        <v>2.4808648279017609</v>
      </c>
      <c r="V54" s="815">
        <f t="shared" si="25"/>
        <v>2.4730422196810662</v>
      </c>
      <c r="W54" s="815">
        <f t="shared" si="25"/>
        <v>2.4960327715151296</v>
      </c>
      <c r="X54" s="815">
        <f t="shared" si="25"/>
        <v>2.0515745961197771</v>
      </c>
      <c r="Y54" s="815">
        <f t="shared" si="25"/>
        <v>1.9013244708958128</v>
      </c>
      <c r="Z54" s="815">
        <f t="shared" si="25"/>
        <v>1.9203799639968526</v>
      </c>
      <c r="AA54" s="815">
        <f t="shared" ref="AA54:AF54" si="26">SUM(AA44:AA53)</f>
        <v>1.8322196779423892</v>
      </c>
      <c r="AB54" s="815">
        <f t="shared" si="26"/>
        <v>1.7512340426633828</v>
      </c>
      <c r="AC54" s="815">
        <f t="shared" si="26"/>
        <v>1.7736878564632832</v>
      </c>
      <c r="AD54" s="815">
        <f t="shared" si="26"/>
        <v>1.6935882296123266</v>
      </c>
      <c r="AE54" s="815">
        <f t="shared" si="26"/>
        <v>1.6458191015579251</v>
      </c>
      <c r="AF54" s="815">
        <f t="shared" si="26"/>
        <v>1.62483565627236</v>
      </c>
      <c r="AG54" s="815">
        <f t="shared" ref="AG54:AJ54" si="27">SUM(AG44:AG53)</f>
        <v>1.6371027260696185</v>
      </c>
      <c r="AH54" s="815">
        <f t="shared" si="27"/>
        <v>1.5847636756460195</v>
      </c>
      <c r="AI54" s="815">
        <f t="shared" si="27"/>
        <v>1.4809994395208321</v>
      </c>
      <c r="AJ54" s="1173">
        <f t="shared" si="27"/>
        <v>1.3714607490799691</v>
      </c>
      <c r="AK54" s="236"/>
      <c r="AL54" s="268"/>
    </row>
    <row r="55" spans="1:41">
      <c r="B55" s="10"/>
      <c r="C55" s="298" t="str">
        <f>Stationary!B6</f>
        <v>Residential</v>
      </c>
      <c r="D55" s="817">
        <f>Stationary!C41</f>
        <v>4.5917890239999988E-2</v>
      </c>
      <c r="E55" s="817">
        <f>Stationary!D41</f>
        <v>4.5307249499999987E-2</v>
      </c>
      <c r="F55" s="817">
        <f>Stationary!E41</f>
        <v>4.9714815520000004E-2</v>
      </c>
      <c r="G55" s="817">
        <f>Stationary!F41</f>
        <v>5.0596505139999998E-2</v>
      </c>
      <c r="H55" s="817">
        <f>Stationary!G41</f>
        <v>4.933890937999999E-2</v>
      </c>
      <c r="I55" s="817">
        <f>Stationary!H41</f>
        <v>4.6910510359999998E-2</v>
      </c>
      <c r="J55" s="817">
        <f>Stationary!I41</f>
        <v>4.6404565959999998E-2</v>
      </c>
      <c r="K55" s="817">
        <f>Stationary!J41</f>
        <v>3.9758575919999997E-2</v>
      </c>
      <c r="L55" s="817">
        <f>Stationary!K41</f>
        <v>3.615214714E-2</v>
      </c>
      <c r="M55" s="817">
        <f>Stationary!L41</f>
        <v>3.7670826659999997E-2</v>
      </c>
      <c r="N55" s="817">
        <f>Stationary!M41</f>
        <v>4.1927270919999989E-2</v>
      </c>
      <c r="O55" s="817">
        <f>Stationary!N41</f>
        <v>4.0407217603052513E-2</v>
      </c>
      <c r="P55" s="817">
        <f>Stationary!O41</f>
        <v>4.0249143491754187E-2</v>
      </c>
      <c r="Q55" s="817">
        <f>Stationary!P41</f>
        <v>4.0488258697403356E-2</v>
      </c>
      <c r="R55" s="817">
        <f>Stationary!Q41</f>
        <v>3.8759810994806708E-2</v>
      </c>
      <c r="S55" s="817">
        <f>Stationary!R41</f>
        <v>2.795019762747265E-2</v>
      </c>
      <c r="T55" s="817">
        <f>Stationary!S41</f>
        <v>2.4077365505014596E-2</v>
      </c>
      <c r="U55" s="817">
        <f>Stationary!T41</f>
        <v>2.4940312259662666E-2</v>
      </c>
      <c r="V55" s="817">
        <f>Stationary!U41</f>
        <v>2.5742096244400086E-2</v>
      </c>
      <c r="W55" s="817">
        <f>Stationary!V41</f>
        <v>3.1293673803329716E-2</v>
      </c>
      <c r="X55" s="817">
        <f>Stationary!W41</f>
        <v>3.2190494477839185E-2</v>
      </c>
      <c r="Y55" s="817">
        <f>Stationary!X41</f>
        <v>3.1635900532744392E-2</v>
      </c>
      <c r="Z55" s="817">
        <f>Stationary!Y41</f>
        <v>2.6604692411238178E-2</v>
      </c>
      <c r="AA55" s="817">
        <f>Stationary!Z41</f>
        <v>3.0744537701502764E-2</v>
      </c>
      <c r="AB55" s="817">
        <f>Stationary!AA41</f>
        <v>3.3146372237419945E-2</v>
      </c>
      <c r="AC55" s="817">
        <f>Stationary!AB41</f>
        <v>3.1552938417518453E-2</v>
      </c>
      <c r="AD55" s="817">
        <f>Stationary!AC41</f>
        <v>2.5320779284216229E-2</v>
      </c>
      <c r="AE55" s="817">
        <f>Stationary!AD41</f>
        <v>2.6620758804632015E-2</v>
      </c>
      <c r="AF55" s="817">
        <f>Stationary!AE41</f>
        <v>2.813919112152281E-2</v>
      </c>
      <c r="AG55" s="817">
        <f>Stationary!AF41</f>
        <v>3.0573250398689068E-2</v>
      </c>
      <c r="AH55" s="817">
        <f>Stationary!AG41</f>
        <v>2.3796785401582948E-2</v>
      </c>
      <c r="AI55" s="817">
        <f>Stationary!AH41</f>
        <v>2.5086564386201812E-2</v>
      </c>
      <c r="AJ55" s="1289">
        <f>Stationary!AI41</f>
        <v>2.6424963518451972E-2</v>
      </c>
      <c r="AK55" s="236"/>
      <c r="AL55" s="268"/>
    </row>
    <row r="56" spans="1:41">
      <c r="B56" s="10"/>
      <c r="C56" s="298" t="str">
        <f>Stationary!B9</f>
        <v>Commercial</v>
      </c>
      <c r="D56" s="817">
        <f>Stationary!C44</f>
        <v>1.7459787219999998E-2</v>
      </c>
      <c r="E56" s="817">
        <f>Stationary!D44</f>
        <v>1.8995366320000002E-2</v>
      </c>
      <c r="F56" s="817">
        <f>Stationary!E44</f>
        <v>1.7514631139999997E-2</v>
      </c>
      <c r="G56" s="817">
        <f>Stationary!F44</f>
        <v>1.5742106279999998E-2</v>
      </c>
      <c r="H56" s="817">
        <f>Stationary!G44</f>
        <v>1.5752128019999995E-2</v>
      </c>
      <c r="I56" s="817">
        <f>Stationary!H44</f>
        <v>1.6254365299999997E-2</v>
      </c>
      <c r="J56" s="817">
        <f>Stationary!I44</f>
        <v>1.5220326159999999E-2</v>
      </c>
      <c r="K56" s="817">
        <f>Stationary!J44</f>
        <v>1.48171113E-2</v>
      </c>
      <c r="L56" s="817">
        <f>Stationary!K44</f>
        <v>1.2826024299999997E-2</v>
      </c>
      <c r="M56" s="817">
        <f>Stationary!L44</f>
        <v>1.0733101759999997E-2</v>
      </c>
      <c r="N56" s="817">
        <f>Stationary!M44</f>
        <v>1.3812427050171428E-2</v>
      </c>
      <c r="O56" s="817">
        <f>Stationary!N44</f>
        <v>1.1020051255885713E-2</v>
      </c>
      <c r="P56" s="817">
        <f>Stationary!O44</f>
        <v>1.1823292648342854E-2</v>
      </c>
      <c r="Q56" s="817">
        <f>Stationary!P44</f>
        <v>1.4761036725142855E-2</v>
      </c>
      <c r="R56" s="817">
        <f>Stationary!Q44</f>
        <v>1.563689063103655E-2</v>
      </c>
      <c r="S56" s="817">
        <f>Stationary!R44</f>
        <v>1.2921108446204095E-2</v>
      </c>
      <c r="T56" s="817">
        <f>Stationary!S44</f>
        <v>9.3375636906133271E-3</v>
      </c>
      <c r="U56" s="817">
        <f>Stationary!T44</f>
        <v>9.1652367603618241E-3</v>
      </c>
      <c r="V56" s="817">
        <f>Stationary!U44</f>
        <v>8.6228339062382961E-3</v>
      </c>
      <c r="W56" s="817">
        <f>Stationary!V44</f>
        <v>1.0064289141239299E-2</v>
      </c>
      <c r="X56" s="817">
        <f>Stationary!W44</f>
        <v>1.2078436265862733E-2</v>
      </c>
      <c r="Y56" s="817">
        <f>Stationary!X44</f>
        <v>1.0330509127503657E-2</v>
      </c>
      <c r="Z56" s="817">
        <f>Stationary!Y44</f>
        <v>8.2297996652820997E-3</v>
      </c>
      <c r="AA56" s="817">
        <f>Stationary!Z44</f>
        <v>9.4446796719390574E-3</v>
      </c>
      <c r="AB56" s="817">
        <f>Stationary!AA44</f>
        <v>9.9404241643935125E-3</v>
      </c>
      <c r="AC56" s="817">
        <f>Stationary!AB44</f>
        <v>1.1065447083028786E-2</v>
      </c>
      <c r="AD56" s="817">
        <f>Stationary!AC44</f>
        <v>9.6428694957498475E-3</v>
      </c>
      <c r="AE56" s="817">
        <f>Stationary!AD44</f>
        <v>1.0073177624598055E-2</v>
      </c>
      <c r="AF56" s="817">
        <f>Stationary!AE44</f>
        <v>1.0147222673359794E-2</v>
      </c>
      <c r="AG56" s="817">
        <f>Stationary!AF44</f>
        <v>1.0545505058611494E-2</v>
      </c>
      <c r="AH56" s="817">
        <f>Stationary!AG44</f>
        <v>9.5786719662446836E-3</v>
      </c>
      <c r="AI56" s="817">
        <f>Stationary!AH44</f>
        <v>1.0724458575293229E-2</v>
      </c>
      <c r="AJ56" s="1289">
        <f>Stationary!AI44</f>
        <v>1.0975693088361403E-2</v>
      </c>
      <c r="AK56" s="236"/>
      <c r="AL56" s="268"/>
    </row>
    <row r="57" spans="1:41">
      <c r="B57" s="10"/>
      <c r="C57" s="298" t="str">
        <f>Stationary!B12</f>
        <v>Industrial</v>
      </c>
      <c r="D57" s="817">
        <f>Stationary!C47+Stationary!C57</f>
        <v>1.4131042393452437E-2</v>
      </c>
      <c r="E57" s="817">
        <f>Stationary!D47+Stationary!D57</f>
        <v>1.1782990069514479E-2</v>
      </c>
      <c r="F57" s="817">
        <f>Stationary!E47+Stationary!E57</f>
        <v>1.3961380085453973E-2</v>
      </c>
      <c r="G57" s="817">
        <f>Stationary!F47+Stationary!F57</f>
        <v>1.4357153657557312E-2</v>
      </c>
      <c r="H57" s="817">
        <f>Stationary!G47+Stationary!G57</f>
        <v>1.3223561125995542E-2</v>
      </c>
      <c r="I57" s="817">
        <f>Stationary!H47+Stationary!H57</f>
        <v>1.2885414916947054E-2</v>
      </c>
      <c r="J57" s="817">
        <f>Stationary!I47+Stationary!I57</f>
        <v>1.2837080342213009E-2</v>
      </c>
      <c r="K57" s="817">
        <f>Stationary!J47+Stationary!J57</f>
        <v>1.3575039593510351E-2</v>
      </c>
      <c r="L57" s="817">
        <f>Stationary!K47+Stationary!K57</f>
        <v>1.1956271452967418E-2</v>
      </c>
      <c r="M57" s="817">
        <f>Stationary!L47+Stationary!L57</f>
        <v>1.2068082811969742E-2</v>
      </c>
      <c r="N57" s="817">
        <f>Stationary!M47+Stationary!M57</f>
        <v>1.2035711826937268E-2</v>
      </c>
      <c r="O57" s="817">
        <f>Stationary!N47+Stationary!N57</f>
        <v>1.2122184667257204E-2</v>
      </c>
      <c r="P57" s="817">
        <f>Stationary!O47+Stationary!O57</f>
        <v>9.607577379649998E-3</v>
      </c>
      <c r="Q57" s="817">
        <f>Stationary!P47+Stationary!P57</f>
        <v>9.0180264605544611E-3</v>
      </c>
      <c r="R57" s="817">
        <f>Stationary!Q47+Stationary!Q57</f>
        <v>9.0928332119828634E-3</v>
      </c>
      <c r="S57" s="817">
        <f>Stationary!R47+Stationary!R57</f>
        <v>9.4240577679347379E-3</v>
      </c>
      <c r="T57" s="817">
        <f>Stationary!S47+Stationary!S57</f>
        <v>9.4361716657873004E-3</v>
      </c>
      <c r="U57" s="817">
        <f>Stationary!T47+Stationary!T57</f>
        <v>9.1265804938307615E-3</v>
      </c>
      <c r="V57" s="817">
        <f>Stationary!U47+Stationary!U57</f>
        <v>8.5416890589751718E-3</v>
      </c>
      <c r="W57" s="817">
        <f>Stationary!V47+Stationary!V57</f>
        <v>6.6902827077073759E-3</v>
      </c>
      <c r="X57" s="817">
        <f>Stationary!W47+Stationary!W57</f>
        <v>9.8216965807547234E-3</v>
      </c>
      <c r="Y57" s="817">
        <f>Stationary!X47+Stationary!X57</f>
        <v>1.2088329563189374E-2</v>
      </c>
      <c r="Z57" s="817">
        <f>Stationary!Y47+Stationary!Y57</f>
        <v>1.1256742639266742E-2</v>
      </c>
      <c r="AA57" s="817">
        <f>Stationary!Z47+Stationary!Z57</f>
        <v>1.1300283747145768E-2</v>
      </c>
      <c r="AB57" s="817">
        <f>Stationary!AA47+Stationary!AA57</f>
        <v>1.0929303316942992E-2</v>
      </c>
      <c r="AC57" s="817">
        <f>Stationary!AB47+Stationary!AB57</f>
        <v>1.0993951578919876E-2</v>
      </c>
      <c r="AD57" s="817">
        <f>Stationary!AC47+Stationary!AC57</f>
        <v>1.0394165303973796E-2</v>
      </c>
      <c r="AE57" s="817">
        <f>Stationary!AD47+Stationary!AD57</f>
        <v>6.0216302549108433E-3</v>
      </c>
      <c r="AF57" s="817">
        <f>Stationary!AE47+Stationary!AE57</f>
        <v>5.9057361384029661E-3</v>
      </c>
      <c r="AG57" s="817">
        <f>Stationary!AF47+Stationary!AF57</f>
        <v>5.9405821566008354E-3</v>
      </c>
      <c r="AH57" s="817">
        <f>Stationary!AG47+Stationary!AG57</f>
        <v>5.7501135280712285E-3</v>
      </c>
      <c r="AI57" s="817">
        <f>Stationary!AH47+Stationary!AH57</f>
        <v>5.9386031324607505E-3</v>
      </c>
      <c r="AJ57" s="1289">
        <f>Stationary!AI47+Stationary!AI57</f>
        <v>6.0264488589354829E-3</v>
      </c>
      <c r="AK57" s="236"/>
      <c r="AL57" s="268"/>
    </row>
    <row r="58" spans="1:41">
      <c r="B58" s="10"/>
      <c r="C58" s="298" t="str">
        <f>Stationary!B15</f>
        <v>Electric Power</v>
      </c>
      <c r="D58" s="817">
        <f>Stationary!C50</f>
        <v>7.8214987199999988E-2</v>
      </c>
      <c r="E58" s="817">
        <f>Stationary!D50</f>
        <v>8.0808928200000005E-2</v>
      </c>
      <c r="F58" s="817">
        <f>Stationary!E50</f>
        <v>7.5352592899999987E-2</v>
      </c>
      <c r="G58" s="817">
        <f>Stationary!F50</f>
        <v>6.7173685121371424E-2</v>
      </c>
      <c r="H58" s="817">
        <f>Stationary!G50</f>
        <v>6.6988997552399995E-2</v>
      </c>
      <c r="I58" s="817">
        <f>Stationary!H50</f>
        <v>6.3268654798571425E-2</v>
      </c>
      <c r="J58" s="817">
        <f>Stationary!I50</f>
        <v>6.6510448960345719E-2</v>
      </c>
      <c r="K58" s="817">
        <f>Stationary!J50</f>
        <v>8.0656599962989711E-2</v>
      </c>
      <c r="L58" s="817">
        <f>Stationary!K50</f>
        <v>8.1765040422384208E-2</v>
      </c>
      <c r="M58" s="817">
        <f>Stationary!L50</f>
        <v>7.6593528455285886E-2</v>
      </c>
      <c r="N58" s="817">
        <f>Stationary!M50</f>
        <v>7.3114670495285874E-2</v>
      </c>
      <c r="O58" s="817">
        <f>Stationary!N50</f>
        <v>7.1260217388187511E-2</v>
      </c>
      <c r="P58" s="817">
        <f>Stationary!O50</f>
        <v>7.1432458699716692E-2</v>
      </c>
      <c r="Q58" s="817">
        <f>Stationary!P50</f>
        <v>7.1238174616702621E-2</v>
      </c>
      <c r="R58" s="817">
        <f>Stationary!Q50</f>
        <v>6.8082906920434755E-2</v>
      </c>
      <c r="S58" s="817">
        <f>Stationary!R50</f>
        <v>7.3875947768467426E-2</v>
      </c>
      <c r="T58" s="817">
        <f>Stationary!S50</f>
        <v>6.3624757531628565E-2</v>
      </c>
      <c r="U58" s="817">
        <f>Stationary!T50</f>
        <v>6.8698120036018842E-2</v>
      </c>
      <c r="V58" s="817">
        <f>Stationary!U50</f>
        <v>6.0879595195013715E-2</v>
      </c>
      <c r="W58" s="817">
        <f>Stationary!V50</f>
        <v>5.1476766029089481E-2</v>
      </c>
      <c r="X58" s="817">
        <f>Stationary!W50</f>
        <v>4.7442822169366745E-2</v>
      </c>
      <c r="Y58" s="817">
        <f>Stationary!X50</f>
        <v>2.9137659109578173E-2</v>
      </c>
      <c r="Z58" s="817">
        <f>Stationary!Y50</f>
        <v>2.034264095294663E-2</v>
      </c>
      <c r="AA58" s="817">
        <f>Stationary!Z50</f>
        <v>2.8207189288461137E-2</v>
      </c>
      <c r="AB58" s="817">
        <f>Stationary!AA50</f>
        <v>2.4583025886211543E-2</v>
      </c>
      <c r="AC58" s="817">
        <f>Stationary!AB50</f>
        <v>2.1758799664832913E-2</v>
      </c>
      <c r="AD58" s="817">
        <f>Stationary!AC50</f>
        <v>2.0411427923954516E-2</v>
      </c>
      <c r="AE58" s="817">
        <f>Stationary!AD50</f>
        <v>1.6454455358938396E-2</v>
      </c>
      <c r="AF58" s="817">
        <f>Stationary!AE50</f>
        <v>1.0483698540397143E-2</v>
      </c>
      <c r="AG58" s="817">
        <f>Stationary!AF50</f>
        <v>8.7155990293542856E-3</v>
      </c>
      <c r="AH58" s="817">
        <f>Stationary!AG50</f>
        <v>8.6595008944979415E-3</v>
      </c>
      <c r="AI58" s="817">
        <f>Stationary!AH50</f>
        <v>7.8460887226196561E-3</v>
      </c>
      <c r="AJ58" s="1289">
        <f>Stationary!AI50</f>
        <v>7.7698382934719996E-3</v>
      </c>
      <c r="AK58" s="236"/>
      <c r="AL58" s="268"/>
    </row>
    <row r="59" spans="1:41">
      <c r="B59" s="10"/>
      <c r="C59" s="298" t="s">
        <v>54</v>
      </c>
      <c r="D59" s="817">
        <f>('Solid Waste'!C43+'Solid Waste'!C53)/1000000</f>
        <v>3.465244985383395E-2</v>
      </c>
      <c r="E59" s="817">
        <f>('Solid Waste'!D43+'Solid Waste'!D53)/1000000</f>
        <v>3.6144808868822285E-2</v>
      </c>
      <c r="F59" s="817">
        <f>('Solid Waste'!E43+'Solid Waste'!E53)/1000000</f>
        <v>3.7771278767894483E-2</v>
      </c>
      <c r="G59" s="817">
        <f>('Solid Waste'!F43+'Solid Waste'!F53)/1000000</f>
        <v>3.9419408956427454E-2</v>
      </c>
      <c r="H59" s="817">
        <f>('Solid Waste'!G43+'Solid Waste'!G53)/1000000</f>
        <v>4.1312569576892742E-2</v>
      </c>
      <c r="I59" s="817">
        <f>('Solid Waste'!H43+'Solid Waste'!H53)/1000000</f>
        <v>4.024399123526072E-2</v>
      </c>
      <c r="J59" s="817">
        <f>('Solid Waste'!I43+'Solid Waste'!I53)/1000000</f>
        <v>4.2620989020182104E-2</v>
      </c>
      <c r="K59" s="817">
        <f>('Solid Waste'!J43+'Solid Waste'!J53)/1000000</f>
        <v>4.1919449143899203E-2</v>
      </c>
      <c r="L59" s="817">
        <f>('Solid Waste'!K43+'Solid Waste'!K53)/1000000</f>
        <v>4.1329036183925846E-2</v>
      </c>
      <c r="M59" s="817">
        <f>('Solid Waste'!L43+'Solid Waste'!L53)/1000000</f>
        <v>4.0311398591554568E-2</v>
      </c>
      <c r="N59" s="817">
        <f>('Solid Waste'!M43+'Solid Waste'!M53)/1000000</f>
        <v>4.1941939836784313E-2</v>
      </c>
      <c r="O59" s="817">
        <f>('Solid Waste'!N43+'Solid Waste'!N53)/1000000</f>
        <v>4.2811402907994504E-2</v>
      </c>
      <c r="P59" s="817">
        <f>('Solid Waste'!O43+'Solid Waste'!O53)/1000000</f>
        <v>4.1720288702001507E-2</v>
      </c>
      <c r="Q59" s="817">
        <f>('Solid Waste'!P43+'Solid Waste'!P53)/1000000</f>
        <v>4.2271927442762099E-2</v>
      </c>
      <c r="R59" s="817">
        <f>('Solid Waste'!Q43+'Solid Waste'!Q53)/1000000</f>
        <v>4.1792026895389342E-2</v>
      </c>
      <c r="S59" s="817">
        <f>('Solid Waste'!R43+'Solid Waste'!R53)/1000000</f>
        <v>4.2174322873752307E-2</v>
      </c>
      <c r="T59" s="817">
        <f>('Solid Waste'!S43+'Solid Waste'!S53)/1000000</f>
        <v>4.2691297854721387E-2</v>
      </c>
      <c r="U59" s="817">
        <f>('Solid Waste'!T43+'Solid Waste'!T53)/1000000</f>
        <v>4.0850236392377316E-2</v>
      </c>
      <c r="V59" s="817">
        <f>('Solid Waste'!U43+'Solid Waste'!U53)/1000000</f>
        <v>4.4341591778851767E-2</v>
      </c>
      <c r="W59" s="817">
        <f>('Solid Waste'!V43+'Solid Waste'!V53)/1000000</f>
        <v>4.3766977796234979E-2</v>
      </c>
      <c r="X59" s="817">
        <f>('Solid Waste'!W43+'Solid Waste'!W53)/1000000</f>
        <v>3.617124E-2</v>
      </c>
      <c r="Y59" s="817">
        <f>('Solid Waste'!X43+'Solid Waste'!X53)/1000000</f>
        <v>3.6385799999999996E-2</v>
      </c>
      <c r="Z59" s="817">
        <f>('Solid Waste'!Y43+'Solid Waste'!Y53)/1000000</f>
        <v>3.6385800000000003E-2</v>
      </c>
      <c r="AA59" s="817">
        <f>('Solid Waste'!Z43+'Solid Waste'!Z53)/1000000</f>
        <v>3.9748134000000004E-2</v>
      </c>
      <c r="AB59" s="817">
        <f>('Solid Waste'!AA43+'Solid Waste'!AA53)/1000000</f>
        <v>3.9865546000000009E-2</v>
      </c>
      <c r="AC59" s="817">
        <f>('Solid Waste'!AB43+'Solid Waste'!AB53)/1000000</f>
        <v>3.9379508000000001E-2</v>
      </c>
      <c r="AD59" s="817">
        <f>('Solid Waste'!AC43+'Solid Waste'!AC53)/1000000</f>
        <v>3.9031742000000008E-2</v>
      </c>
      <c r="AE59" s="817">
        <f>('Solid Waste'!AD43+'Solid Waste'!AD53)/1000000</f>
        <v>3.8903298000000003E-2</v>
      </c>
      <c r="AF59" s="817">
        <f>('Solid Waste'!AE43+'Solid Waste'!AE53)/1000000</f>
        <v>3.9179847999999996E-2</v>
      </c>
      <c r="AG59" s="817">
        <f>('Solid Waste'!AF43+'Solid Waste'!AF53)/1000000</f>
        <v>3.8296575999999992E-2</v>
      </c>
      <c r="AH59" s="817">
        <f>('Solid Waste'!AG43+'Solid Waste'!AG53)/1000000</f>
        <v>3.6058E-2</v>
      </c>
      <c r="AI59" s="817">
        <f>('Solid Waste'!AH43+'Solid Waste'!AH53)/1000000</f>
        <v>3.8499795999999996E-2</v>
      </c>
      <c r="AJ59" s="1289">
        <f>('Solid Waste'!AI43+'Solid Waste'!AI53)/1000000</f>
        <v>3.7511942E-2</v>
      </c>
      <c r="AK59" s="236"/>
      <c r="AL59" s="268"/>
      <c r="AM59" s="269"/>
      <c r="AO59" s="270"/>
    </row>
    <row r="60" spans="1:41">
      <c r="B60" s="10"/>
      <c r="C60" s="298" t="s">
        <v>61</v>
      </c>
      <c r="D60" s="817">
        <f>'Solid Waste'!C32</f>
        <v>0</v>
      </c>
      <c r="E60" s="817">
        <f>'Solid Waste'!D32</f>
        <v>0</v>
      </c>
      <c r="F60" s="817">
        <f>'Solid Waste'!E32</f>
        <v>0</v>
      </c>
      <c r="G60" s="817">
        <f>'Solid Waste'!F32</f>
        <v>0</v>
      </c>
      <c r="H60" s="817">
        <f>'Solid Waste'!G32</f>
        <v>0</v>
      </c>
      <c r="I60" s="817">
        <f>'Solid Waste'!H32</f>
        <v>0</v>
      </c>
      <c r="J60" s="817">
        <f>'Solid Waste'!I32</f>
        <v>0</v>
      </c>
      <c r="K60" s="817">
        <f>'Solid Waste'!J32</f>
        <v>0</v>
      </c>
      <c r="L60" s="817">
        <f>'Solid Waste'!K32</f>
        <v>0</v>
      </c>
      <c r="M60" s="817">
        <f>'Solid Waste'!L32</f>
        <v>0</v>
      </c>
      <c r="N60" s="817">
        <f>'Solid Waste'!M32</f>
        <v>0</v>
      </c>
      <c r="O60" s="817">
        <f>'Solid Waste'!N32</f>
        <v>0</v>
      </c>
      <c r="P60" s="817">
        <f>'Solid Waste'!O32</f>
        <v>0</v>
      </c>
      <c r="Q60" s="817">
        <f>'Solid Waste'!P32</f>
        <v>0</v>
      </c>
      <c r="R60" s="817">
        <f>'Solid Waste'!Q32</f>
        <v>0</v>
      </c>
      <c r="S60" s="817">
        <f>'Solid Waste'!R32</f>
        <v>0</v>
      </c>
      <c r="T60" s="817">
        <f>'Solid Waste'!S32</f>
        <v>0</v>
      </c>
      <c r="U60" s="817">
        <f>'Solid Waste'!T32</f>
        <v>0</v>
      </c>
      <c r="V60" s="817">
        <f>'Solid Waste'!U32</f>
        <v>0</v>
      </c>
      <c r="W60" s="817">
        <f>'Solid Waste'!V32</f>
        <v>0</v>
      </c>
      <c r="X60" s="817">
        <f>'Solid Waste'!W32</f>
        <v>1.8445E-3</v>
      </c>
      <c r="Y60" s="817">
        <f>'Solid Waste'!X32</f>
        <v>2.878E-4</v>
      </c>
      <c r="Z60" s="817">
        <f>'Solid Waste'!Y32</f>
        <v>3.658E-4</v>
      </c>
      <c r="AA60" s="817">
        <f>'Solid Waste'!Z32</f>
        <v>3.6720938000000001E-4</v>
      </c>
      <c r="AB60" s="817">
        <f>'Solid Waste'!AA32</f>
        <v>3.2930000000000004E-4</v>
      </c>
      <c r="AC60" s="817">
        <f>'Solid Waste'!AB32</f>
        <v>8.7599999999999988E-5</v>
      </c>
      <c r="AD60" s="817">
        <f>'Solid Waste'!AC32</f>
        <v>1.1129999999999999E-4</v>
      </c>
      <c r="AE60" s="817">
        <f>'Solid Waste'!AD32</f>
        <v>1.0640000000000001E-4</v>
      </c>
      <c r="AF60" s="817">
        <f>'Solid Waste'!AE32</f>
        <v>1.03E-4</v>
      </c>
      <c r="AG60" s="817">
        <f>'Solid Waste'!AF32</f>
        <v>9.3999999999999994E-5</v>
      </c>
      <c r="AH60" s="817">
        <f>'Solid Waste'!AG32</f>
        <v>1.0180000000000001E-4</v>
      </c>
      <c r="AI60" s="817">
        <f>'Solid Waste'!AH32</f>
        <v>1.015E-4</v>
      </c>
      <c r="AJ60" s="1289">
        <f>'Solid Waste'!AI32</f>
        <v>9.5199999999999997E-5</v>
      </c>
      <c r="AK60" s="236"/>
      <c r="AL60" s="268"/>
      <c r="AM60" s="269"/>
      <c r="AO60" s="270"/>
    </row>
    <row r="61" spans="1:41">
      <c r="B61" s="10"/>
      <c r="C61" s="298" t="s">
        <v>20</v>
      </c>
      <c r="D61" s="817">
        <f>Mobile!C78/1000000</f>
        <v>0.94042969926652131</v>
      </c>
      <c r="E61" s="817">
        <f>Mobile!D78/1000000</f>
        <v>0.95736096173789598</v>
      </c>
      <c r="F61" s="817">
        <f>Mobile!E78/1000000</f>
        <v>0.99363897276965485</v>
      </c>
      <c r="G61" s="817">
        <f>Mobile!F78/1000000</f>
        <v>0.97538108820855784</v>
      </c>
      <c r="H61" s="817">
        <f>Mobile!G78/1000000</f>
        <v>1.0263455302450082</v>
      </c>
      <c r="I61" s="817">
        <f>Mobile!H78/1000000</f>
        <v>1.0524882609894892</v>
      </c>
      <c r="J61" s="817">
        <f>Mobile!I78/1000000</f>
        <v>1.1002168056640356</v>
      </c>
      <c r="K61" s="817">
        <f>Mobile!J78/1000000</f>
        <v>1.0984072697258713</v>
      </c>
      <c r="L61" s="817">
        <f>Mobile!K78/1000000</f>
        <v>1.1025519245165563</v>
      </c>
      <c r="M61" s="817">
        <f>Mobile!L78/1000000</f>
        <v>1.0369599900904591</v>
      </c>
      <c r="N61" s="817">
        <f>Mobile!M78/1000000</f>
        <v>1.011078115591094</v>
      </c>
      <c r="O61" s="817">
        <f>Mobile!N78/1000000</f>
        <v>0.96324427338171104</v>
      </c>
      <c r="P61" s="817">
        <f>Mobile!O78/1000000</f>
        <v>0.90529838222484449</v>
      </c>
      <c r="Q61" s="817">
        <f>Mobile!P78/1000000</f>
        <v>0.8658800342735834</v>
      </c>
      <c r="R61" s="817">
        <f>Mobile!Q78/1000000</f>
        <v>0.81159607966657188</v>
      </c>
      <c r="S61" s="817">
        <f>Mobile!R78/1000000</f>
        <v>0.76543543124606028</v>
      </c>
      <c r="T61" s="817">
        <f>Mobile!S78/1000000</f>
        <v>0.75533087161694723</v>
      </c>
      <c r="U61" s="817">
        <f>Mobile!T78/1000000</f>
        <v>0.6593958458940592</v>
      </c>
      <c r="V61" s="817">
        <f>Mobile!U78/1000000</f>
        <v>0.61899184457691991</v>
      </c>
      <c r="W61" s="817">
        <f>Mobile!V78/1000000</f>
        <v>0.55334021721375937</v>
      </c>
      <c r="X61" s="817">
        <f>Mobile!W78/1000000</f>
        <v>0.53731282176029616</v>
      </c>
      <c r="Y61" s="817">
        <f>Mobile!X78/1000000</f>
        <v>0.52861372831978692</v>
      </c>
      <c r="Z61" s="817">
        <f>Mobile!Y78/1000000</f>
        <v>0.47869714260625568</v>
      </c>
      <c r="AA61" s="817">
        <f>Mobile!Z78/1000000</f>
        <v>0.45538960929023514</v>
      </c>
      <c r="AB61" s="817">
        <f>Mobile!AA78/1000000</f>
        <v>0.42647044623304298</v>
      </c>
      <c r="AC61" s="817">
        <f>Mobile!AB78/1000000</f>
        <v>0.35799095419738802</v>
      </c>
      <c r="AD61" s="817">
        <f>Mobile!AC78/1000000</f>
        <v>0.34550070739391203</v>
      </c>
      <c r="AE61" s="817">
        <f>Mobile!AD78/1000000</f>
        <v>0.32048978928991789</v>
      </c>
      <c r="AF61" s="817">
        <f>Mobile!AE78/1000000</f>
        <v>0.2915445414215363</v>
      </c>
      <c r="AG61" s="817">
        <f>Mobile!AF78/1000000</f>
        <v>0.32578099090980267</v>
      </c>
      <c r="AH61" s="817">
        <f>Mobile!AG78/1000000</f>
        <v>0.2731405310425884</v>
      </c>
      <c r="AI61" s="817">
        <f>Mobile!AH78/1000000</f>
        <v>0.27110114556010101</v>
      </c>
      <c r="AJ61" s="1289">
        <f>Mobile!AI78/1000000</f>
        <v>2.46782990757465E-2</v>
      </c>
      <c r="AK61" s="236"/>
      <c r="AL61" s="268"/>
      <c r="AM61" s="269"/>
      <c r="AO61" s="270"/>
    </row>
    <row r="62" spans="1:41">
      <c r="B62" s="10"/>
      <c r="C62" s="298" t="s">
        <v>10</v>
      </c>
      <c r="D62" s="817">
        <f>Agriculture!C54</f>
        <v>0.25245294585933248</v>
      </c>
      <c r="E62" s="817">
        <f>Agriculture!D54</f>
        <v>0.21170833293523908</v>
      </c>
      <c r="F62" s="817">
        <f>Agriculture!E54</f>
        <v>0.21724925067153203</v>
      </c>
      <c r="G62" s="817">
        <f>Agriculture!F54</f>
        <v>0.23275500861528747</v>
      </c>
      <c r="H62" s="817">
        <f>Agriculture!G54</f>
        <v>0.20837524693117596</v>
      </c>
      <c r="I62" s="817">
        <f>Agriculture!H54</f>
        <v>0.21721992001510748</v>
      </c>
      <c r="J62" s="817">
        <f>Agriculture!I54</f>
        <v>0.21703156618315336</v>
      </c>
      <c r="K62" s="817">
        <f>Agriculture!J54</f>
        <v>0.21239327856103579</v>
      </c>
      <c r="L62" s="817">
        <f>Agriculture!K54</f>
        <v>0.19206658424091141</v>
      </c>
      <c r="M62" s="817">
        <f>Agriculture!L54</f>
        <v>0.18939651403426483</v>
      </c>
      <c r="N62" s="817">
        <f>Agriculture!M54</f>
        <v>0.19924031013116708</v>
      </c>
      <c r="O62" s="817">
        <f>Agriculture!N54</f>
        <v>0.20795796588336704</v>
      </c>
      <c r="P62" s="817">
        <f>Agriculture!O54</f>
        <v>0.20034980351646065</v>
      </c>
      <c r="Q62" s="817">
        <f>Agriculture!P54</f>
        <v>0.20108451551217993</v>
      </c>
      <c r="R62" s="817">
        <f>Agriculture!Q54</f>
        <v>0.20273977490837089</v>
      </c>
      <c r="S62" s="817">
        <f>Agriculture!R54</f>
        <v>0.21145662730432729</v>
      </c>
      <c r="T62" s="817">
        <f>Agriculture!S54</f>
        <v>0.21890269790133215</v>
      </c>
      <c r="U62" s="817">
        <f>Agriculture!T54</f>
        <v>0.22373928677899066</v>
      </c>
      <c r="V62" s="817">
        <f>Agriculture!U54</f>
        <v>0.20890774288894248</v>
      </c>
      <c r="W62" s="817">
        <f>Agriculture!V54</f>
        <v>0.18496449266468162</v>
      </c>
      <c r="X62" s="817">
        <f>Agriculture!W54</f>
        <v>0.17762520438977325</v>
      </c>
      <c r="Y62" s="817">
        <f>Agriculture!X54</f>
        <v>0.18685034828796596</v>
      </c>
      <c r="Z62" s="817">
        <f>Agriculture!Y54</f>
        <v>0.17837574251180208</v>
      </c>
      <c r="AA62" s="817">
        <f>Agriculture!Z54</f>
        <v>0.19214762870345575</v>
      </c>
      <c r="AB62" s="817">
        <f>Agriculture!AA54</f>
        <v>0.18154676197955474</v>
      </c>
      <c r="AC62" s="817">
        <f>Agriculture!AB54</f>
        <v>0.17334504930308142</v>
      </c>
      <c r="AD62" s="817">
        <f>Agriculture!AC54</f>
        <v>0.12274953645849682</v>
      </c>
      <c r="AE62" s="817">
        <f>Agriculture!AD54</f>
        <v>0.12402671973676736</v>
      </c>
      <c r="AF62" s="817">
        <f>Agriculture!AE54</f>
        <v>0.12927969651613816</v>
      </c>
      <c r="AG62" s="817">
        <f>Agriculture!AF54</f>
        <v>0.12321284367918436</v>
      </c>
      <c r="AH62" s="817">
        <f>Agriculture!AG54</f>
        <v>0.10458890909743059</v>
      </c>
      <c r="AI62" s="817">
        <f>Agriculture!AH54</f>
        <v>8.4757304168901496E-2</v>
      </c>
      <c r="AJ62" s="1289">
        <f>Agriculture!AI54</f>
        <v>0</v>
      </c>
      <c r="AK62" s="236"/>
      <c r="AL62" s="268"/>
      <c r="AM62" s="269"/>
      <c r="AO62" s="270"/>
    </row>
    <row r="63" spans="1:41">
      <c r="B63" s="10"/>
      <c r="C63" s="298" t="s">
        <v>62</v>
      </c>
      <c r="D63" s="817">
        <f>Wastewater!C17</f>
        <v>0.1812274103010576</v>
      </c>
      <c r="E63" s="817">
        <f>Wastewater!D17</f>
        <v>0.13348640011618557</v>
      </c>
      <c r="F63" s="817">
        <f>Wastewater!E17</f>
        <v>0.1311707553952832</v>
      </c>
      <c r="G63" s="817">
        <f>Wastewater!F17</f>
        <v>0.12934497172734719</v>
      </c>
      <c r="H63" s="817">
        <f>Wastewater!G17</f>
        <v>0.1275710851351296</v>
      </c>
      <c r="I63" s="817">
        <f>Wastewater!H17</f>
        <v>0.12600071520884798</v>
      </c>
      <c r="J63" s="817">
        <f>Wastewater!I17</f>
        <v>0.1274374571103904</v>
      </c>
      <c r="K63" s="817">
        <f>Wastewater!J17</f>
        <v>0.12902967469735677</v>
      </c>
      <c r="L63" s="817">
        <f>Wastewater!K17</f>
        <v>0.1306068718770656</v>
      </c>
      <c r="M63" s="817">
        <f>Wastewater!L17</f>
        <v>0.13223238153245118</v>
      </c>
      <c r="N63" s="817">
        <f>Wastewater!M17</f>
        <v>0.13724669762543037</v>
      </c>
      <c r="O63" s="817">
        <f>Wastewater!N17</f>
        <v>0.14031091803426723</v>
      </c>
      <c r="P63" s="817">
        <f>Wastewater!O17</f>
        <v>0.13750133296223838</v>
      </c>
      <c r="Q63" s="817">
        <f>Wastewater!P17</f>
        <v>0.13768081236147198</v>
      </c>
      <c r="R63" s="817">
        <f>Wastewater!Q17</f>
        <v>0.13886087030184319</v>
      </c>
      <c r="S63" s="817">
        <f>Wastewater!R17</f>
        <v>0.15195439787415702</v>
      </c>
      <c r="T63" s="817">
        <f>Wastewater!S17</f>
        <v>0.14207306783129792</v>
      </c>
      <c r="U63" s="817">
        <f>Wastewater!T17</f>
        <v>0.14320273454505517</v>
      </c>
      <c r="V63" s="817">
        <f>Wastewater!U17</f>
        <v>0.13988283699310791</v>
      </c>
      <c r="W63" s="817">
        <f>Wastewater!V17</f>
        <v>0.14181450722329941</v>
      </c>
      <c r="X63" s="817">
        <f>Wastewater!W17</f>
        <v>0.10689924714859605</v>
      </c>
      <c r="Y63" s="817">
        <f>Wastewater!X17</f>
        <v>0.110520929455186</v>
      </c>
      <c r="Z63" s="817">
        <f>Wastewater!Y17</f>
        <v>0.10720630674650576</v>
      </c>
      <c r="AA63" s="817">
        <f>Wastewater!Z17</f>
        <v>0.1078131730968232</v>
      </c>
      <c r="AB63" s="817">
        <f>Wastewater!AA17</f>
        <v>0.11058135636808555</v>
      </c>
      <c r="AC63" s="817">
        <f>Wastewater!AB17</f>
        <v>0.11149752676566771</v>
      </c>
      <c r="AD63" s="817">
        <f>Wastewater!AC17</f>
        <v>0.11244304770736217</v>
      </c>
      <c r="AE63" s="817">
        <f>Wastewater!AD17</f>
        <v>0.10136036493785829</v>
      </c>
      <c r="AF63" s="817">
        <f>Wastewater!AE17</f>
        <v>0.10358141893225031</v>
      </c>
      <c r="AG63" s="817">
        <f>Wastewater!AF17</f>
        <v>0.10389295048268139</v>
      </c>
      <c r="AH63" s="817">
        <f>Wastewater!AG17</f>
        <v>0.10432700018437595</v>
      </c>
      <c r="AI63" s="817">
        <f>Wastewater!AH17</f>
        <v>0.10051229494784662</v>
      </c>
      <c r="AJ63" s="1289">
        <f>Wastewater!AI17</f>
        <v>0.10046806502130778</v>
      </c>
      <c r="AK63" s="236"/>
      <c r="AL63" s="268"/>
      <c r="AM63" s="269"/>
      <c r="AO63" s="270"/>
    </row>
    <row r="64" spans="1:41" ht="15">
      <c r="B64" s="10"/>
      <c r="C64" s="302" t="s">
        <v>64</v>
      </c>
      <c r="D64" s="815">
        <f t="shared" ref="D64:Z64" si="28">SUM(D55:D63)</f>
        <v>1.5644862123341978</v>
      </c>
      <c r="E64" s="815">
        <f t="shared" si="28"/>
        <v>1.4955950377476575</v>
      </c>
      <c r="F64" s="815">
        <f t="shared" si="28"/>
        <v>1.5363736772498184</v>
      </c>
      <c r="G64" s="815">
        <f t="shared" si="28"/>
        <v>1.5247699277065485</v>
      </c>
      <c r="H64" s="815">
        <f t="shared" si="28"/>
        <v>1.5489080279666019</v>
      </c>
      <c r="I64" s="815">
        <f t="shared" si="28"/>
        <v>1.5752718328242239</v>
      </c>
      <c r="J64" s="815">
        <f t="shared" si="28"/>
        <v>1.6282792394003203</v>
      </c>
      <c r="K64" s="815">
        <f t="shared" si="28"/>
        <v>1.6305569989046631</v>
      </c>
      <c r="L64" s="815">
        <f t="shared" si="28"/>
        <v>1.6092539001338109</v>
      </c>
      <c r="M64" s="815">
        <f t="shared" si="28"/>
        <v>1.5359658239359852</v>
      </c>
      <c r="N64" s="815">
        <f t="shared" si="28"/>
        <v>1.5303971434768702</v>
      </c>
      <c r="O64" s="815">
        <f t="shared" si="28"/>
        <v>1.4891342311217226</v>
      </c>
      <c r="P64" s="815">
        <f t="shared" si="28"/>
        <v>1.4179822796250086</v>
      </c>
      <c r="Q64" s="815">
        <f t="shared" si="28"/>
        <v>1.3824227860898006</v>
      </c>
      <c r="R64" s="815">
        <f t="shared" si="28"/>
        <v>1.3265611935304362</v>
      </c>
      <c r="S64" s="815">
        <f t="shared" si="28"/>
        <v>1.2951920909083758</v>
      </c>
      <c r="T64" s="815">
        <f t="shared" si="28"/>
        <v>1.2654737935973426</v>
      </c>
      <c r="U64" s="815">
        <f t="shared" si="28"/>
        <v>1.1791183531603564</v>
      </c>
      <c r="V64" s="815">
        <f t="shared" si="28"/>
        <v>1.1159102306424495</v>
      </c>
      <c r="W64" s="815">
        <f t="shared" si="28"/>
        <v>1.0234112065793413</v>
      </c>
      <c r="X64" s="815">
        <f t="shared" si="28"/>
        <v>0.96138646279248885</v>
      </c>
      <c r="Y64" s="815">
        <f t="shared" si="28"/>
        <v>0.94585100439595449</v>
      </c>
      <c r="Z64" s="815">
        <f t="shared" si="28"/>
        <v>0.86746466753329721</v>
      </c>
      <c r="AA64" s="815">
        <f t="shared" ref="AA64:AF64" si="29">SUM(AA55:AA63)</f>
        <v>0.87516244487956296</v>
      </c>
      <c r="AB64" s="815">
        <f t="shared" si="29"/>
        <v>0.83739253618565124</v>
      </c>
      <c r="AC64" s="815">
        <f t="shared" si="29"/>
        <v>0.75767177501043714</v>
      </c>
      <c r="AD64" s="815">
        <f t="shared" si="29"/>
        <v>0.68560557556766533</v>
      </c>
      <c r="AE64" s="815">
        <f t="shared" si="29"/>
        <v>0.64405659400762283</v>
      </c>
      <c r="AF64" s="815">
        <f t="shared" si="29"/>
        <v>0.6183643533436074</v>
      </c>
      <c r="AG64" s="815">
        <f t="shared" ref="AG64:AJ64" si="30">SUM(AG55:AG63)</f>
        <v>0.64705229771492412</v>
      </c>
      <c r="AH64" s="815">
        <f t="shared" si="30"/>
        <v>0.56600131211479165</v>
      </c>
      <c r="AI64" s="815">
        <f t="shared" si="30"/>
        <v>0.54456775549342451</v>
      </c>
      <c r="AJ64" s="1173">
        <f t="shared" si="30"/>
        <v>0.21395044985627515</v>
      </c>
      <c r="AK64" s="236"/>
      <c r="AL64" s="268"/>
      <c r="AM64" s="269"/>
      <c r="AO64" s="270"/>
    </row>
    <row r="65" spans="2:41">
      <c r="B65" s="10"/>
      <c r="C65" s="303" t="str">
        <f>'Indust. Proc.'!B21</f>
        <v>Electric Power Transmission and Distribution Systems</v>
      </c>
      <c r="D65" s="817">
        <f>'Indust. Proc.'!C21/1000000</f>
        <v>0.38789975619760453</v>
      </c>
      <c r="E65" s="817">
        <f>'Indust. Proc.'!D21/1000000</f>
        <v>0.3718260641647354</v>
      </c>
      <c r="F65" s="817">
        <f>'Indust. Proc.'!E21/1000000</f>
        <v>0.37215208156089641</v>
      </c>
      <c r="G65" s="817">
        <f>'Indust. Proc.'!F21/1000000</f>
        <v>0.35059306348162167</v>
      </c>
      <c r="H65" s="817">
        <f>'Indust. Proc.'!G21/1000000</f>
        <v>0.32777458754937455</v>
      </c>
      <c r="I65" s="817">
        <f>'Indust. Proc.'!H21/1000000</f>
        <v>0.29696578337512486</v>
      </c>
      <c r="J65" s="817">
        <f>'Indust. Proc.'!I21/1000000</f>
        <v>0.26831279500899841</v>
      </c>
      <c r="K65" s="817">
        <f>'Indust. Proc.'!J21/1000000</f>
        <v>0.24549879852171885</v>
      </c>
      <c r="L65" s="817">
        <f>'Indust. Proc.'!K21/1000000</f>
        <v>0.20426712546738821</v>
      </c>
      <c r="M65" s="817">
        <f>'Indust. Proc.'!L21/1000000</f>
        <v>0.20938205540256527</v>
      </c>
      <c r="N65" s="817">
        <f>'Indust. Proc.'!M21/1000000</f>
        <v>0.20538617220111405</v>
      </c>
      <c r="O65" s="817">
        <f>'Indust. Proc.'!N21/1000000</f>
        <v>0.20572862214132048</v>
      </c>
      <c r="P65" s="817">
        <f>'Indust. Proc.'!O21/1000000</f>
        <v>0.19499097337850929</v>
      </c>
      <c r="Q65" s="817">
        <f>'Indust. Proc.'!P21/1000000</f>
        <v>0.19259226561409309</v>
      </c>
      <c r="R65" s="817">
        <f>'Indust. Proc.'!Q21/1000000</f>
        <v>0.18664815304992144</v>
      </c>
      <c r="S65" s="817">
        <f>'Indust. Proc.'!R21/1000000</f>
        <v>0.17963885239526922</v>
      </c>
      <c r="T65" s="817">
        <f>'Indust. Proc.'!S21/1000000</f>
        <v>0.16198195834948043</v>
      </c>
      <c r="U65" s="817">
        <f>'Indust. Proc.'!T21/1000000</f>
        <v>0.15036008802009723</v>
      </c>
      <c r="V65" s="817">
        <f>'Indust. Proc.'!U21/1000000</f>
        <v>0.14753401409735378</v>
      </c>
      <c r="W65" s="817">
        <f>'Indust. Proc.'!V21/1000000</f>
        <v>0.13190623467939996</v>
      </c>
      <c r="X65" s="817">
        <f>'Indust. Proc.'!W21/1000000</f>
        <v>0.11458593451620261</v>
      </c>
      <c r="Y65" s="817">
        <f>'Indust. Proc.'!X21/1000000</f>
        <v>0.10261998235595651</v>
      </c>
      <c r="Z65" s="817">
        <f>'Indust. Proc.'!Y21/1000000</f>
        <v>8.8556426713883349E-2</v>
      </c>
      <c r="AA65" s="817">
        <f>'Indust. Proc.'!Z21/1000000</f>
        <v>8.4644758816187687E-2</v>
      </c>
      <c r="AB65" s="817">
        <f>'Indust. Proc.'!AA21/1000000</f>
        <v>8.56357110837309E-2</v>
      </c>
      <c r="AC65" s="817">
        <f>'Indust. Proc.'!AB21/1000000</f>
        <v>7.5052550926182612E-2</v>
      </c>
      <c r="AD65" s="817">
        <f>'Indust. Proc.'!AC21/1000000</f>
        <v>7.6700192109095663E-2</v>
      </c>
      <c r="AE65" s="817">
        <f>'Indust. Proc.'!AD21/1000000</f>
        <v>7.4945534066795869E-2</v>
      </c>
      <c r="AF65" s="817">
        <f>'Indust. Proc.'!AE21/1000000</f>
        <v>7.0238405761697736E-2</v>
      </c>
      <c r="AG65" s="817">
        <f>'Indust. Proc.'!AF21/1000000</f>
        <v>7.9562782950133915E-2</v>
      </c>
      <c r="AH65" s="817">
        <f>'Indust. Proc.'!AG21/1000000</f>
        <v>7.6434475695087434E-2</v>
      </c>
      <c r="AI65" s="817">
        <f>'Indust. Proc.'!AH21/1000000</f>
        <v>7.7486947937451728E-2</v>
      </c>
      <c r="AJ65" s="1289">
        <f>'Indust. Proc.'!AI21/1000000</f>
        <v>0</v>
      </c>
      <c r="AK65" s="236"/>
      <c r="AL65" s="268"/>
      <c r="AM65" s="269"/>
      <c r="AO65" s="270"/>
    </row>
    <row r="66" spans="2:41">
      <c r="B66" s="10"/>
      <c r="C66" s="304" t="str">
        <f>'Indust. Proc.'!B18</f>
        <v>ODS Substitutes</v>
      </c>
      <c r="D66" s="817">
        <f>'Indust. Proc.'!C18/1000000</f>
        <v>5.4099844792000005E-3</v>
      </c>
      <c r="E66" s="817">
        <f>'Indust. Proc.'!D18/1000000</f>
        <v>1.2460479461513315E-2</v>
      </c>
      <c r="F66" s="817">
        <f>'Indust. Proc.'!E18/1000000</f>
        <v>3.3364256189678726E-2</v>
      </c>
      <c r="G66" s="817">
        <f>'Indust. Proc.'!F18/1000000</f>
        <v>0.10791387960654042</v>
      </c>
      <c r="H66" s="817">
        <f>'Indust. Proc.'!G18/1000000</f>
        <v>0.26075442052323411</v>
      </c>
      <c r="I66" s="817">
        <f>'Indust. Proc.'!H18/1000000</f>
        <v>0.5726936510337084</v>
      </c>
      <c r="J66" s="817">
        <f>'Indust. Proc.'!I18/1000000</f>
        <v>0.80334416190255409</v>
      </c>
      <c r="K66" s="817">
        <f>'Indust. Proc.'!J18/1000000</f>
        <v>1.0209886908184624</v>
      </c>
      <c r="L66" s="817">
        <f>'Indust. Proc.'!K18/1000000</f>
        <v>1.1776020716654192</v>
      </c>
      <c r="M66" s="817">
        <f>'Indust. Proc.'!L18/1000000</f>
        <v>1.3381574499433033</v>
      </c>
      <c r="N66" s="817">
        <f>'Indust. Proc.'!M18/1000000</f>
        <v>1.4723589128157732</v>
      </c>
      <c r="O66" s="817">
        <f>'Indust. Proc.'!N18/1000000</f>
        <v>1.6016525441583729</v>
      </c>
      <c r="P66" s="817">
        <f>'Indust. Proc.'!O18/1000000</f>
        <v>1.6939374776078653</v>
      </c>
      <c r="Q66" s="817">
        <f>'Indust. Proc.'!P18/1000000</f>
        <v>1.7760353004828737</v>
      </c>
      <c r="R66" s="817">
        <f>'Indust. Proc.'!Q18/1000000</f>
        <v>1.8417104934056658</v>
      </c>
      <c r="S66" s="817">
        <f>'Indust. Proc.'!R18/1000000</f>
        <v>1.9230356945102909</v>
      </c>
      <c r="T66" s="817">
        <f>'Indust. Proc.'!S18/1000000</f>
        <v>2.0434734271879846</v>
      </c>
      <c r="U66" s="817">
        <f>'Indust. Proc.'!T18/1000000</f>
        <v>2.185336049036072</v>
      </c>
      <c r="V66" s="817">
        <f>'Indust. Proc.'!U18/1000000</f>
        <v>2.3446180055725572</v>
      </c>
      <c r="W66" s="817">
        <f>'Indust. Proc.'!V18/1000000</f>
        <v>2.4375478218789497</v>
      </c>
      <c r="X66" s="817">
        <f>'Indust. Proc.'!W18/1000000</f>
        <v>2.2487247459142132</v>
      </c>
      <c r="Y66" s="817">
        <f>'Indust. Proc.'!X18/1000000</f>
        <v>2.3750213406845253</v>
      </c>
      <c r="Z66" s="817">
        <f>'Indust. Proc.'!Y18/1000000</f>
        <v>2.590013383312308</v>
      </c>
      <c r="AA66" s="817">
        <f>'Indust. Proc.'!Z18/1000000</f>
        <v>3.0580482864494538</v>
      </c>
      <c r="AB66" s="817">
        <f>'Indust. Proc.'!AA18/1000000</f>
        <v>3.467413417722141</v>
      </c>
      <c r="AC66" s="817">
        <f>'Indust. Proc.'!AB18/1000000</f>
        <v>3.352298239825052</v>
      </c>
      <c r="AD66" s="817">
        <f>'Indust. Proc.'!AC18/1000000</f>
        <v>3.3968978292518734</v>
      </c>
      <c r="AE66" s="817">
        <f>'Indust. Proc.'!AD18/1000000</f>
        <v>2.9302622333298363</v>
      </c>
      <c r="AF66" s="817">
        <f>'Indust. Proc.'!AE18/1000000</f>
        <v>3.2874970695521233</v>
      </c>
      <c r="AG66" s="817">
        <f>'Indust. Proc.'!AF18/1000000</f>
        <v>3.1500186257919345</v>
      </c>
      <c r="AH66" s="817">
        <f>'Indust. Proc.'!AG18/1000000</f>
        <v>3.4605713795215456</v>
      </c>
      <c r="AI66" s="817">
        <f>'Indust. Proc.'!AH18/1000000</f>
        <v>3.5993820553111133</v>
      </c>
      <c r="AJ66" s="1289">
        <f>'Indust. Proc.'!AI18/1000000</f>
        <v>0</v>
      </c>
      <c r="AK66" s="236"/>
      <c r="AL66" s="268"/>
      <c r="AM66" s="269"/>
      <c r="AO66" s="270"/>
    </row>
    <row r="67" spans="2:41">
      <c r="B67" s="10"/>
      <c r="C67" s="304" t="str">
        <f>'Indust. Proc.'!B19</f>
        <v>Semiconductor Manufacturing</v>
      </c>
      <c r="D67" s="817">
        <f>'Indust. Proc.'!C19/1000000</f>
        <v>8.8073545482425117E-2</v>
      </c>
      <c r="E67" s="817">
        <f>'Indust. Proc.'!D19/1000000</f>
        <v>8.1004944716333571E-2</v>
      </c>
      <c r="F67" s="817">
        <f>'Indust. Proc.'!E19/1000000</f>
        <v>8.1004944716333571E-2</v>
      </c>
      <c r="G67" s="817">
        <f>'Indust. Proc.'!F19/1000000</f>
        <v>0.10125618089541694</v>
      </c>
      <c r="H67" s="817">
        <f>'Indust. Proc.'!G19/1000000</f>
        <v>0.11138179898495866</v>
      </c>
      <c r="I67" s="817">
        <f>'Indust. Proc.'!H19/1000000</f>
        <v>0.13996914247232409</v>
      </c>
      <c r="J67" s="817">
        <f>'Indust. Proc.'!I19/1000000</f>
        <v>0.15543053401135012</v>
      </c>
      <c r="K67" s="817">
        <f>'Indust. Proc.'!J19/1000000</f>
        <v>0.16425899693515966</v>
      </c>
      <c r="L67" s="817">
        <f>'Indust. Proc.'!K19/1000000</f>
        <v>0.26253939011032906</v>
      </c>
      <c r="M67" s="817">
        <f>'Indust. Proc.'!L19/1000000</f>
        <v>0.33435106863421576</v>
      </c>
      <c r="N67" s="817">
        <f>'Indust. Proc.'!M19/1000000</f>
        <v>0.34483880209913181</v>
      </c>
      <c r="O67" s="817">
        <f>'Indust. Proc.'!N19/1000000</f>
        <v>0.29379758504386466</v>
      </c>
      <c r="P67" s="817">
        <f>'Indust. Proc.'!O19/1000000</f>
        <v>0.35830450702210509</v>
      </c>
      <c r="Q67" s="817">
        <f>'Indust. Proc.'!P19/1000000</f>
        <v>0.30417391495858959</v>
      </c>
      <c r="R67" s="817">
        <f>'Indust. Proc.'!Q19/1000000</f>
        <v>0.25307006955678107</v>
      </c>
      <c r="S67" s="817">
        <f>'Indust. Proc.'!R19/1000000</f>
        <v>0.20876152734863998</v>
      </c>
      <c r="T67" s="817">
        <f>'Indust. Proc.'!S19/1000000</f>
        <v>0.19705972486139819</v>
      </c>
      <c r="U67" s="817">
        <f>'Indust. Proc.'!T19/1000000</f>
        <v>0.15277881297471974</v>
      </c>
      <c r="V67" s="817">
        <f>'Indust. Proc.'!U19/1000000</f>
        <v>0.16785017402067828</v>
      </c>
      <c r="W67" s="817">
        <f>'Indust. Proc.'!V19/1000000</f>
        <v>0.14326624702402438</v>
      </c>
      <c r="X67" s="817">
        <f>'Indust. Proc.'!W19/1000000</f>
        <v>0.21688356644994836</v>
      </c>
      <c r="Y67" s="817">
        <f>'Indust. Proc.'!X19/1000000</f>
        <v>0.33449905312150802</v>
      </c>
      <c r="Z67" s="817">
        <f>'Indust. Proc.'!Y19/1000000</f>
        <v>0.3669345445531878</v>
      </c>
      <c r="AA67" s="817">
        <f>'Indust. Proc.'!Z19/1000000</f>
        <v>0.3195543971840169</v>
      </c>
      <c r="AB67" s="817">
        <f>'Indust. Proc.'!AA19/1000000</f>
        <v>0.31488642340047368</v>
      </c>
      <c r="AC67" s="817">
        <f>'Indust. Proc.'!AB19/1000000</f>
        <v>0.29984889018138766</v>
      </c>
      <c r="AD67" s="817">
        <f>'Indust. Proc.'!AC19/1000000</f>
        <v>0.28086050526205503</v>
      </c>
      <c r="AE67" s="817">
        <f>'Indust. Proc.'!AD19/1000000</f>
        <v>0.25854189962968216</v>
      </c>
      <c r="AF67" s="817">
        <f>'Indust. Proc.'!AE19/1000000</f>
        <v>0.26775135593837884</v>
      </c>
      <c r="AG67" s="817">
        <f>'Indust. Proc.'!AF19/1000000</f>
        <v>0.24804664146958025</v>
      </c>
      <c r="AH67" s="817">
        <f>'Indust. Proc.'!AG19/1000000</f>
        <v>0.24706438617296594</v>
      </c>
      <c r="AI67" s="817">
        <f>'Indust. Proc.'!AH19/1000000</f>
        <v>0.27214199886570617</v>
      </c>
      <c r="AJ67" s="1289">
        <f>'Indust. Proc.'!AI19/1000000</f>
        <v>0</v>
      </c>
      <c r="AK67" s="236"/>
      <c r="AL67" s="268"/>
      <c r="AM67" s="269"/>
      <c r="AO67" s="270"/>
    </row>
    <row r="68" spans="2:41" ht="15">
      <c r="B68" s="10"/>
      <c r="C68" s="305" t="s">
        <v>65</v>
      </c>
      <c r="D68" s="815">
        <f>D65+D66+D67</f>
        <v>0.48138328615922965</v>
      </c>
      <c r="E68" s="815">
        <f t="shared" ref="E68:Z68" si="31">E65+E66+E67</f>
        <v>0.46529148834258227</v>
      </c>
      <c r="F68" s="815">
        <f t="shared" si="31"/>
        <v>0.48652128246690873</v>
      </c>
      <c r="G68" s="815">
        <f t="shared" si="31"/>
        <v>0.55976312398357897</v>
      </c>
      <c r="H68" s="815">
        <f t="shared" si="31"/>
        <v>0.69991080705756736</v>
      </c>
      <c r="I68" s="815">
        <f t="shared" si="31"/>
        <v>1.0096285768811575</v>
      </c>
      <c r="J68" s="815">
        <f t="shared" si="31"/>
        <v>1.2270874909229028</v>
      </c>
      <c r="K68" s="815">
        <f t="shared" si="31"/>
        <v>1.430746486275341</v>
      </c>
      <c r="L68" s="815">
        <f t="shared" si="31"/>
        <v>1.6444085872431364</v>
      </c>
      <c r="M68" s="815">
        <f t="shared" si="31"/>
        <v>1.8818905739800844</v>
      </c>
      <c r="N68" s="815">
        <f t="shared" si="31"/>
        <v>2.0225838871160193</v>
      </c>
      <c r="O68" s="815">
        <f t="shared" si="31"/>
        <v>2.101178751343558</v>
      </c>
      <c r="P68" s="815">
        <f t="shared" si="31"/>
        <v>2.2472329580084796</v>
      </c>
      <c r="Q68" s="815">
        <f t="shared" si="31"/>
        <v>2.2728014810555566</v>
      </c>
      <c r="R68" s="815">
        <f t="shared" si="31"/>
        <v>2.2814287160123681</v>
      </c>
      <c r="S68" s="815">
        <f t="shared" si="31"/>
        <v>2.3114360742542002</v>
      </c>
      <c r="T68" s="815">
        <f t="shared" si="31"/>
        <v>2.4025151103988636</v>
      </c>
      <c r="U68" s="815">
        <f t="shared" si="31"/>
        <v>2.4884749500308887</v>
      </c>
      <c r="V68" s="815">
        <f t="shared" si="31"/>
        <v>2.6600021936905893</v>
      </c>
      <c r="W68" s="815">
        <f t="shared" si="31"/>
        <v>2.7127203035823739</v>
      </c>
      <c r="X68" s="815">
        <f t="shared" si="31"/>
        <v>2.5801942468803643</v>
      </c>
      <c r="Y68" s="815">
        <f t="shared" si="31"/>
        <v>2.8121403761619899</v>
      </c>
      <c r="Z68" s="815">
        <f t="shared" si="31"/>
        <v>3.0455043545793794</v>
      </c>
      <c r="AA68" s="815">
        <f t="shared" ref="AA68:AF68" si="32">AA65+AA66+AA67</f>
        <v>3.4622474424496583</v>
      </c>
      <c r="AB68" s="815">
        <f t="shared" si="32"/>
        <v>3.8679355522063457</v>
      </c>
      <c r="AC68" s="815">
        <f t="shared" si="32"/>
        <v>3.7271996809326224</v>
      </c>
      <c r="AD68" s="815">
        <f t="shared" si="32"/>
        <v>3.7544585266230239</v>
      </c>
      <c r="AE68" s="815">
        <f t="shared" si="32"/>
        <v>3.263749667026314</v>
      </c>
      <c r="AF68" s="815">
        <f t="shared" si="32"/>
        <v>3.6254868312521999</v>
      </c>
      <c r="AG68" s="815">
        <f t="shared" ref="AG68:AH68" si="33">AG65+AG66+AG67</f>
        <v>3.4776280502116483</v>
      </c>
      <c r="AH68" s="815">
        <f t="shared" si="33"/>
        <v>3.7840702413895992</v>
      </c>
      <c r="AI68" s="815">
        <f t="shared" ref="AI68:AJ68" si="34">AI65+AI66+AI67</f>
        <v>3.949011002114271</v>
      </c>
      <c r="AJ68" s="1173">
        <f t="shared" si="34"/>
        <v>0</v>
      </c>
      <c r="AK68" s="236"/>
      <c r="AL68" s="268"/>
      <c r="AM68" s="269"/>
      <c r="AO68" s="270"/>
    </row>
    <row r="69" spans="2:41" ht="15.5" thickBot="1">
      <c r="B69" s="10"/>
      <c r="C69" s="306" t="s">
        <v>66</v>
      </c>
      <c r="D69" s="817">
        <f>ElecImport!D8</f>
        <v>1.8858940212182027</v>
      </c>
      <c r="E69" s="817">
        <f>ElecImport!E8</f>
        <v>1.1724041159564047</v>
      </c>
      <c r="F69" s="817">
        <f>ElecImport!F8</f>
        <v>1.4752219821672543</v>
      </c>
      <c r="G69" s="817">
        <f>ElecImport!G8</f>
        <v>2.1606319969895238</v>
      </c>
      <c r="H69" s="817">
        <f>ElecImport!H8</f>
        <v>1.8606896976971012</v>
      </c>
      <c r="I69" s="817">
        <f>ElecImport!I8</f>
        <v>1.9424413128723124</v>
      </c>
      <c r="J69" s="817">
        <f>ElecImport!J8</f>
        <v>2.1100141227923412</v>
      </c>
      <c r="K69" s="817">
        <f>ElecImport!K8</f>
        <v>0.92218599359594056</v>
      </c>
      <c r="L69" s="817">
        <f>ElecImport!L8</f>
        <v>0.9110947061645297</v>
      </c>
      <c r="M69" s="817">
        <f>ElecImport!M8</f>
        <v>2.2206927454267458</v>
      </c>
      <c r="N69" s="817">
        <f>ElecImport!N8</f>
        <v>3.1177751602306079</v>
      </c>
      <c r="O69" s="817">
        <f>ElecImport!O8</f>
        <v>2.7304610756268213</v>
      </c>
      <c r="P69" s="817">
        <f>ElecImport!P8</f>
        <v>3.3680431512014977</v>
      </c>
      <c r="Q69" s="817">
        <f>ElecImport!Q8</f>
        <v>2.7376472247771821</v>
      </c>
      <c r="R69" s="817">
        <f>ElecImport!R8</f>
        <v>2.8617100488563549</v>
      </c>
      <c r="S69" s="817">
        <f>ElecImport!S8</f>
        <v>3.4144696386176672</v>
      </c>
      <c r="T69" s="817">
        <f>ElecImport!T8</f>
        <v>2.5534994899415717</v>
      </c>
      <c r="U69" s="817">
        <f>ElecImport!U8</f>
        <v>2.2266959156511517</v>
      </c>
      <c r="V69" s="817">
        <f>ElecImport!V8</f>
        <v>2.7135384030986245</v>
      </c>
      <c r="W69" s="817">
        <f>ElecImport!W8</f>
        <v>2.7435998839761511</v>
      </c>
      <c r="X69" s="817">
        <f>ElecImport!X8</f>
        <v>2.4424966762479952</v>
      </c>
      <c r="Y69" s="817">
        <f>ElecImport!Y8</f>
        <v>2.762607960078582</v>
      </c>
      <c r="Z69" s="817">
        <f>ElecImport!Z8</f>
        <v>2.5791425425944108</v>
      </c>
      <c r="AA69" s="817">
        <f>ElecImport!AA8</f>
        <v>2.5775033696333551</v>
      </c>
      <c r="AB69" s="817">
        <f>ElecImport!AB8</f>
        <v>2.8572204393981666</v>
      </c>
      <c r="AC69" s="817">
        <f>ElecImport!AC8</f>
        <v>3.1280148954123335</v>
      </c>
      <c r="AD69" s="817">
        <f>ElecImport!AD8</f>
        <v>2.7685856857608093</v>
      </c>
      <c r="AE69" s="817">
        <f>ElecImport!AE8</f>
        <v>2.1456933025826213</v>
      </c>
      <c r="AF69" s="817">
        <f>ElecImport!AF8</f>
        <v>3.3046574846037937</v>
      </c>
      <c r="AG69" s="817">
        <f>ElecImport!AG8</f>
        <v>3.3996567306085903</v>
      </c>
      <c r="AH69" s="817">
        <f>ElecImport!AH8</f>
        <v>5.8843166806447158</v>
      </c>
      <c r="AI69" s="817">
        <f>ElecImport!AI8</f>
        <v>5.111868658436177</v>
      </c>
      <c r="AJ69" s="1289">
        <f>ElecImport!AJ8</f>
        <v>0</v>
      </c>
      <c r="AK69" s="236"/>
      <c r="AL69" s="268"/>
      <c r="AM69" s="269"/>
      <c r="AO69" s="270"/>
    </row>
    <row r="70" spans="2:41" ht="15" thickBot="1">
      <c r="B70" s="10"/>
      <c r="C70" s="293" t="s">
        <v>37</v>
      </c>
      <c r="D70" s="816">
        <f>D43+D54+D64+D68+D69</f>
        <v>93.005061114385583</v>
      </c>
      <c r="E70" s="816">
        <f t="shared" ref="E70:Z70" si="35">E43+E54+E64+E68+E69</f>
        <v>90.599737379157716</v>
      </c>
      <c r="F70" s="816">
        <f t="shared" si="35"/>
        <v>92.489660131074487</v>
      </c>
      <c r="G70" s="816">
        <f t="shared" si="35"/>
        <v>90.305037995464303</v>
      </c>
      <c r="H70" s="816">
        <f t="shared" si="35"/>
        <v>90.508084788605458</v>
      </c>
      <c r="I70" s="816">
        <f t="shared" si="35"/>
        <v>88.472123777581828</v>
      </c>
      <c r="J70" s="816">
        <f t="shared" si="35"/>
        <v>88.734732848490779</v>
      </c>
      <c r="K70" s="816">
        <f t="shared" si="35"/>
        <v>93.150082414946795</v>
      </c>
      <c r="L70" s="816">
        <f t="shared" si="35"/>
        <v>91.216972459069652</v>
      </c>
      <c r="M70" s="816">
        <f t="shared" si="35"/>
        <v>90.245063067645702</v>
      </c>
      <c r="N70" s="816">
        <f t="shared" si="35"/>
        <v>92.260422011841143</v>
      </c>
      <c r="O70" s="816">
        <f t="shared" si="35"/>
        <v>91.338730265470673</v>
      </c>
      <c r="P70" s="816">
        <f t="shared" si="35"/>
        <v>93.563238760799038</v>
      </c>
      <c r="Q70" s="816">
        <f t="shared" si="35"/>
        <v>95.525441854684161</v>
      </c>
      <c r="R70" s="816">
        <f t="shared" si="35"/>
        <v>93.329265222521599</v>
      </c>
      <c r="S70" s="816">
        <f t="shared" si="35"/>
        <v>94.940856084570896</v>
      </c>
      <c r="T70" s="816">
        <f t="shared" si="35"/>
        <v>86.37060798668476</v>
      </c>
      <c r="U70" s="816">
        <f t="shared" si="35"/>
        <v>89.152814153537705</v>
      </c>
      <c r="V70" s="816">
        <f t="shared" si="35"/>
        <v>86.279749378414252</v>
      </c>
      <c r="W70" s="816">
        <f t="shared" si="35"/>
        <v>80.722161510833175</v>
      </c>
      <c r="X70" s="816">
        <f t="shared" si="35"/>
        <v>82.0938706256632</v>
      </c>
      <c r="Y70" s="816">
        <f t="shared" si="35"/>
        <v>76.951674607689228</v>
      </c>
      <c r="Z70" s="816">
        <f t="shared" si="35"/>
        <v>70.698772111507338</v>
      </c>
      <c r="AA70" s="816">
        <f t="shared" ref="AA70:AF70" si="36">AA43+AA54+AA64+AA68+AA69</f>
        <v>75.10046717861502</v>
      </c>
      <c r="AB70" s="816">
        <f t="shared" si="36"/>
        <v>73.620007742783187</v>
      </c>
      <c r="AC70" s="816">
        <f t="shared" si="36"/>
        <v>75.04991755696841</v>
      </c>
      <c r="AD70" s="816">
        <f t="shared" si="36"/>
        <v>71.298850611459471</v>
      </c>
      <c r="AE70" s="816">
        <f t="shared" si="36"/>
        <v>70.465383692116802</v>
      </c>
      <c r="AF70" s="816">
        <f t="shared" si="36"/>
        <v>71.588429139639686</v>
      </c>
      <c r="AG70" s="816">
        <f t="shared" ref="AG70:AI70" si="37">AG43+AG54+AG64+AG68+AG69</f>
        <v>70.367684404674222</v>
      </c>
      <c r="AH70" s="816">
        <f t="shared" si="37"/>
        <v>63.987865018789613</v>
      </c>
      <c r="AI70" s="816">
        <f t="shared" si="37"/>
        <v>67.039425884707882</v>
      </c>
      <c r="AJ70" s="816"/>
      <c r="AK70" s="236"/>
      <c r="AL70" s="268"/>
      <c r="AM70" s="269"/>
      <c r="AO70" s="270"/>
    </row>
    <row r="71" spans="2:41">
      <c r="B71" s="10"/>
      <c r="C71" s="307"/>
      <c r="D71" s="579"/>
      <c r="E71" s="309"/>
      <c r="F71" s="309"/>
      <c r="G71" s="309"/>
      <c r="H71" s="309"/>
      <c r="I71" s="309"/>
      <c r="J71" s="309"/>
      <c r="K71" s="309"/>
      <c r="L71" s="309"/>
      <c r="M71" s="309"/>
      <c r="N71" s="309"/>
      <c r="O71" s="309"/>
      <c r="P71" s="309"/>
      <c r="Q71" s="309"/>
      <c r="R71" s="309"/>
      <c r="S71" s="309"/>
      <c r="T71" s="309"/>
      <c r="U71" s="309"/>
      <c r="V71" s="309"/>
      <c r="W71" s="309"/>
      <c r="X71" s="309"/>
      <c r="Y71" s="309"/>
      <c r="Z71" s="579"/>
      <c r="AA71" s="579"/>
      <c r="AB71" s="579"/>
      <c r="AC71" s="779"/>
      <c r="AD71" s="579"/>
      <c r="AE71" s="579"/>
      <c r="AF71" s="579"/>
      <c r="AG71" s="579"/>
      <c r="AH71" s="579"/>
      <c r="AI71" s="579"/>
      <c r="AJ71" s="579"/>
      <c r="AK71" s="236"/>
      <c r="AL71" s="637"/>
      <c r="AM71" s="637"/>
      <c r="AO71" s="270"/>
    </row>
    <row r="72" spans="2:41" ht="15">
      <c r="B72" s="10"/>
      <c r="C72" s="299" t="s">
        <v>67</v>
      </c>
      <c r="D72" s="310">
        <f>D43*1000000</f>
        <v>83895847.239273995</v>
      </c>
      <c r="E72" s="310">
        <f t="shared" ref="E72:Z72" si="38">E43*1000000</f>
        <v>82232474.302760631</v>
      </c>
      <c r="F72" s="310">
        <f t="shared" si="38"/>
        <v>83863532.68837066</v>
      </c>
      <c r="G72" s="310">
        <f t="shared" si="38"/>
        <v>81132198.684691921</v>
      </c>
      <c r="H72" s="310">
        <f t="shared" si="38"/>
        <v>81558014.061956376</v>
      </c>
      <c r="I72" s="310">
        <f t="shared" si="38"/>
        <v>79138614.495810702</v>
      </c>
      <c r="J72" s="310">
        <f t="shared" si="38"/>
        <v>79415168.917866915</v>
      </c>
      <c r="K72" s="310">
        <f t="shared" si="38"/>
        <v>85374734.694571704</v>
      </c>
      <c r="L72" s="310">
        <f t="shared" si="38"/>
        <v>83431043.289475858</v>
      </c>
      <c r="M72" s="310">
        <f t="shared" si="38"/>
        <v>81053843.054956272</v>
      </c>
      <c r="N72" s="310">
        <f t="shared" si="38"/>
        <v>82669759.411832824</v>
      </c>
      <c r="O72" s="310">
        <f t="shared" si="38"/>
        <v>82559100.552364334</v>
      </c>
      <c r="P72" s="310">
        <f t="shared" si="38"/>
        <v>83728504.499354243</v>
      </c>
      <c r="Q72" s="310">
        <f t="shared" si="38"/>
        <v>85897544.828487262</v>
      </c>
      <c r="R72" s="310">
        <f t="shared" si="38"/>
        <v>83897375.457031518</v>
      </c>
      <c r="S72" s="310">
        <f t="shared" si="38"/>
        <v>85123775.670628339</v>
      </c>
      <c r="T72" s="310">
        <f t="shared" si="38"/>
        <v>77531823.4046859</v>
      </c>
      <c r="U72" s="310">
        <f t="shared" si="38"/>
        <v>80777660.106793553</v>
      </c>
      <c r="V72" s="310">
        <f t="shared" si="38"/>
        <v>77317256.331301525</v>
      </c>
      <c r="W72" s="310">
        <f t="shared" si="38"/>
        <v>71746397.345180184</v>
      </c>
      <c r="X72" s="310">
        <f t="shared" si="38"/>
        <v>74058218.643622562</v>
      </c>
      <c r="Y72" s="310">
        <f t="shared" si="38"/>
        <v>68529750.796156883</v>
      </c>
      <c r="Z72" s="310">
        <f t="shared" si="38"/>
        <v>62286280.582803391</v>
      </c>
      <c r="AA72" s="310">
        <f t="shared" ref="AA72:AF72" si="39">AA43*1000000</f>
        <v>66353334.243710048</v>
      </c>
      <c r="AB72" s="310">
        <f t="shared" si="39"/>
        <v>64306225.172329649</v>
      </c>
      <c r="AC72" s="310">
        <f t="shared" si="39"/>
        <v>65663343.349149726</v>
      </c>
      <c r="AD72" s="310">
        <f t="shared" si="39"/>
        <v>62396612.593895636</v>
      </c>
      <c r="AE72" s="310">
        <f t="shared" si="39"/>
        <v>62766065.026942328</v>
      </c>
      <c r="AF72" s="310">
        <f t="shared" si="39"/>
        <v>62415084.814167723</v>
      </c>
      <c r="AG72" s="310">
        <f t="shared" ref="AG72:AH72" si="40">AG43*1000000</f>
        <v>61206244.600069456</v>
      </c>
      <c r="AH72" s="310">
        <f t="shared" si="40"/>
        <v>52168713.108994491</v>
      </c>
      <c r="AI72" s="310">
        <f t="shared" ref="AI72:AJ72" si="41">AI43*1000000</f>
        <v>55952979.029143177</v>
      </c>
      <c r="AJ72" s="1550">
        <f t="shared" si="41"/>
        <v>58455606.760428511</v>
      </c>
      <c r="AK72" s="236"/>
      <c r="AL72" s="637"/>
      <c r="AM72" s="637"/>
      <c r="AO72" s="270"/>
    </row>
    <row r="73" spans="2:41" ht="15">
      <c r="B73" s="10"/>
      <c r="C73" s="525" t="s">
        <v>68</v>
      </c>
      <c r="D73" s="310">
        <f t="shared" ref="D73:AF73" si="42">(D54/$AM$44)*1000000</f>
        <v>207098.01421599835</v>
      </c>
      <c r="E73" s="310">
        <f t="shared" si="42"/>
        <v>209358.89737401693</v>
      </c>
      <c r="F73" s="310">
        <f t="shared" si="42"/>
        <v>205120.4200327943</v>
      </c>
      <c r="G73" s="310">
        <f t="shared" si="42"/>
        <v>197106.97048370994</v>
      </c>
      <c r="H73" s="310">
        <f t="shared" si="42"/>
        <v>193622.48775711309</v>
      </c>
      <c r="I73" s="310">
        <f t="shared" si="42"/>
        <v>192246.70236773699</v>
      </c>
      <c r="J73" s="310">
        <f t="shared" si="42"/>
        <v>174167.32310033235</v>
      </c>
      <c r="K73" s="310">
        <f t="shared" si="42"/>
        <v>151674.32966396588</v>
      </c>
      <c r="L73" s="310">
        <f t="shared" si="42"/>
        <v>144846.87904209306</v>
      </c>
      <c r="M73" s="310">
        <f t="shared" si="42"/>
        <v>142106.8347738646</v>
      </c>
      <c r="N73" s="310">
        <f t="shared" si="42"/>
        <v>116796.25636739287</v>
      </c>
      <c r="O73" s="310">
        <f t="shared" si="42"/>
        <v>98354.226200569887</v>
      </c>
      <c r="P73" s="310">
        <f t="shared" si="42"/>
        <v>112059.03490439238</v>
      </c>
      <c r="Q73" s="310">
        <f t="shared" si="42"/>
        <v>129401.02137097467</v>
      </c>
      <c r="R73" s="310">
        <f t="shared" si="42"/>
        <v>118487.5922836367</v>
      </c>
      <c r="S73" s="310">
        <f t="shared" si="42"/>
        <v>111839.30440649326</v>
      </c>
      <c r="T73" s="310">
        <f t="shared" si="42"/>
        <v>104691.84752244377</v>
      </c>
      <c r="U73" s="310">
        <f t="shared" si="42"/>
        <v>99234.593116070435</v>
      </c>
      <c r="V73" s="310">
        <f t="shared" si="42"/>
        <v>98921.68878724266</v>
      </c>
      <c r="W73" s="310">
        <f t="shared" si="42"/>
        <v>99841.310860605183</v>
      </c>
      <c r="X73" s="310">
        <f t="shared" si="42"/>
        <v>82062.983844791088</v>
      </c>
      <c r="Y73" s="310">
        <f t="shared" si="42"/>
        <v>76052.978835832502</v>
      </c>
      <c r="Z73" s="310">
        <f t="shared" si="42"/>
        <v>76815.198559874101</v>
      </c>
      <c r="AA73" s="310">
        <f t="shared" si="42"/>
        <v>73288.787117695567</v>
      </c>
      <c r="AB73" s="310">
        <f t="shared" si="42"/>
        <v>70049.361706535303</v>
      </c>
      <c r="AC73" s="310">
        <f t="shared" si="42"/>
        <v>70947.51425853133</v>
      </c>
      <c r="AD73" s="310">
        <f t="shared" si="42"/>
        <v>67743.529184493062</v>
      </c>
      <c r="AE73" s="310">
        <f t="shared" si="42"/>
        <v>65832.764062317001</v>
      </c>
      <c r="AF73" s="310">
        <f t="shared" si="42"/>
        <v>64993.426250894394</v>
      </c>
      <c r="AG73" s="310">
        <f t="shared" ref="AG73:AH73" si="43">(AG54/$AM$44)*1000000</f>
        <v>65484.10904278473</v>
      </c>
      <c r="AH73" s="310">
        <f t="shared" si="43"/>
        <v>63390.54702584078</v>
      </c>
      <c r="AI73" s="310">
        <f t="shared" ref="AI73:AJ73" si="44">(AI54/$AM$44)*1000000</f>
        <v>59239.977580833285</v>
      </c>
      <c r="AJ73" s="1550">
        <f t="shared" si="44"/>
        <v>54858.429963198767</v>
      </c>
      <c r="AK73" s="236"/>
      <c r="AL73" s="637"/>
      <c r="AM73" s="637"/>
      <c r="AO73" s="270"/>
    </row>
    <row r="74" spans="2:41" ht="15">
      <c r="B74" s="10"/>
      <c r="C74" s="302" t="s">
        <v>69</v>
      </c>
      <c r="D74" s="310">
        <f t="shared" ref="D74:AF74" si="45">(D64/$AN$44)*1000000</f>
        <v>5249.9537326650934</v>
      </c>
      <c r="E74" s="310">
        <f t="shared" si="45"/>
        <v>5018.7752944552267</v>
      </c>
      <c r="F74" s="310">
        <f t="shared" si="45"/>
        <v>5155.6163666101284</v>
      </c>
      <c r="G74" s="310">
        <f t="shared" si="45"/>
        <v>5116.6776097535185</v>
      </c>
      <c r="H74" s="310">
        <f t="shared" si="45"/>
        <v>5197.6779461966507</v>
      </c>
      <c r="I74" s="310">
        <f t="shared" si="45"/>
        <v>5286.147090014174</v>
      </c>
      <c r="J74" s="310">
        <f t="shared" si="45"/>
        <v>5464.0242932896654</v>
      </c>
      <c r="K74" s="310">
        <f t="shared" si="45"/>
        <v>5471.667781559273</v>
      </c>
      <c r="L74" s="310">
        <f t="shared" si="45"/>
        <v>5400.1808729322511</v>
      </c>
      <c r="M74" s="310">
        <f t="shared" si="45"/>
        <v>5154.24773132881</v>
      </c>
      <c r="N74" s="310">
        <f t="shared" si="45"/>
        <v>5135.5608841505709</v>
      </c>
      <c r="O74" s="310">
        <f t="shared" si="45"/>
        <v>4997.0947353077945</v>
      </c>
      <c r="P74" s="310">
        <f t="shared" si="45"/>
        <v>4758.3297973993576</v>
      </c>
      <c r="Q74" s="310">
        <f t="shared" si="45"/>
        <v>4639.0026378852372</v>
      </c>
      <c r="R74" s="310">
        <f t="shared" si="45"/>
        <v>4451.547629296766</v>
      </c>
      <c r="S74" s="310">
        <f t="shared" si="45"/>
        <v>4346.2821842562953</v>
      </c>
      <c r="T74" s="310">
        <f t="shared" si="45"/>
        <v>4246.5563543534981</v>
      </c>
      <c r="U74" s="310">
        <f t="shared" si="45"/>
        <v>3956.7729971824042</v>
      </c>
      <c r="V74" s="310">
        <f t="shared" si="45"/>
        <v>3744.6652034981526</v>
      </c>
      <c r="W74" s="310">
        <f t="shared" si="45"/>
        <v>3434.2657938904072</v>
      </c>
      <c r="X74" s="310">
        <f t="shared" si="45"/>
        <v>3226.1290697734526</v>
      </c>
      <c r="Y74" s="310">
        <f t="shared" si="45"/>
        <v>3173.9966590468271</v>
      </c>
      <c r="Z74" s="310">
        <f t="shared" si="45"/>
        <v>2910.9552601788496</v>
      </c>
      <c r="AA74" s="310">
        <f t="shared" si="45"/>
        <v>2936.7867277837686</v>
      </c>
      <c r="AB74" s="310">
        <f t="shared" si="45"/>
        <v>2810.0420677370848</v>
      </c>
      <c r="AC74" s="310">
        <f t="shared" si="45"/>
        <v>2542.5227349343527</v>
      </c>
      <c r="AD74" s="310">
        <f t="shared" si="45"/>
        <v>2300.6898508982058</v>
      </c>
      <c r="AE74" s="310">
        <f t="shared" si="45"/>
        <v>2161.2637382806133</v>
      </c>
      <c r="AF74" s="310">
        <f t="shared" si="45"/>
        <v>2075.0481655825752</v>
      </c>
      <c r="AG74" s="310">
        <f t="shared" ref="AG74:AH74" si="46">(AG64/$AN$44)*1000000</f>
        <v>2171.3164352849803</v>
      </c>
      <c r="AH74" s="310">
        <f t="shared" si="46"/>
        <v>1899.3332621301734</v>
      </c>
      <c r="AI74" s="310">
        <f t="shared" ref="AI74:AJ74" si="47">(AI64/$AN$44)*1000000</f>
        <v>1827.4085754812902</v>
      </c>
      <c r="AJ74" s="1550">
        <f t="shared" si="47"/>
        <v>717.9545297190441</v>
      </c>
      <c r="AK74" s="236"/>
      <c r="AL74" s="637"/>
      <c r="AM74" s="637"/>
      <c r="AO74" s="270"/>
    </row>
    <row r="75" spans="2:41" ht="15" thickBot="1">
      <c r="B75" s="10"/>
      <c r="C75" s="577"/>
      <c r="D75" s="578"/>
      <c r="E75" s="308"/>
      <c r="F75" s="308"/>
      <c r="G75" s="308"/>
      <c r="H75" s="308"/>
      <c r="I75" s="308"/>
      <c r="J75" s="308"/>
      <c r="K75" s="308"/>
      <c r="L75" s="308"/>
      <c r="M75" s="308"/>
      <c r="N75" s="308"/>
      <c r="O75" s="308"/>
      <c r="P75" s="308"/>
      <c r="Q75" s="308"/>
      <c r="R75" s="308"/>
      <c r="S75" s="308"/>
      <c r="T75" s="308"/>
      <c r="U75" s="308"/>
      <c r="V75" s="308"/>
      <c r="W75" s="308"/>
      <c r="X75" s="308"/>
      <c r="Y75" s="308"/>
      <c r="Z75" s="578"/>
      <c r="AA75" s="578"/>
      <c r="AB75" s="578"/>
      <c r="AC75" s="780"/>
      <c r="AD75" s="780"/>
      <c r="AE75" s="780"/>
      <c r="AF75" s="780"/>
      <c r="AG75" s="780"/>
      <c r="AH75" s="780"/>
      <c r="AI75" s="780"/>
      <c r="AJ75" s="780"/>
      <c r="AK75" s="236"/>
      <c r="AL75" s="637"/>
      <c r="AM75" s="637"/>
      <c r="AO75" s="270"/>
    </row>
    <row r="76" spans="2:41" ht="15" thickBot="1">
      <c r="B76" s="10"/>
      <c r="C76" s="292"/>
      <c r="D76" s="295"/>
      <c r="E76" s="816"/>
      <c r="F76" s="816"/>
      <c r="G76" s="816"/>
      <c r="H76" s="816"/>
      <c r="I76" s="816"/>
      <c r="J76" s="816"/>
      <c r="K76" s="816"/>
      <c r="L76" s="816"/>
      <c r="M76" s="816"/>
      <c r="N76" s="816"/>
      <c r="O76" s="816"/>
      <c r="P76" s="816"/>
      <c r="Q76" s="816"/>
      <c r="R76" s="816"/>
      <c r="S76" s="816"/>
      <c r="T76" s="816"/>
      <c r="U76" s="816"/>
      <c r="V76" s="816"/>
      <c r="W76" s="816"/>
      <c r="X76" s="816"/>
      <c r="Y76" s="816"/>
      <c r="Z76" s="295"/>
      <c r="AA76" s="295"/>
      <c r="AB76" s="295"/>
      <c r="AC76" s="781"/>
      <c r="AD76" s="781"/>
      <c r="AE76" s="781"/>
      <c r="AF76" s="781"/>
      <c r="AG76" s="781"/>
      <c r="AH76" s="781"/>
      <c r="AI76" s="781"/>
      <c r="AJ76" s="781"/>
      <c r="AK76" s="236"/>
      <c r="AL76" s="637"/>
      <c r="AM76" s="637"/>
      <c r="AO76" s="270"/>
    </row>
    <row r="77" spans="2:41" ht="15" thickBot="1">
      <c r="B77" s="10"/>
      <c r="C77" s="294" t="s">
        <v>70</v>
      </c>
      <c r="D77" s="295"/>
      <c r="E77" s="638">
        <f>-(100-((E70/D70)*100))</f>
        <v>-2.5862288636847381</v>
      </c>
      <c r="F77" s="638">
        <f t="shared" ref="F77:X77" si="48">-(100-((F70/E70)*100))</f>
        <v>2.0860134991423678</v>
      </c>
      <c r="G77" s="638">
        <f t="shared" si="48"/>
        <v>-2.3620176920470755</v>
      </c>
      <c r="H77" s="638">
        <f t="shared" si="48"/>
        <v>0.22484547667357901</v>
      </c>
      <c r="I77" s="638">
        <f t="shared" si="48"/>
        <v>-2.2494797186117808</v>
      </c>
      <c r="J77" s="638">
        <f t="shared" si="48"/>
        <v>0.29682690964800429</v>
      </c>
      <c r="K77" s="638">
        <f t="shared" si="48"/>
        <v>4.9758977400596365</v>
      </c>
      <c r="L77" s="638">
        <f t="shared" si="48"/>
        <v>-2.0752638170150988</v>
      </c>
      <c r="M77" s="638">
        <f t="shared" si="48"/>
        <v>-1.0654918325205927</v>
      </c>
      <c r="N77" s="638">
        <f t="shared" si="48"/>
        <v>2.2332068654933295</v>
      </c>
      <c r="O77" s="638">
        <f t="shared" si="48"/>
        <v>-0.99901098030115065</v>
      </c>
      <c r="P77" s="638">
        <f t="shared" si="48"/>
        <v>2.4354493311467849</v>
      </c>
      <c r="Q77" s="638">
        <f t="shared" si="48"/>
        <v>2.0971944963359164</v>
      </c>
      <c r="R77" s="638">
        <f t="shared" si="48"/>
        <v>-2.2990489125435829</v>
      </c>
      <c r="S77" s="638">
        <f t="shared" si="48"/>
        <v>1.7267797600322154</v>
      </c>
      <c r="T77" s="638">
        <f t="shared" si="48"/>
        <v>-9.0269336630501584</v>
      </c>
      <c r="U77" s="638">
        <f t="shared" si="48"/>
        <v>3.2212418457004048</v>
      </c>
      <c r="V77" s="638">
        <f t="shared" si="48"/>
        <v>-3.2226293722770265</v>
      </c>
      <c r="W77" s="638">
        <f t="shared" si="48"/>
        <v>-6.4413583808711081</v>
      </c>
      <c r="X77" s="638">
        <f t="shared" si="48"/>
        <v>1.6992968091494163</v>
      </c>
      <c r="Y77" s="638">
        <f t="shared" ref="Y77:AF77" si="49">-(100-((Y70/X70)*100))</f>
        <v>-6.2638001823810754</v>
      </c>
      <c r="Z77" s="638">
        <f t="shared" si="49"/>
        <v>-8.1257523349038081</v>
      </c>
      <c r="AA77" s="638">
        <f t="shared" si="49"/>
        <v>6.2259851701034421</v>
      </c>
      <c r="AB77" s="638">
        <f t="shared" si="49"/>
        <v>-1.9713052281163357</v>
      </c>
      <c r="AC77" s="638">
        <f t="shared" si="49"/>
        <v>1.9422842485715535</v>
      </c>
      <c r="AD77" s="638">
        <f t="shared" si="49"/>
        <v>-4.9980960241050241</v>
      </c>
      <c r="AE77" s="638">
        <f t="shared" si="49"/>
        <v>-1.1689766555769836</v>
      </c>
      <c r="AF77" s="638">
        <f t="shared" si="49"/>
        <v>1.5937548178688559</v>
      </c>
      <c r="AG77" s="638">
        <f t="shared" ref="AG77:AI77" si="50">-(100-((AG70/AF70)*100))</f>
        <v>-1.7052263188849963</v>
      </c>
      <c r="AH77" s="638">
        <f t="shared" si="50"/>
        <v>-9.0664051828040897</v>
      </c>
      <c r="AI77" s="638">
        <f t="shared" si="50"/>
        <v>4.7689680926566353</v>
      </c>
      <c r="AJ77" s="638"/>
      <c r="AK77" s="236"/>
      <c r="AL77" s="637"/>
      <c r="AM77" s="637"/>
      <c r="AO77" s="270"/>
    </row>
    <row r="78" spans="2:41" ht="15" thickBot="1">
      <c r="B78" s="10"/>
      <c r="C78" s="294" t="s">
        <v>71</v>
      </c>
      <c r="D78" s="295"/>
      <c r="E78" s="638">
        <f>-(100-((E70/$D$70)*100))</f>
        <v>-2.5862288636847381</v>
      </c>
      <c r="F78" s="638">
        <f t="shared" ref="F78:X78" si="51">-(100-((F70/$D$70)*100))</f>
        <v>-0.55416444775754314</v>
      </c>
      <c r="G78" s="638">
        <f t="shared" si="51"/>
        <v>-2.9030926775055406</v>
      </c>
      <c r="H78" s="638">
        <f t="shared" si="51"/>
        <v>-2.6847746734009803</v>
      </c>
      <c r="I78" s="638">
        <f t="shared" si="51"/>
        <v>-4.8738609302441773</v>
      </c>
      <c r="J78" s="638">
        <f t="shared" si="51"/>
        <v>-4.5915009513759628</v>
      </c>
      <c r="K78" s="638">
        <f t="shared" si="51"/>
        <v>0.15592839660936875</v>
      </c>
      <c r="L78" s="638">
        <f t="shared" si="51"/>
        <v>-1.9225713460010354</v>
      </c>
      <c r="M78" s="638">
        <f t="shared" si="51"/>
        <v>-2.9675783378556133</v>
      </c>
      <c r="N78" s="638">
        <f t="shared" si="51"/>
        <v>-0.80064363554217266</v>
      </c>
      <c r="O78" s="638">
        <f t="shared" si="51"/>
        <v>-1.791656098011174</v>
      </c>
      <c r="P78" s="638">
        <f t="shared" si="51"/>
        <v>0.60015835668014006</v>
      </c>
      <c r="Q78" s="638">
        <f t="shared" si="51"/>
        <v>2.709939341041661</v>
      </c>
      <c r="R78" s="638">
        <f t="shared" si="51"/>
        <v>0.34858759754727942</v>
      </c>
      <c r="S78" s="638">
        <f t="shared" si="51"/>
        <v>2.0813866976599371</v>
      </c>
      <c r="T78" s="638">
        <f t="shared" si="51"/>
        <v>-7.1334323618595334</v>
      </c>
      <c r="U78" s="638">
        <f t="shared" si="51"/>
        <v>-4.1419756244340959</v>
      </c>
      <c r="V78" s="638">
        <f t="shared" si="51"/>
        <v>-7.2311244736455507</v>
      </c>
      <c r="W78" s="638">
        <f t="shared" si="51"/>
        <v>-13.206700212202264</v>
      </c>
      <c r="X78" s="638">
        <f t="shared" si="51"/>
        <v>-11.731824438352731</v>
      </c>
      <c r="Y78" s="638">
        <f t="shared" ref="Y78:AE78" si="52">-(100-((Y70/$D$70)*100))</f>
        <v>-17.26076658016764</v>
      </c>
      <c r="Z78" s="638">
        <f t="shared" si="52"/>
        <v>-23.983951771661182</v>
      </c>
      <c r="AA78" s="638">
        <f t="shared" si="52"/>
        <v>-19.251203882066108</v>
      </c>
      <c r="AB78" s="638">
        <f t="shared" si="52"/>
        <v>-20.843009121579954</v>
      </c>
      <c r="AC78" s="638">
        <f t="shared" si="52"/>
        <v>-19.305555356105202</v>
      </c>
      <c r="AD78" s="638">
        <f t="shared" si="52"/>
        <v>-23.338741185525336</v>
      </c>
      <c r="AE78" s="638">
        <f t="shared" si="52"/>
        <v>-24.234893404937992</v>
      </c>
      <c r="AF78" s="638">
        <f t="shared" ref="AF78:AG78" si="53">-(100-((AF70/$D$70)*100))</f>
        <v>-23.027383368315725</v>
      </c>
      <c r="AG78" s="638">
        <f t="shared" si="53"/>
        <v>-24.339940685453641</v>
      </c>
      <c r="AH78" s="638">
        <f t="shared" ref="AH78:AI78" si="54">-(100-((AH70/$D$70)*100))</f>
        <v>-31.199588224460314</v>
      </c>
      <c r="AI78" s="638">
        <f t="shared" si="54"/>
        <v>-27.918518539268462</v>
      </c>
      <c r="AJ78" s="638"/>
      <c r="AK78" s="236"/>
      <c r="AL78" s="637"/>
      <c r="AM78" s="637"/>
      <c r="AO78" s="270"/>
    </row>
    <row r="79" spans="2:41" ht="15" thickBot="1">
      <c r="B79" s="150"/>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540"/>
      <c r="AL79" s="637"/>
      <c r="AM79" s="637"/>
      <c r="AO79" s="270"/>
    </row>
    <row r="81" spans="3:29">
      <c r="C81" s="288"/>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row>
    <row r="82" spans="3:29">
      <c r="C82" s="288"/>
    </row>
    <row r="85" spans="3:29">
      <c r="E85" s="289"/>
      <c r="F85" s="289"/>
      <c r="G85" s="289"/>
      <c r="H85" s="289"/>
    </row>
    <row r="86" spans="3:29">
      <c r="E86" s="289"/>
      <c r="F86" s="289"/>
      <c r="G86" s="289"/>
      <c r="H86" s="289"/>
    </row>
    <row r="109" spans="28:31" ht="15" thickBot="1"/>
    <row r="110" spans="28:31">
      <c r="AC110" s="849">
        <v>2021</v>
      </c>
      <c r="AD110" s="850" t="s">
        <v>72</v>
      </c>
      <c r="AE110" s="384"/>
    </row>
    <row r="111" spans="28:31" ht="15" thickBot="1">
      <c r="AC111" s="150"/>
      <c r="AD111" s="851" t="s">
        <v>73</v>
      </c>
      <c r="AE111" s="540"/>
    </row>
    <row r="112" spans="28:31">
      <c r="AB112" s="1636">
        <f>AC112/$AC$116</f>
        <v>0.1181006353548523</v>
      </c>
      <c r="AC112" s="852">
        <f>AI44+AI45+AI46+AI47+AI48+AI49</f>
        <v>0.1749069747675904</v>
      </c>
      <c r="AD112" s="10" t="s">
        <v>74</v>
      </c>
      <c r="AE112" s="7"/>
    </row>
    <row r="113" spans="3:31">
      <c r="AB113" s="1637">
        <f>AC113/$AC$116</f>
        <v>0.48252662623363574</v>
      </c>
      <c r="AC113" s="852">
        <f>AI50</f>
        <v>0.71462166300589247</v>
      </c>
      <c r="AD113" s="10" t="s">
        <v>6</v>
      </c>
      <c r="AE113" s="7"/>
    </row>
    <row r="114" spans="3:31">
      <c r="AB114" s="1637">
        <f>AC114/$AC$116</f>
        <v>6.4487451254121281E-2</v>
      </c>
      <c r="AC114" s="852">
        <f>AI51</f>
        <v>9.5505879163480578E-2</v>
      </c>
      <c r="AD114" s="573" t="s">
        <v>75</v>
      </c>
      <c r="AE114" s="7"/>
    </row>
    <row r="115" spans="3:31" ht="15" thickBot="1">
      <c r="AB115" s="1638">
        <f>AC115/$AC$116</f>
        <v>0.3348852871573908</v>
      </c>
      <c r="AC115" s="853">
        <f>AI52+AI53</f>
        <v>0.49596492258386859</v>
      </c>
      <c r="AD115" s="150" t="s">
        <v>9</v>
      </c>
      <c r="AE115" s="540"/>
    </row>
    <row r="116" spans="3:31" ht="15" thickBot="1">
      <c r="Y116" s="848"/>
      <c r="AC116" s="854">
        <f>SUM(AC112:AC115)</f>
        <v>1.4809994395208319</v>
      </c>
    </row>
    <row r="117" spans="3:31">
      <c r="C117" s="733"/>
      <c r="Y117" s="848"/>
    </row>
    <row r="118" spans="3:31">
      <c r="C118" s="733"/>
    </row>
  </sheetData>
  <mergeCells count="2">
    <mergeCell ref="C2:L2"/>
    <mergeCell ref="H5:K10"/>
  </mergeCells>
  <dataValidations count="1">
    <dataValidation type="list" allowBlank="1" showInputMessage="1" showErrorMessage="1" sqref="C6" xr:uid="{2E98C46E-9186-E54B-A235-BBF49E1E5851}">
      <formula1>$C$9:$C$14</formula1>
    </dataValidation>
  </dataValidations>
  <pageMargins left="0.7" right="0.7" top="0.5" bottom="0.5" header="0.3" footer="0.3"/>
  <pageSetup scale="35" fitToWidth="2" fitToHeight="2" orientation="landscape" r:id="rId1"/>
  <headerFooter>
    <oddFooter>&amp;L&amp;F&amp;A&amp;RPage &amp;P of &amp;N</oddFooter>
  </headerFooter>
  <rowBreaks count="1" manualBreakCount="1">
    <brk id="29" max="16383" man="1"/>
  </rowBreaks>
  <colBreaks count="1" manualBreakCount="1">
    <brk id="3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A45"/>
  <sheetViews>
    <sheetView zoomScaleNormal="100" zoomScaleSheetLayoutView="30" workbookViewId="0">
      <selection activeCell="B1" sqref="B1"/>
    </sheetView>
  </sheetViews>
  <sheetFormatPr defaultColWidth="8.81640625" defaultRowHeight="14.5"/>
  <cols>
    <col min="1" max="2" width="3.453125" customWidth="1"/>
    <col min="3" max="3" width="50.453125" customWidth="1"/>
    <col min="4" max="4" width="9.81640625" customWidth="1"/>
    <col min="5" max="5" width="8.453125" customWidth="1"/>
    <col min="6" max="10" width="7" customWidth="1"/>
    <col min="11" max="11" width="7.54296875" customWidth="1"/>
    <col min="12" max="12" width="7" customWidth="1"/>
    <col min="13" max="13" width="8.453125" customWidth="1"/>
    <col min="14" max="22" width="8" customWidth="1"/>
    <col min="23" max="23" width="8.1796875" customWidth="1"/>
    <col min="24" max="24" width="8.453125" customWidth="1"/>
    <col min="25" max="25" width="9.54296875" customWidth="1"/>
    <col min="26" max="26" width="7.453125" customWidth="1"/>
    <col min="27" max="28" width="9.453125" customWidth="1"/>
    <col min="29" max="30" width="8.453125" customWidth="1"/>
    <col min="31" max="31" width="7.81640625" customWidth="1"/>
    <col min="32" max="33" width="8.81640625" customWidth="1"/>
    <col min="34" max="39" width="9.453125" customWidth="1"/>
    <col min="40" max="41" width="7.81640625" customWidth="1"/>
    <col min="42" max="43" width="10.453125" bestFit="1" customWidth="1"/>
    <col min="44" max="44" width="9.453125" customWidth="1"/>
    <col min="45" max="45" width="12.453125" customWidth="1"/>
    <col min="46" max="46" width="11.453125" customWidth="1"/>
    <col min="47" max="47" width="13.54296875" customWidth="1"/>
    <col min="48" max="49" width="11.453125" customWidth="1"/>
    <col min="50" max="50" width="11.54296875" customWidth="1"/>
    <col min="51" max="51" width="12.453125" style="1" customWidth="1"/>
    <col min="52" max="54" width="11.453125" bestFit="1" customWidth="1"/>
    <col min="57" max="57" width="13.54296875" customWidth="1"/>
  </cols>
  <sheetData>
    <row r="1" spans="2:53" ht="15" thickBot="1"/>
    <row r="2" spans="2:53" ht="17.25" customHeight="1">
      <c r="B2" s="280"/>
      <c r="C2" s="281"/>
      <c r="D2" s="281"/>
      <c r="E2" s="281"/>
      <c r="F2" s="281"/>
      <c r="G2" s="281"/>
      <c r="H2" s="383"/>
      <c r="I2" s="383"/>
      <c r="J2" s="383"/>
      <c r="K2" s="383"/>
      <c r="L2" s="383"/>
      <c r="M2" s="383"/>
      <c r="N2" s="383"/>
      <c r="O2" s="383"/>
      <c r="P2" s="383"/>
      <c r="Q2" s="384"/>
    </row>
    <row r="3" spans="2:53" ht="18" customHeight="1">
      <c r="B3" s="554"/>
      <c r="C3" s="607" t="s">
        <v>937</v>
      </c>
      <c r="D3" s="213"/>
      <c r="E3" s="213"/>
      <c r="F3" s="213"/>
      <c r="G3" s="213"/>
      <c r="Q3" s="7"/>
    </row>
    <row r="4" spans="2:53" ht="20.5" customHeight="1" thickBot="1">
      <c r="B4" s="282"/>
      <c r="C4" s="1743" t="s">
        <v>76</v>
      </c>
      <c r="D4" s="1743"/>
      <c r="E4" s="1743"/>
      <c r="F4" s="1743"/>
      <c r="G4" s="1743"/>
      <c r="H4" s="1743"/>
      <c r="I4" s="1743"/>
      <c r="J4" s="1743"/>
      <c r="K4" s="1743"/>
      <c r="L4" s="1743"/>
      <c r="M4" s="1743"/>
      <c r="N4" s="1743"/>
      <c r="O4" s="1743"/>
      <c r="P4" s="1743"/>
      <c r="Q4" s="1744"/>
      <c r="R4" s="679"/>
      <c r="S4" s="679"/>
      <c r="T4" s="679"/>
      <c r="U4" s="679"/>
    </row>
    <row r="5" spans="2:53" ht="15.75" customHeight="1" thickBot="1">
      <c r="B5" s="149"/>
      <c r="C5" s="149"/>
      <c r="D5" s="149"/>
      <c r="E5" s="149"/>
      <c r="F5" s="149"/>
      <c r="G5" s="149"/>
    </row>
    <row r="6" spans="2:53" ht="15.75" customHeight="1">
      <c r="B6" s="1501"/>
      <c r="C6" s="1502"/>
      <c r="D6" s="1502"/>
      <c r="E6" s="1502"/>
      <c r="F6" s="1502"/>
      <c r="G6" s="1502"/>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4"/>
      <c r="AY6"/>
      <c r="BA6" s="1"/>
    </row>
    <row r="7" spans="2:53" ht="59.5" customHeight="1">
      <c r="B7" s="10"/>
      <c r="C7" s="1740" t="s">
        <v>941</v>
      </c>
      <c r="D7" s="1745"/>
      <c r="E7" s="1745"/>
      <c r="F7" s="1745"/>
      <c r="G7" s="1745"/>
      <c r="H7" s="1745"/>
      <c r="I7" s="1745"/>
      <c r="J7" s="1745"/>
      <c r="K7" s="1745"/>
      <c r="L7" s="1745"/>
      <c r="M7" s="1745"/>
      <c r="N7" s="1745"/>
      <c r="O7" s="1745"/>
      <c r="P7" s="1745"/>
      <c r="Q7" s="1746"/>
      <c r="AN7" s="7"/>
      <c r="AY7"/>
      <c r="BA7" s="1"/>
    </row>
    <row r="8" spans="2:53" ht="40" customHeight="1">
      <c r="B8" s="10"/>
      <c r="C8" s="1740" t="s">
        <v>942</v>
      </c>
      <c r="D8" s="1741"/>
      <c r="E8" s="1741"/>
      <c r="F8" s="1741"/>
      <c r="G8" s="1741"/>
      <c r="H8" s="1741"/>
      <c r="I8" s="1741"/>
      <c r="J8" s="1741"/>
      <c r="K8" s="1741"/>
      <c r="L8" s="1741"/>
      <c r="M8" s="1741"/>
      <c r="N8" s="1741"/>
      <c r="O8" s="1741"/>
      <c r="P8" s="1741"/>
      <c r="Q8" s="1742"/>
      <c r="R8" s="1474"/>
      <c r="S8" s="1474"/>
      <c r="T8" s="1474"/>
      <c r="W8" s="234"/>
      <c r="AD8" s="884"/>
      <c r="AE8" s="884"/>
      <c r="AF8" s="784"/>
      <c r="AN8" s="7"/>
    </row>
    <row r="9" spans="2:53" ht="16" thickBot="1">
      <c r="B9" s="10"/>
      <c r="D9" s="1546"/>
      <c r="W9" s="242"/>
      <c r="X9" s="242"/>
      <c r="Y9" s="242"/>
      <c r="Z9" s="242"/>
      <c r="AC9" s="784"/>
      <c r="AD9" s="784"/>
      <c r="AE9" s="855"/>
      <c r="AF9" s="784"/>
      <c r="AG9" s="784"/>
      <c r="AH9" s="784"/>
      <c r="AI9" s="784"/>
      <c r="AJ9" s="784" t="s">
        <v>0</v>
      </c>
      <c r="AK9" s="784" t="s">
        <v>0</v>
      </c>
      <c r="AL9" s="784"/>
      <c r="AM9" s="784"/>
      <c r="AN9" s="7"/>
      <c r="AP9" s="1056"/>
      <c r="AQ9" s="1056"/>
      <c r="AR9" s="1056"/>
    </row>
    <row r="10" spans="2:53" ht="15.5" thickBot="1">
      <c r="B10" s="10"/>
      <c r="C10" s="1363" t="s">
        <v>2</v>
      </c>
      <c r="D10" s="1364">
        <v>1990</v>
      </c>
      <c r="E10" s="787">
        <v>1991</v>
      </c>
      <c r="F10" s="787">
        <v>1992</v>
      </c>
      <c r="G10" s="787">
        <v>1993</v>
      </c>
      <c r="H10" s="787">
        <v>1994</v>
      </c>
      <c r="I10" s="787">
        <v>1995</v>
      </c>
      <c r="J10" s="787">
        <v>1996</v>
      </c>
      <c r="K10" s="787">
        <v>1997</v>
      </c>
      <c r="L10" s="787">
        <v>1998</v>
      </c>
      <c r="M10" s="787">
        <v>1999</v>
      </c>
      <c r="N10" s="787">
        <v>2000</v>
      </c>
      <c r="O10" s="787">
        <v>2001</v>
      </c>
      <c r="P10" s="787">
        <v>2002</v>
      </c>
      <c r="Q10" s="787">
        <v>2003</v>
      </c>
      <c r="R10" s="787">
        <v>2004</v>
      </c>
      <c r="S10" s="787">
        <v>2005</v>
      </c>
      <c r="T10" s="787">
        <v>2006</v>
      </c>
      <c r="U10" s="787">
        <v>2007</v>
      </c>
      <c r="V10" s="787">
        <v>2008</v>
      </c>
      <c r="W10" s="787">
        <v>2009</v>
      </c>
      <c r="X10" s="787">
        <v>2010</v>
      </c>
      <c r="Y10" s="787">
        <v>2011</v>
      </c>
      <c r="Z10" s="787">
        <v>2012</v>
      </c>
      <c r="AA10" s="787">
        <v>2013</v>
      </c>
      <c r="AB10" s="787">
        <v>2014</v>
      </c>
      <c r="AC10" s="787">
        <v>2015</v>
      </c>
      <c r="AD10" s="787">
        <v>2016</v>
      </c>
      <c r="AE10" s="787">
        <v>2017</v>
      </c>
      <c r="AF10" s="787">
        <v>2018</v>
      </c>
      <c r="AG10" s="787">
        <v>2019</v>
      </c>
      <c r="AH10" s="787">
        <v>2020</v>
      </c>
      <c r="AI10" s="787">
        <v>2021</v>
      </c>
      <c r="AJ10" s="787">
        <v>2022</v>
      </c>
      <c r="AK10" s="787">
        <v>2023</v>
      </c>
      <c r="AL10" s="787">
        <v>2024</v>
      </c>
      <c r="AM10" s="787">
        <v>2025</v>
      </c>
      <c r="AN10" s="7"/>
      <c r="AP10" s="1209"/>
      <c r="AQ10" s="1209"/>
      <c r="AR10" s="1209"/>
    </row>
    <row r="11" spans="2:53" ht="15">
      <c r="B11" s="10"/>
      <c r="C11" s="455" t="s">
        <v>77</v>
      </c>
      <c r="D11" s="1365">
        <f>D12+D15+D18+D19+D24+D27</f>
        <v>87.113209003522158</v>
      </c>
      <c r="E11" s="1198">
        <f t="shared" ref="E11:AF11" si="0">E12+E15+E18+E19+E24+E27</f>
        <v>84.756364306906903</v>
      </c>
      <c r="F11" s="1198">
        <f t="shared" si="0"/>
        <v>86.739005675897715</v>
      </c>
      <c r="G11" s="1198">
        <f t="shared" si="0"/>
        <v>84.661512847509215</v>
      </c>
      <c r="H11" s="1198">
        <f t="shared" si="0"/>
        <v>84.82537610339071</v>
      </c>
      <c r="I11" s="1198">
        <f t="shared" si="0"/>
        <v>82.49059236058946</v>
      </c>
      <c r="J11" s="1198">
        <f t="shared" si="0"/>
        <v>83.020910558134773</v>
      </c>
      <c r="K11" s="1198">
        <f t="shared" si="0"/>
        <v>87.74663948515969</v>
      </c>
      <c r="L11" s="1198">
        <f t="shared" si="0"/>
        <v>85.754899419704273</v>
      </c>
      <c r="M11" s="1198">
        <f t="shared" si="0"/>
        <v>84.611373964856028</v>
      </c>
      <c r="N11" s="1198">
        <f t="shared" si="0"/>
        <v>87.108983558592911</v>
      </c>
      <c r="O11" s="1198">
        <f t="shared" si="0"/>
        <v>86.530454289963075</v>
      </c>
      <c r="P11" s="1198">
        <f t="shared" si="0"/>
        <v>88.208160435717588</v>
      </c>
      <c r="Q11" s="1198">
        <f t="shared" si="0"/>
        <v>89.757960003614784</v>
      </c>
      <c r="R11" s="1198">
        <f t="shared" si="0"/>
        <v>87.800793258590218</v>
      </c>
      <c r="S11" s="1198">
        <f t="shared" si="0"/>
        <v>89.431069078148269</v>
      </c>
      <c r="T11" s="1198">
        <f t="shared" si="0"/>
        <v>80.854630167865679</v>
      </c>
      <c r="U11" s="1198">
        <f t="shared" si="0"/>
        <v>83.69451159082945</v>
      </c>
      <c r="V11" s="1198">
        <f t="shared" si="0"/>
        <v>80.772966719911082</v>
      </c>
      <c r="W11" s="1198">
        <f t="shared" si="0"/>
        <v>75.198738944045317</v>
      </c>
      <c r="X11" s="1198">
        <f t="shared" si="0"/>
        <v>77.197881889193781</v>
      </c>
      <c r="Y11" s="1198">
        <f t="shared" si="0"/>
        <v>72.004475165661177</v>
      </c>
      <c r="Z11" s="1198">
        <f t="shared" si="0"/>
        <v>65.499567025092958</v>
      </c>
      <c r="AA11" s="1198">
        <f t="shared" si="0"/>
        <v>69.554016742931097</v>
      </c>
      <c r="AB11" s="1198">
        <f t="shared" si="0"/>
        <v>67.763431292959353</v>
      </c>
      <c r="AC11" s="1198">
        <f t="shared" si="0"/>
        <v>69.291884845092127</v>
      </c>
      <c r="AD11" s="1198">
        <f t="shared" si="0"/>
        <v>65.630657007327201</v>
      </c>
      <c r="AE11" s="1198">
        <f t="shared" si="0"/>
        <v>65.316435427659059</v>
      </c>
      <c r="AF11" s="1198">
        <f t="shared" si="0"/>
        <v>66.094659043356401</v>
      </c>
      <c r="AG11" s="1198">
        <f>AG12+AG15+AG18+AG19+AG24+AG27</f>
        <v>65.046649968319159</v>
      </c>
      <c r="AH11" s="1198">
        <f>AH12+AH15+AH18+AH19+AH24+AH27</f>
        <v>58.403397738248614</v>
      </c>
      <c r="AI11" s="1198">
        <f>AI12+AI15+AI18+AI19+AI24+AI27</f>
        <v>61.431596662419992</v>
      </c>
      <c r="AJ11" s="1291">
        <f>AJ12+AJ15+AJ18+AJ19+AJ24+AJ27</f>
        <v>58.637003721128302</v>
      </c>
      <c r="AK11" s="1198"/>
      <c r="AL11" s="1198"/>
      <c r="AM11" s="1198"/>
      <c r="AN11" s="7"/>
      <c r="AP11" s="783"/>
      <c r="AQ11" s="783"/>
      <c r="AR11" s="783"/>
    </row>
    <row r="12" spans="2:53" ht="15">
      <c r="B12" s="10"/>
      <c r="C12" s="452" t="s">
        <v>78</v>
      </c>
      <c r="D12" s="819">
        <f t="shared" ref="D12" si="1">D13+D14</f>
        <v>15.31365040534536</v>
      </c>
      <c r="E12" s="819">
        <f t="shared" ref="E12:Z12" si="2">E13+E14</f>
        <v>14.518561901071035</v>
      </c>
      <c r="F12" s="819">
        <f t="shared" si="2"/>
        <v>16.637356745667098</v>
      </c>
      <c r="G12" s="819">
        <f t="shared" si="2"/>
        <v>16.765001626446431</v>
      </c>
      <c r="H12" s="819">
        <f t="shared" si="2"/>
        <v>16.5798858667393</v>
      </c>
      <c r="I12" s="819">
        <f t="shared" si="2"/>
        <v>14.981382499081906</v>
      </c>
      <c r="J12" s="819">
        <f t="shared" si="2"/>
        <v>14.782858365913285</v>
      </c>
      <c r="K12" s="819">
        <f t="shared" si="2"/>
        <v>14.564592342096233</v>
      </c>
      <c r="L12" s="819">
        <f t="shared" si="2"/>
        <v>13.354760517636457</v>
      </c>
      <c r="M12" s="819">
        <f t="shared" si="2"/>
        <v>14.184525556803141</v>
      </c>
      <c r="N12" s="819">
        <f t="shared" si="2"/>
        <v>15.873185523164093</v>
      </c>
      <c r="O12" s="819">
        <f t="shared" si="2"/>
        <v>16.199011137428776</v>
      </c>
      <c r="P12" s="819">
        <f t="shared" si="2"/>
        <v>16.119805109343375</v>
      </c>
      <c r="Q12" s="819">
        <f t="shared" si="2"/>
        <v>16.601211726566344</v>
      </c>
      <c r="R12" s="819">
        <f t="shared" si="2"/>
        <v>15.197154479199662</v>
      </c>
      <c r="S12" s="819">
        <f t="shared" si="2"/>
        <v>15.027210450114723</v>
      </c>
      <c r="T12" s="819">
        <f t="shared" si="2"/>
        <v>12.930446995074689</v>
      </c>
      <c r="U12" s="819">
        <f t="shared" si="2"/>
        <v>13.614044734403702</v>
      </c>
      <c r="V12" s="819">
        <f t="shared" si="2"/>
        <v>14.49159231299309</v>
      </c>
      <c r="W12" s="819">
        <f t="shared" si="2"/>
        <v>13.995697715436682</v>
      </c>
      <c r="X12" s="819">
        <f t="shared" si="2"/>
        <v>13.737716464679892</v>
      </c>
      <c r="Y12" s="819">
        <f t="shared" si="2"/>
        <v>13.770209257923048</v>
      </c>
      <c r="Z12" s="819">
        <f t="shared" si="2"/>
        <v>11.921635639998783</v>
      </c>
      <c r="AA12" s="819">
        <f t="shared" ref="AA12:AF12" si="3">AA13+AA14</f>
        <v>12.427545793562148</v>
      </c>
      <c r="AB12" s="819">
        <f t="shared" si="3"/>
        <v>13.736544746104025</v>
      </c>
      <c r="AC12" s="819">
        <f t="shared" si="3"/>
        <v>13.636975173626578</v>
      </c>
      <c r="AD12" s="819">
        <f t="shared" si="3"/>
        <v>11.39103932176867</v>
      </c>
      <c r="AE12" s="819">
        <f t="shared" si="3"/>
        <v>12.355017974074329</v>
      </c>
      <c r="AF12" s="876">
        <f t="shared" si="3"/>
        <v>13.40124690910987</v>
      </c>
      <c r="AG12" s="819">
        <f t="shared" ref="AG12:AH12" si="4">AG13+AG14</f>
        <v>13.74295509703531</v>
      </c>
      <c r="AH12" s="819">
        <f t="shared" si="4"/>
        <v>12.203532691373011</v>
      </c>
      <c r="AI12" s="819">
        <f t="shared" ref="AI12:AJ12" si="5">AI13+AI14</f>
        <v>12.587212421548125</v>
      </c>
      <c r="AJ12" s="819">
        <f t="shared" si="5"/>
        <v>13.000609212674958</v>
      </c>
      <c r="AK12" s="819"/>
      <c r="AL12" s="819"/>
      <c r="AM12" s="819"/>
      <c r="AN12" s="7"/>
      <c r="AP12" s="783"/>
      <c r="AQ12" s="783"/>
      <c r="AR12" s="783"/>
    </row>
    <row r="13" spans="2:53" ht="15">
      <c r="B13" s="10"/>
      <c r="C13" s="358" t="s">
        <v>79</v>
      </c>
      <c r="D13" s="380">
        <f>CO2_FFC!C5</f>
        <v>15.09218729035536</v>
      </c>
      <c r="E13" s="380">
        <f>CO2_FFC!D5</f>
        <v>14.295364882071034</v>
      </c>
      <c r="F13" s="380">
        <f>CO2_FFC!E5</f>
        <v>16.396053585147097</v>
      </c>
      <c r="G13" s="380">
        <f>CO2_FFC!F5</f>
        <v>16.518072434056432</v>
      </c>
      <c r="H13" s="380">
        <f>CO2_FFC!G5</f>
        <v>16.3428113958593</v>
      </c>
      <c r="I13" s="380">
        <f>CO2_FFC!H5</f>
        <v>14.751248409471906</v>
      </c>
      <c r="J13" s="380">
        <f>CO2_FFC!I5</f>
        <v>14.548991126703285</v>
      </c>
      <c r="K13" s="380">
        <f>CO2_FFC!J5</f>
        <v>14.378872297176233</v>
      </c>
      <c r="L13" s="380">
        <f>CO2_FFC!K5</f>
        <v>13.187544748996457</v>
      </c>
      <c r="M13" s="380">
        <f>CO2_FFC!L5</f>
        <v>14.010791823643141</v>
      </c>
      <c r="N13" s="380">
        <f>CO2_FFC!M5</f>
        <v>15.683527402244092</v>
      </c>
      <c r="O13" s="380">
        <f>CO2_FFC!N5</f>
        <v>16.029000961089942</v>
      </c>
      <c r="P13" s="380">
        <f>CO2_FFC!O5</f>
        <v>15.947597736625315</v>
      </c>
      <c r="Q13" s="380">
        <f>CO2_FFC!P5</f>
        <v>16.424354633887898</v>
      </c>
      <c r="R13" s="380">
        <f>CO2_FFC!Q5</f>
        <v>15.02439042499277</v>
      </c>
      <c r="S13" s="380">
        <f>CO2_FFC!R5</f>
        <v>14.929934686615209</v>
      </c>
      <c r="T13" s="380">
        <f>CO2_FFC!S5</f>
        <v>12.846312302684595</v>
      </c>
      <c r="U13" s="380">
        <f>CO2_FFC!T5</f>
        <v>13.524855771139288</v>
      </c>
      <c r="V13" s="380">
        <f>CO2_FFC!U5</f>
        <v>14.39714565392285</v>
      </c>
      <c r="W13" s="380">
        <f>CO2_FFC!V5</f>
        <v>13.852964375083578</v>
      </c>
      <c r="X13" s="380">
        <f>CO2_FFC!W5</f>
        <v>13.589313015564603</v>
      </c>
      <c r="Y13" s="380">
        <f>CO2_FFC!X5</f>
        <v>13.624708631879612</v>
      </c>
      <c r="Z13" s="380">
        <f>CO2_FFC!Y5</f>
        <v>11.798985827009325</v>
      </c>
      <c r="AA13" s="380">
        <f>CO2_FFC!Z5</f>
        <v>12.279880650460056</v>
      </c>
      <c r="AB13" s="380">
        <f>CO2_FFC!AA5</f>
        <v>13.581589984107024</v>
      </c>
      <c r="AC13" s="380">
        <f>CO2_FFC!AB5</f>
        <v>13.492417678538322</v>
      </c>
      <c r="AD13" s="380">
        <f>CO2_FFC!AC5</f>
        <v>11.274433436984273</v>
      </c>
      <c r="AE13" s="380">
        <f>CO2_FFC!AD5</f>
        <v>12.235011797173529</v>
      </c>
      <c r="AF13" s="870">
        <f>CO2_FFC!AE5</f>
        <v>13.276887897527338</v>
      </c>
      <c r="AG13" s="380">
        <f>CO2_FFC!AF5</f>
        <v>13.60200809288772</v>
      </c>
      <c r="AH13" s="380">
        <f>CO2_FFC!AG5</f>
        <v>12.102936422079161</v>
      </c>
      <c r="AI13" s="380">
        <f>CO2_FFC!AH5</f>
        <v>12.480073656420144</v>
      </c>
      <c r="AJ13" s="380">
        <f>CO2_FFC!AI5</f>
        <v>12.883270641350757</v>
      </c>
      <c r="AK13" s="380"/>
      <c r="AL13" s="380"/>
      <c r="AM13" s="380"/>
      <c r="AN13" s="7"/>
      <c r="AP13" s="783"/>
      <c r="AQ13" s="783"/>
      <c r="AR13" s="783"/>
    </row>
    <row r="14" spans="2:53" ht="15">
      <c r="B14" s="10"/>
      <c r="C14" s="358" t="s">
        <v>80</v>
      </c>
      <c r="D14" s="788">
        <f>Stationary!C40</f>
        <v>0.22146311499000002</v>
      </c>
      <c r="E14" s="788">
        <f>Stationary!D40</f>
        <v>0.22319701900000002</v>
      </c>
      <c r="F14" s="788">
        <f>Stationary!E40</f>
        <v>0.24130316051999998</v>
      </c>
      <c r="G14" s="788">
        <f>Stationary!F40</f>
        <v>0.24692919239</v>
      </c>
      <c r="H14" s="788">
        <f>Stationary!G40</f>
        <v>0.23707447088</v>
      </c>
      <c r="I14" s="788">
        <f>Stationary!H40</f>
        <v>0.23013408961000001</v>
      </c>
      <c r="J14" s="788">
        <f>Stationary!I40</f>
        <v>0.23386723920999997</v>
      </c>
      <c r="K14" s="788">
        <f>Stationary!J40</f>
        <v>0.18572004491999997</v>
      </c>
      <c r="L14" s="788">
        <f>Stationary!K40</f>
        <v>0.16721576863999998</v>
      </c>
      <c r="M14" s="788">
        <f>Stationary!L40</f>
        <v>0.17373373315999999</v>
      </c>
      <c r="N14" s="788">
        <f>Stationary!M40</f>
        <v>0.18965812091999998</v>
      </c>
      <c r="O14" s="788">
        <f>Stationary!N40</f>
        <v>0.17001017633883481</v>
      </c>
      <c r="P14" s="788">
        <f>Stationary!O40</f>
        <v>0.17220737271805805</v>
      </c>
      <c r="Q14" s="788">
        <f>Stationary!P40</f>
        <v>0.1768570926784464</v>
      </c>
      <c r="R14" s="788">
        <f>Stationary!Q40</f>
        <v>0.17276405420689284</v>
      </c>
      <c r="S14" s="788">
        <f>Stationary!R40</f>
        <v>9.7275763499513487E-2</v>
      </c>
      <c r="T14" s="788">
        <f>Stationary!S40</f>
        <v>8.4134692390093954E-2</v>
      </c>
      <c r="U14" s="788">
        <f>Stationary!T40</f>
        <v>8.9188963264413237E-2</v>
      </c>
      <c r="V14" s="788">
        <f>Stationary!U40</f>
        <v>9.4446659070239081E-2</v>
      </c>
      <c r="W14" s="788">
        <f>Stationary!V40</f>
        <v>0.14273334035310292</v>
      </c>
      <c r="X14" s="788">
        <f>Stationary!W40</f>
        <v>0.14840344911528816</v>
      </c>
      <c r="Y14" s="788">
        <f>Stationary!X40</f>
        <v>0.145500626043436</v>
      </c>
      <c r="Z14" s="788">
        <f>Stationary!Y40</f>
        <v>0.12264981298945812</v>
      </c>
      <c r="AA14" s="788">
        <f>Stationary!Z40</f>
        <v>0.14766514310209233</v>
      </c>
      <c r="AB14" s="788">
        <f>Stationary!AA40</f>
        <v>0.15495476199700042</v>
      </c>
      <c r="AC14" s="380">
        <f>Stationary!AB40</f>
        <v>0.14455749508825541</v>
      </c>
      <c r="AD14" s="380">
        <f>Stationary!AC40</f>
        <v>0.1166058847843976</v>
      </c>
      <c r="AE14" s="380">
        <f>Stationary!AD40</f>
        <v>0.12000617690079979</v>
      </c>
      <c r="AF14" s="870">
        <f>Stationary!AE40</f>
        <v>0.12435901158253188</v>
      </c>
      <c r="AG14" s="380">
        <f>Stationary!AF40</f>
        <v>0.14094700414758929</v>
      </c>
      <c r="AH14" s="380">
        <f>Stationary!AG40</f>
        <v>0.1005962692938505</v>
      </c>
      <c r="AI14" s="380">
        <f>Stationary!AH40</f>
        <v>0.10713876512798183</v>
      </c>
      <c r="AJ14" s="380">
        <f>Stationary!AI40</f>
        <v>0.11733857132420025</v>
      </c>
      <c r="AK14" s="380"/>
      <c r="AL14" s="380"/>
      <c r="AM14" s="380"/>
      <c r="AN14" s="7"/>
      <c r="AP14" s="783"/>
      <c r="AQ14" s="783"/>
      <c r="AR14" s="783"/>
    </row>
    <row r="15" spans="2:53" ht="15">
      <c r="B15" s="10"/>
      <c r="C15" s="450" t="s">
        <v>81</v>
      </c>
      <c r="D15" s="818">
        <f t="shared" ref="D15" si="6">D16+D17</f>
        <v>8.4498373292805997</v>
      </c>
      <c r="E15" s="818">
        <f t="shared" ref="E15:Z15" si="7">E16+E17</f>
        <v>9.2327174055964729</v>
      </c>
      <c r="F15" s="818">
        <f t="shared" si="7"/>
        <v>8.9900720556205993</v>
      </c>
      <c r="G15" s="818">
        <f t="shared" si="7"/>
        <v>8.0482362214060164</v>
      </c>
      <c r="H15" s="818">
        <f t="shared" si="7"/>
        <v>8.921629042544625</v>
      </c>
      <c r="I15" s="818">
        <f t="shared" si="7"/>
        <v>9.018799817873635</v>
      </c>
      <c r="J15" s="818">
        <f t="shared" si="7"/>
        <v>9.1210152080864475</v>
      </c>
      <c r="K15" s="818">
        <f t="shared" si="7"/>
        <v>9.5098828363490053</v>
      </c>
      <c r="L15" s="818">
        <f t="shared" si="7"/>
        <v>8.1251718135853466</v>
      </c>
      <c r="M15" s="818">
        <f t="shared" si="7"/>
        <v>6.2393751516955165</v>
      </c>
      <c r="N15" s="818">
        <f t="shared" si="7"/>
        <v>6.8430239750778155</v>
      </c>
      <c r="O15" s="818">
        <f t="shared" si="7"/>
        <v>5.8080881395792963</v>
      </c>
      <c r="P15" s="818">
        <f t="shared" si="7"/>
        <v>5.9304040174073975</v>
      </c>
      <c r="Q15" s="818">
        <f t="shared" si="7"/>
        <v>7.1634710881257879</v>
      </c>
      <c r="R15" s="818">
        <f t="shared" si="7"/>
        <v>6.5866153077796898</v>
      </c>
      <c r="S15" s="818">
        <f t="shared" si="7"/>
        <v>6.7227130330437754</v>
      </c>
      <c r="T15" s="818">
        <f t="shared" si="7"/>
        <v>5.043099047620605</v>
      </c>
      <c r="U15" s="818">
        <f t="shared" si="7"/>
        <v>5.3760371803162688</v>
      </c>
      <c r="V15" s="818">
        <f t="shared" si="7"/>
        <v>5.6229897228886969</v>
      </c>
      <c r="W15" s="818">
        <f t="shared" si="7"/>
        <v>5.8286975313890119</v>
      </c>
      <c r="X15" s="818">
        <f t="shared" si="7"/>
        <v>6.7611009884578097</v>
      </c>
      <c r="Y15" s="818">
        <f t="shared" si="7"/>
        <v>6.3698002623165113</v>
      </c>
      <c r="Z15" s="818">
        <f t="shared" si="7"/>
        <v>5.2680912967014679</v>
      </c>
      <c r="AA15" s="818">
        <f t="shared" ref="AA15:AF15" si="8">AA16+AA17</f>
        <v>6.7973406332367121</v>
      </c>
      <c r="AB15" s="818">
        <f t="shared" si="8"/>
        <v>7.1829581238722682</v>
      </c>
      <c r="AC15" s="818">
        <f t="shared" si="8"/>
        <v>7.5869342069335239</v>
      </c>
      <c r="AD15" s="818">
        <f t="shared" si="8"/>
        <v>7.0016349806269655</v>
      </c>
      <c r="AE15" s="818">
        <f t="shared" si="8"/>
        <v>7.3467236414478316</v>
      </c>
      <c r="AF15" s="883">
        <f t="shared" si="8"/>
        <v>7.8866810790388975</v>
      </c>
      <c r="AG15" s="818">
        <f t="shared" ref="AG15:AH15" si="9">AG16+AG17</f>
        <v>8.0663493581388526</v>
      </c>
      <c r="AH15" s="818">
        <f t="shared" si="9"/>
        <v>7.2578524526362864</v>
      </c>
      <c r="AI15" s="818">
        <f t="shared" ref="AI15:AJ15" si="10">AI16+AI17</f>
        <v>7.3896075854042547</v>
      </c>
      <c r="AJ15" s="818">
        <f t="shared" si="10"/>
        <v>8.13281638377447</v>
      </c>
      <c r="AK15" s="818"/>
      <c r="AL15" s="818"/>
      <c r="AM15" s="818"/>
      <c r="AN15" s="7"/>
      <c r="AP15" s="783"/>
      <c r="AQ15" s="783"/>
      <c r="AR15" s="783"/>
    </row>
    <row r="16" spans="2:53" ht="15">
      <c r="B16" s="10"/>
      <c r="C16" s="358" t="s">
        <v>82</v>
      </c>
      <c r="D16" s="380">
        <f>CO2_FFC!C10</f>
        <v>8.393199905810599</v>
      </c>
      <c r="E16" s="380">
        <f>CO2_FFC!D10</f>
        <v>9.1714074410264725</v>
      </c>
      <c r="F16" s="380">
        <f>CO2_FFC!E10</f>
        <v>8.9309955359805997</v>
      </c>
      <c r="G16" s="380">
        <f>CO2_FFC!F10</f>
        <v>7.9899165283760158</v>
      </c>
      <c r="H16" s="380">
        <f>CO2_FFC!G10</f>
        <v>8.8622762327746258</v>
      </c>
      <c r="I16" s="380">
        <f>CO2_FFC!H10</f>
        <v>8.9583234115736357</v>
      </c>
      <c r="J16" s="380">
        <f>CO2_FFC!I10</f>
        <v>9.0613426494264484</v>
      </c>
      <c r="K16" s="380">
        <f>CO2_FFC!J10</f>
        <v>9.452356588049005</v>
      </c>
      <c r="L16" s="380">
        <f>CO2_FFC!K10</f>
        <v>8.0754548915353475</v>
      </c>
      <c r="M16" s="380">
        <f>CO2_FFC!L10</f>
        <v>6.1959925594355161</v>
      </c>
      <c r="N16" s="380">
        <f>CO2_FFC!M10</f>
        <v>6.7932535616058303</v>
      </c>
      <c r="O16" s="380">
        <f>CO2_FFC!N10</f>
        <v>5.7670060508675824</v>
      </c>
      <c r="P16" s="380">
        <f>CO2_FFC!O10</f>
        <v>5.8880337932122524</v>
      </c>
      <c r="Q16" s="380">
        <f>CO2_FFC!P10</f>
        <v>7.1132084080597151</v>
      </c>
      <c r="R16" s="380">
        <f>CO2_FFC!Q10</f>
        <v>6.5373600288097871</v>
      </c>
      <c r="S16" s="380">
        <f>CO2_FFC!R10</f>
        <v>6.6865712143985894</v>
      </c>
      <c r="T16" s="380">
        <f>CO2_FFC!S10</f>
        <v>5.0160944446169093</v>
      </c>
      <c r="U16" s="380">
        <f>CO2_FFC!T10</f>
        <v>5.3484329327599989</v>
      </c>
      <c r="V16" s="380">
        <f>CO2_FFC!U10</f>
        <v>5.5954704389832877</v>
      </c>
      <c r="W16" s="380">
        <f>CO2_FFC!V10</f>
        <v>5.7930992378099821</v>
      </c>
      <c r="X16" s="380">
        <f>CO2_FFC!W10</f>
        <v>6.7205520029870893</v>
      </c>
      <c r="Y16" s="380">
        <f>CO2_FFC!X10</f>
        <v>6.3331977627934153</v>
      </c>
      <c r="Z16" s="380">
        <f>CO2_FFC!Y10</f>
        <v>5.2380301223549299</v>
      </c>
      <c r="AA16" s="380">
        <f>CO2_FFC!Z10</f>
        <v>6.7611893496847895</v>
      </c>
      <c r="AB16" s="380">
        <f>CO2_FFC!AA10</f>
        <v>7.1448860839636392</v>
      </c>
      <c r="AC16" s="380">
        <f>CO2_FFC!AB10</f>
        <v>7.545627367910976</v>
      </c>
      <c r="AD16" s="380">
        <f>CO2_FFC!AC10</f>
        <v>6.9641016411483267</v>
      </c>
      <c r="AE16" s="380">
        <f>CO2_FFC!AD10</f>
        <v>7.3076283203949952</v>
      </c>
      <c r="AF16" s="870">
        <f>CO2_FFC!AE10</f>
        <v>7.8481931426451901</v>
      </c>
      <c r="AG16" s="380">
        <f>CO2_FFC!AF10</f>
        <v>8.0254561539310512</v>
      </c>
      <c r="AH16" s="380">
        <f>CO2_FFC!AG10</f>
        <v>7.2205112279485109</v>
      </c>
      <c r="AI16" s="380">
        <f>CO2_FFC!AH10</f>
        <v>7.3492946038554301</v>
      </c>
      <c r="AJ16" s="380">
        <f>CO2_FFC!AI10</f>
        <v>8.0910568216766663</v>
      </c>
      <c r="AK16" s="380"/>
      <c r="AL16" s="380"/>
      <c r="AM16" s="380"/>
      <c r="AN16" s="7"/>
      <c r="AP16" s="783"/>
      <c r="AQ16" s="783"/>
      <c r="AR16" s="783"/>
    </row>
    <row r="17" spans="2:44" ht="15">
      <c r="B17" s="10"/>
      <c r="C17" s="358" t="s">
        <v>83</v>
      </c>
      <c r="D17" s="788">
        <f>Stationary!C43</f>
        <v>5.6637423469999996E-2</v>
      </c>
      <c r="E17" s="788">
        <f>Stationary!D43</f>
        <v>6.1309964570000007E-2</v>
      </c>
      <c r="F17" s="788">
        <f>Stationary!E43</f>
        <v>5.9076519639999991E-2</v>
      </c>
      <c r="G17" s="788">
        <f>Stationary!F43</f>
        <v>5.8319693030000001E-2</v>
      </c>
      <c r="H17" s="788">
        <f>Stationary!G43</f>
        <v>5.9352809769999994E-2</v>
      </c>
      <c r="I17" s="788">
        <f>Stationary!H43</f>
        <v>6.04764063E-2</v>
      </c>
      <c r="J17" s="788">
        <f>Stationary!I43</f>
        <v>5.9672558659999986E-2</v>
      </c>
      <c r="K17" s="788">
        <f>Stationary!J43</f>
        <v>5.7526248299999992E-2</v>
      </c>
      <c r="L17" s="788">
        <f>Stationary!K43</f>
        <v>4.9716922049999994E-2</v>
      </c>
      <c r="M17" s="788">
        <f>Stationary!L43</f>
        <v>4.3382592259999998E-2</v>
      </c>
      <c r="N17" s="788">
        <f>Stationary!M43</f>
        <v>4.9770413471985499E-2</v>
      </c>
      <c r="O17" s="788">
        <f>Stationary!N43</f>
        <v>4.1082088711713378E-2</v>
      </c>
      <c r="P17" s="788">
        <f>Stationary!O43</f>
        <v>4.2370224195145578E-2</v>
      </c>
      <c r="Q17" s="788">
        <f>Stationary!P43</f>
        <v>5.0262680066072561E-2</v>
      </c>
      <c r="R17" s="788">
        <f>Stationary!Q43</f>
        <v>4.9255278969902769E-2</v>
      </c>
      <c r="S17" s="788">
        <f>Stationary!R43</f>
        <v>3.6141818645186112E-2</v>
      </c>
      <c r="T17" s="788">
        <f>Stationary!S43</f>
        <v>2.7004603003695324E-2</v>
      </c>
      <c r="U17" s="788">
        <f>Stationary!T43</f>
        <v>2.7604247556269484E-2</v>
      </c>
      <c r="V17" s="788">
        <f>Stationary!U43</f>
        <v>2.7519283905409309E-2</v>
      </c>
      <c r="W17" s="788">
        <f>Stationary!V43</f>
        <v>3.5598293579029459E-2</v>
      </c>
      <c r="X17" s="788">
        <f>Stationary!W43</f>
        <v>4.0548985470720569E-2</v>
      </c>
      <c r="Y17" s="788">
        <f>Stationary!X43</f>
        <v>3.6602499523095702E-2</v>
      </c>
      <c r="Z17" s="788">
        <f>Stationary!Y43</f>
        <v>3.0061174346538162E-2</v>
      </c>
      <c r="AA17" s="788">
        <f>Stationary!Z43</f>
        <v>3.6151283551922923E-2</v>
      </c>
      <c r="AB17" s="788">
        <f>Stationary!AA43</f>
        <v>3.8072039908629181E-2</v>
      </c>
      <c r="AC17" s="380">
        <f>Stationary!AB43</f>
        <v>4.1306839022548052E-2</v>
      </c>
      <c r="AD17" s="380">
        <f>Stationary!AC43</f>
        <v>3.7533339478638759E-2</v>
      </c>
      <c r="AE17" s="380">
        <f>Stationary!AD43</f>
        <v>3.9095321052836064E-2</v>
      </c>
      <c r="AF17" s="870">
        <f>Stationary!AE43</f>
        <v>3.8487936393707241E-2</v>
      </c>
      <c r="AG17" s="380">
        <f>Stationary!AF43</f>
        <v>4.0893204207801251E-2</v>
      </c>
      <c r="AH17" s="380">
        <f>Stationary!AG43</f>
        <v>3.7341224687775752E-2</v>
      </c>
      <c r="AI17" s="380">
        <f>Stationary!AH43</f>
        <v>4.0312981548824872E-2</v>
      </c>
      <c r="AJ17" s="380">
        <f>Stationary!AI43</f>
        <v>4.1759562097804501E-2</v>
      </c>
      <c r="AK17" s="380"/>
      <c r="AL17" s="380"/>
      <c r="AM17" s="380"/>
      <c r="AN17" s="7"/>
      <c r="AP17" s="783"/>
      <c r="AQ17" s="783"/>
      <c r="AR17" s="783"/>
    </row>
    <row r="18" spans="2:44" ht="15">
      <c r="B18" s="10"/>
      <c r="C18" s="450" t="s">
        <v>84</v>
      </c>
      <c r="D18" s="818">
        <f>CO2_FFC!C53</f>
        <v>0</v>
      </c>
      <c r="E18" s="818">
        <f>CO2_FFC!D53</f>
        <v>0</v>
      </c>
      <c r="F18" s="818">
        <f>CO2_FFC!E53</f>
        <v>0</v>
      </c>
      <c r="G18" s="818">
        <f>CO2_FFC!F53</f>
        <v>0</v>
      </c>
      <c r="H18" s="818">
        <f>CO2_FFC!G53</f>
        <v>0</v>
      </c>
      <c r="I18" s="818">
        <f>CO2_FFC!H53</f>
        <v>0</v>
      </c>
      <c r="J18" s="818">
        <f>CO2_FFC!I53</f>
        <v>0</v>
      </c>
      <c r="K18" s="818">
        <f>CO2_FFC!J53</f>
        <v>0</v>
      </c>
      <c r="L18" s="818">
        <f>CO2_FFC!K53</f>
        <v>0</v>
      </c>
      <c r="M18" s="818">
        <f>CO2_FFC!L53</f>
        <v>0</v>
      </c>
      <c r="N18" s="818">
        <f>CO2_FFC!M53</f>
        <v>0</v>
      </c>
      <c r="O18" s="818">
        <f>CO2_FFC!N53</f>
        <v>0</v>
      </c>
      <c r="P18" s="818">
        <f>CO2_FFC!O53</f>
        <v>0</v>
      </c>
      <c r="Q18" s="818">
        <f>CO2_FFC!P53</f>
        <v>0</v>
      </c>
      <c r="R18" s="818">
        <f>CO2_FFC!Q53</f>
        <v>0</v>
      </c>
      <c r="S18" s="818">
        <f>CO2_FFC!R53</f>
        <v>0</v>
      </c>
      <c r="T18" s="818">
        <f>CO2_FFC!S53</f>
        <v>0</v>
      </c>
      <c r="U18" s="818">
        <f>CO2_FFC!T53</f>
        <v>0</v>
      </c>
      <c r="V18" s="818">
        <f>CO2_FFC!U53</f>
        <v>0</v>
      </c>
      <c r="W18" s="818">
        <f>CO2_FFC!V53</f>
        <v>0</v>
      </c>
      <c r="X18" s="818">
        <f>CO2_FFC!W53</f>
        <v>0</v>
      </c>
      <c r="Y18" s="818">
        <f>CO2_FFC!X53</f>
        <v>0</v>
      </c>
      <c r="Z18" s="818">
        <f>CO2_FFC!Y53</f>
        <v>0</v>
      </c>
      <c r="AA18" s="818">
        <f>CO2_FFC!Z53</f>
        <v>0</v>
      </c>
      <c r="AB18" s="818">
        <f>CO2_FFC!AA53</f>
        <v>0</v>
      </c>
      <c r="AC18" s="818">
        <f>CO2_FFC!AB53</f>
        <v>0</v>
      </c>
      <c r="AD18" s="818">
        <f>CO2_FFC!AC53</f>
        <v>0</v>
      </c>
      <c r="AE18" s="818">
        <f>CO2_FFC!AD53</f>
        <v>0</v>
      </c>
      <c r="AF18" s="883">
        <f>CO2_FFC!AE53</f>
        <v>4.4567682329355309E-3</v>
      </c>
      <c r="AG18" s="818">
        <f>CO2_FFC!AF53</f>
        <v>8.7899315773823424E-3</v>
      </c>
      <c r="AH18" s="818">
        <f>CO2_FFC!AG53</f>
        <v>1.5362869634772607E-2</v>
      </c>
      <c r="AI18" s="818">
        <f>CO2_FFC!AH53</f>
        <v>2.6831734169418742E-2</v>
      </c>
      <c r="AJ18" s="818">
        <f>CO2_FFC!AI53</f>
        <v>2.1138240382498417E-2</v>
      </c>
      <c r="AK18" s="1197"/>
      <c r="AL18" s="1197"/>
      <c r="AM18" s="1197"/>
      <c r="AN18" s="7"/>
      <c r="AP18" s="1241"/>
      <c r="AQ18" s="1241"/>
      <c r="AR18" s="1241"/>
    </row>
    <row r="19" spans="2:44" ht="15">
      <c r="B19" s="10"/>
      <c r="C19" s="451" t="s">
        <v>85</v>
      </c>
      <c r="D19" s="810">
        <f t="shared" ref="D19" si="11">D20+D21+D22+D23</f>
        <v>5.6055444375748946</v>
      </c>
      <c r="E19" s="810">
        <f t="shared" ref="E19:AC19" si="12">E20+E21+E22+E23</f>
        <v>4.7328409933051026</v>
      </c>
      <c r="F19" s="810">
        <f t="shared" si="12"/>
        <v>6.4646976690637183</v>
      </c>
      <c r="G19" s="810">
        <f t="shared" si="12"/>
        <v>6.6237986733791532</v>
      </c>
      <c r="H19" s="810">
        <f t="shared" si="12"/>
        <v>5.7387061744089225</v>
      </c>
      <c r="I19" s="810">
        <f t="shared" si="12"/>
        <v>5.0548236972883327</v>
      </c>
      <c r="J19" s="810">
        <f t="shared" si="12"/>
        <v>5.0352045973600434</v>
      </c>
      <c r="K19" s="810">
        <f t="shared" si="12"/>
        <v>5.1365507036797382</v>
      </c>
      <c r="L19" s="810">
        <f t="shared" si="12"/>
        <v>4.8190196972819219</v>
      </c>
      <c r="M19" s="810">
        <f t="shared" si="12"/>
        <v>5.5236045450469069</v>
      </c>
      <c r="N19" s="810">
        <f t="shared" si="12"/>
        <v>5.383699074112787</v>
      </c>
      <c r="O19" s="810">
        <f t="shared" si="12"/>
        <v>6.5334397169982976</v>
      </c>
      <c r="P19" s="810">
        <f t="shared" si="12"/>
        <v>6.435345446843038</v>
      </c>
      <c r="Q19" s="810">
        <f t="shared" si="12"/>
        <v>4.3803333150168502</v>
      </c>
      <c r="R19" s="810">
        <f t="shared" si="12"/>
        <v>4.273330769414045</v>
      </c>
      <c r="S19" s="810">
        <f t="shared" si="12"/>
        <v>4.5285892741443128</v>
      </c>
      <c r="T19" s="810">
        <f t="shared" si="12"/>
        <v>4.4025879463596489</v>
      </c>
      <c r="U19" s="810">
        <f t="shared" si="12"/>
        <v>4.3185592976348302</v>
      </c>
      <c r="V19" s="810">
        <f t="shared" si="12"/>
        <v>3.9880198797073669</v>
      </c>
      <c r="W19" s="810">
        <f t="shared" si="12"/>
        <v>3.2829648383483834</v>
      </c>
      <c r="X19" s="810">
        <f t="shared" si="12"/>
        <v>3.7103454298638465</v>
      </c>
      <c r="Y19" s="810">
        <f t="shared" si="12"/>
        <v>3.8684672038229566</v>
      </c>
      <c r="Z19" s="810">
        <f t="shared" si="12"/>
        <v>3.319348364609743</v>
      </c>
      <c r="AA19" s="810">
        <f t="shared" si="12"/>
        <v>3.5087182553165523</v>
      </c>
      <c r="AB19" s="810">
        <f t="shared" si="12"/>
        <v>3.4326962506983167</v>
      </c>
      <c r="AC19" s="810">
        <f t="shared" si="12"/>
        <v>3.4457475416232417</v>
      </c>
      <c r="AD19" s="810">
        <f t="shared" ref="AD19:AI19" si="13">AD20+AD21+AD22+AD23</f>
        <v>3.2329737262187876</v>
      </c>
      <c r="AE19" s="810">
        <f t="shared" si="13"/>
        <v>3.3143303499774706</v>
      </c>
      <c r="AF19" s="1072">
        <f t="shared" si="13"/>
        <v>3.3434035542597087</v>
      </c>
      <c r="AG19" s="810">
        <f t="shared" si="13"/>
        <v>3.4285298090215748</v>
      </c>
      <c r="AH19" s="810">
        <f t="shared" si="13"/>
        <v>3.1773973892722349</v>
      </c>
      <c r="AI19" s="810">
        <f t="shared" si="13"/>
        <v>3.3339873013435537</v>
      </c>
      <c r="AJ19" s="1080">
        <f t="shared" ref="AJ19" si="14">AJ20+AJ21+AJ22+AJ23</f>
        <v>3.443434174311121</v>
      </c>
      <c r="AK19" s="1080"/>
      <c r="AL19" s="810"/>
      <c r="AM19" s="810"/>
      <c r="AN19" s="7"/>
      <c r="AP19" s="783"/>
      <c r="AQ19" s="783"/>
      <c r="AR19" s="783"/>
    </row>
    <row r="20" spans="2:44" ht="15">
      <c r="B20" s="10"/>
      <c r="C20" s="358" t="s">
        <v>86</v>
      </c>
      <c r="D20" s="380">
        <f>CO2_FFC!C15</f>
        <v>5.4029918486572228</v>
      </c>
      <c r="E20" s="380">
        <f>CO2_FFC!D15</f>
        <v>4.5228229539407057</v>
      </c>
      <c r="F20" s="380">
        <f>CO2_FFC!E15</f>
        <v>6.1983455467103985</v>
      </c>
      <c r="G20" s="380">
        <f>CO2_FFC!F15</f>
        <v>6.3617694551449189</v>
      </c>
      <c r="H20" s="380">
        <f>CO2_FFC!G15</f>
        <v>5.4902460675242688</v>
      </c>
      <c r="I20" s="380">
        <f>CO2_FFC!H15</f>
        <v>4.8083305710321991</v>
      </c>
      <c r="J20" s="380">
        <f>CO2_FFC!I15</f>
        <v>4.7613870758922374</v>
      </c>
      <c r="K20" s="380">
        <f>CO2_FFC!J15</f>
        <v>4.8463383639798963</v>
      </c>
      <c r="L20" s="380">
        <f>CO2_FFC!K15</f>
        <v>4.6464592213513232</v>
      </c>
      <c r="M20" s="380">
        <f>CO2_FFC!L15</f>
        <v>5.3356945217852427</v>
      </c>
      <c r="N20" s="380">
        <f>CO2_FFC!M15</f>
        <v>5.2142643450296333</v>
      </c>
      <c r="O20" s="380">
        <f>CO2_FFC!N15</f>
        <v>6.3077104169447518</v>
      </c>
      <c r="P20" s="380">
        <f>CO2_FFC!O15</f>
        <v>6.1681683456848448</v>
      </c>
      <c r="Q20" s="380">
        <f>CO2_FFC!P15</f>
        <v>4.1408561850813221</v>
      </c>
      <c r="R20" s="380">
        <f>CO2_FFC!Q15</f>
        <v>4.0150771427307745</v>
      </c>
      <c r="S20" s="380">
        <f>CO2_FFC!R15</f>
        <v>4.2678692488388226</v>
      </c>
      <c r="T20" s="380">
        <f>CO2_FFC!S15</f>
        <v>4.0644835806137136</v>
      </c>
      <c r="U20" s="380">
        <f>CO2_FFC!T15</f>
        <v>3.9613641488613593</v>
      </c>
      <c r="V20" s="380">
        <f>CO2_FFC!U15</f>
        <v>3.6787495408304318</v>
      </c>
      <c r="W20" s="380">
        <f>CO2_FFC!V15</f>
        <v>2.9634075377400251</v>
      </c>
      <c r="X20" s="380">
        <f>CO2_FFC!W15</f>
        <v>3.4573603275871352</v>
      </c>
      <c r="Y20" s="380">
        <f>CO2_FFC!X15</f>
        <v>3.6499889938515082</v>
      </c>
      <c r="Z20" s="380">
        <f>CO2_FFC!Y15</f>
        <v>3.161272181995046</v>
      </c>
      <c r="AA20" s="380">
        <f>CO2_FFC!Z15</f>
        <v>3.3348772974235161</v>
      </c>
      <c r="AB20" s="380">
        <f>CO2_FFC!AA15</f>
        <v>3.2325052712513571</v>
      </c>
      <c r="AC20" s="380">
        <f>CO2_FFC!AB15</f>
        <v>3.2415437997505472</v>
      </c>
      <c r="AD20" s="380">
        <f>CO2_FFC!AC15</f>
        <v>3.1253277558171089</v>
      </c>
      <c r="AE20" s="380">
        <f>CO2_FFC!AD15</f>
        <v>3.2402989292975919</v>
      </c>
      <c r="AF20" s="870">
        <f>CO2_FFC!AE15</f>
        <v>3.2104718469933418</v>
      </c>
      <c r="AG20" s="380">
        <f>CO2_FFC!AF15</f>
        <v>3.2576214499376914</v>
      </c>
      <c r="AH20" s="380">
        <f>CO2_FFC!AG15</f>
        <v>3.0524355227076456</v>
      </c>
      <c r="AI20" s="380">
        <f>CO2_FFC!AH15</f>
        <v>3.2261720807727956</v>
      </c>
      <c r="AJ20" s="783">
        <f>CO2_FFC!AI15</f>
        <v>3.3479002685233925</v>
      </c>
      <c r="AK20" s="380"/>
      <c r="AL20" s="380"/>
      <c r="AM20" s="380"/>
      <c r="AN20" s="7"/>
      <c r="AP20" s="783"/>
      <c r="AQ20" s="783"/>
      <c r="AR20" s="783"/>
    </row>
    <row r="21" spans="2:44" ht="15">
      <c r="B21" s="10"/>
      <c r="C21" s="358" t="s">
        <v>87</v>
      </c>
      <c r="D21" s="788">
        <f>Stationary!C46</f>
        <v>2.19391063196166E-2</v>
      </c>
      <c r="E21" s="788">
        <f>Stationary!D46</f>
        <v>1.8781763976866355E-2</v>
      </c>
      <c r="F21" s="788">
        <f>Stationary!E46</f>
        <v>2.2028050975299421E-2</v>
      </c>
      <c r="G21" s="788">
        <f>Stationary!F46</f>
        <v>2.2576235395789939E-2</v>
      </c>
      <c r="H21" s="788">
        <f>Stationary!G46</f>
        <v>2.0931408654771038E-2</v>
      </c>
      <c r="I21" s="788">
        <f>Stationary!H46</f>
        <v>2.0643115784405128E-2</v>
      </c>
      <c r="J21" s="788">
        <f>Stationary!I46</f>
        <v>2.0520728261739413E-2</v>
      </c>
      <c r="K21" s="788">
        <f>Stationary!J46</f>
        <v>2.1745724419546825E-2</v>
      </c>
      <c r="L21" s="788">
        <f>Stationary!K46</f>
        <v>1.9165047541601147E-2</v>
      </c>
      <c r="M21" s="788">
        <f>Stationary!L46</f>
        <v>1.9545638441667956E-2</v>
      </c>
      <c r="N21" s="788">
        <f>Stationary!M46</f>
        <v>1.9460913438582691E-2</v>
      </c>
      <c r="O21" s="788">
        <f>Stationary!N46</f>
        <v>1.9232176795174957E-2</v>
      </c>
      <c r="P21" s="788">
        <f>Stationary!O46</f>
        <v>1.5271751859067314E-2</v>
      </c>
      <c r="Q21" s="788">
        <f>Stationary!P46</f>
        <v>1.3985172767404663E-2</v>
      </c>
      <c r="R21" s="788">
        <f>Stationary!Q46</f>
        <v>1.4127689803131883E-2</v>
      </c>
      <c r="S21" s="788">
        <f>Stationary!R46</f>
        <v>1.4674071642138202E-2</v>
      </c>
      <c r="T21" s="788">
        <f>Stationary!S46</f>
        <v>1.465079889271763E-2</v>
      </c>
      <c r="U21" s="788">
        <f>Stationary!T46</f>
        <v>1.4282323883146444E-2</v>
      </c>
      <c r="V21" s="788">
        <f>Stationary!U46</f>
        <v>1.3430691929560775E-2</v>
      </c>
      <c r="W21" s="788">
        <f>Stationary!V46</f>
        <v>1.0589194550226607E-2</v>
      </c>
      <c r="X21" s="788">
        <f>Stationary!W46</f>
        <v>1.563475074240385E-2</v>
      </c>
      <c r="Y21" s="788">
        <f>Stationary!X46</f>
        <v>1.9356157358088162E-2</v>
      </c>
      <c r="Z21" s="788">
        <f>Stationary!Y46</f>
        <v>1.8178716107587877E-2</v>
      </c>
      <c r="AA21" s="788">
        <f>Stationary!Z46</f>
        <v>1.8261515368813042E-2</v>
      </c>
      <c r="AB21" s="788">
        <f>Stationary!AA46</f>
        <v>1.7641932082315848E-2</v>
      </c>
      <c r="AC21" s="380">
        <f>Stationary!AB46</f>
        <v>1.7697796998385435E-2</v>
      </c>
      <c r="AD21" s="380">
        <f>Stationary!AC46</f>
        <v>1.686675520599782E-2</v>
      </c>
      <c r="AE21" s="380">
        <f>Stationary!AD46</f>
        <v>9.7403983400133273E-3</v>
      </c>
      <c r="AF21" s="870">
        <f>Stationary!AE46</f>
        <v>9.537154264502308E-3</v>
      </c>
      <c r="AG21" s="380">
        <f>Stationary!AF46</f>
        <v>9.5614253896399177E-3</v>
      </c>
      <c r="AH21" s="380">
        <f>Stationary!AG46</f>
        <v>9.2829660458685851E-3</v>
      </c>
      <c r="AI21" s="380">
        <f>Stationary!AH46</f>
        <v>9.5944453438484879E-3</v>
      </c>
      <c r="AJ21" s="783">
        <f>Stationary!AI46</f>
        <v>9.7362239781499816E-3</v>
      </c>
      <c r="AK21" s="380"/>
      <c r="AL21" s="380"/>
      <c r="AM21" s="380"/>
      <c r="AN21" s="800"/>
      <c r="AP21" s="783"/>
      <c r="AQ21" s="783"/>
      <c r="AR21" s="783"/>
    </row>
    <row r="22" spans="2:44" ht="15">
      <c r="B22" s="10"/>
      <c r="C22" s="358" t="s">
        <v>88</v>
      </c>
      <c r="D22" s="788">
        <f>'Solid Waste'!C56</f>
        <v>0.1126915732517219</v>
      </c>
      <c r="E22" s="788">
        <f>'Solid Waste'!D56</f>
        <v>0.10780756578386329</v>
      </c>
      <c r="F22" s="788">
        <f>'Solid Waste'!E56</f>
        <v>0.14703483140735457</v>
      </c>
      <c r="G22" s="788">
        <f>'Solid Waste'!F56</f>
        <v>0.11598274106344438</v>
      </c>
      <c r="H22" s="788">
        <f>'Solid Waste'!G56</f>
        <v>0.12869939932954891</v>
      </c>
      <c r="I22" s="788">
        <f>'Solid Waste'!H56</f>
        <v>0.12388748823172865</v>
      </c>
      <c r="J22" s="788">
        <f>'Solid Waste'!I56</f>
        <v>0.13720821319740065</v>
      </c>
      <c r="K22" s="788">
        <f>'Solid Waste'!J56</f>
        <v>0.13874623520033988</v>
      </c>
      <c r="L22" s="788">
        <f>'Solid Waste'!K56</f>
        <v>4.8573304707626545E-2</v>
      </c>
      <c r="M22" s="788">
        <f>'Solid Waste'!L56</f>
        <v>2.217294878658331E-2</v>
      </c>
      <c r="N22" s="788">
        <f>'Solid Waste'!M56</f>
        <v>1.8292544433371135E-2</v>
      </c>
      <c r="O22" s="788">
        <f>'Solid Waste'!N56</f>
        <v>3.1002130600218471E-2</v>
      </c>
      <c r="P22" s="788">
        <f>'Solid Waste'!O56</f>
        <v>1.8631997586851055E-2</v>
      </c>
      <c r="Q22" s="788">
        <f>'Solid Waste'!P56</f>
        <v>1.8667478631540543E-2</v>
      </c>
      <c r="R22" s="788">
        <f>'Solid Waste'!Q56</f>
        <v>1.8487983644698811E-2</v>
      </c>
      <c r="S22" s="788">
        <f>'Solid Waste'!R56</f>
        <v>1.8804516083025604E-2</v>
      </c>
      <c r="T22" s="788">
        <f>'Solid Waste'!S56</f>
        <v>5.9346693132762716E-2</v>
      </c>
      <c r="U22" s="788">
        <f>'Solid Waste'!T56</f>
        <v>6.7368989076868044E-2</v>
      </c>
      <c r="V22" s="788">
        <f>'Solid Waste'!U56</f>
        <v>6.6419514870621199E-2</v>
      </c>
      <c r="W22" s="788">
        <f>'Solid Waste'!V56</f>
        <v>7.3406634998200743E-2</v>
      </c>
      <c r="X22" s="788">
        <f>'Solid Waste'!W56</f>
        <v>2.2319670000000003E-2</v>
      </c>
      <c r="Y22" s="788">
        <f>'Solid Waste'!X56</f>
        <v>2.3564499999999999E-2</v>
      </c>
      <c r="Z22" s="788">
        <f>'Solid Waste'!Y56</f>
        <v>2.6235499999999998E-2</v>
      </c>
      <c r="AA22" s="788">
        <f>'Solid Waste'!Z56</f>
        <v>2.7109049999999999E-2</v>
      </c>
      <c r="AB22" s="788">
        <f>'Solid Waste'!AA56</f>
        <v>2.7830348000000001E-2</v>
      </c>
      <c r="AC22" s="380">
        <f>'Solid Waste'!AB56</f>
        <v>2.6892700000000002E-2</v>
      </c>
      <c r="AD22" s="380">
        <f>'Solid Waste'!AC56</f>
        <v>3.0995358000000001E-2</v>
      </c>
      <c r="AE22" s="380">
        <f>'Solid Waste'!AD56</f>
        <v>2.80193E-2</v>
      </c>
      <c r="AF22" s="870">
        <f>'Solid Waste'!AE56</f>
        <v>4.0953804000000003E-2</v>
      </c>
      <c r="AG22" s="380">
        <f>'Solid Waste'!AF56</f>
        <v>1.9520982000000003E-2</v>
      </c>
      <c r="AH22" s="380">
        <f>'Solid Waste'!AG56</f>
        <v>1.7101537999999999E-2</v>
      </c>
      <c r="AI22" s="380">
        <f>'Solid Waste'!AH56</f>
        <v>2.8212000000000001E-2</v>
      </c>
      <c r="AJ22" s="380">
        <f>'Solid Waste'!AI56</f>
        <v>6.7669460000000002E-3</v>
      </c>
      <c r="AK22" s="783"/>
      <c r="AL22" s="380"/>
      <c r="AM22" s="380"/>
      <c r="AN22" s="7"/>
      <c r="AP22" s="380"/>
      <c r="AQ22" s="380"/>
      <c r="AR22" s="380"/>
    </row>
    <row r="23" spans="2:44" ht="15">
      <c r="B23" s="10"/>
      <c r="C23" s="358" t="s">
        <v>89</v>
      </c>
      <c r="D23" s="788">
        <f>CO2_FFC!C43+Stationary!C56</f>
        <v>6.7921909346333326E-2</v>
      </c>
      <c r="E23" s="788">
        <f>CO2_FFC!D43+Stationary!D56</f>
        <v>8.3428709603666662E-2</v>
      </c>
      <c r="F23" s="788">
        <f>CO2_FFC!E43+Stationary!E56</f>
        <v>9.7289239970666658E-2</v>
      </c>
      <c r="G23" s="788">
        <f>CO2_FFC!F43+Stationary!F56</f>
        <v>0.12347024177499999</v>
      </c>
      <c r="H23" s="788">
        <f>CO2_FFC!G43+Stationary!G56</f>
        <v>9.8829298900333332E-2</v>
      </c>
      <c r="I23" s="788">
        <f>CO2_FFC!H43+Stationary!H56</f>
        <v>0.10196252223999999</v>
      </c>
      <c r="J23" s="788">
        <f>CO2_FFC!I43+Stationary!I56</f>
        <v>0.11608858000866666</v>
      </c>
      <c r="K23" s="788">
        <f>CO2_FFC!J43+Stationary!J56</f>
        <v>0.12972038007995582</v>
      </c>
      <c r="L23" s="788">
        <f>CO2_FFC!K43+Stationary!K56</f>
        <v>0.10482212368137114</v>
      </c>
      <c r="M23" s="788">
        <f>CO2_FFC!L43+Stationary!L56</f>
        <v>0.14619143603341275</v>
      </c>
      <c r="N23" s="788">
        <f>CO2_FFC!M43+Stationary!M56</f>
        <v>0.1316812712111993</v>
      </c>
      <c r="O23" s="788">
        <f>CO2_FFC!N43+Stationary!N56</f>
        <v>0.17549499265815219</v>
      </c>
      <c r="P23" s="788">
        <f>CO2_FFC!O43+Stationary!O56</f>
        <v>0.23327335171227376</v>
      </c>
      <c r="Q23" s="788">
        <f>CO2_FFC!P43+Stationary!P56</f>
        <v>0.20682447853658284</v>
      </c>
      <c r="R23" s="788">
        <f>CO2_FFC!Q43+Stationary!Q56</f>
        <v>0.22563795323543934</v>
      </c>
      <c r="S23" s="788">
        <f>CO2_FFC!R43+Stationary!R56</f>
        <v>0.22724143758032703</v>
      </c>
      <c r="T23" s="788">
        <f>CO2_FFC!S43+Stationary!S56</f>
        <v>0.26410687372045483</v>
      </c>
      <c r="U23" s="788">
        <f>CO2_FFC!T43+Stationary!T56</f>
        <v>0.27554383581345654</v>
      </c>
      <c r="V23" s="788">
        <f>CO2_FFC!U43+Stationary!U56</f>
        <v>0.22942013207675335</v>
      </c>
      <c r="W23" s="788">
        <f>CO2_FFC!V43+Stationary!V56</f>
        <v>0.23556147105993108</v>
      </c>
      <c r="X23" s="788">
        <f>CO2_FFC!W43+Stationary!W56</f>
        <v>0.21503068153430754</v>
      </c>
      <c r="Y23" s="788">
        <f>CO2_FFC!X43+Stationary!X56</f>
        <v>0.1755575526133602</v>
      </c>
      <c r="Z23" s="788">
        <f>CO2_FFC!Y43+Stationary!Y56</f>
        <v>0.11366196650710964</v>
      </c>
      <c r="AA23" s="788">
        <f>CO2_FFC!Z43+Stationary!Z56</f>
        <v>0.1284703925242234</v>
      </c>
      <c r="AB23" s="788">
        <f>CO2_FFC!AA43+Stationary!AA56</f>
        <v>0.1547186993646435</v>
      </c>
      <c r="AC23" s="788">
        <f>CO2_FFC!AB43+Stationary!AB56</f>
        <v>0.15961324487430897</v>
      </c>
      <c r="AD23" s="380">
        <f>CO2_FFC!AC43+Stationary!AC56</f>
        <v>5.9783857195680662E-2</v>
      </c>
      <c r="AE23" s="380">
        <f>CO2_FFC!AD43+Stationary!AD56</f>
        <v>3.6271722339865607E-2</v>
      </c>
      <c r="AF23" s="380">
        <f>CO2_FFC!AE43+Stationary!AE56</f>
        <v>8.2440749001864738E-2</v>
      </c>
      <c r="AG23" s="380">
        <f>CO2_FFC!AF43+Stationary!AF56</f>
        <v>0.14182595169424347</v>
      </c>
      <c r="AH23" s="380">
        <f>CO2_FFC!AG43+Stationary!AG56</f>
        <v>9.8577362518720957E-2</v>
      </c>
      <c r="AI23" s="380">
        <f>CO2_FFC!AH43+Stationary!AH56</f>
        <v>7.0008775226909792E-2</v>
      </c>
      <c r="AJ23" s="380">
        <f>CO2_FFC!AI43+Stationary!AI56</f>
        <v>7.9030735809578728E-2</v>
      </c>
      <c r="AK23" s="380"/>
      <c r="AL23" s="380"/>
      <c r="AM23" s="380"/>
      <c r="AN23" s="7"/>
      <c r="AP23" s="380"/>
      <c r="AQ23" s="380"/>
      <c r="AR23" s="380"/>
    </row>
    <row r="24" spans="2:44" ht="15">
      <c r="B24" s="10"/>
      <c r="C24" s="453" t="s">
        <v>90</v>
      </c>
      <c r="D24" s="820">
        <f t="shared" ref="D24" si="15">D25+D26</f>
        <v>29.581745501205152</v>
      </c>
      <c r="E24" s="820">
        <f t="shared" ref="E24:Z24" si="16">E25+E26</f>
        <v>28.008157894701178</v>
      </c>
      <c r="F24" s="820">
        <f t="shared" si="16"/>
        <v>27.563413985474689</v>
      </c>
      <c r="G24" s="820">
        <f t="shared" si="16"/>
        <v>27.772478299795356</v>
      </c>
      <c r="H24" s="820">
        <f t="shared" si="16"/>
        <v>28.042783422795132</v>
      </c>
      <c r="I24" s="820">
        <f t="shared" si="16"/>
        <v>28.704985829013353</v>
      </c>
      <c r="J24" s="820">
        <f t="shared" si="16"/>
        <v>29.563275834798592</v>
      </c>
      <c r="K24" s="820">
        <f t="shared" si="16"/>
        <v>29.897702983833565</v>
      </c>
      <c r="L24" s="820">
        <f t="shared" si="16"/>
        <v>30.181109205449104</v>
      </c>
      <c r="M24" s="820">
        <f t="shared" si="16"/>
        <v>30.790053220998082</v>
      </c>
      <c r="N24" s="820">
        <f t="shared" si="16"/>
        <v>31.933517863915544</v>
      </c>
      <c r="O24" s="820">
        <f t="shared" si="16"/>
        <v>31.430585003037418</v>
      </c>
      <c r="P24" s="820">
        <f t="shared" si="16"/>
        <v>31.574740568992283</v>
      </c>
      <c r="Q24" s="820">
        <f t="shared" si="16"/>
        <v>31.975501264052333</v>
      </c>
      <c r="R24" s="820">
        <f t="shared" si="16"/>
        <v>33.215146622359377</v>
      </c>
      <c r="S24" s="820">
        <f t="shared" si="16"/>
        <v>33.175691422999876</v>
      </c>
      <c r="T24" s="820">
        <f t="shared" si="16"/>
        <v>32.288107111618324</v>
      </c>
      <c r="U24" s="820">
        <f t="shared" si="16"/>
        <v>32.541825019643213</v>
      </c>
      <c r="V24" s="820">
        <f t="shared" si="16"/>
        <v>31.54022746940004</v>
      </c>
      <c r="W24" s="820">
        <f t="shared" si="16"/>
        <v>29.587581784741189</v>
      </c>
      <c r="X24" s="820">
        <f t="shared" si="16"/>
        <v>29.777333231530921</v>
      </c>
      <c r="Y24" s="820">
        <f t="shared" si="16"/>
        <v>29.714058402593366</v>
      </c>
      <c r="Z24" s="820">
        <f t="shared" si="16"/>
        <v>29.128761594393538</v>
      </c>
      <c r="AA24" s="820">
        <f t="shared" ref="AA24:AF24" si="17">AA25+AA26</f>
        <v>30.369155716681494</v>
      </c>
      <c r="AB24" s="820">
        <f t="shared" si="17"/>
        <v>28.526599424836107</v>
      </c>
      <c r="AC24" s="820">
        <f t="shared" si="17"/>
        <v>28.936034779613621</v>
      </c>
      <c r="AD24" s="820">
        <f t="shared" si="17"/>
        <v>29.270928447936527</v>
      </c>
      <c r="AE24" s="820">
        <f t="shared" si="17"/>
        <v>28.685739090034748</v>
      </c>
      <c r="AF24" s="1074">
        <f t="shared" si="17"/>
        <v>29.324613555027671</v>
      </c>
      <c r="AG24" s="820">
        <f t="shared" ref="AG24:AH24" si="18">AG25+AG26</f>
        <v>29.077598592722559</v>
      </c>
      <c r="AH24" s="820">
        <f t="shared" si="18"/>
        <v>22.943227217729611</v>
      </c>
      <c r="AI24" s="820">
        <f t="shared" ref="AI24:AJ24" si="19">AI25+AI26</f>
        <v>25.606773851436834</v>
      </c>
      <c r="AJ24" s="832">
        <f t="shared" si="19"/>
        <v>25.942382472066328</v>
      </c>
      <c r="AK24" s="832"/>
      <c r="AL24" s="832"/>
      <c r="AM24" s="832"/>
      <c r="AN24" s="7"/>
      <c r="AP24" s="783"/>
      <c r="AQ24" s="783"/>
      <c r="AR24" s="783"/>
    </row>
    <row r="25" spans="2:44" ht="15">
      <c r="B25" s="10"/>
      <c r="C25" s="358" t="s">
        <v>91</v>
      </c>
      <c r="D25" s="380">
        <f>CO2_FFC!C20</f>
        <v>28.506437825265561</v>
      </c>
      <c r="E25" s="380">
        <f>CO2_FFC!D20</f>
        <v>26.924606252648253</v>
      </c>
      <c r="F25" s="380">
        <f>CO2_FFC!E20</f>
        <v>26.448466366325668</v>
      </c>
      <c r="G25" s="380">
        <f>CO2_FFC!F20</f>
        <v>26.684940195948617</v>
      </c>
      <c r="H25" s="380">
        <f>CO2_FFC!G20</f>
        <v>26.904845065360281</v>
      </c>
      <c r="I25" s="380">
        <f>CO2_FFC!H20</f>
        <v>27.543957964998537</v>
      </c>
      <c r="J25" s="380">
        <f>CO2_FFC!I20</f>
        <v>28.348712325078182</v>
      </c>
      <c r="K25" s="380">
        <f>CO2_FFC!J20</f>
        <v>28.691676822505464</v>
      </c>
      <c r="L25" s="380">
        <f>CO2_FFC!K20</f>
        <v>28.98102039463458</v>
      </c>
      <c r="M25" s="380">
        <f>CO2_FFC!L20</f>
        <v>29.667708078894691</v>
      </c>
      <c r="N25" s="380">
        <f>CO2_FFC!M20</f>
        <v>30.840346353806449</v>
      </c>
      <c r="O25" s="380">
        <f>CO2_FFC!N20</f>
        <v>30.391075770329753</v>
      </c>
      <c r="P25" s="380">
        <f>CO2_FFC!O20</f>
        <v>30.599206279874757</v>
      </c>
      <c r="Q25" s="380">
        <f>CO2_FFC!P20</f>
        <v>31.044336567887118</v>
      </c>
      <c r="R25" s="380">
        <f>CO2_FFC!Q20</f>
        <v>32.341144579996183</v>
      </c>
      <c r="S25" s="380">
        <f>CO2_FFC!R20</f>
        <v>32.347883053926061</v>
      </c>
      <c r="T25" s="380">
        <f>CO2_FFC!S20</f>
        <v>31.473855031392308</v>
      </c>
      <c r="U25" s="380">
        <f>CO2_FFC!T20</f>
        <v>31.828916188486346</v>
      </c>
      <c r="V25" s="380">
        <f>CO2_FFC!U20</f>
        <v>30.871216525399529</v>
      </c>
      <c r="W25" s="380">
        <f>CO2_FFC!V20</f>
        <v>28.987244396457257</v>
      </c>
      <c r="X25" s="380">
        <f>CO2_FFC!W20</f>
        <v>29.194372528968803</v>
      </c>
      <c r="Y25" s="380">
        <f>CO2_FFC!X20</f>
        <v>29.139892806651648</v>
      </c>
      <c r="Z25" s="380">
        <f>CO2_FFC!Y20</f>
        <v>28.60906538035595</v>
      </c>
      <c r="AA25" s="380">
        <f>CO2_FFC!Z20</f>
        <v>29.873225105712574</v>
      </c>
      <c r="AB25" s="380">
        <f>CO2_FFC!AA20</f>
        <v>28.061539553056065</v>
      </c>
      <c r="AC25" s="380">
        <f>CO2_FFC!AB20</f>
        <v>28.545017287030312</v>
      </c>
      <c r="AD25" s="380">
        <f>CO2_FFC!AC20</f>
        <v>28.891424634303558</v>
      </c>
      <c r="AE25" s="380">
        <f>CO2_FFC!AD20</f>
        <v>28.332334902786233</v>
      </c>
      <c r="AF25" s="870">
        <f>CO2_FFC!AE20</f>
        <v>29.002637465691354</v>
      </c>
      <c r="AG25" s="380">
        <f>CO2_FFC!AF20</f>
        <v>28.718318898688366</v>
      </c>
      <c r="AH25" s="380">
        <f>CO2_FFC!AG20</f>
        <v>22.642037334535477</v>
      </c>
      <c r="AI25" s="380">
        <f>CO2_FFC!AH20</f>
        <v>25.3046622669575</v>
      </c>
      <c r="AJ25" s="380">
        <f>CO2_FFC!AI20</f>
        <v>25.915363713573509</v>
      </c>
      <c r="AK25" s="380"/>
      <c r="AL25" s="380"/>
      <c r="AM25" s="380"/>
      <c r="AN25" s="7"/>
      <c r="AP25" s="783"/>
      <c r="AQ25" s="783"/>
      <c r="AR25" s="783"/>
    </row>
    <row r="26" spans="2:44" ht="15">
      <c r="B26" s="10"/>
      <c r="C26" s="358" t="s">
        <v>92</v>
      </c>
      <c r="D26" s="380">
        <f>Mobile!C26/1000000</f>
        <v>1.0753076759395894</v>
      </c>
      <c r="E26" s="380">
        <f>Mobile!D26/1000000</f>
        <v>1.0835516420529232</v>
      </c>
      <c r="F26" s="380">
        <f>Mobile!E26/1000000</f>
        <v>1.11494761914902</v>
      </c>
      <c r="G26" s="380">
        <f>Mobile!F26/1000000</f>
        <v>1.0875381038467398</v>
      </c>
      <c r="H26" s="380">
        <f>Mobile!G26/1000000</f>
        <v>1.1379383574348521</v>
      </c>
      <c r="I26" s="380">
        <f>Mobile!H26/1000000</f>
        <v>1.1610278640148144</v>
      </c>
      <c r="J26" s="380">
        <f>Mobile!I26/1000000</f>
        <v>1.2145635097204102</v>
      </c>
      <c r="K26" s="380">
        <f>Mobile!J26/1000000</f>
        <v>1.2060261613281</v>
      </c>
      <c r="L26" s="380">
        <f>Mobile!K26/1000000</f>
        <v>1.2000888108145227</v>
      </c>
      <c r="M26" s="380">
        <f>Mobile!L26/1000000</f>
        <v>1.1223451421033908</v>
      </c>
      <c r="N26" s="380">
        <f>Mobile!M26/1000000</f>
        <v>1.0931715101090937</v>
      </c>
      <c r="O26" s="380">
        <f>Mobile!N26/1000000</f>
        <v>1.0395092327076663</v>
      </c>
      <c r="P26" s="380">
        <f>Mobile!O26/1000000</f>
        <v>0.97553428911752738</v>
      </c>
      <c r="Q26" s="380">
        <f>Mobile!P26/1000000</f>
        <v>0.93116469616521502</v>
      </c>
      <c r="R26" s="380">
        <f>Mobile!Q26/1000000</f>
        <v>0.8740020423631969</v>
      </c>
      <c r="S26" s="380">
        <f>Mobile!R26/1000000</f>
        <v>0.82780836907381583</v>
      </c>
      <c r="T26" s="380">
        <f>Mobile!S26/1000000</f>
        <v>0.81425208022601447</v>
      </c>
      <c r="U26" s="380">
        <f>Mobile!T26/1000000</f>
        <v>0.71290883115686765</v>
      </c>
      <c r="V26" s="380">
        <f>Mobile!U26/1000000</f>
        <v>0.66901094400051297</v>
      </c>
      <c r="W26" s="380">
        <f>Mobile!V26/1000000</f>
        <v>0.60033738828393424</v>
      </c>
      <c r="X26" s="380">
        <f>Mobile!W26/1000000</f>
        <v>0.58296070256211907</v>
      </c>
      <c r="Y26" s="380">
        <f>Mobile!X26/1000000</f>
        <v>0.57416559594171757</v>
      </c>
      <c r="Z26" s="380">
        <f>Mobile!Y26/1000000</f>
        <v>0.51969621403758626</v>
      </c>
      <c r="AA26" s="380">
        <f>Mobile!Z26/1000000</f>
        <v>0.49593061096891844</v>
      </c>
      <c r="AB26" s="380">
        <f>Mobile!AA26/1000000</f>
        <v>0.46505987178004188</v>
      </c>
      <c r="AC26" s="380">
        <f>Mobile!AB26/1000000</f>
        <v>0.3910174925833092</v>
      </c>
      <c r="AD26" s="380">
        <f>Mobile!AC26/1000000</f>
        <v>0.37950381363296926</v>
      </c>
      <c r="AE26" s="380">
        <f>Mobile!AD26/1000000</f>
        <v>0.3534041872485138</v>
      </c>
      <c r="AF26" s="870">
        <f>Mobile!AE26/1000000</f>
        <v>0.32197608933631755</v>
      </c>
      <c r="AG26" s="380">
        <f>Mobile!AF26/1000000</f>
        <v>0.35927969403419141</v>
      </c>
      <c r="AH26" s="380">
        <f>Mobile!AG26/1000000</f>
        <v>0.30118988319413431</v>
      </c>
      <c r="AI26" s="380">
        <f>Mobile!AH26/1000000</f>
        <v>0.30211158447933367</v>
      </c>
      <c r="AJ26" s="783">
        <f>Mobile!AI26/1000000</f>
        <v>2.7018758492819404E-2</v>
      </c>
      <c r="AK26" s="783"/>
      <c r="AL26" s="783"/>
      <c r="AM26" s="783"/>
      <c r="AN26" s="7"/>
      <c r="AP26" s="783"/>
      <c r="AQ26" s="783"/>
      <c r="AR26" s="783"/>
    </row>
    <row r="27" spans="2:44" ht="15">
      <c r="B27" s="10"/>
      <c r="C27" s="454" t="s">
        <v>93</v>
      </c>
      <c r="D27" s="663">
        <f t="shared" ref="D27" si="20">D28+D29+D30+D31</f>
        <v>28.162431330116149</v>
      </c>
      <c r="E27" s="663">
        <f t="shared" ref="E27:Z27" si="21">E28+E29+E30+E31</f>
        <v>28.264086112233116</v>
      </c>
      <c r="F27" s="663">
        <f t="shared" si="21"/>
        <v>27.083465220071602</v>
      </c>
      <c r="G27" s="663">
        <f t="shared" si="21"/>
        <v>25.451998026482251</v>
      </c>
      <c r="H27" s="663">
        <f t="shared" si="21"/>
        <v>25.542371596902726</v>
      </c>
      <c r="I27" s="663">
        <f t="shared" si="21"/>
        <v>24.730600517332238</v>
      </c>
      <c r="J27" s="663">
        <f t="shared" si="21"/>
        <v>24.518556551976403</v>
      </c>
      <c r="K27" s="663">
        <f t="shared" si="21"/>
        <v>28.637910619201154</v>
      </c>
      <c r="L27" s="663">
        <f t="shared" si="21"/>
        <v>29.274838185751442</v>
      </c>
      <c r="M27" s="663">
        <f t="shared" si="21"/>
        <v>27.873815490312378</v>
      </c>
      <c r="N27" s="663">
        <f t="shared" si="21"/>
        <v>27.075557122322671</v>
      </c>
      <c r="O27" s="663">
        <f t="shared" si="21"/>
        <v>26.559330292919292</v>
      </c>
      <c r="P27" s="663">
        <f t="shared" si="21"/>
        <v>28.147865293131488</v>
      </c>
      <c r="Q27" s="663">
        <f t="shared" si="21"/>
        <v>29.637442609853473</v>
      </c>
      <c r="R27" s="663">
        <f t="shared" si="21"/>
        <v>28.528546079837444</v>
      </c>
      <c r="S27" s="663">
        <f t="shared" si="21"/>
        <v>29.976864897845587</v>
      </c>
      <c r="T27" s="663">
        <f t="shared" si="21"/>
        <v>26.19038906719242</v>
      </c>
      <c r="U27" s="663">
        <f t="shared" si="21"/>
        <v>27.844045358831437</v>
      </c>
      <c r="V27" s="663">
        <f t="shared" si="21"/>
        <v>25.13013733492188</v>
      </c>
      <c r="W27" s="663">
        <f t="shared" si="21"/>
        <v>22.503797074130041</v>
      </c>
      <c r="X27" s="663">
        <f t="shared" si="21"/>
        <v>23.211385774661306</v>
      </c>
      <c r="Y27" s="663">
        <f t="shared" si="21"/>
        <v>18.281940039005288</v>
      </c>
      <c r="Z27" s="663">
        <f t="shared" si="21"/>
        <v>15.861730129389429</v>
      </c>
      <c r="AA27" s="663">
        <f t="shared" ref="AA27:AH27" si="22">AA28+AA29+AA30+AA31</f>
        <v>16.451256344134194</v>
      </c>
      <c r="AB27" s="663">
        <f t="shared" si="22"/>
        <v>14.884632747448642</v>
      </c>
      <c r="AC27" s="663">
        <f t="shared" si="22"/>
        <v>15.686193143295164</v>
      </c>
      <c r="AD27" s="663">
        <f t="shared" si="22"/>
        <v>14.734080530776255</v>
      </c>
      <c r="AE27" s="663">
        <f t="shared" si="22"/>
        <v>13.614624372124677</v>
      </c>
      <c r="AF27" s="872">
        <f t="shared" si="22"/>
        <v>12.134257177687315</v>
      </c>
      <c r="AG27" s="663">
        <f t="shared" si="22"/>
        <v>10.722427179823482</v>
      </c>
      <c r="AH27" s="663">
        <f t="shared" si="22"/>
        <v>12.806025117602701</v>
      </c>
      <c r="AI27" s="663">
        <f t="shared" ref="AI27:AJ27" si="23">AI28+AI29+AI30+AI31</f>
        <v>12.487183768517799</v>
      </c>
      <c r="AJ27" s="1292">
        <f t="shared" si="23"/>
        <v>8.0966232379189282</v>
      </c>
      <c r="AK27" s="1292">
        <f t="shared" ref="AK27" si="24">AK28+AK29+AK30+AK31</f>
        <v>5.86</v>
      </c>
      <c r="AL27" s="663"/>
      <c r="AM27" s="663"/>
      <c r="AN27" s="7"/>
      <c r="AP27" s="783"/>
      <c r="AQ27" s="783"/>
      <c r="AR27" s="783"/>
    </row>
    <row r="28" spans="2:44" ht="15">
      <c r="B28" s="10"/>
      <c r="C28" s="358" t="s">
        <v>94</v>
      </c>
      <c r="D28" s="380">
        <f>CO2_FFC!C25</f>
        <v>25.256636732676711</v>
      </c>
      <c r="E28" s="380">
        <f>CO2_FFC!D25</f>
        <v>25.914728879913365</v>
      </c>
      <c r="F28" s="380">
        <f>CO2_FFC!E25</f>
        <v>24.426681636914616</v>
      </c>
      <c r="G28" s="380">
        <f>CO2_FFC!F25</f>
        <v>21.967535985573292</v>
      </c>
      <c r="H28" s="380">
        <f>CO2_FFC!G25</f>
        <v>22.308384804598031</v>
      </c>
      <c r="I28" s="380">
        <f>CO2_FFC!H25</f>
        <v>21.438788153844321</v>
      </c>
      <c r="J28" s="380">
        <f>CO2_FFC!I25</f>
        <v>20.883901096087193</v>
      </c>
      <c r="K28" s="380">
        <f>CO2_FFC!J25</f>
        <v>26.163942634042538</v>
      </c>
      <c r="L28" s="380">
        <f>CO2_FFC!K25</f>
        <v>26.747611926121518</v>
      </c>
      <c r="M28" s="380">
        <f>CO2_FFC!L25</f>
        <v>24.004093488628136</v>
      </c>
      <c r="N28" s="380">
        <f>CO2_FFC!M25</f>
        <v>22.176187156381239</v>
      </c>
      <c r="O28" s="380">
        <f>CO2_FFC!N25</f>
        <v>21.964418106491603</v>
      </c>
      <c r="P28" s="380">
        <f>CO2_FFC!O25</f>
        <v>22.920165736663851</v>
      </c>
      <c r="Q28" s="380">
        <f>CO2_FFC!P25</f>
        <v>25.008602205089463</v>
      </c>
      <c r="R28" s="380">
        <f>CO2_FFC!Q25</f>
        <v>23.742061768767059</v>
      </c>
      <c r="S28" s="380">
        <f>CO2_FFC!R25</f>
        <v>24.50850883956242</v>
      </c>
      <c r="T28" s="380">
        <f>CO2_FFC!S25</f>
        <v>21.605252315219431</v>
      </c>
      <c r="U28" s="380">
        <f>CO2_FFC!T25</f>
        <v>23.666295740032623</v>
      </c>
      <c r="V28" s="380">
        <f>CO2_FFC!U25</f>
        <v>20.168912335399149</v>
      </c>
      <c r="W28" s="380">
        <f>CO2_FFC!V25</f>
        <v>17.585116309401922</v>
      </c>
      <c r="X28" s="380">
        <f>CO2_FFC!W25</f>
        <v>18.286569094037727</v>
      </c>
      <c r="Y28" s="380">
        <f>CO2_FFC!X25</f>
        <v>14.3548374581957</v>
      </c>
      <c r="Z28" s="380">
        <f>CO2_FFC!Y25</f>
        <v>12.131402331331719</v>
      </c>
      <c r="AA28" s="380">
        <f>CO2_FFC!Z25</f>
        <v>12.659822445437142</v>
      </c>
      <c r="AB28" s="380">
        <f>CO2_FFC!AA25</f>
        <v>10.782306921880682</v>
      </c>
      <c r="AC28" s="380">
        <f>CO2_FFC!AB25</f>
        <v>11.311329440348851</v>
      </c>
      <c r="AD28" s="380">
        <f>CO2_FFC!AC25</f>
        <v>10.704619766914323</v>
      </c>
      <c r="AE28" s="380">
        <f>CO2_FFC!AD25</f>
        <v>10.277665924817709</v>
      </c>
      <c r="AF28" s="870">
        <f>CO2_FFC!AE25</f>
        <v>7.6499388544811335</v>
      </c>
      <c r="AG28" s="380">
        <f>CO2_FFC!AF25</f>
        <v>6.2240808974230486</v>
      </c>
      <c r="AH28" s="380">
        <f>CO2_FFC!AG25</f>
        <v>5.7447834902179782</v>
      </c>
      <c r="AI28" s="380">
        <f>CO2_FFC!AH25</f>
        <v>6.140913821697418</v>
      </c>
      <c r="AJ28" s="380">
        <f>CO2_FFC!AI25</f>
        <v>6.8040676928351207</v>
      </c>
      <c r="AK28" s="783">
        <f>CO2_FFC!AJ25</f>
        <v>5.86</v>
      </c>
      <c r="AL28" s="380"/>
      <c r="AM28" s="380"/>
      <c r="AN28" s="1149"/>
      <c r="AP28" s="783"/>
      <c r="AQ28" s="783"/>
      <c r="AR28" s="783"/>
    </row>
    <row r="29" spans="2:44" ht="15">
      <c r="B29" s="10"/>
      <c r="C29" s="358" t="s">
        <v>95</v>
      </c>
      <c r="D29" s="788">
        <f>Stationary!C49</f>
        <v>9.3884288699999999E-2</v>
      </c>
      <c r="E29" s="788">
        <f>Stationary!D49</f>
        <v>9.6822959449999982E-2</v>
      </c>
      <c r="F29" s="788">
        <f>Stationary!E49</f>
        <v>9.0914300150000002E-2</v>
      </c>
      <c r="G29" s="788">
        <f>Stationary!F49</f>
        <v>8.1111139864931528E-2</v>
      </c>
      <c r="H29" s="788">
        <f>Stationary!G49</f>
        <v>8.0477585687955544E-2</v>
      </c>
      <c r="I29" s="788">
        <f>Stationary!H49</f>
        <v>7.4875160274194996E-2</v>
      </c>
      <c r="J29" s="788">
        <f>Stationary!I49</f>
        <v>7.7779071191824187E-2</v>
      </c>
      <c r="K29" s="788">
        <f>Stationary!J49</f>
        <v>9.6195929234982464E-2</v>
      </c>
      <c r="L29" s="788">
        <f>Stationary!K49</f>
        <v>9.9711079707640801E-2</v>
      </c>
      <c r="M29" s="788">
        <f>Stationary!L49</f>
        <v>9.1104579842082992E-2</v>
      </c>
      <c r="N29" s="788">
        <f>Stationary!M49</f>
        <v>8.6038424382082979E-2</v>
      </c>
      <c r="O29" s="788">
        <f>Stationary!N49</f>
        <v>8.413450162652511E-2</v>
      </c>
      <c r="P29" s="788">
        <f>Stationary!O49</f>
        <v>8.3638818156826181E-2</v>
      </c>
      <c r="Q29" s="788">
        <f>Stationary!P49</f>
        <v>8.5135539922890011E-2</v>
      </c>
      <c r="R29" s="788">
        <f>Stationary!Q49</f>
        <v>8.1217180832885372E-2</v>
      </c>
      <c r="S29" s="788">
        <f>Stationary!R49</f>
        <v>8.7052797439037044E-2</v>
      </c>
      <c r="T29" s="788">
        <f>Stationary!S49</f>
        <v>7.3885363566639897E-2</v>
      </c>
      <c r="U29" s="788">
        <f>Stationary!T49</f>
        <v>7.9953929862497761E-2</v>
      </c>
      <c r="V29" s="788">
        <f>Stationary!U49</f>
        <v>7.0446347974949308E-2</v>
      </c>
      <c r="W29" s="788">
        <f>Stationary!V49</f>
        <v>5.9428030108149441E-2</v>
      </c>
      <c r="X29" s="788">
        <f>Stationary!W49</f>
        <v>5.5503284375582433E-2</v>
      </c>
      <c r="Y29" s="788">
        <f>Stationary!X49</f>
        <v>3.6155320731004754E-2</v>
      </c>
      <c r="Z29" s="788">
        <f>Stationary!Y49</f>
        <v>2.6670955463299097E-2</v>
      </c>
      <c r="AA29" s="788">
        <f>Stationary!Z49</f>
        <v>3.4448245063696509E-2</v>
      </c>
      <c r="AB29" s="788">
        <f>Stationary!AA49</f>
        <v>3.1111288169793579E-2</v>
      </c>
      <c r="AC29" s="788">
        <f>Stationary!AB49</f>
        <v>2.8343299533979942E-2</v>
      </c>
      <c r="AD29" s="380">
        <f>Stationary!AC49</f>
        <v>2.6785294101123132E-2</v>
      </c>
      <c r="AE29" s="380">
        <f>Stationary!AD49</f>
        <v>2.2732096724345383E-2</v>
      </c>
      <c r="AF29" s="870">
        <f>Stationary!AE49</f>
        <v>1.5683844602388072E-2</v>
      </c>
      <c r="AG29" s="380">
        <f>Stationary!AF49</f>
        <v>1.3002007791844079E-2</v>
      </c>
      <c r="AH29" s="380">
        <f>Stationary!AG49</f>
        <v>1.2884334740007601E-2</v>
      </c>
      <c r="AI29" s="380">
        <f>Stationary!AH49</f>
        <v>1.1772142384204598E-2</v>
      </c>
      <c r="AJ29" s="380">
        <f>Stationary!AI49</f>
        <v>1.1836699083808506E-2</v>
      </c>
      <c r="AK29" s="1199"/>
      <c r="AL29" s="1199"/>
      <c r="AM29" s="1199"/>
      <c r="AN29" s="7"/>
      <c r="AP29" s="783"/>
      <c r="AQ29" s="783"/>
      <c r="AR29" s="783"/>
    </row>
    <row r="30" spans="2:44" ht="15">
      <c r="B30" s="10"/>
      <c r="C30" s="358" t="s">
        <v>96</v>
      </c>
      <c r="D30" s="788">
        <f>'Solid Waste'!C46</f>
        <v>0.92601628752123666</v>
      </c>
      <c r="E30" s="788">
        <f>'Solid Waste'!D46</f>
        <v>1.0801301569133457</v>
      </c>
      <c r="F30" s="788">
        <f>'Solid Waste'!E46</f>
        <v>1.090647300839731</v>
      </c>
      <c r="G30" s="788">
        <f>'Solid Waste'!F46</f>
        <v>1.2427189040545052</v>
      </c>
      <c r="H30" s="788">
        <f>'Solid Waste'!G46</f>
        <v>1.2928195089196401</v>
      </c>
      <c r="I30" s="788">
        <f>'Solid Waste'!H46</f>
        <v>1.274495890341409</v>
      </c>
      <c r="J30" s="788">
        <f>'Solid Waste'!I46</f>
        <v>1.4468622619050446</v>
      </c>
      <c r="K30" s="788">
        <f>'Solid Waste'!J46</f>
        <v>1.4555860623276908</v>
      </c>
      <c r="L30" s="788">
        <f>'Solid Waste'!K46</f>
        <v>1.5164204737577509</v>
      </c>
      <c r="M30" s="788">
        <f>'Solid Waste'!L46</f>
        <v>1.5579246764154147</v>
      </c>
      <c r="N30" s="788">
        <f>'Solid Waste'!M46</f>
        <v>1.6955563813287422</v>
      </c>
      <c r="O30" s="788">
        <f>'Solid Waste'!N46</f>
        <v>1.7803166091743412</v>
      </c>
      <c r="P30" s="788">
        <f>'Solid Waste'!O46</f>
        <v>1.7760175871093162</v>
      </c>
      <c r="Q30" s="788">
        <f>'Solid Waste'!P46</f>
        <v>1.8060576400639383</v>
      </c>
      <c r="R30" s="788">
        <f>'Solid Waste'!Q46</f>
        <v>1.8435570813811437</v>
      </c>
      <c r="S30" s="788">
        <f>'Solid Waste'!R46</f>
        <v>1.9668336222264622</v>
      </c>
      <c r="T30" s="788">
        <f>'Solid Waste'!S46</f>
        <v>1.9577518984647779</v>
      </c>
      <c r="U30" s="788">
        <f>'Solid Waste'!T46</f>
        <v>1.8710997732851633</v>
      </c>
      <c r="V30" s="788">
        <f>'Solid Waste'!U46</f>
        <v>2.1772402484491558</v>
      </c>
      <c r="W30" s="788">
        <f>'Solid Waste'!V46</f>
        <v>2.1156528506438166</v>
      </c>
      <c r="X30" s="788">
        <f>'Solid Waste'!W46</f>
        <v>2.4268167200000001</v>
      </c>
      <c r="Y30" s="788">
        <f>'Solid Waste'!X46</f>
        <v>1.1283393000000002</v>
      </c>
      <c r="Z30" s="788">
        <f>'Solid Waste'!Y46</f>
        <v>1.1245143</v>
      </c>
      <c r="AA30" s="788">
        <f>'Solid Waste'!Z46</f>
        <v>1.1794822839999999</v>
      </c>
      <c r="AB30" s="788">
        <f>'Solid Waste'!AA46</f>
        <v>1.2139940979999999</v>
      </c>
      <c r="AC30" s="788">
        <f>'Solid Waste'!AB46</f>
        <v>1.218505508</v>
      </c>
      <c r="AD30" s="380">
        <f>'Solid Waste'!AC46</f>
        <v>1.234089784</v>
      </c>
      <c r="AE30" s="380">
        <f>'Solid Waste'!AD46</f>
        <v>1.1685330480000002</v>
      </c>
      <c r="AF30" s="380">
        <f>'Solid Waste'!AE46</f>
        <v>1.163976994</v>
      </c>
      <c r="AG30" s="380">
        <f>'Solid Waste'!AF46</f>
        <v>1.085687544</v>
      </c>
      <c r="AH30" s="380">
        <f>'Solid Waste'!AG46</f>
        <v>1.164040612</v>
      </c>
      <c r="AI30" s="380">
        <f>'Solid Waste'!AH46</f>
        <v>1.2226291460000001</v>
      </c>
      <c r="AJ30" s="380">
        <f>'Solid Waste'!AI46</f>
        <v>1.2807188459999999</v>
      </c>
      <c r="AK30" s="783"/>
      <c r="AL30" s="380"/>
      <c r="AM30" s="380"/>
      <c r="AN30" s="7"/>
      <c r="AP30" s="380"/>
      <c r="AQ30" s="380"/>
      <c r="AR30" s="380"/>
    </row>
    <row r="31" spans="2:44" ht="15">
      <c r="B31" s="10"/>
      <c r="C31" s="382" t="s">
        <v>97</v>
      </c>
      <c r="D31" s="380">
        <f>ElecImport!D8</f>
        <v>1.8858940212182027</v>
      </c>
      <c r="E31" s="380">
        <f>ElecImport!E8</f>
        <v>1.1724041159564047</v>
      </c>
      <c r="F31" s="380">
        <f>ElecImport!F8</f>
        <v>1.4752219821672543</v>
      </c>
      <c r="G31" s="380">
        <f>ElecImport!G8</f>
        <v>2.1606319969895238</v>
      </c>
      <c r="H31" s="380">
        <f>ElecImport!H8</f>
        <v>1.8606896976971012</v>
      </c>
      <c r="I31" s="380">
        <f>ElecImport!I8</f>
        <v>1.9424413128723124</v>
      </c>
      <c r="J31" s="380">
        <f>ElecImport!J8</f>
        <v>2.1100141227923412</v>
      </c>
      <c r="K31" s="380">
        <f>ElecImport!K8</f>
        <v>0.92218599359594056</v>
      </c>
      <c r="L31" s="380">
        <f>ElecImport!L8</f>
        <v>0.9110947061645297</v>
      </c>
      <c r="M31" s="380">
        <f>ElecImport!M8</f>
        <v>2.2206927454267458</v>
      </c>
      <c r="N31" s="380">
        <f>ElecImport!N8</f>
        <v>3.1177751602306079</v>
      </c>
      <c r="O31" s="380">
        <f>ElecImport!O8</f>
        <v>2.7304610756268213</v>
      </c>
      <c r="P31" s="380">
        <f>ElecImport!P8</f>
        <v>3.3680431512014977</v>
      </c>
      <c r="Q31" s="380">
        <f>ElecImport!Q8</f>
        <v>2.7376472247771821</v>
      </c>
      <c r="R31" s="380">
        <f>ElecImport!R8</f>
        <v>2.8617100488563549</v>
      </c>
      <c r="S31" s="380">
        <f>ElecImport!S8</f>
        <v>3.4144696386176672</v>
      </c>
      <c r="T31" s="380">
        <f>ElecImport!T8</f>
        <v>2.5534994899415717</v>
      </c>
      <c r="U31" s="380">
        <f>ElecImport!U8</f>
        <v>2.2266959156511517</v>
      </c>
      <c r="V31" s="380">
        <f>ElecImport!V8</f>
        <v>2.7135384030986245</v>
      </c>
      <c r="W31" s="380">
        <f>ElecImport!W8</f>
        <v>2.7435998839761511</v>
      </c>
      <c r="X31" s="380">
        <f>ElecImport!X8</f>
        <v>2.4424966762479952</v>
      </c>
      <c r="Y31" s="380">
        <f>ElecImport!Y8</f>
        <v>2.762607960078582</v>
      </c>
      <c r="Z31" s="380">
        <f>ElecImport!Z8</f>
        <v>2.5791425425944108</v>
      </c>
      <c r="AA31" s="380">
        <f>ElecImport!AA8</f>
        <v>2.5775033696333551</v>
      </c>
      <c r="AB31" s="380">
        <f>ElecImport!AB8</f>
        <v>2.8572204393981666</v>
      </c>
      <c r="AC31" s="380">
        <f>ElecImport!AC8</f>
        <v>3.1280148954123335</v>
      </c>
      <c r="AD31" s="380">
        <f>ElecImport!AD8</f>
        <v>2.7685856857608093</v>
      </c>
      <c r="AE31" s="380">
        <f>ElecImport!AE8</f>
        <v>2.1456933025826213</v>
      </c>
      <c r="AF31" s="870">
        <f>ElecImport!AF8</f>
        <v>3.3046574846037937</v>
      </c>
      <c r="AG31" s="380">
        <f>ElecImport!AG8</f>
        <v>3.3996567306085903</v>
      </c>
      <c r="AH31" s="380">
        <f>ElecImport!AH8</f>
        <v>5.8843166806447158</v>
      </c>
      <c r="AI31" s="380">
        <f>ElecImport!AI8</f>
        <v>5.111868658436177</v>
      </c>
      <c r="AJ31" s="783">
        <f>ElecImport!AJ8</f>
        <v>0</v>
      </c>
      <c r="AK31" s="380"/>
      <c r="AL31" s="380"/>
      <c r="AM31" s="380"/>
      <c r="AN31" s="7"/>
      <c r="AP31" s="1643"/>
      <c r="AQ31" s="783"/>
      <c r="AR31" s="783"/>
    </row>
    <row r="32" spans="2:44" ht="15">
      <c r="B32" s="10"/>
      <c r="C32" s="1147" t="s">
        <v>98</v>
      </c>
      <c r="D32" s="1366">
        <f>D33+D34</f>
        <v>1.8677651258656023</v>
      </c>
      <c r="E32" s="1366">
        <f>E33+E34</f>
        <v>1.8459141852462597</v>
      </c>
      <c r="F32" s="1366">
        <f t="shared" ref="F32:AG32" si="25">F33+F34</f>
        <v>1.8328011148242493</v>
      </c>
      <c r="G32" s="1366">
        <f t="shared" si="25"/>
        <v>1.754371218422466</v>
      </c>
      <c r="H32" s="1366">
        <f t="shared" si="25"/>
        <v>1.6979421175482081</v>
      </c>
      <c r="I32" s="1366">
        <f t="shared" si="25"/>
        <v>1.6639970217391518</v>
      </c>
      <c r="J32" s="1366">
        <f t="shared" si="25"/>
        <v>1.5854815983319805</v>
      </c>
      <c r="K32" s="1366">
        <f t="shared" si="25"/>
        <v>1.5341953490807867</v>
      </c>
      <c r="L32" s="1366">
        <f t="shared" si="25"/>
        <v>1.4749217365566851</v>
      </c>
      <c r="M32" s="1366">
        <f t="shared" si="25"/>
        <v>1.4159240794319685</v>
      </c>
      <c r="N32" s="1366">
        <f t="shared" si="25"/>
        <v>1.3779308860348727</v>
      </c>
      <c r="O32" s="1366">
        <f t="shared" si="25"/>
        <v>1.3078896113878109</v>
      </c>
      <c r="P32" s="1366">
        <f t="shared" si="25"/>
        <v>1.2705904514515338</v>
      </c>
      <c r="Q32" s="1366">
        <f t="shared" si="25"/>
        <v>1.217910217108797</v>
      </c>
      <c r="R32" s="1366">
        <f t="shared" si="25"/>
        <v>1.2026721581526407</v>
      </c>
      <c r="S32" s="1366">
        <f t="shared" si="25"/>
        <v>1.109795717263852</v>
      </c>
      <c r="T32" s="1366">
        <f t="shared" si="25"/>
        <v>1.0704121650190279</v>
      </c>
      <c r="U32" s="1366">
        <f t="shared" si="25"/>
        <v>1.0271288082702621</v>
      </c>
      <c r="V32" s="1366">
        <f t="shared" si="25"/>
        <v>1.010590335679201</v>
      </c>
      <c r="W32" s="1366">
        <f t="shared" si="25"/>
        <v>0.96019685439515889</v>
      </c>
      <c r="X32" s="1366">
        <f t="shared" si="25"/>
        <v>0.96322373008061823</v>
      </c>
      <c r="Y32" s="1366">
        <f t="shared" si="25"/>
        <v>0.79967539204563709</v>
      </c>
      <c r="Z32" s="1366">
        <f t="shared" si="25"/>
        <v>0.7993683187669699</v>
      </c>
      <c r="AA32" s="1366">
        <f t="shared" si="25"/>
        <v>0.78443741397921429</v>
      </c>
      <c r="AB32" s="1366">
        <f t="shared" si="25"/>
        <v>0.7596547163364249</v>
      </c>
      <c r="AC32" s="1366">
        <f t="shared" si="25"/>
        <v>0.7888767209069355</v>
      </c>
      <c r="AD32" s="1366">
        <f t="shared" si="25"/>
        <v>0.76847695919838299</v>
      </c>
      <c r="AE32" s="1366">
        <f t="shared" si="25"/>
        <v>0.73513424394234506</v>
      </c>
      <c r="AF32" s="1366">
        <f t="shared" si="25"/>
        <v>0.71995390570325668</v>
      </c>
      <c r="AG32" s="1184">
        <f t="shared" si="25"/>
        <v>0.71637272821169318</v>
      </c>
      <c r="AH32" s="1184">
        <f t="shared" ref="AH32:AI32" si="26">AH33+AH34</f>
        <v>0.74058749016049774</v>
      </c>
      <c r="AI32" s="1184">
        <f t="shared" si="26"/>
        <v>0.71541075756581629</v>
      </c>
      <c r="AJ32" s="1184">
        <f t="shared" ref="AJ32:AK32" si="27">AJ33+AJ34</f>
        <v>0.73417706876001998</v>
      </c>
      <c r="AK32" s="1293">
        <f t="shared" si="27"/>
        <v>0.30688175378731297</v>
      </c>
      <c r="AL32" s="1184"/>
      <c r="AM32" s="1184"/>
      <c r="AN32" s="7"/>
      <c r="AP32" s="1643"/>
      <c r="AQ32" s="783"/>
      <c r="AR32" s="783"/>
    </row>
    <row r="33" spans="2:51" ht="15">
      <c r="B33" s="10"/>
      <c r="C33" s="358" t="s">
        <v>99</v>
      </c>
      <c r="D33" s="788">
        <f>'NG Sum&amp;Distribution&amp;PostMeter'!D9</f>
        <v>1.6981171446349697</v>
      </c>
      <c r="E33" s="788">
        <f>'NG Sum&amp;Distribution&amp;PostMeter'!E9</f>
        <v>1.6781368503696887</v>
      </c>
      <c r="F33" s="788">
        <f>'NG Sum&amp;Distribution&amp;PostMeter'!F9</f>
        <v>1.6650160146858348</v>
      </c>
      <c r="G33" s="788">
        <f>'NG Sum&amp;Distribution&amp;PostMeter'!G9</f>
        <v>1.5886060588676603</v>
      </c>
      <c r="H33" s="788">
        <f>'NG Sum&amp;Distribution&amp;PostMeter'!H9</f>
        <v>1.5341390258270899</v>
      </c>
      <c r="I33" s="788">
        <f>'NG Sum&amp;Distribution&amp;PostMeter'!I9</f>
        <v>1.5022669886244335</v>
      </c>
      <c r="J33" s="788">
        <f>'NG Sum&amp;Distribution&amp;PostMeter'!J9</f>
        <v>1.425467376127973</v>
      </c>
      <c r="K33" s="788">
        <f>'NG Sum&amp;Distribution&amp;PostMeter'!K9</f>
        <v>1.3761942204657134</v>
      </c>
      <c r="L33" s="788">
        <f>'NG Sum&amp;Distribution&amp;PostMeter'!L9</f>
        <v>1.3188501590234014</v>
      </c>
      <c r="M33" s="788">
        <f>'NG Sum&amp;Distribution&amp;PostMeter'!M9</f>
        <v>1.2616415488771622</v>
      </c>
      <c r="N33" s="788">
        <f>'NG Sum&amp;Distribution&amp;PostMeter'!N9</f>
        <v>1.2234268228376644</v>
      </c>
      <c r="O33" s="788">
        <f>'NG Sum&amp;Distribution&amp;PostMeter'!O9</f>
        <v>1.1548456256403654</v>
      </c>
      <c r="P33" s="788">
        <f>'NG Sum&amp;Distribution&amp;PostMeter'!P9</f>
        <v>1.1192932542656782</v>
      </c>
      <c r="Q33" s="788">
        <f>'NG Sum&amp;Distribution&amp;PostMeter'!Q9</f>
        <v>1.0689397263294129</v>
      </c>
      <c r="R33" s="788">
        <f>'NG Sum&amp;Distribution&amp;PostMeter'!R9</f>
        <v>1.0549659757958127</v>
      </c>
      <c r="S33" s="788">
        <f>'NG Sum&amp;Distribution&amp;PostMeter'!S9</f>
        <v>0.96388581295203768</v>
      </c>
      <c r="T33" s="788">
        <f>'NG Sum&amp;Distribution&amp;PostMeter'!T9</f>
        <v>0.92709111626173912</v>
      </c>
      <c r="U33" s="788">
        <f>'NG Sum&amp;Distribution&amp;PostMeter'!U9</f>
        <v>0.88512738029058702</v>
      </c>
      <c r="V33" s="788">
        <f>'NG Sum&amp;Distribution&amp;PostMeter'!V9</f>
        <v>0.83374515920712244</v>
      </c>
      <c r="W33" s="788">
        <f>'NG Sum&amp;Distribution&amp;PostMeter'!W9</f>
        <v>0.78517646934640628</v>
      </c>
      <c r="X33" s="788">
        <f>'NG Sum&amp;Distribution&amp;PostMeter'!X9</f>
        <v>0.75292583432142179</v>
      </c>
      <c r="Y33" s="788">
        <f>'NG Sum&amp;Distribution&amp;PostMeter'!Y9</f>
        <v>0.69892539643020735</v>
      </c>
      <c r="Z33" s="788">
        <f>'NG Sum&amp;Distribution&amp;PostMeter'!Z9</f>
        <v>0.69397194514018645</v>
      </c>
      <c r="AA33" s="788">
        <f>'NG Sum&amp;Distribution&amp;PostMeter'!AA9</f>
        <v>0.67896910883578931</v>
      </c>
      <c r="AB33" s="788">
        <f>'NG Sum&amp;Distribution&amp;PostMeter'!AB9</f>
        <v>0.65553191641877306</v>
      </c>
      <c r="AC33" s="788">
        <f>'NG Sum&amp;Distribution&amp;PostMeter'!AC9</f>
        <v>0.65849530228214259</v>
      </c>
      <c r="AD33" s="788">
        <f>'NG Sum&amp;Distribution&amp;PostMeter'!AD9</f>
        <v>0.65450594465976542</v>
      </c>
      <c r="AE33" s="788">
        <f>'NG Sum&amp;Distribution&amp;PostMeter'!AE9</f>
        <v>0.66705800983925934</v>
      </c>
      <c r="AF33" s="788">
        <f>'NG Sum&amp;Distribution&amp;PostMeter'!AF9</f>
        <v>0.65440896196676102</v>
      </c>
      <c r="AG33" s="380">
        <f>'NG Sum&amp;Distribution&amp;PostMeter'!AG9</f>
        <v>0.6409510730212864</v>
      </c>
      <c r="AH33" s="380">
        <f>'NG Sum&amp;Distribution&amp;PostMeter'!AH9</f>
        <v>0.66932286638484029</v>
      </c>
      <c r="AI33" s="380">
        <f>'NG Sum&amp;Distribution&amp;PostMeter'!AI9</f>
        <v>0.62668511331774612</v>
      </c>
      <c r="AJ33" s="380">
        <f>'NG Sum&amp;Distribution&amp;PostMeter'!AJ9</f>
        <v>0.64276940943466943</v>
      </c>
      <c r="AK33" s="783">
        <f>'NG Sum&amp;Distribution&amp;PostMeter'!AK9</f>
        <v>0.30657800682244174</v>
      </c>
      <c r="AL33" s="380"/>
      <c r="AM33" s="380"/>
      <c r="AN33" s="7"/>
      <c r="AP33" s="1643"/>
      <c r="AQ33" s="380"/>
      <c r="AR33" s="380"/>
    </row>
    <row r="34" spans="2:51" ht="15">
      <c r="B34" s="10"/>
      <c r="C34" s="358" t="s">
        <v>24</v>
      </c>
      <c r="D34" s="788">
        <f>'NG Sum&amp;Distribution&amp;PostMeter'!D8</f>
        <v>0.16964798123063266</v>
      </c>
      <c r="E34" s="788">
        <f>'NG Sum&amp;Distribution&amp;PostMeter'!E8</f>
        <v>0.16777733487657098</v>
      </c>
      <c r="F34" s="788">
        <f>'NG Sum&amp;Distribution&amp;PostMeter'!F8</f>
        <v>0.16778510013841447</v>
      </c>
      <c r="G34" s="788">
        <f>'NG Sum&amp;Distribution&amp;PostMeter'!G8</f>
        <v>0.16576515955480578</v>
      </c>
      <c r="H34" s="788">
        <f>'NG Sum&amp;Distribution&amp;PostMeter'!H8</f>
        <v>0.16380309172111826</v>
      </c>
      <c r="I34" s="788">
        <f>'NG Sum&amp;Distribution&amp;PostMeter'!I8</f>
        <v>0.16173003311471829</v>
      </c>
      <c r="J34" s="788">
        <f>'NG Sum&amp;Distribution&amp;PostMeter'!J8</f>
        <v>0.16001422220400752</v>
      </c>
      <c r="K34" s="788">
        <f>'NG Sum&amp;Distribution&amp;PostMeter'!K8</f>
        <v>0.15800112861507337</v>
      </c>
      <c r="L34" s="788">
        <f>'NG Sum&amp;Distribution&amp;PostMeter'!L8</f>
        <v>0.1560715775332838</v>
      </c>
      <c r="M34" s="788">
        <f>'NG Sum&amp;Distribution&amp;PostMeter'!M8</f>
        <v>0.15428253055480623</v>
      </c>
      <c r="N34" s="788">
        <f>'NG Sum&amp;Distribution&amp;PostMeter'!N8</f>
        <v>0.15450406319720827</v>
      </c>
      <c r="O34" s="788">
        <f>'NG Sum&amp;Distribution&amp;PostMeter'!O8</f>
        <v>0.1530439857474456</v>
      </c>
      <c r="P34" s="788">
        <f>'NG Sum&amp;Distribution&amp;PostMeter'!P8</f>
        <v>0.15129719718585574</v>
      </c>
      <c r="Q34" s="788">
        <f>'NG Sum&amp;Distribution&amp;PostMeter'!Q8</f>
        <v>0.14897049077938418</v>
      </c>
      <c r="R34" s="788">
        <f>'NG Sum&amp;Distribution&amp;PostMeter'!R8</f>
        <v>0.14770618235682798</v>
      </c>
      <c r="S34" s="788">
        <f>'NG Sum&amp;Distribution&amp;PostMeter'!S8</f>
        <v>0.14590990431181422</v>
      </c>
      <c r="T34" s="788">
        <f>'NG Sum&amp;Distribution&amp;PostMeter'!T8</f>
        <v>0.14332104875728888</v>
      </c>
      <c r="U34" s="788">
        <f>'NG Sum&amp;Distribution&amp;PostMeter'!U8</f>
        <v>0.14200142797967516</v>
      </c>
      <c r="V34" s="788">
        <f>'NG Sum&amp;Distribution&amp;PostMeter'!V8</f>
        <v>0.17684517647207851</v>
      </c>
      <c r="W34" s="788">
        <f>'NG Sum&amp;Distribution&amp;PostMeter'!W8</f>
        <v>0.17502038504875261</v>
      </c>
      <c r="X34" s="788">
        <f>'NG Sum&amp;Distribution&amp;PostMeter'!X8</f>
        <v>0.21029789575919641</v>
      </c>
      <c r="Y34" s="788">
        <f>'NG Sum&amp;Distribution&amp;PostMeter'!Y8</f>
        <v>0.10074999561542974</v>
      </c>
      <c r="Z34" s="788">
        <f>'NG Sum&amp;Distribution&amp;PostMeter'!Z8</f>
        <v>0.10539637362678343</v>
      </c>
      <c r="AA34" s="788">
        <f>'NG Sum&amp;Distribution&amp;PostMeter'!AA8</f>
        <v>0.10546830514342498</v>
      </c>
      <c r="AB34" s="788">
        <f>'NG Sum&amp;Distribution&amp;PostMeter'!AB8</f>
        <v>0.10412279991765183</v>
      </c>
      <c r="AC34" s="788">
        <f>'NG Sum&amp;Distribution&amp;PostMeter'!AC8</f>
        <v>0.13038141862479291</v>
      </c>
      <c r="AD34" s="788">
        <f>'NG Sum&amp;Distribution&amp;PostMeter'!AD8</f>
        <v>0.11397101453861756</v>
      </c>
      <c r="AE34" s="788">
        <f>'NG Sum&amp;Distribution&amp;PostMeter'!AE8</f>
        <v>6.8076234103085762E-2</v>
      </c>
      <c r="AF34" s="788">
        <f>'NG Sum&amp;Distribution&amp;PostMeter'!AF8</f>
        <v>6.5544943736495637E-2</v>
      </c>
      <c r="AG34" s="380">
        <f>'NG Sum&amp;Distribution&amp;PostMeter'!AG8</f>
        <v>7.5421655190406778E-2</v>
      </c>
      <c r="AH34" s="380">
        <f>'NG Sum&amp;Distribution&amp;PostMeter'!AH8</f>
        <v>7.1264623775657482E-2</v>
      </c>
      <c r="AI34" s="380">
        <f>'NG Sum&amp;Distribution&amp;PostMeter'!AI8</f>
        <v>8.8725644248070154E-2</v>
      </c>
      <c r="AJ34" s="380">
        <f>'NG Sum&amp;Distribution&amp;PostMeter'!AJ8</f>
        <v>9.1407659325350527E-2</v>
      </c>
      <c r="AK34" s="783">
        <f>'NG Sum&amp;Distribution&amp;PostMeter'!AK8</f>
        <v>3.0374696487123893E-4</v>
      </c>
      <c r="AL34" s="380"/>
      <c r="AM34" s="380"/>
      <c r="AN34" s="7"/>
      <c r="AP34" s="1643"/>
      <c r="AQ34" s="1242"/>
      <c r="AR34" s="1242"/>
    </row>
    <row r="35" spans="2:51" ht="15">
      <c r="B35" s="10"/>
      <c r="C35" s="478" t="s">
        <v>100</v>
      </c>
      <c r="D35" s="1367">
        <f>'Indust. Proc.'!C24/1000000</f>
        <v>0.65625199051509786</v>
      </c>
      <c r="E35" s="1367">
        <f>'Indust. Proc.'!D24/1000000</f>
        <v>0.63331644452695712</v>
      </c>
      <c r="F35" s="1367">
        <f>'Indust. Proc.'!E24/1000000</f>
        <v>0.65299274390212458</v>
      </c>
      <c r="G35" s="1367">
        <f>'Indust. Proc.'!F24/1000000</f>
        <v>0.72753199127029544</v>
      </c>
      <c r="H35" s="1367">
        <f>'Indust. Proc.'!G24/1000000</f>
        <v>0.87114460853075537</v>
      </c>
      <c r="I35" s="1367">
        <f>'Indust. Proc.'!H24/1000000</f>
        <v>1.1874764653811856</v>
      </c>
      <c r="J35" s="1367">
        <f>'Indust. Proc.'!I24/1000000</f>
        <v>1.3818297182829506</v>
      </c>
      <c r="K35" s="1367">
        <f>'Indust. Proc.'!J24/1000000</f>
        <v>1.5914306750343177</v>
      </c>
      <c r="L35" s="1367">
        <f>'Indust. Proc.'!K24/1000000</f>
        <v>1.8072839076805174</v>
      </c>
      <c r="M35" s="1367">
        <f>'Indust. Proc.'!L24/1000000</f>
        <v>2.0319751903293111</v>
      </c>
      <c r="N35" s="1367">
        <f>'Indust. Proc.'!M24/1000000</f>
        <v>2.1782494890373849</v>
      </c>
      <c r="O35" s="1367">
        <f>'Indust. Proc.'!N24/1000000</f>
        <v>2.2546007709387683</v>
      </c>
      <c r="P35" s="1367">
        <f>'Indust. Proc.'!O24/1000000</f>
        <v>2.4083019604011335</v>
      </c>
      <c r="Q35" s="1367">
        <f>'Indust. Proc.'!P24/1000000</f>
        <v>2.4356834976929873</v>
      </c>
      <c r="R35" s="1367">
        <f>'Indust. Proc.'!Q24/1000000</f>
        <v>2.4599951742250012</v>
      </c>
      <c r="S35" s="1367">
        <f>'Indust. Proc.'!R24/1000000</f>
        <v>2.4957903789544686</v>
      </c>
      <c r="T35" s="1367">
        <f>'Indust. Proc.'!S24/1000000</f>
        <v>2.57163703562829</v>
      </c>
      <c r="U35" s="1367">
        <f>'Indust. Proc.'!T24/1000000</f>
        <v>2.6579478960926655</v>
      </c>
      <c r="V35" s="1367">
        <f>'Indust. Proc.'!U24/1000000</f>
        <v>2.8299968705084821</v>
      </c>
      <c r="W35" s="1367">
        <f>'Indust. Proc.'!V24/1000000</f>
        <v>2.8897573864573465</v>
      </c>
      <c r="X35" s="1367">
        <f>'Indust. Proc.'!W24/1000000</f>
        <v>2.7452187654011122</v>
      </c>
      <c r="Y35" s="1367">
        <f>'Indust. Proc.'!X24/1000000</f>
        <v>2.9694502142508616</v>
      </c>
      <c r="Z35" s="1367">
        <f>'Indust. Proc.'!Y24/1000000</f>
        <v>3.1868544050475593</v>
      </c>
      <c r="AA35" s="1367">
        <f>'Indust. Proc.'!Z24/1000000</f>
        <v>3.6349955572434878</v>
      </c>
      <c r="AB35" s="1367">
        <f>'Indust. Proc.'!AA24/1000000</f>
        <v>4.0223671955770204</v>
      </c>
      <c r="AC35" s="1367">
        <f>'Indust. Proc.'!AB24/1000000</f>
        <v>3.9056941429484664</v>
      </c>
      <c r="AD35" s="810">
        <f>'Indust. Proc.'!AC24/1000000</f>
        <v>3.9218385184312834</v>
      </c>
      <c r="AE35" s="810">
        <f>'Indust. Proc.'!AD24/1000000</f>
        <v>3.4253895318876237</v>
      </c>
      <c r="AF35" s="1072">
        <f>'Indust. Proc.'!AE24/1000000</f>
        <v>3.7961568247384667</v>
      </c>
      <c r="AG35" s="810">
        <f>'Indust. Proc.'!AF24/1000000</f>
        <v>3.6341921007072808</v>
      </c>
      <c r="AH35" s="810">
        <f>'Indust. Proc.'!AG24/1000000</f>
        <v>3.9345079101963329</v>
      </c>
      <c r="AI35" s="810">
        <f>'Indust. Proc.'!AH24/1000000</f>
        <v>4.1022563243660644</v>
      </c>
      <c r="AJ35" s="1080">
        <f>'Indust. Proc.'!AI24/1000000</f>
        <v>8.6354E-2</v>
      </c>
      <c r="AK35" s="1080"/>
      <c r="AL35" s="1080"/>
      <c r="AM35" s="1080"/>
      <c r="AN35" s="7"/>
      <c r="AP35" s="783"/>
      <c r="AQ35" s="783"/>
      <c r="AR35" s="783"/>
    </row>
    <row r="36" spans="2:51" ht="15">
      <c r="B36" s="10"/>
      <c r="C36" s="358" t="s">
        <v>101</v>
      </c>
      <c r="D36" s="788">
        <f>'Indust. Proc.'!C5/1000000</f>
        <v>0.17486870435586824</v>
      </c>
      <c r="E36" s="788">
        <f>'Indust. Proc.'!D5/1000000</f>
        <v>0.16802495618437474</v>
      </c>
      <c r="F36" s="788">
        <f>'Indust. Proc.'!E5/1000000</f>
        <v>0.16647146143521593</v>
      </c>
      <c r="G36" s="788">
        <f>'Indust. Proc.'!F5/1000000</f>
        <v>0.16776886728671644</v>
      </c>
      <c r="H36" s="788">
        <f>'Indust. Proc.'!G5/1000000</f>
        <v>0.17123380147318815</v>
      </c>
      <c r="I36" s="788">
        <f>'Indust. Proc.'!H5/1000000</f>
        <v>0.17784788850002828</v>
      </c>
      <c r="J36" s="788">
        <f>'Indust. Proc.'!I5/1000000</f>
        <v>0.15474222736004781</v>
      </c>
      <c r="K36" s="788">
        <f>'Indust. Proc.'!J5/1000000</f>
        <v>0.1606841887589765</v>
      </c>
      <c r="L36" s="788">
        <f>'Indust. Proc.'!K5/1000000</f>
        <v>0.16287532043738079</v>
      </c>
      <c r="M36" s="788">
        <f>'Indust. Proc.'!L5/1000000</f>
        <v>0.15008461634922687</v>
      </c>
      <c r="N36" s="788">
        <f>'Indust. Proc.'!M5/1000000</f>
        <v>0.15566560192136597</v>
      </c>
      <c r="O36" s="788">
        <f>'Indust. Proc.'!N5/1000000</f>
        <v>0.15342201959521024</v>
      </c>
      <c r="P36" s="788">
        <f>'Indust. Proc.'!O5/1000000</f>
        <v>0.16106900239265376</v>
      </c>
      <c r="Q36" s="788">
        <f>'Indust. Proc.'!P5/1000000</f>
        <v>0.16288201663743104</v>
      </c>
      <c r="R36" s="788">
        <f>'Indust. Proc.'!Q5/1000000</f>
        <v>0.17856645821263281</v>
      </c>
      <c r="S36" s="788">
        <f>'Indust. Proc.'!R5/1000000</f>
        <v>0.1843543047002687</v>
      </c>
      <c r="T36" s="788">
        <f>'Indust. Proc.'!S5/1000000</f>
        <v>0.16912192522942632</v>
      </c>
      <c r="U36" s="788">
        <f>'Indust. Proc.'!T5/1000000</f>
        <v>0.16947294606177643</v>
      </c>
      <c r="V36" s="788">
        <f>'Indust. Proc.'!U5/1000000</f>
        <v>0.16999467681789315</v>
      </c>
      <c r="W36" s="788">
        <f>'Indust. Proc.'!V5/1000000</f>
        <v>0.17703708287497213</v>
      </c>
      <c r="X36" s="788">
        <f>'Indust. Proc.'!W5/1000000</f>
        <v>0.1650245185207484</v>
      </c>
      <c r="Y36" s="788">
        <f>'Indust. Proc.'!X5/1000000</f>
        <v>0.15730983808887186</v>
      </c>
      <c r="Z36" s="788">
        <f>'Indust. Proc.'!Y5/1000000</f>
        <v>0.14135005046817997</v>
      </c>
      <c r="AA36" s="788">
        <f>'Indust. Proc.'!Z5/1000000</f>
        <v>0.17274811479382912</v>
      </c>
      <c r="AB36" s="788">
        <f>'Indust. Proc.'!AA5/1000000</f>
        <v>0.15443164337067591</v>
      </c>
      <c r="AC36" s="788">
        <f>'Indust. Proc.'!AB5/1000000</f>
        <v>0.17849446201584365</v>
      </c>
      <c r="AD36" s="788">
        <f>'Indust. Proc.'!AC5/1000000</f>
        <v>0.16737999180826008</v>
      </c>
      <c r="AE36" s="788">
        <f>'Indust. Proc.'!AD5/1000000</f>
        <v>0.16163986486130955</v>
      </c>
      <c r="AF36" s="788">
        <f>'Indust. Proc.'!AE5/1000000</f>
        <v>0.17066999348626716</v>
      </c>
      <c r="AG36" s="380">
        <f>'Indust. Proc.'!AF5/1000000</f>
        <v>0.15656405049563235</v>
      </c>
      <c r="AH36" s="380">
        <f>'Indust. Proc.'!AG5/1000000</f>
        <v>0.15043766880673398</v>
      </c>
      <c r="AI36" s="380">
        <f>'Indust. Proc.'!AH5/1000000</f>
        <v>0.15324532225179405</v>
      </c>
      <c r="AJ36" s="783">
        <f>'Indust. Proc.'!AI5/1000000</f>
        <v>8.6354E-2</v>
      </c>
      <c r="AK36" s="783"/>
      <c r="AL36" s="783"/>
      <c r="AM36" s="783"/>
      <c r="AN36" s="7"/>
      <c r="AP36" s="783"/>
      <c r="AQ36" s="783"/>
      <c r="AR36" s="783"/>
    </row>
    <row r="37" spans="2:51" ht="15">
      <c r="B37" s="10"/>
      <c r="C37" s="358" t="s">
        <v>102</v>
      </c>
      <c r="D37" s="788">
        <f>'Indust. Proc.'!C17/1000000</f>
        <v>0.48138328615922965</v>
      </c>
      <c r="E37" s="788">
        <f>'Indust. Proc.'!D17/1000000</f>
        <v>0.46529148834258233</v>
      </c>
      <c r="F37" s="788">
        <f>'Indust. Proc.'!E17/1000000</f>
        <v>0.48652128246690862</v>
      </c>
      <c r="G37" s="788">
        <f>'Indust. Proc.'!F17/1000000</f>
        <v>0.55976312398357897</v>
      </c>
      <c r="H37" s="788">
        <f>'Indust. Proc.'!G17/1000000</f>
        <v>0.69991080705756725</v>
      </c>
      <c r="I37" s="788">
        <f>'Indust. Proc.'!H17/1000000</f>
        <v>1.0096285768811573</v>
      </c>
      <c r="J37" s="788">
        <f>'Indust. Proc.'!I17/1000000</f>
        <v>1.2270874909229028</v>
      </c>
      <c r="K37" s="788">
        <f>'Indust. Proc.'!J17/1000000</f>
        <v>1.4307464862753412</v>
      </c>
      <c r="L37" s="788">
        <f>'Indust. Proc.'!K17/1000000</f>
        <v>1.6444085872431364</v>
      </c>
      <c r="M37" s="788">
        <f>'Indust. Proc.'!L17/1000000</f>
        <v>1.8818905739800844</v>
      </c>
      <c r="N37" s="788">
        <f>'Indust. Proc.'!M17/1000000</f>
        <v>2.0225838871160189</v>
      </c>
      <c r="O37" s="788">
        <f>'Indust. Proc.'!N17/1000000</f>
        <v>2.101178751343558</v>
      </c>
      <c r="P37" s="788">
        <f>'Indust. Proc.'!O17/1000000</f>
        <v>2.24723295800848</v>
      </c>
      <c r="Q37" s="788">
        <f>'Indust. Proc.'!P17/1000000</f>
        <v>2.2728014810555561</v>
      </c>
      <c r="R37" s="788">
        <f>'Indust. Proc.'!Q17/1000000</f>
        <v>2.2814287160123685</v>
      </c>
      <c r="S37" s="788">
        <f>'Indust. Proc.'!R17/1000000</f>
        <v>2.3114360742541997</v>
      </c>
      <c r="T37" s="788">
        <f>'Indust. Proc.'!S17/1000000</f>
        <v>2.4025151103988636</v>
      </c>
      <c r="U37" s="788">
        <f>'Indust. Proc.'!T17/1000000</f>
        <v>2.4884749500308887</v>
      </c>
      <c r="V37" s="788">
        <f>'Indust. Proc.'!U17/1000000</f>
        <v>2.6600021936905893</v>
      </c>
      <c r="W37" s="788">
        <f>'Indust. Proc.'!V17/1000000</f>
        <v>2.7127203035823739</v>
      </c>
      <c r="X37" s="788">
        <f>'Indust. Proc.'!W17/1000000</f>
        <v>2.5801942468803643</v>
      </c>
      <c r="Y37" s="788">
        <f>'Indust. Proc.'!X17/1000000</f>
        <v>2.8121403761619899</v>
      </c>
      <c r="Z37" s="788">
        <f>'Indust. Proc.'!Y17/1000000</f>
        <v>3.0455043545793794</v>
      </c>
      <c r="AA37" s="788">
        <f>'Indust. Proc.'!Z17/1000000</f>
        <v>3.4622474424496588</v>
      </c>
      <c r="AB37" s="788">
        <f>'Indust. Proc.'!AA17/1000000</f>
        <v>3.8679355522063448</v>
      </c>
      <c r="AC37" s="788">
        <f>'Indust. Proc.'!AB17/1000000</f>
        <v>3.7271996809326229</v>
      </c>
      <c r="AD37" s="788">
        <f>'Indust. Proc.'!AC17/1000000</f>
        <v>3.7544585266230235</v>
      </c>
      <c r="AE37" s="788">
        <f>'Indust. Proc.'!AD17/1000000</f>
        <v>3.2637496670263144</v>
      </c>
      <c r="AF37" s="788">
        <f>'Indust. Proc.'!AE17/1000000</f>
        <v>3.6254868312521995</v>
      </c>
      <c r="AG37" s="380">
        <f>'Indust. Proc.'!AF17/1000000</f>
        <v>3.4776280502116483</v>
      </c>
      <c r="AH37" s="380">
        <f>'Indust. Proc.'!AG17/1000000</f>
        <v>3.7840702413895988</v>
      </c>
      <c r="AI37" s="380">
        <f>'Indust. Proc.'!AH17/1000000</f>
        <v>3.949011002114271</v>
      </c>
      <c r="AJ37" s="783">
        <f>'Indust. Proc.'!AI17/1000000</f>
        <v>0</v>
      </c>
      <c r="AK37" s="783"/>
      <c r="AL37" s="783"/>
      <c r="AM37" s="783"/>
      <c r="AN37" s="7"/>
      <c r="AP37" s="783"/>
      <c r="AQ37" s="783"/>
      <c r="AR37" s="783"/>
    </row>
    <row r="38" spans="2:51" s="235" customFormat="1" ht="15">
      <c r="B38" s="573"/>
      <c r="C38" s="745" t="s">
        <v>103</v>
      </c>
      <c r="D38" s="822">
        <f>Agriculture!C56</f>
        <v>0.44610076900597256</v>
      </c>
      <c r="E38" s="822">
        <f>Agriculture!D56</f>
        <v>0.39821865849902877</v>
      </c>
      <c r="F38" s="822">
        <f>Agriculture!E56</f>
        <v>0.4024590137738116</v>
      </c>
      <c r="G38" s="822">
        <f>Agriculture!F56</f>
        <v>0.41723952078982274</v>
      </c>
      <c r="H38" s="822">
        <f>Agriculture!G56</f>
        <v>0.38537380629380164</v>
      </c>
      <c r="I38" s="822">
        <f>Agriculture!H56</f>
        <v>0.38959088733546887</v>
      </c>
      <c r="J38" s="822">
        <f>Agriculture!I56</f>
        <v>0.3853494467228562</v>
      </c>
      <c r="K38" s="822">
        <f>Agriculture!J56</f>
        <v>0.37954245865357722</v>
      </c>
      <c r="L38" s="822">
        <f>Agriculture!K56</f>
        <v>0.36089604709262979</v>
      </c>
      <c r="M38" s="822">
        <f>Agriculture!L56</f>
        <v>0.35534423332749382</v>
      </c>
      <c r="N38" s="822">
        <f>Agriculture!M56</f>
        <v>0.35808927940321517</v>
      </c>
      <c r="O38" s="822">
        <f>Agriculture!N56</f>
        <v>0.34835342208127046</v>
      </c>
      <c r="P38" s="822">
        <f>Agriculture!O56</f>
        <v>0.40121522100556378</v>
      </c>
      <c r="Q38" s="822">
        <f>Agriculture!P56</f>
        <v>0.35371034819730651</v>
      </c>
      <c r="R38" s="822">
        <f>Agriculture!Q56</f>
        <v>0.34502939445979169</v>
      </c>
      <c r="S38" s="822">
        <f>Agriculture!R56</f>
        <v>0.36828267265399622</v>
      </c>
      <c r="T38" s="822">
        <f>Agriculture!S56</f>
        <v>0.46627193708306636</v>
      </c>
      <c r="U38" s="822">
        <f>Agriculture!T56</f>
        <v>0.45487124021948133</v>
      </c>
      <c r="V38" s="822">
        <f>Agriculture!U56</f>
        <v>0.33823094475600562</v>
      </c>
      <c r="W38" s="822">
        <f>Agriculture!V56</f>
        <v>0.31042290716519921</v>
      </c>
      <c r="X38" s="822">
        <f>Agriculture!W56</f>
        <v>0.32504807625862253</v>
      </c>
      <c r="Y38" s="822">
        <f>Agriculture!X56</f>
        <v>0.3007991811743016</v>
      </c>
      <c r="Z38" s="822">
        <f>Agriculture!Y56</f>
        <v>0.29086338314162158</v>
      </c>
      <c r="AA38" s="822">
        <f>Agriculture!Z56</f>
        <v>0.3021658883193768</v>
      </c>
      <c r="AB38" s="822">
        <f>Agriculture!AA56</f>
        <v>0.3051908156739303</v>
      </c>
      <c r="AC38" s="822">
        <f>Agriculture!AB56</f>
        <v>0.28371044472182944</v>
      </c>
      <c r="AD38" s="822">
        <f>Agriculture!AC56</f>
        <v>0.2298891465170948</v>
      </c>
      <c r="AE38" s="822">
        <f>Agriculture!AD56</f>
        <v>0.26630917520767899</v>
      </c>
      <c r="AF38" s="1073">
        <f>Agriculture!AE56</f>
        <v>0.25754276630837303</v>
      </c>
      <c r="AG38" s="822">
        <f>Agriculture!AF56</f>
        <v>0.24873056149142708</v>
      </c>
      <c r="AH38" s="822">
        <f>Agriculture!AG56</f>
        <v>0.21212335344157099</v>
      </c>
      <c r="AI38" s="822">
        <f>Agriculture!AH56</f>
        <v>0.19358342282429983</v>
      </c>
      <c r="AJ38" s="1202">
        <f>Agriculture!AI56</f>
        <v>0</v>
      </c>
      <c r="AK38" s="1202"/>
      <c r="AL38" s="1202"/>
      <c r="AM38" s="1202"/>
      <c r="AN38" s="794"/>
      <c r="AO38" s="380"/>
      <c r="AP38" s="870"/>
      <c r="AQ38" s="870"/>
      <c r="AR38" s="870"/>
      <c r="AY38" s="678"/>
    </row>
    <row r="39" spans="2:51" ht="15">
      <c r="B39" s="10"/>
      <c r="C39" s="448" t="s">
        <v>104</v>
      </c>
      <c r="D39" s="1368">
        <f t="shared" ref="D39" si="28">D40+D41</f>
        <v>2.921734225476742</v>
      </c>
      <c r="E39" s="1368">
        <f t="shared" ref="E39:AA39" si="29">E40+E41</f>
        <v>2.9659237839785577</v>
      </c>
      <c r="F39" s="1368">
        <f t="shared" si="29"/>
        <v>2.862401582676589</v>
      </c>
      <c r="G39" s="1368">
        <f t="shared" si="29"/>
        <v>2.7443824174725342</v>
      </c>
      <c r="H39" s="1368">
        <f t="shared" si="29"/>
        <v>2.7282481528419806</v>
      </c>
      <c r="I39" s="1368">
        <f t="shared" si="29"/>
        <v>2.7404670425365389</v>
      </c>
      <c r="J39" s="1368">
        <f t="shared" si="29"/>
        <v>2.3611615270182389</v>
      </c>
      <c r="K39" s="1368">
        <f t="shared" si="29"/>
        <v>1.8982744470184132</v>
      </c>
      <c r="L39" s="1368">
        <f t="shared" si="29"/>
        <v>1.8189713480355501</v>
      </c>
      <c r="M39" s="1368">
        <f t="shared" si="29"/>
        <v>1.8304455997009095</v>
      </c>
      <c r="N39" s="1368">
        <f t="shared" si="29"/>
        <v>1.2371687987727549</v>
      </c>
      <c r="O39" s="1368">
        <f t="shared" si="29"/>
        <v>0.89743217109974038</v>
      </c>
      <c r="P39" s="1368">
        <f t="shared" si="29"/>
        <v>1.27497069222323</v>
      </c>
      <c r="Q39" s="1368">
        <f t="shared" si="29"/>
        <v>1.7601777880702902</v>
      </c>
      <c r="R39" s="1368">
        <f t="shared" si="29"/>
        <v>1.5207752370939525</v>
      </c>
      <c r="S39" s="1368">
        <f t="shared" si="29"/>
        <v>1.5359182375503033</v>
      </c>
      <c r="T39" s="1368">
        <f t="shared" si="29"/>
        <v>1.4076566810886841</v>
      </c>
      <c r="U39" s="1368">
        <f t="shared" si="29"/>
        <v>1.3183546181258532</v>
      </c>
      <c r="V39" s="1368">
        <f t="shared" si="29"/>
        <v>1.3279645075594892</v>
      </c>
      <c r="W39" s="1368">
        <f t="shared" si="29"/>
        <v>1.3630454187701677</v>
      </c>
      <c r="X39" s="1368">
        <f t="shared" si="29"/>
        <v>0.86249816472906293</v>
      </c>
      <c r="Y39" s="1368">
        <f t="shared" si="29"/>
        <v>0.87727465455725784</v>
      </c>
      <c r="Z39" s="1368">
        <f t="shared" si="29"/>
        <v>0.92211897945822274</v>
      </c>
      <c r="AA39" s="1368">
        <f t="shared" si="29"/>
        <v>0.82485157614183069</v>
      </c>
      <c r="AB39" s="1368">
        <f t="shared" ref="AB39:AG39" si="30">AB40+AB41</f>
        <v>0.76936372223646177</v>
      </c>
      <c r="AC39" s="790">
        <f t="shared" si="30"/>
        <v>0.7797514032990327</v>
      </c>
      <c r="AD39" s="790">
        <f t="shared" si="30"/>
        <v>0.74798897998549485</v>
      </c>
      <c r="AE39" s="790">
        <f t="shared" si="30"/>
        <v>0.72211531342011004</v>
      </c>
      <c r="AF39" s="790">
        <f t="shared" si="30"/>
        <v>0.72011659953318352</v>
      </c>
      <c r="AG39" s="790">
        <f t="shared" si="30"/>
        <v>0.72173904594467819</v>
      </c>
      <c r="AH39" s="790">
        <f t="shared" ref="AH39:AI39" si="31">AH40+AH41</f>
        <v>0.69724852674260518</v>
      </c>
      <c r="AI39" s="790">
        <f t="shared" si="31"/>
        <v>0.59657871753171521</v>
      </c>
      <c r="AJ39" s="790">
        <f t="shared" ref="AJ39:AK39" si="32">AJ40+AJ41</f>
        <v>0.58348316947643197</v>
      </c>
      <c r="AK39" s="1701">
        <f t="shared" si="32"/>
        <v>0.42048044254554079</v>
      </c>
      <c r="AL39" s="790"/>
      <c r="AM39" s="790"/>
      <c r="AN39" s="7"/>
      <c r="AO39" s="380"/>
      <c r="AP39" s="380"/>
      <c r="AQ39" s="380"/>
      <c r="AR39" s="380"/>
    </row>
    <row r="40" spans="2:51" ht="15">
      <c r="B40" s="10"/>
      <c r="C40" s="656" t="s">
        <v>62</v>
      </c>
      <c r="D40" s="788">
        <f>Wastewater!C18</f>
        <v>0.66155072341355736</v>
      </c>
      <c r="E40" s="788">
        <f>Wastewater!D18</f>
        <v>0.63893431729918548</v>
      </c>
      <c r="F40" s="788">
        <f>Wastewater!E18</f>
        <v>0.63618237300378322</v>
      </c>
      <c r="G40" s="788">
        <f>Wastewater!F18</f>
        <v>0.63582356028834708</v>
      </c>
      <c r="H40" s="788">
        <f>Wastewater!G18</f>
        <v>0.63577431249312955</v>
      </c>
      <c r="I40" s="788">
        <f>Wastewater!H18</f>
        <v>0.63681457789259799</v>
      </c>
      <c r="J40" s="788">
        <f>Wastewater!I18</f>
        <v>0.6401941926386403</v>
      </c>
      <c r="K40" s="788">
        <f>Wastewater!J18</f>
        <v>0.64432121132635656</v>
      </c>
      <c r="L40" s="788">
        <f>Wastewater!K18</f>
        <v>0.64833614179881538</v>
      </c>
      <c r="M40" s="788">
        <f>Wastewater!L18</f>
        <v>0.65255366526470115</v>
      </c>
      <c r="N40" s="788">
        <f>Wastewater!M18</f>
        <v>0.43254572282981785</v>
      </c>
      <c r="O40" s="788">
        <f>Wastewater!N18</f>
        <v>0.43768390160435044</v>
      </c>
      <c r="P40" s="788">
        <f>Wastewater!O18</f>
        <v>0.43607053465248102</v>
      </c>
      <c r="Q40" s="788">
        <f>Wastewater!P18</f>
        <v>0.43663973406238332</v>
      </c>
      <c r="R40" s="788">
        <f>Wastewater!Q18</f>
        <v>0.43763293803551007</v>
      </c>
      <c r="S40" s="788">
        <f>Wastewater!R18</f>
        <v>0.45059783936917874</v>
      </c>
      <c r="T40" s="788">
        <f>Wastewater!S18</f>
        <v>0.44219765417535528</v>
      </c>
      <c r="U40" s="788">
        <f>Wastewater!T18</f>
        <v>0.44485004782414389</v>
      </c>
      <c r="V40" s="788">
        <f>Wastewater!U18</f>
        <v>0.44358606844340209</v>
      </c>
      <c r="W40" s="788">
        <f>Wastewater!V18</f>
        <v>0.44783771964931191</v>
      </c>
      <c r="X40" s="788">
        <f>Wastewater!W18</f>
        <v>0.41065736472906322</v>
      </c>
      <c r="Y40" s="788">
        <f>Wastewater!X18</f>
        <v>0.41590223074773397</v>
      </c>
      <c r="Z40" s="788">
        <f>Wastewater!Y18</f>
        <v>0.41421410088679406</v>
      </c>
      <c r="AA40" s="788">
        <f>Wastewater!Z18</f>
        <v>0.41644624358183085</v>
      </c>
      <c r="AB40" s="788">
        <f>Wastewater!AA18</f>
        <v>0.41618052223646163</v>
      </c>
      <c r="AC40" s="380">
        <f>Wastewater!AB18</f>
        <v>0.41869050329903285</v>
      </c>
      <c r="AD40" s="380">
        <f>Wastewater!AC18</f>
        <v>0.42123417998549484</v>
      </c>
      <c r="AE40" s="380">
        <f>Wastewater!AD18</f>
        <v>0.41174591342011019</v>
      </c>
      <c r="AF40" s="380">
        <f>Wastewater!AE18</f>
        <v>0.41556159953318339</v>
      </c>
      <c r="AG40" s="380">
        <f>Wastewater!AF18</f>
        <v>0.41747304594467805</v>
      </c>
      <c r="AH40" s="380">
        <f>Wastewater!AG18</f>
        <v>0.42485632674260515</v>
      </c>
      <c r="AI40" s="380">
        <f>Wastewater!AH18</f>
        <v>0.41931601753171527</v>
      </c>
      <c r="AJ40" s="380">
        <f>Wastewater!AI18</f>
        <v>0.41916236947643193</v>
      </c>
      <c r="AK40" s="783">
        <f>Wastewater!AJ18</f>
        <v>0.42048044254554079</v>
      </c>
      <c r="AL40" s="380"/>
      <c r="AM40" s="380"/>
      <c r="AN40" s="7"/>
      <c r="AO40" s="870"/>
      <c r="AP40" s="380"/>
      <c r="AQ40" s="380"/>
      <c r="AR40" s="380"/>
    </row>
    <row r="41" spans="2:51" ht="15">
      <c r="B41" s="10"/>
      <c r="C41" s="656" t="s">
        <v>105</v>
      </c>
      <c r="D41" s="788">
        <f>'Solid Waste'!C11</f>
        <v>2.2601835020631844</v>
      </c>
      <c r="E41" s="788">
        <f>'Solid Waste'!D11</f>
        <v>2.3269894666793722</v>
      </c>
      <c r="F41" s="788">
        <f>'Solid Waste'!E11</f>
        <v>2.2262192096728057</v>
      </c>
      <c r="G41" s="788">
        <f>'Solid Waste'!F11</f>
        <v>2.1085588571841871</v>
      </c>
      <c r="H41" s="788">
        <f>'Solid Waste'!G11</f>
        <v>2.092473840348851</v>
      </c>
      <c r="I41" s="788">
        <f>'Solid Waste'!H11</f>
        <v>2.103652464643941</v>
      </c>
      <c r="J41" s="788">
        <f>'Solid Waste'!I11</f>
        <v>1.7209673343795984</v>
      </c>
      <c r="K41" s="788">
        <f>'Solid Waste'!J11</f>
        <v>1.2539532356920566</v>
      </c>
      <c r="L41" s="788">
        <f>'Solid Waste'!K11</f>
        <v>1.1706352062367347</v>
      </c>
      <c r="M41" s="788">
        <f>'Solid Waste'!L11</f>
        <v>1.1778919344362082</v>
      </c>
      <c r="N41" s="788">
        <f>'Solid Waste'!M11</f>
        <v>0.80462307594293703</v>
      </c>
      <c r="O41" s="788">
        <f>'Solid Waste'!N11</f>
        <v>0.45974826949538999</v>
      </c>
      <c r="P41" s="788">
        <f>'Solid Waste'!O11</f>
        <v>0.83890015757074898</v>
      </c>
      <c r="Q41" s="788">
        <f>'Solid Waste'!P11</f>
        <v>1.3235380540079069</v>
      </c>
      <c r="R41" s="788">
        <f>'Solid Waste'!Q11</f>
        <v>1.0831422990584423</v>
      </c>
      <c r="S41" s="788">
        <f>'Solid Waste'!R11</f>
        <v>1.0853203981811246</v>
      </c>
      <c r="T41" s="788">
        <f>'Solid Waste'!S11</f>
        <v>0.96545902691332885</v>
      </c>
      <c r="U41" s="788">
        <f>'Solid Waste'!T11</f>
        <v>0.87350457030170925</v>
      </c>
      <c r="V41" s="788">
        <f>'Solid Waste'!U11</f>
        <v>0.88437843911608716</v>
      </c>
      <c r="W41" s="788">
        <f>'Solid Waste'!V11</f>
        <v>0.91520769912085576</v>
      </c>
      <c r="X41" s="788">
        <f>'Solid Waste'!W11</f>
        <v>0.45184079999999971</v>
      </c>
      <c r="Y41" s="788">
        <f>'Solid Waste'!X11</f>
        <v>0.46137242380952381</v>
      </c>
      <c r="Z41" s="788">
        <f>'Solid Waste'!Y11</f>
        <v>0.50790487857142874</v>
      </c>
      <c r="AA41" s="788">
        <f>'Solid Waste'!Z11</f>
        <v>0.40840533255999983</v>
      </c>
      <c r="AB41" s="788">
        <f>'Solid Waste'!AA11</f>
        <v>0.35318320000000009</v>
      </c>
      <c r="AC41" s="380">
        <f>'Solid Waste'!AB11</f>
        <v>0.36106089999999991</v>
      </c>
      <c r="AD41" s="380">
        <f>'Solid Waste'!AC11</f>
        <v>0.32675480000000001</v>
      </c>
      <c r="AE41" s="380">
        <f>'Solid Waste'!AD11</f>
        <v>0.31036939999999985</v>
      </c>
      <c r="AF41" s="380">
        <f>'Solid Waste'!AE11</f>
        <v>0.30455500000000008</v>
      </c>
      <c r="AG41" s="380">
        <f>'Solid Waste'!AF11</f>
        <v>0.30426600000000009</v>
      </c>
      <c r="AH41" s="870">
        <f>'Solid Waste'!AG11</f>
        <v>0.27239219999999997</v>
      </c>
      <c r="AI41" s="380">
        <f>'Solid Waste'!AH11</f>
        <v>0.17726269999999988</v>
      </c>
      <c r="AJ41" s="380">
        <f>'Solid Waste'!AI11</f>
        <v>0.16432079999999999</v>
      </c>
      <c r="AK41" s="783"/>
      <c r="AL41" s="870"/>
      <c r="AM41" s="870"/>
      <c r="AN41" s="7"/>
      <c r="AP41" s="870"/>
      <c r="AQ41" s="870"/>
      <c r="AR41" s="870"/>
    </row>
    <row r="42" spans="2:51" ht="15.5" thickBot="1">
      <c r="B42" s="10"/>
      <c r="C42" s="456" t="s">
        <v>11</v>
      </c>
      <c r="D42" s="1369">
        <f>SUM(D11,D32, D35,D38,D39)</f>
        <v>93.005061114385569</v>
      </c>
      <c r="E42" s="1369">
        <f t="shared" ref="E42:AI42" si="33">SUM(E11,E32, E35,E38,E39)</f>
        <v>90.599737379157702</v>
      </c>
      <c r="F42" s="1369">
        <f t="shared" si="33"/>
        <v>92.489660131074473</v>
      </c>
      <c r="G42" s="1369">
        <f t="shared" si="33"/>
        <v>90.305037995464332</v>
      </c>
      <c r="H42" s="1369">
        <f t="shared" si="33"/>
        <v>90.508084788605458</v>
      </c>
      <c r="I42" s="1369">
        <f t="shared" si="33"/>
        <v>88.4721237775818</v>
      </c>
      <c r="J42" s="1369">
        <f t="shared" si="33"/>
        <v>88.734732848490793</v>
      </c>
      <c r="K42" s="1369">
        <f t="shared" si="33"/>
        <v>93.15008241494678</v>
      </c>
      <c r="L42" s="1369">
        <f t="shared" si="33"/>
        <v>91.216972459069638</v>
      </c>
      <c r="M42" s="1369">
        <f t="shared" si="33"/>
        <v>90.245063067645717</v>
      </c>
      <c r="N42" s="1369">
        <f t="shared" si="33"/>
        <v>92.260422011841143</v>
      </c>
      <c r="O42" s="1369">
        <f t="shared" si="33"/>
        <v>91.338730265470659</v>
      </c>
      <c r="P42" s="1369">
        <f t="shared" si="33"/>
        <v>93.563238760799052</v>
      </c>
      <c r="Q42" s="1369">
        <f t="shared" si="33"/>
        <v>95.525441854684175</v>
      </c>
      <c r="R42" s="1369">
        <f t="shared" si="33"/>
        <v>93.329265222521599</v>
      </c>
      <c r="S42" s="1369">
        <f t="shared" si="33"/>
        <v>94.940856084570882</v>
      </c>
      <c r="T42" s="1369">
        <f t="shared" si="33"/>
        <v>86.370607986684732</v>
      </c>
      <c r="U42" s="1369">
        <f t="shared" si="33"/>
        <v>89.152814153537705</v>
      </c>
      <c r="V42" s="1369">
        <f t="shared" si="33"/>
        <v>86.279749378414252</v>
      </c>
      <c r="W42" s="1369">
        <f t="shared" si="33"/>
        <v>80.722161510833203</v>
      </c>
      <c r="X42" s="1369">
        <f t="shared" si="33"/>
        <v>82.093870625663186</v>
      </c>
      <c r="Y42" s="1369">
        <f t="shared" si="33"/>
        <v>76.951674607689228</v>
      </c>
      <c r="Z42" s="1369">
        <f t="shared" si="33"/>
        <v>70.698772111507324</v>
      </c>
      <c r="AA42" s="1369">
        <f t="shared" si="33"/>
        <v>75.100467178615006</v>
      </c>
      <c r="AB42" s="1369">
        <f t="shared" si="33"/>
        <v>73.620007742783187</v>
      </c>
      <c r="AC42" s="1369">
        <f t="shared" si="33"/>
        <v>75.049917556968396</v>
      </c>
      <c r="AD42" s="1369">
        <f t="shared" si="33"/>
        <v>71.298850611459457</v>
      </c>
      <c r="AE42" s="1369">
        <f t="shared" si="33"/>
        <v>70.465383692116802</v>
      </c>
      <c r="AF42" s="1369">
        <f t="shared" si="33"/>
        <v>71.588429139639686</v>
      </c>
      <c r="AG42" s="1249">
        <f t="shared" si="33"/>
        <v>70.367684404674236</v>
      </c>
      <c r="AH42" s="1249">
        <f t="shared" si="33"/>
        <v>63.98786501878962</v>
      </c>
      <c r="AI42" s="1249">
        <f t="shared" si="33"/>
        <v>67.039425884707882</v>
      </c>
      <c r="AJ42" s="1280"/>
      <c r="AK42" s="1280"/>
      <c r="AL42" s="1280"/>
      <c r="AM42" s="1280"/>
      <c r="AN42" s="7"/>
      <c r="AP42" s="1243"/>
      <c r="AQ42" s="1243"/>
      <c r="AR42" s="1243"/>
    </row>
    <row r="43" spans="2:51" ht="15" thickBot="1">
      <c r="B43" s="150"/>
      <c r="C43" s="408"/>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201"/>
      <c r="AF43" s="1201"/>
      <c r="AG43" s="1201"/>
      <c r="AH43" s="1201"/>
      <c r="AI43" s="1201"/>
      <c r="AJ43" s="1201"/>
      <c r="AK43" s="1201"/>
      <c r="AL43" s="1201"/>
      <c r="AM43" s="1201"/>
      <c r="AN43" s="1201"/>
      <c r="AP43" s="1244"/>
      <c r="AQ43" s="1244"/>
      <c r="AR43" s="1244"/>
    </row>
    <row r="44" spans="2:51">
      <c r="AA44" s="1"/>
      <c r="AY44"/>
    </row>
    <row r="45" spans="2:51">
      <c r="D45" s="1511"/>
      <c r="E45" s="1511"/>
      <c r="F45" s="1511"/>
      <c r="G45" s="1511"/>
      <c r="H45" s="1511"/>
      <c r="I45" s="1511"/>
      <c r="J45" s="1511"/>
      <c r="K45" s="1511"/>
      <c r="L45" s="1511"/>
      <c r="M45" s="1511"/>
      <c r="N45" s="1511"/>
      <c r="O45" s="1511"/>
      <c r="P45" s="1511"/>
      <c r="Q45" s="1511"/>
      <c r="R45" s="1511"/>
      <c r="S45" s="1511"/>
      <c r="T45" s="1511"/>
      <c r="U45" s="1511"/>
      <c r="V45" s="1511"/>
      <c r="W45" s="1511"/>
      <c r="X45" s="1511"/>
      <c r="Y45" s="1511"/>
      <c r="Z45" s="1511"/>
      <c r="AA45" s="1511"/>
      <c r="AB45" s="1511"/>
      <c r="AC45" s="1511"/>
      <c r="AD45" s="1511"/>
      <c r="AE45" s="1511"/>
      <c r="AF45" s="1511"/>
      <c r="AG45" s="1511"/>
    </row>
  </sheetData>
  <mergeCells count="3">
    <mergeCell ref="C8:Q8"/>
    <mergeCell ref="C4:Q4"/>
    <mergeCell ref="C7:Q7"/>
  </mergeCells>
  <phoneticPr fontId="141" type="noConversion"/>
  <pageMargins left="0.7" right="0.7" top="0.75" bottom="0.75" header="0.3" footer="0.3"/>
  <pageSetup scale="37" fitToHeight="2" orientation="landscape" r:id="rId1"/>
  <headerFooter>
    <oddFooter>&amp;L&amp;F&amp;A&amp;RPage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7335-4151-480B-9179-DAF2C83F892E}">
  <dimension ref="B1:BF75"/>
  <sheetViews>
    <sheetView workbookViewId="0"/>
  </sheetViews>
  <sheetFormatPr defaultColWidth="8.81640625" defaultRowHeight="14.5"/>
  <cols>
    <col min="1" max="1" width="3.453125" customWidth="1"/>
    <col min="2" max="2" width="5" customWidth="1"/>
    <col min="3" max="3" width="50.453125" customWidth="1"/>
    <col min="4" max="4" width="9.81640625" customWidth="1"/>
    <col min="5" max="5" width="8.453125" customWidth="1"/>
    <col min="6" max="10" width="7" customWidth="1"/>
    <col min="11" max="11" width="7.54296875" customWidth="1"/>
    <col min="12" max="12" width="7" customWidth="1"/>
    <col min="13" max="13" width="8.453125" customWidth="1"/>
    <col min="14" max="22" width="8" customWidth="1"/>
    <col min="23" max="23" width="8.1796875" customWidth="1"/>
    <col min="24" max="24" width="8.453125" customWidth="1"/>
    <col min="25" max="25" width="9.54296875" customWidth="1"/>
    <col min="26" max="26" width="7.453125" customWidth="1"/>
    <col min="27" max="28" width="9.453125" customWidth="1"/>
    <col min="29" max="30" width="8.453125" customWidth="1"/>
    <col min="31" max="31" width="7.81640625" customWidth="1"/>
    <col min="32" max="33" width="8.453125" bestFit="1" customWidth="1"/>
    <col min="34" max="44" width="9.453125" customWidth="1"/>
    <col min="45" max="46" width="7.81640625" customWidth="1"/>
    <col min="47" max="48" width="10.453125" bestFit="1" customWidth="1"/>
    <col min="49" max="49" width="9.453125" customWidth="1"/>
    <col min="50" max="50" width="12.453125" customWidth="1"/>
    <col min="51" max="51" width="11.453125" customWidth="1"/>
    <col min="52" max="52" width="13.54296875" customWidth="1"/>
    <col min="53" max="54" width="11.453125" customWidth="1"/>
    <col min="55" max="55" width="11.54296875" customWidth="1"/>
    <col min="56" max="56" width="12.453125" style="1" customWidth="1"/>
    <col min="57" max="59" width="11.453125" bestFit="1" customWidth="1"/>
    <col min="62" max="62" width="13.54296875" customWidth="1"/>
  </cols>
  <sheetData>
    <row r="1" spans="2:58" ht="15" thickBot="1"/>
    <row r="2" spans="2:58" ht="17.25" customHeight="1">
      <c r="B2" s="280"/>
      <c r="C2" s="281"/>
      <c r="D2" s="281"/>
      <c r="E2" s="281"/>
      <c r="F2" s="281"/>
      <c r="G2" s="281"/>
      <c r="H2" s="383"/>
      <c r="I2" s="383"/>
      <c r="J2" s="383"/>
      <c r="K2" s="383"/>
      <c r="L2" s="383"/>
      <c r="M2" s="383"/>
      <c r="N2" s="383"/>
      <c r="O2" s="383"/>
      <c r="P2" s="383"/>
      <c r="Q2" s="384"/>
    </row>
    <row r="3" spans="2:58" ht="18" customHeight="1">
      <c r="B3" s="554"/>
      <c r="C3" s="607" t="s">
        <v>905</v>
      </c>
      <c r="D3" s="213"/>
      <c r="E3" s="213"/>
      <c r="F3" s="213"/>
      <c r="G3" s="213"/>
      <c r="Q3" s="7"/>
    </row>
    <row r="4" spans="2:58" ht="15.75" customHeight="1" thickBot="1">
      <c r="B4" s="1554"/>
      <c r="C4" s="151"/>
      <c r="D4" s="1555"/>
      <c r="E4" s="1555"/>
      <c r="F4" s="1555"/>
      <c r="G4" s="1555"/>
      <c r="H4" s="151"/>
      <c r="I4" s="151"/>
      <c r="J4" s="151"/>
      <c r="K4" s="151"/>
      <c r="L4" s="151"/>
      <c r="M4" s="151"/>
      <c r="N4" s="151"/>
      <c r="O4" s="151"/>
      <c r="P4" s="151"/>
      <c r="Q4" s="540"/>
    </row>
    <row r="5" spans="2:58" ht="15.75" customHeight="1">
      <c r="B5" s="1501"/>
      <c r="C5" s="1502"/>
      <c r="D5" s="1502"/>
      <c r="E5" s="1502"/>
      <c r="F5" s="1502"/>
      <c r="G5" s="1502"/>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4"/>
      <c r="BD5"/>
      <c r="BF5" s="1"/>
    </row>
    <row r="6" spans="2:58" ht="45" customHeight="1">
      <c r="B6" s="10"/>
      <c r="C6" s="1747" t="s">
        <v>906</v>
      </c>
      <c r="D6" s="1745"/>
      <c r="E6" s="1745"/>
      <c r="F6" s="1745"/>
      <c r="G6" s="1745"/>
      <c r="H6" s="1745"/>
      <c r="I6" s="1745"/>
      <c r="J6" s="1745"/>
      <c r="K6" s="1745"/>
      <c r="L6" s="1745"/>
      <c r="M6" s="1745"/>
      <c r="N6" s="1745"/>
      <c r="O6" s="1745"/>
      <c r="P6" s="1745"/>
      <c r="Q6" s="1746"/>
      <c r="AS6" s="7"/>
      <c r="BD6"/>
      <c r="BF6" s="1"/>
    </row>
    <row r="7" spans="2:58" ht="16" thickBot="1">
      <c r="B7" s="10"/>
      <c r="D7" s="793"/>
      <c r="W7" s="242"/>
      <c r="X7" s="242"/>
      <c r="Y7" s="242"/>
      <c r="Z7" s="242"/>
      <c r="AC7" s="784"/>
      <c r="AD7" s="784"/>
      <c r="AE7" s="855"/>
      <c r="AF7" s="784"/>
      <c r="AG7" s="784"/>
      <c r="AH7" s="784"/>
      <c r="AI7" s="784"/>
      <c r="AK7" s="784"/>
      <c r="AL7" s="784"/>
      <c r="AM7" s="784"/>
      <c r="AN7" s="784"/>
      <c r="AO7" s="784"/>
      <c r="AP7" s="784"/>
      <c r="AQ7" s="784"/>
      <c r="AR7" s="784"/>
      <c r="AS7" s="7"/>
      <c r="AU7" s="1056"/>
      <c r="AV7" s="1056"/>
      <c r="AW7" s="1056"/>
    </row>
    <row r="8" spans="2:58" ht="15.5" thickBot="1">
      <c r="B8" s="10"/>
      <c r="C8" s="1363" t="s">
        <v>2</v>
      </c>
      <c r="D8" s="1364">
        <v>1990</v>
      </c>
      <c r="E8" s="787">
        <v>1991</v>
      </c>
      <c r="F8" s="787">
        <v>1992</v>
      </c>
      <c r="G8" s="787">
        <v>1993</v>
      </c>
      <c r="H8" s="787">
        <v>1994</v>
      </c>
      <c r="I8" s="787">
        <v>1995</v>
      </c>
      <c r="J8" s="787">
        <v>1996</v>
      </c>
      <c r="K8" s="787">
        <v>1997</v>
      </c>
      <c r="L8" s="787">
        <v>1998</v>
      </c>
      <c r="M8" s="787">
        <v>1999</v>
      </c>
      <c r="N8" s="787">
        <v>2000</v>
      </c>
      <c r="O8" s="787">
        <v>2001</v>
      </c>
      <c r="P8" s="787">
        <v>2002</v>
      </c>
      <c r="Q8" s="787">
        <v>2003</v>
      </c>
      <c r="R8" s="787">
        <v>2004</v>
      </c>
      <c r="S8" s="787">
        <v>2005</v>
      </c>
      <c r="T8" s="787">
        <v>2006</v>
      </c>
      <c r="U8" s="787">
        <v>2007</v>
      </c>
      <c r="V8" s="787">
        <v>2008</v>
      </c>
      <c r="W8" s="787">
        <v>2009</v>
      </c>
      <c r="X8" s="787">
        <v>2010</v>
      </c>
      <c r="Y8" s="787">
        <v>2011</v>
      </c>
      <c r="Z8" s="787">
        <v>2012</v>
      </c>
      <c r="AA8" s="787">
        <v>2013</v>
      </c>
      <c r="AB8" s="787">
        <v>2014</v>
      </c>
      <c r="AC8" s="787">
        <v>2015</v>
      </c>
      <c r="AD8" s="787">
        <v>2016</v>
      </c>
      <c r="AE8" s="787">
        <v>2017</v>
      </c>
      <c r="AF8" s="787">
        <v>2018</v>
      </c>
      <c r="AG8" s="787">
        <v>2019</v>
      </c>
      <c r="AH8" s="787">
        <v>2020</v>
      </c>
      <c r="AI8" s="787">
        <v>2021</v>
      </c>
      <c r="AJ8" s="787">
        <v>2022</v>
      </c>
      <c r="AK8" s="787">
        <v>2023</v>
      </c>
      <c r="AL8" s="787">
        <v>2024</v>
      </c>
      <c r="AM8" s="787">
        <v>2025</v>
      </c>
      <c r="AN8" s="787">
        <v>2026</v>
      </c>
      <c r="AO8" s="787">
        <v>2027</v>
      </c>
      <c r="AP8" s="787">
        <v>2028</v>
      </c>
      <c r="AQ8" s="787">
        <v>2029</v>
      </c>
      <c r="AR8" s="787">
        <v>2030</v>
      </c>
      <c r="AS8" s="7"/>
      <c r="AU8" s="1209"/>
      <c r="AV8" s="1209"/>
      <c r="AW8" s="1209"/>
    </row>
    <row r="9" spans="2:58" ht="15">
      <c r="B9" s="10"/>
      <c r="C9" s="1299" t="s">
        <v>78</v>
      </c>
      <c r="D9" s="1301">
        <f t="shared" ref="D9:AI9" si="0">D10+D11</f>
        <v>15.31365040534536</v>
      </c>
      <c r="E9" s="1302">
        <f t="shared" si="0"/>
        <v>14.518561901071035</v>
      </c>
      <c r="F9" s="1302">
        <f t="shared" si="0"/>
        <v>16.637356745667098</v>
      </c>
      <c r="G9" s="1302">
        <f t="shared" si="0"/>
        <v>16.765001626446431</v>
      </c>
      <c r="H9" s="1302">
        <f t="shared" si="0"/>
        <v>16.5798858667393</v>
      </c>
      <c r="I9" s="1302">
        <f t="shared" si="0"/>
        <v>14.981382499081906</v>
      </c>
      <c r="J9" s="1302">
        <f t="shared" si="0"/>
        <v>14.782858365913285</v>
      </c>
      <c r="K9" s="1302">
        <f t="shared" si="0"/>
        <v>14.564592342096233</v>
      </c>
      <c r="L9" s="1302">
        <f t="shared" si="0"/>
        <v>13.354760517636457</v>
      </c>
      <c r="M9" s="1302">
        <f t="shared" si="0"/>
        <v>14.184525556803141</v>
      </c>
      <c r="N9" s="1302">
        <f t="shared" si="0"/>
        <v>15.873185523164093</v>
      </c>
      <c r="O9" s="1302">
        <f t="shared" si="0"/>
        <v>16.199011137428776</v>
      </c>
      <c r="P9" s="1302">
        <f t="shared" si="0"/>
        <v>16.119805109343375</v>
      </c>
      <c r="Q9" s="1302">
        <f t="shared" si="0"/>
        <v>16.601211726566344</v>
      </c>
      <c r="R9" s="1302">
        <f t="shared" si="0"/>
        <v>15.197154479199662</v>
      </c>
      <c r="S9" s="1302">
        <f t="shared" si="0"/>
        <v>15.027210450114723</v>
      </c>
      <c r="T9" s="1302">
        <f t="shared" si="0"/>
        <v>12.930446995074689</v>
      </c>
      <c r="U9" s="1302">
        <f t="shared" si="0"/>
        <v>13.614044734403702</v>
      </c>
      <c r="V9" s="1302">
        <f t="shared" si="0"/>
        <v>14.49159231299309</v>
      </c>
      <c r="W9" s="1302">
        <f t="shared" si="0"/>
        <v>13.995697715436682</v>
      </c>
      <c r="X9" s="1302">
        <f t="shared" si="0"/>
        <v>13.737716464679892</v>
      </c>
      <c r="Y9" s="1302">
        <f t="shared" si="0"/>
        <v>13.770209257923048</v>
      </c>
      <c r="Z9" s="1302">
        <f t="shared" si="0"/>
        <v>11.921635639998783</v>
      </c>
      <c r="AA9" s="1302">
        <f t="shared" si="0"/>
        <v>12.427545793562148</v>
      </c>
      <c r="AB9" s="1302">
        <f t="shared" si="0"/>
        <v>13.736544746104025</v>
      </c>
      <c r="AC9" s="1302">
        <f t="shared" si="0"/>
        <v>13.636975173626578</v>
      </c>
      <c r="AD9" s="1302">
        <f t="shared" si="0"/>
        <v>11.39103932176867</v>
      </c>
      <c r="AE9" s="1302">
        <f t="shared" si="0"/>
        <v>12.355017974074329</v>
      </c>
      <c r="AF9" s="1303">
        <f t="shared" si="0"/>
        <v>13.40124690910987</v>
      </c>
      <c r="AG9" s="1302">
        <f t="shared" si="0"/>
        <v>13.74295509703531</v>
      </c>
      <c r="AH9" s="1302">
        <f t="shared" si="0"/>
        <v>12.203532691373011</v>
      </c>
      <c r="AI9" s="1302">
        <f t="shared" si="0"/>
        <v>12.587212421548125</v>
      </c>
      <c r="AJ9" s="1302">
        <f t="shared" ref="AJ9" si="1">AJ10+AJ11</f>
        <v>13.000609212674958</v>
      </c>
      <c r="AK9" s="1302"/>
      <c r="AL9" s="1302"/>
      <c r="AM9" s="1302"/>
      <c r="AN9" s="1302"/>
      <c r="AO9" s="1302"/>
      <c r="AP9" s="1302"/>
      <c r="AQ9" s="1302"/>
      <c r="AR9" s="1302"/>
      <c r="AS9" s="7"/>
      <c r="AU9" s="783"/>
      <c r="AV9" s="783"/>
      <c r="AW9" s="783"/>
    </row>
    <row r="10" spans="2:58" ht="15">
      <c r="B10" s="10"/>
      <c r="C10" s="1300" t="s">
        <v>79</v>
      </c>
      <c r="D10" s="1304">
        <f>CO2_FFC!C5</f>
        <v>15.09218729035536</v>
      </c>
      <c r="E10" s="380">
        <f>CO2_FFC!D5</f>
        <v>14.295364882071034</v>
      </c>
      <c r="F10" s="380">
        <f>CO2_FFC!E5</f>
        <v>16.396053585147097</v>
      </c>
      <c r="G10" s="380">
        <f>CO2_FFC!F5</f>
        <v>16.518072434056432</v>
      </c>
      <c r="H10" s="380">
        <f>CO2_FFC!G5</f>
        <v>16.3428113958593</v>
      </c>
      <c r="I10" s="380">
        <f>CO2_FFC!H5</f>
        <v>14.751248409471906</v>
      </c>
      <c r="J10" s="380">
        <f>CO2_FFC!I5</f>
        <v>14.548991126703285</v>
      </c>
      <c r="K10" s="380">
        <f>CO2_FFC!J5</f>
        <v>14.378872297176233</v>
      </c>
      <c r="L10" s="380">
        <f>CO2_FFC!K5</f>
        <v>13.187544748996457</v>
      </c>
      <c r="M10" s="380">
        <f>CO2_FFC!L5</f>
        <v>14.010791823643141</v>
      </c>
      <c r="N10" s="380">
        <f>CO2_FFC!M5</f>
        <v>15.683527402244092</v>
      </c>
      <c r="O10" s="380">
        <f>CO2_FFC!N5</f>
        <v>16.029000961089942</v>
      </c>
      <c r="P10" s="380">
        <f>CO2_FFC!O5</f>
        <v>15.947597736625315</v>
      </c>
      <c r="Q10" s="380">
        <f>CO2_FFC!P5</f>
        <v>16.424354633887898</v>
      </c>
      <c r="R10" s="380">
        <f>CO2_FFC!Q5</f>
        <v>15.02439042499277</v>
      </c>
      <c r="S10" s="380">
        <f>CO2_FFC!R5</f>
        <v>14.929934686615209</v>
      </c>
      <c r="T10" s="380">
        <f>CO2_FFC!S5</f>
        <v>12.846312302684595</v>
      </c>
      <c r="U10" s="380">
        <f>CO2_FFC!T5</f>
        <v>13.524855771139288</v>
      </c>
      <c r="V10" s="380">
        <f>CO2_FFC!U5</f>
        <v>14.39714565392285</v>
      </c>
      <c r="W10" s="380">
        <f>CO2_FFC!V5</f>
        <v>13.852964375083578</v>
      </c>
      <c r="X10" s="380">
        <f>CO2_FFC!W5</f>
        <v>13.589313015564603</v>
      </c>
      <c r="Y10" s="380">
        <f>CO2_FFC!X5</f>
        <v>13.624708631879612</v>
      </c>
      <c r="Z10" s="380">
        <f>CO2_FFC!Y5</f>
        <v>11.798985827009325</v>
      </c>
      <c r="AA10" s="380">
        <f>CO2_FFC!Z5</f>
        <v>12.279880650460056</v>
      </c>
      <c r="AB10" s="380">
        <f>CO2_FFC!AA5</f>
        <v>13.581589984107024</v>
      </c>
      <c r="AC10" s="380">
        <f>CO2_FFC!AB5</f>
        <v>13.492417678538322</v>
      </c>
      <c r="AD10" s="380">
        <f>CO2_FFC!AC5</f>
        <v>11.274433436984273</v>
      </c>
      <c r="AE10" s="380">
        <f>CO2_FFC!AD5</f>
        <v>12.235011797173529</v>
      </c>
      <c r="AF10" s="870">
        <f>CO2_FFC!AE5</f>
        <v>13.276887897527338</v>
      </c>
      <c r="AG10" s="380">
        <f>CO2_FFC!AF5</f>
        <v>13.60200809288772</v>
      </c>
      <c r="AH10" s="380">
        <f>CO2_FFC!AG5</f>
        <v>12.102936422079161</v>
      </c>
      <c r="AI10" s="380">
        <f>CO2_FFC!AH5</f>
        <v>12.480073656420144</v>
      </c>
      <c r="AJ10" s="380">
        <f>CO2_FFC!AI5</f>
        <v>12.883270641350757</v>
      </c>
      <c r="AK10" s="380"/>
      <c r="AL10" s="380"/>
      <c r="AM10" s="380"/>
      <c r="AN10" s="380"/>
      <c r="AO10" s="380"/>
      <c r="AP10" s="380"/>
      <c r="AQ10" s="380"/>
      <c r="AR10" s="380"/>
      <c r="AS10" s="7"/>
      <c r="AU10" s="783"/>
      <c r="AV10" s="783"/>
      <c r="AW10" s="783"/>
    </row>
    <row r="11" spans="2:58" ht="15">
      <c r="B11" s="10"/>
      <c r="C11" s="1358" t="s">
        <v>80</v>
      </c>
      <c r="D11" s="1370">
        <f>Stationary!C40</f>
        <v>0.22146311499000002</v>
      </c>
      <c r="E11" s="1371">
        <f>Stationary!D40</f>
        <v>0.22319701900000002</v>
      </c>
      <c r="F11" s="1371">
        <f>Stationary!E40</f>
        <v>0.24130316051999998</v>
      </c>
      <c r="G11" s="1371">
        <f>Stationary!F40</f>
        <v>0.24692919239</v>
      </c>
      <c r="H11" s="1371">
        <f>Stationary!G40</f>
        <v>0.23707447088</v>
      </c>
      <c r="I11" s="1371">
        <f>Stationary!H40</f>
        <v>0.23013408961000001</v>
      </c>
      <c r="J11" s="1371">
        <f>Stationary!I40</f>
        <v>0.23386723920999997</v>
      </c>
      <c r="K11" s="1371">
        <f>Stationary!J40</f>
        <v>0.18572004491999997</v>
      </c>
      <c r="L11" s="1371">
        <f>Stationary!K40</f>
        <v>0.16721576863999998</v>
      </c>
      <c r="M11" s="1371">
        <f>Stationary!L40</f>
        <v>0.17373373315999999</v>
      </c>
      <c r="N11" s="1371">
        <f>Stationary!M40</f>
        <v>0.18965812091999998</v>
      </c>
      <c r="O11" s="1371">
        <f>Stationary!N40</f>
        <v>0.17001017633883481</v>
      </c>
      <c r="P11" s="1371">
        <f>Stationary!O40</f>
        <v>0.17220737271805805</v>
      </c>
      <c r="Q11" s="1371">
        <f>Stationary!P40</f>
        <v>0.1768570926784464</v>
      </c>
      <c r="R11" s="1371">
        <f>Stationary!Q40</f>
        <v>0.17276405420689284</v>
      </c>
      <c r="S11" s="1371">
        <f>Stationary!R40</f>
        <v>9.7275763499513487E-2</v>
      </c>
      <c r="T11" s="1371">
        <f>Stationary!S40</f>
        <v>8.4134692390093954E-2</v>
      </c>
      <c r="U11" s="1371">
        <f>Stationary!T40</f>
        <v>8.9188963264413237E-2</v>
      </c>
      <c r="V11" s="1371">
        <f>Stationary!U40</f>
        <v>9.4446659070239081E-2</v>
      </c>
      <c r="W11" s="1371">
        <f>Stationary!V40</f>
        <v>0.14273334035310292</v>
      </c>
      <c r="X11" s="1371">
        <f>Stationary!W40</f>
        <v>0.14840344911528816</v>
      </c>
      <c r="Y11" s="1371">
        <f>Stationary!X40</f>
        <v>0.145500626043436</v>
      </c>
      <c r="Z11" s="1371">
        <f>Stationary!Y40</f>
        <v>0.12264981298945812</v>
      </c>
      <c r="AA11" s="1371">
        <f>Stationary!Z40</f>
        <v>0.14766514310209233</v>
      </c>
      <c r="AB11" s="1371">
        <f>Stationary!AA40</f>
        <v>0.15495476199700042</v>
      </c>
      <c r="AC11" s="1294">
        <f>Stationary!AB40</f>
        <v>0.14455749508825541</v>
      </c>
      <c r="AD11" s="1294">
        <f>Stationary!AC40</f>
        <v>0.1166058847843976</v>
      </c>
      <c r="AE11" s="1294">
        <f>Stationary!AD40</f>
        <v>0.12000617690079979</v>
      </c>
      <c r="AF11" s="1295">
        <f>Stationary!AE40</f>
        <v>0.12435901158253188</v>
      </c>
      <c r="AG11" s="1294">
        <f>Stationary!AF40</f>
        <v>0.14094700414758929</v>
      </c>
      <c r="AH11" s="1294">
        <f>Stationary!AG40</f>
        <v>0.1005962692938505</v>
      </c>
      <c r="AI11" s="1294">
        <f>Stationary!AH40</f>
        <v>0.10713876512798183</v>
      </c>
      <c r="AJ11" s="1294">
        <f>Stationary!AI40</f>
        <v>0.11733857132420025</v>
      </c>
      <c r="AK11" s="1294"/>
      <c r="AL11" s="1294"/>
      <c r="AM11" s="1294"/>
      <c r="AN11" s="1294"/>
      <c r="AO11" s="1294"/>
      <c r="AP11" s="1294"/>
      <c r="AQ11" s="1294"/>
      <c r="AR11" s="1294"/>
      <c r="AS11" s="7"/>
      <c r="AU11" s="783"/>
      <c r="AV11" s="783"/>
      <c r="AW11" s="783"/>
    </row>
    <row r="12" spans="2:58" s="235" customFormat="1" ht="15">
      <c r="B12" s="573"/>
      <c r="C12" s="1459" t="s">
        <v>106</v>
      </c>
      <c r="D12" s="1297">
        <f>D9</f>
        <v>15.31365040534536</v>
      </c>
      <c r="E12" s="1297">
        <f t="shared" ref="E12:AH12" si="2">E9</f>
        <v>14.518561901071035</v>
      </c>
      <c r="F12" s="1297">
        <f t="shared" si="2"/>
        <v>16.637356745667098</v>
      </c>
      <c r="G12" s="1297">
        <f t="shared" si="2"/>
        <v>16.765001626446431</v>
      </c>
      <c r="H12" s="1297">
        <f t="shared" si="2"/>
        <v>16.5798858667393</v>
      </c>
      <c r="I12" s="1297">
        <f t="shared" si="2"/>
        <v>14.981382499081906</v>
      </c>
      <c r="J12" s="1297">
        <f t="shared" si="2"/>
        <v>14.782858365913285</v>
      </c>
      <c r="K12" s="1297">
        <f t="shared" si="2"/>
        <v>14.564592342096233</v>
      </c>
      <c r="L12" s="1297">
        <f t="shared" si="2"/>
        <v>13.354760517636457</v>
      </c>
      <c r="M12" s="1297">
        <f t="shared" si="2"/>
        <v>14.184525556803141</v>
      </c>
      <c r="N12" s="1297">
        <f t="shared" si="2"/>
        <v>15.873185523164093</v>
      </c>
      <c r="O12" s="1297">
        <f t="shared" si="2"/>
        <v>16.199011137428776</v>
      </c>
      <c r="P12" s="1297">
        <f t="shared" si="2"/>
        <v>16.119805109343375</v>
      </c>
      <c r="Q12" s="1297">
        <f t="shared" si="2"/>
        <v>16.601211726566344</v>
      </c>
      <c r="R12" s="1297">
        <f t="shared" si="2"/>
        <v>15.197154479199662</v>
      </c>
      <c r="S12" s="1297">
        <f t="shared" si="2"/>
        <v>15.027210450114723</v>
      </c>
      <c r="T12" s="1297">
        <f t="shared" si="2"/>
        <v>12.930446995074689</v>
      </c>
      <c r="U12" s="1297">
        <f t="shared" si="2"/>
        <v>13.614044734403702</v>
      </c>
      <c r="V12" s="1297">
        <f t="shared" si="2"/>
        <v>14.49159231299309</v>
      </c>
      <c r="W12" s="1297">
        <f t="shared" si="2"/>
        <v>13.995697715436682</v>
      </c>
      <c r="X12" s="1297">
        <f t="shared" si="2"/>
        <v>13.737716464679892</v>
      </c>
      <c r="Y12" s="1297">
        <f t="shared" si="2"/>
        <v>13.770209257923048</v>
      </c>
      <c r="Z12" s="1297">
        <f t="shared" si="2"/>
        <v>11.921635639998783</v>
      </c>
      <c r="AA12" s="1297">
        <f t="shared" si="2"/>
        <v>12.427545793562148</v>
      </c>
      <c r="AB12" s="1297">
        <f t="shared" si="2"/>
        <v>13.736544746104025</v>
      </c>
      <c r="AC12" s="1297">
        <f t="shared" si="2"/>
        <v>13.636975173626578</v>
      </c>
      <c r="AD12" s="1297">
        <f t="shared" si="2"/>
        <v>11.39103932176867</v>
      </c>
      <c r="AE12" s="1297">
        <f t="shared" si="2"/>
        <v>12.355017974074329</v>
      </c>
      <c r="AF12" s="1297">
        <f t="shared" si="2"/>
        <v>13.40124690910987</v>
      </c>
      <c r="AG12" s="1297">
        <f t="shared" si="2"/>
        <v>13.74295509703531</v>
      </c>
      <c r="AH12" s="1297">
        <f t="shared" si="2"/>
        <v>12.203532691373011</v>
      </c>
      <c r="AI12" s="1297">
        <f t="shared" ref="AI12:AJ12" si="3">AI9</f>
        <v>12.587212421548125</v>
      </c>
      <c r="AJ12" s="1297">
        <f t="shared" si="3"/>
        <v>13.000609212674958</v>
      </c>
      <c r="AK12" s="1297"/>
      <c r="AL12" s="1297"/>
      <c r="AM12" s="1297"/>
      <c r="AN12" s="1297"/>
      <c r="AO12" s="1297"/>
      <c r="AP12" s="1297"/>
      <c r="AQ12" s="1297"/>
      <c r="AR12" s="1297"/>
      <c r="AS12" s="794"/>
      <c r="AU12" s="380"/>
      <c r="AV12" s="380"/>
      <c r="AW12" s="380"/>
      <c r="BD12" s="678"/>
    </row>
    <row r="13" spans="2:58" s="235" customFormat="1" ht="15">
      <c r="B13" s="573"/>
      <c r="C13" s="1359" t="s">
        <v>12</v>
      </c>
      <c r="D13" s="1297">
        <f t="shared" ref="D13" si="4">D10</f>
        <v>15.09218729035536</v>
      </c>
      <c r="E13" s="1298">
        <f>-(100-((E12/D12)*100))</f>
        <v>-5.1920246527032674</v>
      </c>
      <c r="F13" s="1298">
        <f t="shared" ref="F13:AJ13" si="5">-(100-((F12/E12)*100))</f>
        <v>14.593696393853989</v>
      </c>
      <c r="G13" s="1298">
        <f t="shared" si="5"/>
        <v>0.76721851151371823</v>
      </c>
      <c r="H13" s="1298">
        <f t="shared" si="5"/>
        <v>-1.1041797897300256</v>
      </c>
      <c r="I13" s="1298">
        <f t="shared" si="5"/>
        <v>-9.6412205759759217</v>
      </c>
      <c r="J13" s="1298">
        <f t="shared" si="5"/>
        <v>-1.3251389394856545</v>
      </c>
      <c r="K13" s="1298">
        <f t="shared" si="5"/>
        <v>-1.4764805182760625</v>
      </c>
      <c r="L13" s="1298">
        <f t="shared" si="5"/>
        <v>-8.306664519287537</v>
      </c>
      <c r="M13" s="1298">
        <f t="shared" si="5"/>
        <v>6.2132528551963588</v>
      </c>
      <c r="N13" s="1298">
        <f t="shared" si="5"/>
        <v>11.90494500220376</v>
      </c>
      <c r="O13" s="1298">
        <f t="shared" si="5"/>
        <v>2.0526794309132015</v>
      </c>
      <c r="P13" s="1298">
        <f t="shared" si="5"/>
        <v>-0.48895594560332256</v>
      </c>
      <c r="Q13" s="1298">
        <f t="shared" si="5"/>
        <v>2.9864295129966365</v>
      </c>
      <c r="R13" s="1298">
        <f t="shared" si="5"/>
        <v>-8.4575588245755426</v>
      </c>
      <c r="S13" s="1298">
        <f t="shared" si="5"/>
        <v>-1.1182621675494744</v>
      </c>
      <c r="T13" s="1298">
        <f t="shared" si="5"/>
        <v>-13.953111670330173</v>
      </c>
      <c r="U13" s="1298">
        <f t="shared" si="5"/>
        <v>5.2867293728469065</v>
      </c>
      <c r="V13" s="1298">
        <f t="shared" si="5"/>
        <v>6.4458990381584442</v>
      </c>
      <c r="W13" s="1298">
        <f t="shared" si="5"/>
        <v>-3.4219469251269885</v>
      </c>
      <c r="X13" s="1298">
        <f t="shared" si="5"/>
        <v>-1.8432896737420066</v>
      </c>
      <c r="Y13" s="1298">
        <f t="shared" si="5"/>
        <v>0.23652252051276434</v>
      </c>
      <c r="Z13" s="1298">
        <f t="shared" si="5"/>
        <v>-13.424441003760634</v>
      </c>
      <c r="AA13" s="1298">
        <f t="shared" si="5"/>
        <v>4.2436303946915075</v>
      </c>
      <c r="AB13" s="1298">
        <f t="shared" si="5"/>
        <v>10.533044691897089</v>
      </c>
      <c r="AC13" s="1298">
        <f t="shared" si="5"/>
        <v>-0.72485165897113291</v>
      </c>
      <c r="AD13" s="1298">
        <f t="shared" si="5"/>
        <v>-16.46945765657378</v>
      </c>
      <c r="AE13" s="1298">
        <f t="shared" si="5"/>
        <v>8.4626049043958744</v>
      </c>
      <c r="AF13" s="1298">
        <f t="shared" si="5"/>
        <v>8.4680486684110008</v>
      </c>
      <c r="AG13" s="1298">
        <f t="shared" si="5"/>
        <v>2.549823835371285</v>
      </c>
      <c r="AH13" s="1298">
        <f t="shared" si="5"/>
        <v>-11.201538495853697</v>
      </c>
      <c r="AI13" s="1298">
        <f t="shared" si="5"/>
        <v>3.1440054275951468</v>
      </c>
      <c r="AJ13" s="1298">
        <f t="shared" si="5"/>
        <v>3.2842600671387316</v>
      </c>
      <c r="AK13" s="1297"/>
      <c r="AL13" s="1297"/>
      <c r="AM13" s="1297"/>
      <c r="AN13" s="1297"/>
      <c r="AO13" s="1297"/>
      <c r="AP13" s="1297"/>
      <c r="AQ13" s="1297"/>
      <c r="AR13" s="1297"/>
      <c r="AS13" s="794"/>
      <c r="AU13" s="380"/>
      <c r="AV13" s="380"/>
      <c r="AW13" s="380"/>
      <c r="BD13" s="678"/>
    </row>
    <row r="14" spans="2:58" s="235" customFormat="1" ht="15.5" thickBot="1">
      <c r="B14" s="573"/>
      <c r="C14" s="1359" t="s">
        <v>13</v>
      </c>
      <c r="D14" s="1297"/>
      <c r="E14" s="1298">
        <f>-(100-((E12/$D$12)*100))</f>
        <v>-5.1920246527032674</v>
      </c>
      <c r="F14" s="1298">
        <f t="shared" ref="F14:AH14" si="6">-(100-((F12/$D$12)*100))</f>
        <v>8.6439634266411502</v>
      </c>
      <c r="G14" s="1298">
        <f t="shared" si="6"/>
        <v>9.477500025692521</v>
      </c>
      <c r="H14" s="1298">
        <f t="shared" si="6"/>
        <v>8.2686715961071542</v>
      </c>
      <c r="I14" s="1298">
        <f t="shared" si="6"/>
        <v>-2.1697498471525307</v>
      </c>
      <c r="J14" s="1298">
        <f t="shared" si="6"/>
        <v>-3.4661365865241294</v>
      </c>
      <c r="K14" s="1298">
        <f t="shared" si="6"/>
        <v>-4.8914402733633153</v>
      </c>
      <c r="L14" s="1298">
        <f t="shared" si="6"/>
        <v>-12.791789258981225</v>
      </c>
      <c r="M14" s="1298">
        <f t="shared" si="6"/>
        <v>-7.3733226151492204</v>
      </c>
      <c r="N14" s="1298">
        <f t="shared" si="6"/>
        <v>3.6538323848859875</v>
      </c>
      <c r="O14" s="1298">
        <f t="shared" si="6"/>
        <v>5.7815132816038073</v>
      </c>
      <c r="P14" s="1298">
        <f t="shared" si="6"/>
        <v>5.2642882830642463</v>
      </c>
      <c r="Q14" s="1298">
        <f t="shared" si="6"/>
        <v>8.407932054995527</v>
      </c>
      <c r="R14" s="1298">
        <f t="shared" si="6"/>
        <v>-0.76073256906160225</v>
      </c>
      <c r="S14" s="1298">
        <f t="shared" si="6"/>
        <v>-1.8704877520950447</v>
      </c>
      <c r="T14" s="1298">
        <f t="shared" si="6"/>
        <v>-15.56260817759555</v>
      </c>
      <c r="U14" s="1298">
        <f t="shared" si="6"/>
        <v>-11.098631782454675</v>
      </c>
      <c r="V14" s="1298">
        <f t="shared" si="6"/>
        <v>-5.368139343610224</v>
      </c>
      <c r="W14" s="1298">
        <f t="shared" si="6"/>
        <v>-8.6063913895320212</v>
      </c>
      <c r="X14" s="1298">
        <f t="shared" si="6"/>
        <v>-10.291040339508967</v>
      </c>
      <c r="Y14" s="1298">
        <f t="shared" si="6"/>
        <v>-10.078858446994204</v>
      </c>
      <c r="Z14" s="1298">
        <f t="shared" si="6"/>
        <v>-22.150269044685558</v>
      </c>
      <c r="AA14" s="1298">
        <f t="shared" si="6"/>
        <v>-18.846614199680261</v>
      </c>
      <c r="AB14" s="1298">
        <f t="shared" si="6"/>
        <v>-10.298691804344912</v>
      </c>
      <c r="AC14" s="1298">
        <f t="shared" si="6"/>
        <v>-10.948893224919928</v>
      </c>
      <c r="AD14" s="1298">
        <f t="shared" si="6"/>
        <v>-25.615127547952056</v>
      </c>
      <c r="AE14" s="1298">
        <f t="shared" si="6"/>
        <v>-19.320229683696425</v>
      </c>
      <c r="AF14" s="1298">
        <f t="shared" si="6"/>
        <v>-12.48822746774961</v>
      </c>
      <c r="AG14" s="1298">
        <f t="shared" si="6"/>
        <v>-10.256831432966408</v>
      </c>
      <c r="AH14" s="1298">
        <f t="shared" si="6"/>
        <v>-20.309447007401545</v>
      </c>
      <c r="AI14" s="1298">
        <f t="shared" ref="AI14:AJ14" si="7">-(100-((AI12/$D$12)*100))</f>
        <v>-17.803971696033685</v>
      </c>
      <c r="AJ14" s="1298">
        <f t="shared" si="7"/>
        <v>-15.104440361672459</v>
      </c>
      <c r="AK14" s="1297"/>
      <c r="AL14" s="1297"/>
      <c r="AM14" s="1297"/>
      <c r="AN14" s="1297"/>
      <c r="AO14" s="1297"/>
      <c r="AP14" s="1297"/>
      <c r="AQ14" s="1297"/>
      <c r="AR14" s="1297"/>
      <c r="AS14" s="794"/>
      <c r="AU14" s="380"/>
      <c r="AV14" s="380"/>
      <c r="AW14" s="380"/>
      <c r="BD14" s="678"/>
    </row>
    <row r="15" spans="2:58" s="235" customFormat="1" ht="15">
      <c r="B15" s="573"/>
      <c r="C15" s="1359" t="s">
        <v>107</v>
      </c>
      <c r="E15" s="380"/>
      <c r="F15" s="380"/>
      <c r="G15" s="380"/>
      <c r="H15" s="380"/>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1296"/>
      <c r="AH15" s="1296"/>
      <c r="AI15" s="1296"/>
      <c r="AJ15" s="1296"/>
      <c r="AK15" s="1296"/>
      <c r="AL15" s="1296"/>
      <c r="AM15" s="1296">
        <v>10.8</v>
      </c>
      <c r="AN15" s="1296"/>
      <c r="AO15" s="1296"/>
      <c r="AP15" s="1296"/>
      <c r="AQ15" s="1296"/>
      <c r="AR15" s="1296"/>
      <c r="AS15" s="794"/>
      <c r="AU15" s="380"/>
      <c r="AV15" s="380"/>
      <c r="AW15" s="380"/>
      <c r="BD15" s="678"/>
    </row>
    <row r="16" spans="2:58" s="235" customFormat="1" ht="15">
      <c r="B16" s="573"/>
      <c r="C16" s="1359" t="s">
        <v>108</v>
      </c>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1463"/>
      <c r="AH16" s="1463"/>
      <c r="AI16" s="1463"/>
      <c r="AJ16" s="1463"/>
      <c r="AK16" s="1463"/>
      <c r="AL16" s="1463"/>
      <c r="AM16" s="1463"/>
      <c r="AN16" s="1463"/>
      <c r="AO16" s="1463"/>
      <c r="AP16" s="1463"/>
      <c r="AQ16" s="1463"/>
      <c r="AR16" s="1512">
        <v>7.8</v>
      </c>
      <c r="AS16" s="794"/>
      <c r="AU16" s="380"/>
      <c r="AV16" s="380"/>
      <c r="AW16" s="380"/>
      <c r="BD16" s="678"/>
    </row>
    <row r="17" spans="2:56" s="235" customFormat="1" ht="15.5" thickBot="1">
      <c r="B17" s="573"/>
      <c r="C17" s="1460" t="s">
        <v>894</v>
      </c>
      <c r="D17" s="1513">
        <f>D12*(1-0.95)</f>
        <v>0.76568252026726868</v>
      </c>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555"/>
      <c r="AJ17" s="1661" t="s">
        <v>0</v>
      </c>
      <c r="AK17" s="555"/>
      <c r="AL17" s="555"/>
      <c r="AM17" s="555"/>
      <c r="AN17" s="555"/>
      <c r="AO17" s="555"/>
      <c r="AP17" s="555"/>
      <c r="AQ17" s="555"/>
      <c r="AR17" s="555"/>
      <c r="AS17" s="794"/>
      <c r="AU17" s="380"/>
      <c r="AV17" s="380"/>
      <c r="AW17" s="380"/>
      <c r="BD17" s="678"/>
    </row>
    <row r="18" spans="2:56" ht="15">
      <c r="B18" s="10"/>
      <c r="C18" s="450" t="s">
        <v>109</v>
      </c>
      <c r="D18" s="818">
        <f>D19+D20+D21</f>
        <v>8.4498373292805997</v>
      </c>
      <c r="E18" s="818">
        <f>E19+E20+E21</f>
        <v>9.2327174055964729</v>
      </c>
      <c r="F18" s="818">
        <f t="shared" ref="F18:AI18" si="8">F19+F20+F21</f>
        <v>8.9900720556205993</v>
      </c>
      <c r="G18" s="818">
        <f t="shared" si="8"/>
        <v>8.0482362214060164</v>
      </c>
      <c r="H18" s="818">
        <f t="shared" si="8"/>
        <v>8.921629042544625</v>
      </c>
      <c r="I18" s="818">
        <f t="shared" si="8"/>
        <v>9.018799817873635</v>
      </c>
      <c r="J18" s="818">
        <f t="shared" si="8"/>
        <v>9.1210152080864475</v>
      </c>
      <c r="K18" s="818">
        <f t="shared" si="8"/>
        <v>9.5098828363490053</v>
      </c>
      <c r="L18" s="818">
        <f t="shared" si="8"/>
        <v>8.1251718135853466</v>
      </c>
      <c r="M18" s="818">
        <f t="shared" si="8"/>
        <v>6.2393751516955165</v>
      </c>
      <c r="N18" s="818">
        <f t="shared" si="8"/>
        <v>6.8430239750778155</v>
      </c>
      <c r="O18" s="818">
        <f t="shared" si="8"/>
        <v>5.8080881395792963</v>
      </c>
      <c r="P18" s="818">
        <f t="shared" si="8"/>
        <v>5.9304040174073975</v>
      </c>
      <c r="Q18" s="818">
        <f t="shared" si="8"/>
        <v>7.1634710881257879</v>
      </c>
      <c r="R18" s="818">
        <f t="shared" si="8"/>
        <v>6.5866153077796898</v>
      </c>
      <c r="S18" s="818">
        <f t="shared" si="8"/>
        <v>6.7227130330437754</v>
      </c>
      <c r="T18" s="818">
        <f t="shared" si="8"/>
        <v>5.043099047620605</v>
      </c>
      <c r="U18" s="818">
        <f t="shared" si="8"/>
        <v>5.3760371803162688</v>
      </c>
      <c r="V18" s="818">
        <f t="shared" si="8"/>
        <v>5.6229897228886969</v>
      </c>
      <c r="W18" s="818">
        <f t="shared" si="8"/>
        <v>5.8286975313890119</v>
      </c>
      <c r="X18" s="818">
        <f t="shared" si="8"/>
        <v>6.7611009884578097</v>
      </c>
      <c r="Y18" s="818">
        <f t="shared" si="8"/>
        <v>6.3698002623165113</v>
      </c>
      <c r="Z18" s="818">
        <f t="shared" si="8"/>
        <v>5.2680912967014679</v>
      </c>
      <c r="AA18" s="818">
        <f t="shared" si="8"/>
        <v>6.7973406332367121</v>
      </c>
      <c r="AB18" s="818">
        <f t="shared" si="8"/>
        <v>7.1829581238722682</v>
      </c>
      <c r="AC18" s="818">
        <f t="shared" si="8"/>
        <v>7.5869342069335239</v>
      </c>
      <c r="AD18" s="818">
        <f t="shared" si="8"/>
        <v>7.0016349806269655</v>
      </c>
      <c r="AE18" s="818">
        <f t="shared" si="8"/>
        <v>7.3467236414478316</v>
      </c>
      <c r="AF18" s="818">
        <f t="shared" si="8"/>
        <v>7.8911378472718328</v>
      </c>
      <c r="AG18" s="818">
        <f t="shared" si="8"/>
        <v>8.0751392897162351</v>
      </c>
      <c r="AH18" s="818">
        <f t="shared" si="8"/>
        <v>7.2732153222710592</v>
      </c>
      <c r="AI18" s="818">
        <f t="shared" si="8"/>
        <v>7.4164393195736737</v>
      </c>
      <c r="AJ18" s="818">
        <f t="shared" ref="AJ18" si="9">AJ19+AJ20+AJ21</f>
        <v>8.1539546241569685</v>
      </c>
      <c r="AK18" s="818"/>
      <c r="AL18" s="818"/>
      <c r="AM18" s="818"/>
      <c r="AN18" s="818"/>
      <c r="AO18" s="818"/>
      <c r="AP18" s="818"/>
      <c r="AQ18" s="818"/>
      <c r="AR18" s="818"/>
      <c r="AS18" s="7"/>
      <c r="AU18" s="783"/>
      <c r="AV18" s="783"/>
      <c r="AW18" s="783"/>
    </row>
    <row r="19" spans="2:56" ht="15">
      <c r="B19" s="10"/>
      <c r="C19" s="358" t="s">
        <v>82</v>
      </c>
      <c r="D19" s="380">
        <f>CO2_FFC!C10</f>
        <v>8.393199905810599</v>
      </c>
      <c r="E19" s="380">
        <f>CO2_FFC!D10</f>
        <v>9.1714074410264725</v>
      </c>
      <c r="F19" s="380">
        <f>CO2_FFC!E10</f>
        <v>8.9309955359805997</v>
      </c>
      <c r="G19" s="380">
        <f>CO2_FFC!F10</f>
        <v>7.9899165283760158</v>
      </c>
      <c r="H19" s="380">
        <f>CO2_FFC!G10</f>
        <v>8.8622762327746258</v>
      </c>
      <c r="I19" s="380">
        <f>CO2_FFC!H10</f>
        <v>8.9583234115736357</v>
      </c>
      <c r="J19" s="380">
        <f>CO2_FFC!I10</f>
        <v>9.0613426494264484</v>
      </c>
      <c r="K19" s="380">
        <f>CO2_FFC!J10</f>
        <v>9.452356588049005</v>
      </c>
      <c r="L19" s="380">
        <f>CO2_FFC!K10</f>
        <v>8.0754548915353475</v>
      </c>
      <c r="M19" s="380">
        <f>CO2_FFC!L10</f>
        <v>6.1959925594355161</v>
      </c>
      <c r="N19" s="380">
        <f>CO2_FFC!M10</f>
        <v>6.7932535616058303</v>
      </c>
      <c r="O19" s="380">
        <f>CO2_FFC!N10</f>
        <v>5.7670060508675824</v>
      </c>
      <c r="P19" s="380">
        <f>CO2_FFC!O10</f>
        <v>5.8880337932122524</v>
      </c>
      <c r="Q19" s="380">
        <f>CO2_FFC!P10</f>
        <v>7.1132084080597151</v>
      </c>
      <c r="R19" s="380">
        <f>CO2_FFC!Q10</f>
        <v>6.5373600288097871</v>
      </c>
      <c r="S19" s="380">
        <f>CO2_FFC!R10</f>
        <v>6.6865712143985894</v>
      </c>
      <c r="T19" s="380">
        <f>CO2_FFC!S10</f>
        <v>5.0160944446169093</v>
      </c>
      <c r="U19" s="380">
        <f>CO2_FFC!T10</f>
        <v>5.3484329327599989</v>
      </c>
      <c r="V19" s="380">
        <f>CO2_FFC!U10</f>
        <v>5.5954704389832877</v>
      </c>
      <c r="W19" s="380">
        <f>CO2_FFC!V10</f>
        <v>5.7930992378099821</v>
      </c>
      <c r="X19" s="380">
        <f>CO2_FFC!W10</f>
        <v>6.7205520029870893</v>
      </c>
      <c r="Y19" s="380">
        <f>CO2_FFC!X10</f>
        <v>6.3331977627934153</v>
      </c>
      <c r="Z19" s="380">
        <f>CO2_FFC!Y10</f>
        <v>5.2380301223549299</v>
      </c>
      <c r="AA19" s="380">
        <f>CO2_FFC!Z10</f>
        <v>6.7611893496847895</v>
      </c>
      <c r="AB19" s="380">
        <f>CO2_FFC!AA10</f>
        <v>7.1448860839636392</v>
      </c>
      <c r="AC19" s="380">
        <f>CO2_FFC!AB10</f>
        <v>7.545627367910976</v>
      </c>
      <c r="AD19" s="380">
        <f>CO2_FFC!AC10</f>
        <v>6.9641016411483267</v>
      </c>
      <c r="AE19" s="380">
        <f>CO2_FFC!AD10</f>
        <v>7.3076283203949952</v>
      </c>
      <c r="AF19" s="870">
        <f>CO2_FFC!AE10</f>
        <v>7.8481931426451901</v>
      </c>
      <c r="AG19" s="380">
        <f>CO2_FFC!AF10</f>
        <v>8.0254561539310512</v>
      </c>
      <c r="AH19" s="380">
        <f>CO2_FFC!AG10</f>
        <v>7.2205112279485109</v>
      </c>
      <c r="AI19" s="380">
        <f>CO2_FFC!AH10</f>
        <v>7.3492946038554301</v>
      </c>
      <c r="AJ19" s="380">
        <f>CO2_FFC!AI10</f>
        <v>8.0910568216766663</v>
      </c>
      <c r="AK19" s="380"/>
      <c r="AL19" s="380"/>
      <c r="AM19" s="380"/>
      <c r="AN19" s="380"/>
      <c r="AO19" s="380"/>
      <c r="AP19" s="380"/>
      <c r="AQ19" s="380"/>
      <c r="AR19" s="380"/>
      <c r="AS19" s="7"/>
      <c r="AU19" s="783"/>
      <c r="AV19" s="783"/>
      <c r="AW19" s="783"/>
    </row>
    <row r="20" spans="2:56" ht="15">
      <c r="B20" s="10"/>
      <c r="C20" s="358" t="s">
        <v>83</v>
      </c>
      <c r="D20" s="788">
        <f>Stationary!C43</f>
        <v>5.6637423469999996E-2</v>
      </c>
      <c r="E20" s="788">
        <f>Stationary!D43</f>
        <v>6.1309964570000007E-2</v>
      </c>
      <c r="F20" s="788">
        <f>Stationary!E43</f>
        <v>5.9076519639999991E-2</v>
      </c>
      <c r="G20" s="788">
        <f>Stationary!F43</f>
        <v>5.8319693030000001E-2</v>
      </c>
      <c r="H20" s="788">
        <f>Stationary!G43</f>
        <v>5.9352809769999994E-2</v>
      </c>
      <c r="I20" s="788">
        <f>Stationary!H43</f>
        <v>6.04764063E-2</v>
      </c>
      <c r="J20" s="788">
        <f>Stationary!I43</f>
        <v>5.9672558659999986E-2</v>
      </c>
      <c r="K20" s="788">
        <f>Stationary!J43</f>
        <v>5.7526248299999992E-2</v>
      </c>
      <c r="L20" s="788">
        <f>Stationary!K43</f>
        <v>4.9716922049999994E-2</v>
      </c>
      <c r="M20" s="788">
        <f>Stationary!L43</f>
        <v>4.3382592259999998E-2</v>
      </c>
      <c r="N20" s="788">
        <f>Stationary!M43</f>
        <v>4.9770413471985499E-2</v>
      </c>
      <c r="O20" s="788">
        <f>Stationary!N43</f>
        <v>4.1082088711713378E-2</v>
      </c>
      <c r="P20" s="788">
        <f>Stationary!O43</f>
        <v>4.2370224195145578E-2</v>
      </c>
      <c r="Q20" s="788">
        <f>Stationary!P43</f>
        <v>5.0262680066072561E-2</v>
      </c>
      <c r="R20" s="788">
        <f>Stationary!Q43</f>
        <v>4.9255278969902769E-2</v>
      </c>
      <c r="S20" s="788">
        <f>Stationary!R43</f>
        <v>3.6141818645186112E-2</v>
      </c>
      <c r="T20" s="788">
        <f>Stationary!S43</f>
        <v>2.7004603003695324E-2</v>
      </c>
      <c r="U20" s="788">
        <f>Stationary!T43</f>
        <v>2.7604247556269484E-2</v>
      </c>
      <c r="V20" s="788">
        <f>Stationary!U43</f>
        <v>2.7519283905409309E-2</v>
      </c>
      <c r="W20" s="788">
        <f>Stationary!V43</f>
        <v>3.5598293579029459E-2</v>
      </c>
      <c r="X20" s="788">
        <f>Stationary!W43</f>
        <v>4.0548985470720569E-2</v>
      </c>
      <c r="Y20" s="788">
        <f>Stationary!X43</f>
        <v>3.6602499523095702E-2</v>
      </c>
      <c r="Z20" s="788">
        <f>Stationary!Y43</f>
        <v>3.0061174346538162E-2</v>
      </c>
      <c r="AA20" s="788">
        <f>Stationary!Z43</f>
        <v>3.6151283551922923E-2</v>
      </c>
      <c r="AB20" s="788">
        <f>Stationary!AA43</f>
        <v>3.8072039908629181E-2</v>
      </c>
      <c r="AC20" s="380">
        <f>Stationary!AB43</f>
        <v>4.1306839022548052E-2</v>
      </c>
      <c r="AD20" s="380">
        <f>Stationary!AC43</f>
        <v>3.7533339478638759E-2</v>
      </c>
      <c r="AE20" s="380">
        <f>Stationary!AD43</f>
        <v>3.9095321052836064E-2</v>
      </c>
      <c r="AF20" s="870">
        <f>Stationary!AE43</f>
        <v>3.8487936393707241E-2</v>
      </c>
      <c r="AG20" s="380">
        <f>Stationary!AF43</f>
        <v>4.0893204207801251E-2</v>
      </c>
      <c r="AH20" s="380">
        <f>Stationary!AG43</f>
        <v>3.7341224687775752E-2</v>
      </c>
      <c r="AI20" s="380">
        <f>Stationary!AH43</f>
        <v>4.0312981548824872E-2</v>
      </c>
      <c r="AJ20" s="380">
        <f>Stationary!AI43</f>
        <v>4.1759562097804501E-2</v>
      </c>
      <c r="AK20" s="380"/>
      <c r="AL20" s="380"/>
      <c r="AM20" s="380"/>
      <c r="AN20" s="380"/>
      <c r="AO20" s="380"/>
      <c r="AP20" s="380"/>
      <c r="AQ20" s="380"/>
      <c r="AR20" s="380"/>
      <c r="AS20" s="7"/>
      <c r="AU20" s="783"/>
      <c r="AV20" s="783"/>
      <c r="AW20" s="783"/>
    </row>
    <row r="21" spans="2:56" ht="15">
      <c r="B21" s="10"/>
      <c r="C21" s="358" t="s">
        <v>110</v>
      </c>
      <c r="D21" s="380">
        <f>CO2_FFC!C53</f>
        <v>0</v>
      </c>
      <c r="E21" s="380">
        <f>CO2_FFC!D53</f>
        <v>0</v>
      </c>
      <c r="F21" s="380">
        <f>CO2_FFC!E53</f>
        <v>0</v>
      </c>
      <c r="G21" s="380">
        <f>CO2_FFC!F53</f>
        <v>0</v>
      </c>
      <c r="H21" s="380">
        <f>CO2_FFC!G53</f>
        <v>0</v>
      </c>
      <c r="I21" s="380">
        <f>CO2_FFC!H53</f>
        <v>0</v>
      </c>
      <c r="J21" s="380">
        <f>CO2_FFC!I53</f>
        <v>0</v>
      </c>
      <c r="K21" s="380">
        <f>CO2_FFC!J53</f>
        <v>0</v>
      </c>
      <c r="L21" s="380">
        <f>CO2_FFC!K53</f>
        <v>0</v>
      </c>
      <c r="M21" s="380">
        <f>CO2_FFC!L53</f>
        <v>0</v>
      </c>
      <c r="N21" s="380">
        <f>CO2_FFC!M53</f>
        <v>0</v>
      </c>
      <c r="O21" s="380">
        <f>CO2_FFC!N53</f>
        <v>0</v>
      </c>
      <c r="P21" s="380">
        <f>CO2_FFC!O53</f>
        <v>0</v>
      </c>
      <c r="Q21" s="380">
        <f>CO2_FFC!P53</f>
        <v>0</v>
      </c>
      <c r="R21" s="380">
        <f>CO2_FFC!Q53</f>
        <v>0</v>
      </c>
      <c r="S21" s="380">
        <f>CO2_FFC!R53</f>
        <v>0</v>
      </c>
      <c r="T21" s="380">
        <f>CO2_FFC!S53</f>
        <v>0</v>
      </c>
      <c r="U21" s="380">
        <f>CO2_FFC!T53</f>
        <v>0</v>
      </c>
      <c r="V21" s="380">
        <f>CO2_FFC!U53</f>
        <v>0</v>
      </c>
      <c r="W21" s="380">
        <f>CO2_FFC!V53</f>
        <v>0</v>
      </c>
      <c r="X21" s="380">
        <f>CO2_FFC!W53</f>
        <v>0</v>
      </c>
      <c r="Y21" s="380">
        <f>CO2_FFC!X53</f>
        <v>0</v>
      </c>
      <c r="Z21" s="380">
        <f>CO2_FFC!Y53</f>
        <v>0</v>
      </c>
      <c r="AA21" s="380">
        <f>CO2_FFC!Z53</f>
        <v>0</v>
      </c>
      <c r="AB21" s="380">
        <f>CO2_FFC!AA53</f>
        <v>0</v>
      </c>
      <c r="AC21" s="380">
        <f>CO2_FFC!AB53</f>
        <v>0</v>
      </c>
      <c r="AD21" s="380">
        <f>CO2_FFC!AC53</f>
        <v>0</v>
      </c>
      <c r="AE21" s="380">
        <f>CO2_FFC!AD53</f>
        <v>0</v>
      </c>
      <c r="AF21" s="870">
        <f>CO2_FFC!AE53</f>
        <v>4.4567682329355309E-3</v>
      </c>
      <c r="AG21" s="380">
        <f>CO2_FFC!AF53</f>
        <v>8.7899315773823424E-3</v>
      </c>
      <c r="AH21" s="380">
        <f>CO2_FFC!AG53</f>
        <v>1.5362869634772607E-2</v>
      </c>
      <c r="AI21" s="380">
        <f>CO2_FFC!AH53</f>
        <v>2.6831734169418742E-2</v>
      </c>
      <c r="AJ21" s="380">
        <f>CO2_FFC!AI53</f>
        <v>2.1138240382498417E-2</v>
      </c>
      <c r="AK21" s="1241"/>
      <c r="AL21" s="1241"/>
      <c r="AM21" s="1241"/>
      <c r="AN21" s="1241"/>
      <c r="AO21" s="1241"/>
      <c r="AP21" s="1241"/>
      <c r="AQ21" s="1241"/>
      <c r="AR21" s="1241"/>
      <c r="AS21" s="7"/>
      <c r="AU21" s="1241"/>
      <c r="AV21" s="1241"/>
      <c r="AW21" s="1241"/>
    </row>
    <row r="22" spans="2:56" ht="15">
      <c r="B22" s="10"/>
      <c r="C22" s="451" t="s">
        <v>85</v>
      </c>
      <c r="D22" s="810">
        <f t="shared" ref="D22:AI22" si="10">D23+D24+D25+D26</f>
        <v>5.6055444375748946</v>
      </c>
      <c r="E22" s="810">
        <f t="shared" si="10"/>
        <v>4.7328409933051026</v>
      </c>
      <c r="F22" s="810">
        <f t="shared" si="10"/>
        <v>6.4646976690637183</v>
      </c>
      <c r="G22" s="810">
        <f t="shared" si="10"/>
        <v>6.6237986733791532</v>
      </c>
      <c r="H22" s="810">
        <f t="shared" si="10"/>
        <v>5.7387061744089225</v>
      </c>
      <c r="I22" s="810">
        <f t="shared" si="10"/>
        <v>5.0548236972883327</v>
      </c>
      <c r="J22" s="810">
        <f t="shared" si="10"/>
        <v>5.0352045973600434</v>
      </c>
      <c r="K22" s="810">
        <f t="shared" si="10"/>
        <v>5.1365507036797382</v>
      </c>
      <c r="L22" s="810">
        <f t="shared" si="10"/>
        <v>4.8190196972819219</v>
      </c>
      <c r="M22" s="810">
        <f t="shared" si="10"/>
        <v>5.5236045450469069</v>
      </c>
      <c r="N22" s="810">
        <f t="shared" si="10"/>
        <v>5.383699074112787</v>
      </c>
      <c r="O22" s="810">
        <f t="shared" si="10"/>
        <v>6.5334397169982976</v>
      </c>
      <c r="P22" s="810">
        <f t="shared" si="10"/>
        <v>6.435345446843038</v>
      </c>
      <c r="Q22" s="810">
        <f t="shared" si="10"/>
        <v>4.3803333150168502</v>
      </c>
      <c r="R22" s="810">
        <f t="shared" si="10"/>
        <v>4.273330769414045</v>
      </c>
      <c r="S22" s="810">
        <f t="shared" si="10"/>
        <v>4.5285892741443128</v>
      </c>
      <c r="T22" s="810">
        <f t="shared" si="10"/>
        <v>4.4025879463596489</v>
      </c>
      <c r="U22" s="810">
        <f t="shared" si="10"/>
        <v>4.3185592976348302</v>
      </c>
      <c r="V22" s="810">
        <f t="shared" si="10"/>
        <v>3.9880198797073669</v>
      </c>
      <c r="W22" s="810">
        <f t="shared" si="10"/>
        <v>3.2829648383483834</v>
      </c>
      <c r="X22" s="810">
        <f t="shared" si="10"/>
        <v>3.7103454298638465</v>
      </c>
      <c r="Y22" s="810">
        <f t="shared" si="10"/>
        <v>3.8684672038229566</v>
      </c>
      <c r="Z22" s="810">
        <f t="shared" si="10"/>
        <v>3.319348364609743</v>
      </c>
      <c r="AA22" s="810">
        <f t="shared" si="10"/>
        <v>3.5087182553165523</v>
      </c>
      <c r="AB22" s="810">
        <f t="shared" si="10"/>
        <v>3.4326962506983167</v>
      </c>
      <c r="AC22" s="810">
        <f t="shared" si="10"/>
        <v>3.4457475416232417</v>
      </c>
      <c r="AD22" s="810">
        <f t="shared" si="10"/>
        <v>3.2329737262187876</v>
      </c>
      <c r="AE22" s="810">
        <f t="shared" si="10"/>
        <v>3.3143303499774706</v>
      </c>
      <c r="AF22" s="1072">
        <f t="shared" si="10"/>
        <v>3.3434035542597087</v>
      </c>
      <c r="AG22" s="810">
        <f t="shared" si="10"/>
        <v>3.4285298090215748</v>
      </c>
      <c r="AH22" s="810">
        <f t="shared" si="10"/>
        <v>3.1773973892722349</v>
      </c>
      <c r="AI22" s="810">
        <f t="shared" si="10"/>
        <v>3.3339873013435537</v>
      </c>
      <c r="AJ22" s="1080">
        <f t="shared" ref="AJ22" si="11">AJ23+AJ24+AJ25+AJ26</f>
        <v>3.443434174311121</v>
      </c>
      <c r="AK22" s="810"/>
      <c r="AL22" s="810"/>
      <c r="AM22" s="810"/>
      <c r="AN22" s="810"/>
      <c r="AO22" s="810"/>
      <c r="AP22" s="810"/>
      <c r="AQ22" s="810"/>
      <c r="AR22" s="810"/>
      <c r="AS22" s="7"/>
      <c r="AU22" s="783"/>
      <c r="AV22" s="783"/>
      <c r="AW22" s="783"/>
    </row>
    <row r="23" spans="2:56" ht="15">
      <c r="B23" s="10"/>
      <c r="C23" s="358" t="s">
        <v>86</v>
      </c>
      <c r="D23" s="380">
        <f>CO2_FFC!C15</f>
        <v>5.4029918486572228</v>
      </c>
      <c r="E23" s="380">
        <f>CO2_FFC!D15</f>
        <v>4.5228229539407057</v>
      </c>
      <c r="F23" s="380">
        <f>CO2_FFC!E15</f>
        <v>6.1983455467103985</v>
      </c>
      <c r="G23" s="380">
        <f>CO2_FFC!F15</f>
        <v>6.3617694551449189</v>
      </c>
      <c r="H23" s="380">
        <f>CO2_FFC!G15</f>
        <v>5.4902460675242688</v>
      </c>
      <c r="I23" s="380">
        <f>CO2_FFC!H15</f>
        <v>4.8083305710321991</v>
      </c>
      <c r="J23" s="380">
        <f>CO2_FFC!I15</f>
        <v>4.7613870758922374</v>
      </c>
      <c r="K23" s="380">
        <f>CO2_FFC!J15</f>
        <v>4.8463383639798963</v>
      </c>
      <c r="L23" s="380">
        <f>CO2_FFC!K15</f>
        <v>4.6464592213513232</v>
      </c>
      <c r="M23" s="380">
        <f>CO2_FFC!L15</f>
        <v>5.3356945217852427</v>
      </c>
      <c r="N23" s="380">
        <f>CO2_FFC!M15</f>
        <v>5.2142643450296333</v>
      </c>
      <c r="O23" s="380">
        <f>CO2_FFC!N15</f>
        <v>6.3077104169447518</v>
      </c>
      <c r="P23" s="380">
        <f>CO2_FFC!O15</f>
        <v>6.1681683456848448</v>
      </c>
      <c r="Q23" s="380">
        <f>CO2_FFC!P15</f>
        <v>4.1408561850813221</v>
      </c>
      <c r="R23" s="380">
        <f>CO2_FFC!Q15</f>
        <v>4.0150771427307745</v>
      </c>
      <c r="S23" s="380">
        <f>CO2_FFC!R15</f>
        <v>4.2678692488388226</v>
      </c>
      <c r="T23" s="380">
        <f>CO2_FFC!S15</f>
        <v>4.0644835806137136</v>
      </c>
      <c r="U23" s="380">
        <f>CO2_FFC!T15</f>
        <v>3.9613641488613593</v>
      </c>
      <c r="V23" s="380">
        <f>CO2_FFC!U15</f>
        <v>3.6787495408304318</v>
      </c>
      <c r="W23" s="380">
        <f>CO2_FFC!V15</f>
        <v>2.9634075377400251</v>
      </c>
      <c r="X23" s="380">
        <f>CO2_FFC!W15</f>
        <v>3.4573603275871352</v>
      </c>
      <c r="Y23" s="380">
        <f>CO2_FFC!X15</f>
        <v>3.6499889938515082</v>
      </c>
      <c r="Z23" s="380">
        <f>CO2_FFC!Y15</f>
        <v>3.161272181995046</v>
      </c>
      <c r="AA23" s="380">
        <f>CO2_FFC!Z15</f>
        <v>3.3348772974235161</v>
      </c>
      <c r="AB23" s="380">
        <f>CO2_FFC!AA15</f>
        <v>3.2325052712513571</v>
      </c>
      <c r="AC23" s="380">
        <f>CO2_FFC!AB15</f>
        <v>3.2415437997505472</v>
      </c>
      <c r="AD23" s="380">
        <f>CO2_FFC!AC15</f>
        <v>3.1253277558171089</v>
      </c>
      <c r="AE23" s="380">
        <f>CO2_FFC!AD15</f>
        <v>3.2402989292975919</v>
      </c>
      <c r="AF23" s="870">
        <f>CO2_FFC!AE15</f>
        <v>3.2104718469933418</v>
      </c>
      <c r="AG23" s="380">
        <f>CO2_FFC!AF15</f>
        <v>3.2576214499376914</v>
      </c>
      <c r="AH23" s="380">
        <f>CO2_FFC!AG15</f>
        <v>3.0524355227076456</v>
      </c>
      <c r="AI23" s="380">
        <f>CO2_FFC!AH15</f>
        <v>3.2261720807727956</v>
      </c>
      <c r="AJ23" s="783">
        <f>CO2_FFC!AI15</f>
        <v>3.3479002685233925</v>
      </c>
      <c r="AK23" s="380"/>
      <c r="AL23" s="380"/>
      <c r="AM23" s="380"/>
      <c r="AN23" s="380"/>
      <c r="AO23" s="380"/>
      <c r="AP23" s="380"/>
      <c r="AQ23" s="380"/>
      <c r="AR23" s="380"/>
      <c r="AS23" s="7"/>
      <c r="AU23" s="783"/>
      <c r="AV23" s="783"/>
      <c r="AW23" s="783"/>
    </row>
    <row r="24" spans="2:56" ht="15">
      <c r="B24" s="10"/>
      <c r="C24" s="358" t="s">
        <v>87</v>
      </c>
      <c r="D24" s="788">
        <f>Stationary!C46</f>
        <v>2.19391063196166E-2</v>
      </c>
      <c r="E24" s="788">
        <f>Stationary!D46</f>
        <v>1.8781763976866355E-2</v>
      </c>
      <c r="F24" s="788">
        <f>Stationary!E46</f>
        <v>2.2028050975299421E-2</v>
      </c>
      <c r="G24" s="788">
        <f>Stationary!F46</f>
        <v>2.2576235395789939E-2</v>
      </c>
      <c r="H24" s="788">
        <f>Stationary!G46</f>
        <v>2.0931408654771038E-2</v>
      </c>
      <c r="I24" s="788">
        <f>Stationary!H46</f>
        <v>2.0643115784405128E-2</v>
      </c>
      <c r="J24" s="788">
        <f>Stationary!I46</f>
        <v>2.0520728261739413E-2</v>
      </c>
      <c r="K24" s="788">
        <f>Stationary!J46</f>
        <v>2.1745724419546825E-2</v>
      </c>
      <c r="L24" s="788">
        <f>Stationary!K46</f>
        <v>1.9165047541601147E-2</v>
      </c>
      <c r="M24" s="788">
        <f>Stationary!L46</f>
        <v>1.9545638441667956E-2</v>
      </c>
      <c r="N24" s="788">
        <f>Stationary!M46</f>
        <v>1.9460913438582691E-2</v>
      </c>
      <c r="O24" s="788">
        <f>Stationary!N46</f>
        <v>1.9232176795174957E-2</v>
      </c>
      <c r="P24" s="788">
        <f>Stationary!O46</f>
        <v>1.5271751859067314E-2</v>
      </c>
      <c r="Q24" s="788">
        <f>Stationary!P46</f>
        <v>1.3985172767404663E-2</v>
      </c>
      <c r="R24" s="788">
        <f>Stationary!Q46</f>
        <v>1.4127689803131883E-2</v>
      </c>
      <c r="S24" s="788">
        <f>Stationary!R46</f>
        <v>1.4674071642138202E-2</v>
      </c>
      <c r="T24" s="788">
        <f>Stationary!S46</f>
        <v>1.465079889271763E-2</v>
      </c>
      <c r="U24" s="788">
        <f>Stationary!T46</f>
        <v>1.4282323883146444E-2</v>
      </c>
      <c r="V24" s="788">
        <f>Stationary!U46</f>
        <v>1.3430691929560775E-2</v>
      </c>
      <c r="W24" s="788">
        <f>Stationary!V46</f>
        <v>1.0589194550226607E-2</v>
      </c>
      <c r="X24" s="788">
        <f>Stationary!W46</f>
        <v>1.563475074240385E-2</v>
      </c>
      <c r="Y24" s="788">
        <f>Stationary!X46</f>
        <v>1.9356157358088162E-2</v>
      </c>
      <c r="Z24" s="788">
        <f>Stationary!Y46</f>
        <v>1.8178716107587877E-2</v>
      </c>
      <c r="AA24" s="788">
        <f>Stationary!Z46</f>
        <v>1.8261515368813042E-2</v>
      </c>
      <c r="AB24" s="788">
        <f>Stationary!AA46</f>
        <v>1.7641932082315848E-2</v>
      </c>
      <c r="AC24" s="380">
        <f>Stationary!AB46</f>
        <v>1.7697796998385435E-2</v>
      </c>
      <c r="AD24" s="380">
        <f>Stationary!AC46</f>
        <v>1.686675520599782E-2</v>
      </c>
      <c r="AE24" s="380">
        <f>Stationary!AD46</f>
        <v>9.7403983400133273E-3</v>
      </c>
      <c r="AF24" s="870">
        <f>Stationary!AE46</f>
        <v>9.537154264502308E-3</v>
      </c>
      <c r="AG24" s="380">
        <f>Stationary!AF46</f>
        <v>9.5614253896399177E-3</v>
      </c>
      <c r="AH24" s="380">
        <f>Stationary!AG46</f>
        <v>9.2829660458685851E-3</v>
      </c>
      <c r="AI24" s="380">
        <f>Stationary!AH46</f>
        <v>9.5944453438484879E-3</v>
      </c>
      <c r="AJ24" s="783">
        <f>Stationary!AI46</f>
        <v>9.7362239781499816E-3</v>
      </c>
      <c r="AK24" s="380"/>
      <c r="AL24" s="380"/>
      <c r="AM24" s="380"/>
      <c r="AN24" s="380"/>
      <c r="AO24" s="380"/>
      <c r="AP24" s="380"/>
      <c r="AQ24" s="380"/>
      <c r="AR24" s="380"/>
      <c r="AS24" s="800"/>
      <c r="AU24" s="783"/>
      <c r="AV24" s="783"/>
      <c r="AW24" s="783"/>
    </row>
    <row r="25" spans="2:56" ht="15">
      <c r="B25" s="10"/>
      <c r="C25" s="358" t="s">
        <v>88</v>
      </c>
      <c r="D25" s="788">
        <f>'Solid Waste'!C56</f>
        <v>0.1126915732517219</v>
      </c>
      <c r="E25" s="788">
        <f>'Solid Waste'!D56</f>
        <v>0.10780756578386329</v>
      </c>
      <c r="F25" s="788">
        <f>'Solid Waste'!E56</f>
        <v>0.14703483140735457</v>
      </c>
      <c r="G25" s="788">
        <f>'Solid Waste'!F56</f>
        <v>0.11598274106344438</v>
      </c>
      <c r="H25" s="788">
        <f>'Solid Waste'!G56</f>
        <v>0.12869939932954891</v>
      </c>
      <c r="I25" s="788">
        <f>'Solid Waste'!H56</f>
        <v>0.12388748823172865</v>
      </c>
      <c r="J25" s="788">
        <f>'Solid Waste'!I56</f>
        <v>0.13720821319740065</v>
      </c>
      <c r="K25" s="788">
        <f>'Solid Waste'!J56</f>
        <v>0.13874623520033988</v>
      </c>
      <c r="L25" s="788">
        <f>'Solid Waste'!K56</f>
        <v>4.8573304707626545E-2</v>
      </c>
      <c r="M25" s="788">
        <f>'Solid Waste'!L56</f>
        <v>2.217294878658331E-2</v>
      </c>
      <c r="N25" s="788">
        <f>'Solid Waste'!M56</f>
        <v>1.8292544433371135E-2</v>
      </c>
      <c r="O25" s="788">
        <f>'Solid Waste'!N56</f>
        <v>3.1002130600218471E-2</v>
      </c>
      <c r="P25" s="788">
        <f>'Solid Waste'!O56</f>
        <v>1.8631997586851055E-2</v>
      </c>
      <c r="Q25" s="788">
        <f>'Solid Waste'!P56</f>
        <v>1.8667478631540543E-2</v>
      </c>
      <c r="R25" s="788">
        <f>'Solid Waste'!Q56</f>
        <v>1.8487983644698811E-2</v>
      </c>
      <c r="S25" s="788">
        <f>'Solid Waste'!R56</f>
        <v>1.8804516083025604E-2</v>
      </c>
      <c r="T25" s="788">
        <f>'Solid Waste'!S56</f>
        <v>5.9346693132762716E-2</v>
      </c>
      <c r="U25" s="788">
        <f>'Solid Waste'!T56</f>
        <v>6.7368989076868044E-2</v>
      </c>
      <c r="V25" s="788">
        <f>'Solid Waste'!U56</f>
        <v>6.6419514870621199E-2</v>
      </c>
      <c r="W25" s="788">
        <f>'Solid Waste'!V56</f>
        <v>7.3406634998200743E-2</v>
      </c>
      <c r="X25" s="788">
        <f>'Solid Waste'!W56</f>
        <v>2.2319670000000003E-2</v>
      </c>
      <c r="Y25" s="788">
        <f>'Solid Waste'!X56</f>
        <v>2.3564499999999999E-2</v>
      </c>
      <c r="Z25" s="788">
        <f>'Solid Waste'!Y56</f>
        <v>2.6235499999999998E-2</v>
      </c>
      <c r="AA25" s="788">
        <f>'Solid Waste'!Z56</f>
        <v>2.7109049999999999E-2</v>
      </c>
      <c r="AB25" s="788">
        <f>'Solid Waste'!AA56</f>
        <v>2.7830348000000001E-2</v>
      </c>
      <c r="AC25" s="380">
        <f>'Solid Waste'!AB56</f>
        <v>2.6892700000000002E-2</v>
      </c>
      <c r="AD25" s="380">
        <f>'Solid Waste'!AC56</f>
        <v>3.0995358000000001E-2</v>
      </c>
      <c r="AE25" s="380">
        <f>'Solid Waste'!AD56</f>
        <v>2.80193E-2</v>
      </c>
      <c r="AF25" s="870">
        <f>'Solid Waste'!AE56</f>
        <v>4.0953804000000003E-2</v>
      </c>
      <c r="AG25" s="380">
        <f>'Solid Waste'!AF56</f>
        <v>1.9520982000000003E-2</v>
      </c>
      <c r="AH25" s="380">
        <f>'Solid Waste'!AG56</f>
        <v>1.7101537999999999E-2</v>
      </c>
      <c r="AI25" s="380">
        <f>'Solid Waste'!AH56</f>
        <v>2.8212000000000001E-2</v>
      </c>
      <c r="AJ25" s="380">
        <f>'Solid Waste'!AI56</f>
        <v>6.7669460000000002E-3</v>
      </c>
      <c r="AK25" s="380"/>
      <c r="AL25" s="380"/>
      <c r="AM25" s="380"/>
      <c r="AN25" s="380"/>
      <c r="AO25" s="380"/>
      <c r="AP25" s="380"/>
      <c r="AQ25" s="380"/>
      <c r="AR25" s="380"/>
      <c r="AS25" s="7"/>
      <c r="AU25" s="380"/>
      <c r="AV25" s="380"/>
      <c r="AW25" s="380"/>
    </row>
    <row r="26" spans="2:56" ht="15">
      <c r="B26" s="10"/>
      <c r="C26" s="358" t="s">
        <v>89</v>
      </c>
      <c r="D26" s="788">
        <f>CO2_FFC!C43+Stationary!C56</f>
        <v>6.7921909346333326E-2</v>
      </c>
      <c r="E26" s="788">
        <f>CO2_FFC!D43+Stationary!D56</f>
        <v>8.3428709603666662E-2</v>
      </c>
      <c r="F26" s="788">
        <f>CO2_FFC!E43+Stationary!E56</f>
        <v>9.7289239970666658E-2</v>
      </c>
      <c r="G26" s="788">
        <f>CO2_FFC!F43+Stationary!F56</f>
        <v>0.12347024177499999</v>
      </c>
      <c r="H26" s="788">
        <f>CO2_FFC!G43+Stationary!G56</f>
        <v>9.8829298900333332E-2</v>
      </c>
      <c r="I26" s="788">
        <f>CO2_FFC!H43+Stationary!H56</f>
        <v>0.10196252223999999</v>
      </c>
      <c r="J26" s="788">
        <f>CO2_FFC!I43+Stationary!I56</f>
        <v>0.11608858000866666</v>
      </c>
      <c r="K26" s="788">
        <f>CO2_FFC!J43+Stationary!J56</f>
        <v>0.12972038007995582</v>
      </c>
      <c r="L26" s="788">
        <f>CO2_FFC!K43+Stationary!K56</f>
        <v>0.10482212368137114</v>
      </c>
      <c r="M26" s="788">
        <f>CO2_FFC!L43+Stationary!L56</f>
        <v>0.14619143603341275</v>
      </c>
      <c r="N26" s="788">
        <f>CO2_FFC!M43+Stationary!M56</f>
        <v>0.1316812712111993</v>
      </c>
      <c r="O26" s="788">
        <f>CO2_FFC!N43+Stationary!N56</f>
        <v>0.17549499265815219</v>
      </c>
      <c r="P26" s="788">
        <f>CO2_FFC!O43+Stationary!O56</f>
        <v>0.23327335171227376</v>
      </c>
      <c r="Q26" s="788">
        <f>CO2_FFC!P43+Stationary!P56</f>
        <v>0.20682447853658284</v>
      </c>
      <c r="R26" s="788">
        <f>CO2_FFC!Q43+Stationary!Q56</f>
        <v>0.22563795323543934</v>
      </c>
      <c r="S26" s="788">
        <f>CO2_FFC!R43+Stationary!R56</f>
        <v>0.22724143758032703</v>
      </c>
      <c r="T26" s="788">
        <f>CO2_FFC!S43+Stationary!S56</f>
        <v>0.26410687372045483</v>
      </c>
      <c r="U26" s="788">
        <f>CO2_FFC!T43+Stationary!T56</f>
        <v>0.27554383581345654</v>
      </c>
      <c r="V26" s="788">
        <f>CO2_FFC!U43+Stationary!U56</f>
        <v>0.22942013207675335</v>
      </c>
      <c r="W26" s="788">
        <f>CO2_FFC!V43+Stationary!V56</f>
        <v>0.23556147105993108</v>
      </c>
      <c r="X26" s="788">
        <f>CO2_FFC!W43+Stationary!W56</f>
        <v>0.21503068153430754</v>
      </c>
      <c r="Y26" s="788">
        <f>CO2_FFC!X43+Stationary!X56</f>
        <v>0.1755575526133602</v>
      </c>
      <c r="Z26" s="788">
        <f>CO2_FFC!Y43+Stationary!Y56</f>
        <v>0.11366196650710964</v>
      </c>
      <c r="AA26" s="788">
        <f>CO2_FFC!Z43+Stationary!Z56</f>
        <v>0.1284703925242234</v>
      </c>
      <c r="AB26" s="788">
        <f>CO2_FFC!AA43+Stationary!AA56</f>
        <v>0.1547186993646435</v>
      </c>
      <c r="AC26" s="788">
        <f>CO2_FFC!AB43+Stationary!AB56</f>
        <v>0.15961324487430897</v>
      </c>
      <c r="AD26" s="380">
        <f>CO2_FFC!AC43+Stationary!AC56</f>
        <v>5.9783857195680662E-2</v>
      </c>
      <c r="AE26" s="380">
        <f>CO2_FFC!AD43+Stationary!AD56</f>
        <v>3.6271722339865607E-2</v>
      </c>
      <c r="AF26" s="380">
        <f>CO2_FFC!AE43+Stationary!AE56</f>
        <v>8.2440749001864738E-2</v>
      </c>
      <c r="AG26" s="380">
        <f>CO2_FFC!AF43+Stationary!AF56</f>
        <v>0.14182595169424347</v>
      </c>
      <c r="AH26" s="380">
        <f>CO2_FFC!AG43+Stationary!AG56</f>
        <v>9.8577362518720957E-2</v>
      </c>
      <c r="AI26" s="380">
        <f>CO2_FFC!AH43+Stationary!AH56</f>
        <v>7.0008775226909792E-2</v>
      </c>
      <c r="AJ26" s="380">
        <f>CO2_FFC!AI43+Stationary!AI56</f>
        <v>7.9030735809578728E-2</v>
      </c>
      <c r="AK26" s="380"/>
      <c r="AL26" s="380"/>
      <c r="AM26" s="380"/>
      <c r="AN26" s="380"/>
      <c r="AO26" s="380"/>
      <c r="AP26" s="380"/>
      <c r="AQ26" s="380"/>
      <c r="AR26" s="380"/>
      <c r="AS26" s="7"/>
      <c r="AU26" s="380"/>
      <c r="AV26" s="380"/>
      <c r="AW26" s="380"/>
    </row>
    <row r="27" spans="2:56" s="235" customFormat="1" ht="15">
      <c r="B27" s="573"/>
      <c r="C27" s="1461" t="s">
        <v>111</v>
      </c>
      <c r="D27" s="1462">
        <f>D18+D22</f>
        <v>14.055381766855493</v>
      </c>
      <c r="E27" s="1297">
        <f>E18+E22</f>
        <v>13.965558398901575</v>
      </c>
      <c r="F27" s="1297">
        <f t="shared" ref="F27:AH27" si="12">F18+F22</f>
        <v>15.454769724684319</v>
      </c>
      <c r="G27" s="1297">
        <f t="shared" si="12"/>
        <v>14.67203489478517</v>
      </c>
      <c r="H27" s="1297">
        <f t="shared" si="12"/>
        <v>14.660335216953548</v>
      </c>
      <c r="I27" s="1297">
        <f t="shared" si="12"/>
        <v>14.073623515161968</v>
      </c>
      <c r="J27" s="1297">
        <f t="shared" si="12"/>
        <v>14.15621980544649</v>
      </c>
      <c r="K27" s="1297">
        <f t="shared" si="12"/>
        <v>14.646433540028744</v>
      </c>
      <c r="L27" s="1297">
        <f t="shared" si="12"/>
        <v>12.944191510867268</v>
      </c>
      <c r="M27" s="1297">
        <f t="shared" si="12"/>
        <v>11.762979696742423</v>
      </c>
      <c r="N27" s="1297">
        <f t="shared" si="12"/>
        <v>12.226723049190603</v>
      </c>
      <c r="O27" s="1297">
        <f t="shared" si="12"/>
        <v>12.341527856577594</v>
      </c>
      <c r="P27" s="1297">
        <f t="shared" si="12"/>
        <v>12.365749464250435</v>
      </c>
      <c r="Q27" s="1297">
        <f t="shared" si="12"/>
        <v>11.543804403142637</v>
      </c>
      <c r="R27" s="1297">
        <f t="shared" si="12"/>
        <v>10.859946077193735</v>
      </c>
      <c r="S27" s="1297">
        <f t="shared" si="12"/>
        <v>11.251302307188087</v>
      </c>
      <c r="T27" s="1297">
        <f t="shared" si="12"/>
        <v>9.445686993980253</v>
      </c>
      <c r="U27" s="1297">
        <f t="shared" si="12"/>
        <v>9.694596477951098</v>
      </c>
      <c r="V27" s="1297">
        <f t="shared" si="12"/>
        <v>9.611009602596063</v>
      </c>
      <c r="W27" s="1297">
        <f t="shared" si="12"/>
        <v>9.1116623697373953</v>
      </c>
      <c r="X27" s="1297">
        <f t="shared" si="12"/>
        <v>10.471446418321657</v>
      </c>
      <c r="Y27" s="1297">
        <f t="shared" si="12"/>
        <v>10.238267466139469</v>
      </c>
      <c r="Z27" s="1297">
        <f t="shared" si="12"/>
        <v>8.5874396613112118</v>
      </c>
      <c r="AA27" s="1297">
        <f t="shared" si="12"/>
        <v>10.306058888553265</v>
      </c>
      <c r="AB27" s="1297">
        <f t="shared" si="12"/>
        <v>10.615654374570585</v>
      </c>
      <c r="AC27" s="1297">
        <f t="shared" si="12"/>
        <v>11.032681748556765</v>
      </c>
      <c r="AD27" s="1297">
        <f t="shared" si="12"/>
        <v>10.234608706845753</v>
      </c>
      <c r="AE27" s="1297">
        <f t="shared" si="12"/>
        <v>10.661053991425302</v>
      </c>
      <c r="AF27" s="1297">
        <f t="shared" si="12"/>
        <v>11.234541401531541</v>
      </c>
      <c r="AG27" s="1297">
        <f t="shared" si="12"/>
        <v>11.503669098737809</v>
      </c>
      <c r="AH27" s="1297">
        <f t="shared" si="12"/>
        <v>10.450612711543293</v>
      </c>
      <c r="AI27" s="1297">
        <f t="shared" ref="AI27:AJ27" si="13">AI18+AI22</f>
        <v>10.750426620917228</v>
      </c>
      <c r="AJ27" s="1662">
        <f t="shared" si="13"/>
        <v>11.597388798468089</v>
      </c>
      <c r="AK27" s="1297"/>
      <c r="AL27" s="1297"/>
      <c r="AM27" s="1297"/>
      <c r="AN27" s="1297"/>
      <c r="AO27" s="1297"/>
      <c r="AP27" s="1297"/>
      <c r="AQ27" s="1297"/>
      <c r="AR27" s="1297"/>
      <c r="AS27" s="794"/>
      <c r="AU27" s="380"/>
      <c r="AV27" s="380"/>
      <c r="AW27" s="380"/>
      <c r="BD27" s="678"/>
    </row>
    <row r="28" spans="2:56" s="235" customFormat="1" ht="15">
      <c r="B28" s="573"/>
      <c r="C28" s="1359" t="s">
        <v>12</v>
      </c>
      <c r="D28" s="1305"/>
      <c r="E28" s="1298">
        <f>-(100-((E27/D27)*100))</f>
        <v>-0.63906743654401055</v>
      </c>
      <c r="F28" s="1298">
        <f t="shared" ref="F28:AJ28" si="14">-(100-((F27/E27)*100))</f>
        <v>10.663457079524122</v>
      </c>
      <c r="G28" s="1298">
        <f t="shared" si="14"/>
        <v>-5.0646812850855127</v>
      </c>
      <c r="H28" s="1298">
        <f t="shared" si="14"/>
        <v>-7.974134409795397E-2</v>
      </c>
      <c r="I28" s="1298">
        <f t="shared" si="14"/>
        <v>-4.0020346950395407</v>
      </c>
      <c r="J28" s="1298">
        <f t="shared" si="14"/>
        <v>0.58688716658889462</v>
      </c>
      <c r="K28" s="1298">
        <f t="shared" si="14"/>
        <v>3.462885864442768</v>
      </c>
      <c r="L28" s="1298">
        <f t="shared" si="14"/>
        <v>-11.622228882609846</v>
      </c>
      <c r="M28" s="1298">
        <f t="shared" si="14"/>
        <v>-9.12541979260088</v>
      </c>
      <c r="N28" s="1298">
        <f t="shared" si="14"/>
        <v>3.9423969470644238</v>
      </c>
      <c r="O28" s="1298">
        <f t="shared" si="14"/>
        <v>0.938966286592958</v>
      </c>
      <c r="P28" s="1298">
        <f t="shared" si="14"/>
        <v>0.19626101366316107</v>
      </c>
      <c r="Q28" s="1298">
        <f t="shared" si="14"/>
        <v>-6.64694900607563</v>
      </c>
      <c r="R28" s="1298">
        <f t="shared" si="14"/>
        <v>-5.9240290468082719</v>
      </c>
      <c r="S28" s="1298">
        <f t="shared" si="14"/>
        <v>3.6036664198196604</v>
      </c>
      <c r="T28" s="1298">
        <f t="shared" si="14"/>
        <v>-16.048056161945681</v>
      </c>
      <c r="U28" s="1298">
        <f t="shared" si="14"/>
        <v>2.635165490127676</v>
      </c>
      <c r="V28" s="1298">
        <f t="shared" si="14"/>
        <v>-0.86220066554746211</v>
      </c>
      <c r="W28" s="1298">
        <f t="shared" si="14"/>
        <v>-5.1955752153633057</v>
      </c>
      <c r="X28" s="1298">
        <f t="shared" si="14"/>
        <v>14.923556135053005</v>
      </c>
      <c r="Y28" s="1298">
        <f t="shared" si="14"/>
        <v>-2.2268074807144131</v>
      </c>
      <c r="Z28" s="1298">
        <f t="shared" si="14"/>
        <v>-16.124093361381313</v>
      </c>
      <c r="AA28" s="1298">
        <f t="shared" si="14"/>
        <v>20.013173833231207</v>
      </c>
      <c r="AB28" s="1298">
        <f t="shared" si="14"/>
        <v>3.0040143314257932</v>
      </c>
      <c r="AC28" s="1298">
        <f t="shared" si="14"/>
        <v>3.9284189110861973</v>
      </c>
      <c r="AD28" s="1298">
        <f t="shared" si="14"/>
        <v>-7.2337176028431287</v>
      </c>
      <c r="AE28" s="1298">
        <f t="shared" si="14"/>
        <v>4.1666984717677167</v>
      </c>
      <c r="AF28" s="1298">
        <f t="shared" si="14"/>
        <v>5.3792749813245138</v>
      </c>
      <c r="AG28" s="1298">
        <f t="shared" si="14"/>
        <v>2.3955379003684101</v>
      </c>
      <c r="AH28" s="1298">
        <f t="shared" si="14"/>
        <v>-9.1540914307945371</v>
      </c>
      <c r="AI28" s="1298">
        <f t="shared" si="14"/>
        <v>2.8688644163683534</v>
      </c>
      <c r="AJ28" s="1663">
        <f t="shared" si="14"/>
        <v>7.8784052709398082</v>
      </c>
      <c r="AK28" s="1298"/>
      <c r="AL28" s="1298"/>
      <c r="AM28" s="1298"/>
      <c r="AN28" s="1298"/>
      <c r="AO28" s="1298"/>
      <c r="AP28" s="1298"/>
      <c r="AQ28" s="1298"/>
      <c r="AR28" s="1298"/>
      <c r="AS28" s="794"/>
      <c r="AU28" s="380"/>
      <c r="AV28" s="380"/>
      <c r="AW28" s="380"/>
      <c r="BD28" s="678"/>
    </row>
    <row r="29" spans="2:56" s="235" customFormat="1" ht="15.5" thickBot="1">
      <c r="B29" s="573"/>
      <c r="C29" s="1359" t="s">
        <v>13</v>
      </c>
      <c r="D29" s="1305"/>
      <c r="E29" s="1298">
        <f>-(100-((E27/$D$27)*100))</f>
        <v>-0.63906743654401055</v>
      </c>
      <c r="F29" s="1298">
        <f t="shared" ref="F29:AH29" si="15">-(100-((F27/$D$27)*100))</f>
        <v>9.9562429611750076</v>
      </c>
      <c r="G29" s="1298">
        <f t="shared" si="15"/>
        <v>4.387309702137216</v>
      </c>
      <c r="H29" s="1298">
        <f t="shared" si="15"/>
        <v>4.3040698583130421</v>
      </c>
      <c r="I29" s="1298">
        <f t="shared" si="15"/>
        <v>0.12978479424508294</v>
      </c>
      <c r="J29" s="1298">
        <f t="shared" si="15"/>
        <v>0.71743365113559321</v>
      </c>
      <c r="K29" s="1298">
        <f t="shared" si="15"/>
        <v>4.205163424070264</v>
      </c>
      <c r="L29" s="1298">
        <f t="shared" si="15"/>
        <v>-7.9057991765727991</v>
      </c>
      <c r="M29" s="1298">
        <f t="shared" si="15"/>
        <v>-16.309781606351436</v>
      </c>
      <c r="N29" s="1298">
        <f t="shared" si="15"/>
        <v>-13.010380991408681</v>
      </c>
      <c r="O29" s="1298">
        <f t="shared" si="15"/>
        <v>-12.193577796082351</v>
      </c>
      <c r="P29" s="1298">
        <f t="shared" si="15"/>
        <v>-12.021248021803586</v>
      </c>
      <c r="Q29" s="1298">
        <f t="shared" si="15"/>
        <v>-17.869150801976062</v>
      </c>
      <c r="R29" s="1298">
        <f t="shared" si="15"/>
        <v>-22.734606164857311</v>
      </c>
      <c r="S29" s="1298">
        <f t="shared" si="15"/>
        <v>-19.950219113078859</v>
      </c>
      <c r="T29" s="1298">
        <f t="shared" si="15"/>
        <v>-32.796652907326433</v>
      </c>
      <c r="U29" s="1298">
        <f t="shared" si="15"/>
        <v>-31.025733496529568</v>
      </c>
      <c r="V29" s="1298">
        <f t="shared" si="15"/>
        <v>-31.620430081378984</v>
      </c>
      <c r="W29" s="1298">
        <f t="shared" si="15"/>
        <v>-35.173142068442871</v>
      </c>
      <c r="X29" s="1298">
        <f t="shared" si="15"/>
        <v>-25.498669534435876</v>
      </c>
      <c r="Y29" s="1298">
        <f t="shared" si="15"/>
        <v>-27.15767073447482</v>
      </c>
      <c r="Z29" s="1298">
        <f t="shared" si="15"/>
        <v>-38.902835911852883</v>
      </c>
      <c r="AA29" s="1298">
        <f t="shared" si="15"/>
        <v>-26.675354255717494</v>
      </c>
      <c r="AB29" s="1298">
        <f t="shared" si="15"/>
        <v>-24.472671389092071</v>
      </c>
      <c r="AC29" s="1298">
        <f t="shared" si="15"/>
        <v>-21.505641528902956</v>
      </c>
      <c r="AD29" s="1298">
        <f t="shared" si="15"/>
        <v>-27.183701754865481</v>
      </c>
      <c r="AE29" s="1298">
        <f t="shared" si="15"/>
        <v>-24.149666168687631</v>
      </c>
      <c r="AF29" s="1298">
        <f t="shared" si="15"/>
        <v>-20.069468137648741</v>
      </c>
      <c r="AG29" s="1298">
        <f t="shared" si="15"/>
        <v>-18.154701952920064</v>
      </c>
      <c r="AH29" s="1298">
        <f t="shared" si="15"/>
        <v>-25.646895367956049</v>
      </c>
      <c r="AI29" s="1298">
        <f t="shared" ref="AI29:AJ29" si="16">-(100-((AI27/$D$27)*100))</f>
        <v>-23.513805606702192</v>
      </c>
      <c r="AJ29" s="1663">
        <f t="shared" si="16"/>
        <v>-17.487913236079351</v>
      </c>
      <c r="AK29" s="1298"/>
      <c r="AL29" s="1298"/>
      <c r="AM29" s="1298"/>
      <c r="AN29" s="1298"/>
      <c r="AO29" s="1298"/>
      <c r="AP29" s="1298"/>
      <c r="AQ29" s="1298"/>
      <c r="AR29" s="1298"/>
      <c r="AS29" s="794"/>
      <c r="AU29" s="380"/>
      <c r="AV29" s="380"/>
      <c r="AW29" s="380"/>
      <c r="BD29" s="678"/>
    </row>
    <row r="30" spans="2:56" s="235" customFormat="1" ht="15">
      <c r="B30" s="573"/>
      <c r="C30" s="1359" t="s">
        <v>112</v>
      </c>
      <c r="E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1296"/>
      <c r="AH30" s="1296"/>
      <c r="AI30" s="1296"/>
      <c r="AJ30" s="1296"/>
      <c r="AK30" s="1296"/>
      <c r="AL30" s="1296"/>
      <c r="AM30" s="1296">
        <v>9.3000000000000007</v>
      </c>
      <c r="AN30" s="1296"/>
      <c r="AO30" s="1296"/>
      <c r="AP30" s="1296"/>
      <c r="AQ30" s="1296"/>
      <c r="AR30" s="1296"/>
      <c r="AS30" s="794"/>
      <c r="AU30" s="380"/>
      <c r="AV30" s="380"/>
      <c r="AW30" s="380"/>
      <c r="BD30" s="678"/>
    </row>
    <row r="31" spans="2:56" s="235" customFormat="1" ht="15">
      <c r="B31" s="573"/>
      <c r="C31" s="1359" t="s">
        <v>108</v>
      </c>
      <c r="E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1463"/>
      <c r="AH31" s="1463"/>
      <c r="AI31" s="1463"/>
      <c r="AJ31" s="1463"/>
      <c r="AK31" s="1463"/>
      <c r="AL31" s="1463"/>
      <c r="AM31" s="1463"/>
      <c r="AN31" s="1463"/>
      <c r="AO31" s="1463"/>
      <c r="AP31" s="1463"/>
      <c r="AQ31" s="1463"/>
      <c r="AR31" s="1512">
        <v>7.2</v>
      </c>
      <c r="AS31" s="794"/>
      <c r="AU31" s="380"/>
      <c r="AV31" s="380"/>
      <c r="AW31" s="380"/>
      <c r="BD31" s="678"/>
    </row>
    <row r="32" spans="2:56" s="235" customFormat="1" ht="15.5" thickBot="1">
      <c r="B32" s="573"/>
      <c r="C32" s="1460" t="s">
        <v>895</v>
      </c>
      <c r="D32" s="1513">
        <f>D27*(1-0.92)</f>
        <v>1.124430541348439</v>
      </c>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555"/>
      <c r="AJ32" s="1661" t="s">
        <v>0</v>
      </c>
      <c r="AK32" s="555"/>
      <c r="AL32" s="555"/>
      <c r="AM32" s="555"/>
      <c r="AN32" s="555"/>
      <c r="AO32" s="555"/>
      <c r="AP32" s="555"/>
      <c r="AQ32" s="555"/>
      <c r="AR32" s="555"/>
      <c r="AS32" s="794"/>
      <c r="AU32" s="380"/>
      <c r="AV32" s="380"/>
      <c r="AW32" s="380"/>
      <c r="BD32" s="678"/>
    </row>
    <row r="33" spans="2:56" ht="15">
      <c r="B33" s="10"/>
      <c r="C33" s="453" t="s">
        <v>90</v>
      </c>
      <c r="D33" s="820">
        <f t="shared" ref="D33:AI33" si="17">D34+D35</f>
        <v>29.581745501205152</v>
      </c>
      <c r="E33" s="820">
        <f t="shared" si="17"/>
        <v>28.008157894701178</v>
      </c>
      <c r="F33" s="820">
        <f t="shared" si="17"/>
        <v>27.563413985474689</v>
      </c>
      <c r="G33" s="820">
        <f t="shared" si="17"/>
        <v>27.772478299795356</v>
      </c>
      <c r="H33" s="820">
        <f t="shared" si="17"/>
        <v>28.042783422795132</v>
      </c>
      <c r="I33" s="820">
        <f t="shared" si="17"/>
        <v>28.704985829013353</v>
      </c>
      <c r="J33" s="820">
        <f t="shared" si="17"/>
        <v>29.563275834798592</v>
      </c>
      <c r="K33" s="820">
        <f t="shared" si="17"/>
        <v>29.897702983833565</v>
      </c>
      <c r="L33" s="820">
        <f t="shared" si="17"/>
        <v>30.181109205449104</v>
      </c>
      <c r="M33" s="820">
        <f t="shared" si="17"/>
        <v>30.790053220998082</v>
      </c>
      <c r="N33" s="820">
        <f t="shared" si="17"/>
        <v>31.933517863915544</v>
      </c>
      <c r="O33" s="820">
        <f t="shared" si="17"/>
        <v>31.430585003037418</v>
      </c>
      <c r="P33" s="820">
        <f t="shared" si="17"/>
        <v>31.574740568992283</v>
      </c>
      <c r="Q33" s="820">
        <f t="shared" si="17"/>
        <v>31.975501264052333</v>
      </c>
      <c r="R33" s="820">
        <f t="shared" si="17"/>
        <v>33.215146622359377</v>
      </c>
      <c r="S33" s="820">
        <f t="shared" si="17"/>
        <v>33.175691422999876</v>
      </c>
      <c r="T33" s="820">
        <f t="shared" si="17"/>
        <v>32.288107111618324</v>
      </c>
      <c r="U33" s="820">
        <f t="shared" si="17"/>
        <v>32.541825019643213</v>
      </c>
      <c r="V33" s="820">
        <f t="shared" si="17"/>
        <v>31.54022746940004</v>
      </c>
      <c r="W33" s="820">
        <f t="shared" si="17"/>
        <v>29.587581784741189</v>
      </c>
      <c r="X33" s="820">
        <f t="shared" si="17"/>
        <v>29.777333231530921</v>
      </c>
      <c r="Y33" s="820">
        <f t="shared" si="17"/>
        <v>29.714058402593366</v>
      </c>
      <c r="Z33" s="820">
        <f t="shared" si="17"/>
        <v>29.128761594393538</v>
      </c>
      <c r="AA33" s="820">
        <f t="shared" si="17"/>
        <v>30.369155716681494</v>
      </c>
      <c r="AB33" s="820">
        <f t="shared" si="17"/>
        <v>28.526599424836107</v>
      </c>
      <c r="AC33" s="820">
        <f t="shared" si="17"/>
        <v>28.936034779613621</v>
      </c>
      <c r="AD33" s="820">
        <f t="shared" si="17"/>
        <v>29.270928447936527</v>
      </c>
      <c r="AE33" s="820">
        <f t="shared" si="17"/>
        <v>28.685739090034748</v>
      </c>
      <c r="AF33" s="1074">
        <f t="shared" si="17"/>
        <v>29.324613555027671</v>
      </c>
      <c r="AG33" s="820">
        <f t="shared" si="17"/>
        <v>29.077598592722559</v>
      </c>
      <c r="AH33" s="820">
        <f t="shared" si="17"/>
        <v>22.943227217729611</v>
      </c>
      <c r="AI33" s="820">
        <f t="shared" si="17"/>
        <v>25.606773851436834</v>
      </c>
      <c r="AJ33" s="832">
        <f t="shared" ref="AJ33" si="18">AJ34+AJ35</f>
        <v>25.942382472066328</v>
      </c>
      <c r="AK33" s="832"/>
      <c r="AL33" s="832"/>
      <c r="AM33" s="832"/>
      <c r="AN33" s="832"/>
      <c r="AO33" s="832"/>
      <c r="AP33" s="832"/>
      <c r="AQ33" s="832"/>
      <c r="AR33" s="832"/>
      <c r="AS33" s="7"/>
      <c r="AU33" s="783"/>
      <c r="AV33" s="783"/>
      <c r="AW33" s="783"/>
    </row>
    <row r="34" spans="2:56" ht="15">
      <c r="B34" s="10"/>
      <c r="C34" s="358" t="s">
        <v>91</v>
      </c>
      <c r="D34" s="380">
        <f>CO2_FFC!C20</f>
        <v>28.506437825265561</v>
      </c>
      <c r="E34" s="380">
        <f>CO2_FFC!D20</f>
        <v>26.924606252648253</v>
      </c>
      <c r="F34" s="380">
        <f>CO2_FFC!E20</f>
        <v>26.448466366325668</v>
      </c>
      <c r="G34" s="380">
        <f>CO2_FFC!F20</f>
        <v>26.684940195948617</v>
      </c>
      <c r="H34" s="380">
        <f>CO2_FFC!G20</f>
        <v>26.904845065360281</v>
      </c>
      <c r="I34" s="380">
        <f>CO2_FFC!H20</f>
        <v>27.543957964998537</v>
      </c>
      <c r="J34" s="380">
        <f>CO2_FFC!I20</f>
        <v>28.348712325078182</v>
      </c>
      <c r="K34" s="380">
        <f>CO2_FFC!J20</f>
        <v>28.691676822505464</v>
      </c>
      <c r="L34" s="380">
        <f>CO2_FFC!K20</f>
        <v>28.98102039463458</v>
      </c>
      <c r="M34" s="380">
        <f>CO2_FFC!L20</f>
        <v>29.667708078894691</v>
      </c>
      <c r="N34" s="380">
        <f>CO2_FFC!M20</f>
        <v>30.840346353806449</v>
      </c>
      <c r="O34" s="380">
        <f>CO2_FFC!N20</f>
        <v>30.391075770329753</v>
      </c>
      <c r="P34" s="380">
        <f>CO2_FFC!O20</f>
        <v>30.599206279874757</v>
      </c>
      <c r="Q34" s="380">
        <f>CO2_FFC!P20</f>
        <v>31.044336567887118</v>
      </c>
      <c r="R34" s="380">
        <f>CO2_FFC!Q20</f>
        <v>32.341144579996183</v>
      </c>
      <c r="S34" s="380">
        <f>CO2_FFC!R20</f>
        <v>32.347883053926061</v>
      </c>
      <c r="T34" s="380">
        <f>CO2_FFC!S20</f>
        <v>31.473855031392308</v>
      </c>
      <c r="U34" s="380">
        <f>CO2_FFC!T20</f>
        <v>31.828916188486346</v>
      </c>
      <c r="V34" s="380">
        <f>CO2_FFC!U20</f>
        <v>30.871216525399529</v>
      </c>
      <c r="W34" s="380">
        <f>CO2_FFC!V20</f>
        <v>28.987244396457257</v>
      </c>
      <c r="X34" s="380">
        <f>CO2_FFC!W20</f>
        <v>29.194372528968803</v>
      </c>
      <c r="Y34" s="380">
        <f>CO2_FFC!X20</f>
        <v>29.139892806651648</v>
      </c>
      <c r="Z34" s="380">
        <f>CO2_FFC!Y20</f>
        <v>28.60906538035595</v>
      </c>
      <c r="AA34" s="380">
        <f>CO2_FFC!Z20</f>
        <v>29.873225105712574</v>
      </c>
      <c r="AB34" s="380">
        <f>CO2_FFC!AA20</f>
        <v>28.061539553056065</v>
      </c>
      <c r="AC34" s="380">
        <f>CO2_FFC!AB20</f>
        <v>28.545017287030312</v>
      </c>
      <c r="AD34" s="380">
        <f>CO2_FFC!AC20</f>
        <v>28.891424634303558</v>
      </c>
      <c r="AE34" s="380">
        <f>CO2_FFC!AD20</f>
        <v>28.332334902786233</v>
      </c>
      <c r="AF34" s="870">
        <f>CO2_FFC!AE20</f>
        <v>29.002637465691354</v>
      </c>
      <c r="AG34" s="380">
        <f>CO2_FFC!AF20</f>
        <v>28.718318898688366</v>
      </c>
      <c r="AH34" s="380">
        <f>CO2_FFC!AG20</f>
        <v>22.642037334535477</v>
      </c>
      <c r="AI34" s="380">
        <f>CO2_FFC!AH20</f>
        <v>25.3046622669575</v>
      </c>
      <c r="AJ34" s="380">
        <f>CO2_FFC!AI20</f>
        <v>25.915363713573509</v>
      </c>
      <c r="AK34" s="380"/>
      <c r="AL34" s="380"/>
      <c r="AM34" s="380"/>
      <c r="AN34" s="380"/>
      <c r="AO34" s="380"/>
      <c r="AP34" s="380"/>
      <c r="AQ34" s="380"/>
      <c r="AR34" s="380"/>
      <c r="AS34" s="7"/>
      <c r="AU34" s="783"/>
      <c r="AV34" s="783"/>
      <c r="AW34" s="783"/>
    </row>
    <row r="35" spans="2:56" ht="15">
      <c r="B35" s="10"/>
      <c r="C35" s="358" t="s">
        <v>92</v>
      </c>
      <c r="D35" s="380">
        <f>Mobile!C26/1000000</f>
        <v>1.0753076759395894</v>
      </c>
      <c r="E35" s="380">
        <f>Mobile!D26/1000000</f>
        <v>1.0835516420529232</v>
      </c>
      <c r="F35" s="380">
        <f>Mobile!E26/1000000</f>
        <v>1.11494761914902</v>
      </c>
      <c r="G35" s="380">
        <f>Mobile!F26/1000000</f>
        <v>1.0875381038467398</v>
      </c>
      <c r="H35" s="380">
        <f>Mobile!G26/1000000</f>
        <v>1.1379383574348521</v>
      </c>
      <c r="I35" s="380">
        <f>Mobile!H26/1000000</f>
        <v>1.1610278640148144</v>
      </c>
      <c r="J35" s="380">
        <f>Mobile!I26/1000000</f>
        <v>1.2145635097204102</v>
      </c>
      <c r="K35" s="380">
        <f>Mobile!J26/1000000</f>
        <v>1.2060261613281</v>
      </c>
      <c r="L35" s="380">
        <f>Mobile!K26/1000000</f>
        <v>1.2000888108145227</v>
      </c>
      <c r="M35" s="380">
        <f>Mobile!L26/1000000</f>
        <v>1.1223451421033908</v>
      </c>
      <c r="N35" s="380">
        <f>Mobile!M26/1000000</f>
        <v>1.0931715101090937</v>
      </c>
      <c r="O35" s="380">
        <f>Mobile!N26/1000000</f>
        <v>1.0395092327076663</v>
      </c>
      <c r="P35" s="380">
        <f>Mobile!O26/1000000</f>
        <v>0.97553428911752738</v>
      </c>
      <c r="Q35" s="380">
        <f>Mobile!P26/1000000</f>
        <v>0.93116469616521502</v>
      </c>
      <c r="R35" s="380">
        <f>Mobile!Q26/1000000</f>
        <v>0.8740020423631969</v>
      </c>
      <c r="S35" s="380">
        <f>Mobile!R26/1000000</f>
        <v>0.82780836907381583</v>
      </c>
      <c r="T35" s="380">
        <f>Mobile!S26/1000000</f>
        <v>0.81425208022601447</v>
      </c>
      <c r="U35" s="380">
        <f>Mobile!T26/1000000</f>
        <v>0.71290883115686765</v>
      </c>
      <c r="V35" s="380">
        <f>Mobile!U26/1000000</f>
        <v>0.66901094400051297</v>
      </c>
      <c r="W35" s="380">
        <f>Mobile!V26/1000000</f>
        <v>0.60033738828393424</v>
      </c>
      <c r="X35" s="380">
        <f>Mobile!W26/1000000</f>
        <v>0.58296070256211907</v>
      </c>
      <c r="Y35" s="380">
        <f>Mobile!X26/1000000</f>
        <v>0.57416559594171757</v>
      </c>
      <c r="Z35" s="380">
        <f>Mobile!Y26/1000000</f>
        <v>0.51969621403758626</v>
      </c>
      <c r="AA35" s="380">
        <f>Mobile!Z26/1000000</f>
        <v>0.49593061096891844</v>
      </c>
      <c r="AB35" s="380">
        <f>Mobile!AA26/1000000</f>
        <v>0.46505987178004188</v>
      </c>
      <c r="AC35" s="380">
        <f>Mobile!AB26/1000000</f>
        <v>0.3910174925833092</v>
      </c>
      <c r="AD35" s="380">
        <f>Mobile!AC26/1000000</f>
        <v>0.37950381363296926</v>
      </c>
      <c r="AE35" s="380">
        <f>Mobile!AD26/1000000</f>
        <v>0.3534041872485138</v>
      </c>
      <c r="AF35" s="870">
        <f>Mobile!AE26/1000000</f>
        <v>0.32197608933631755</v>
      </c>
      <c r="AG35" s="380">
        <f>Mobile!AF26/1000000</f>
        <v>0.35927969403419141</v>
      </c>
      <c r="AH35" s="380">
        <f>Mobile!AG26/1000000</f>
        <v>0.30118988319413431</v>
      </c>
      <c r="AI35" s="380">
        <f>Mobile!AH26/1000000</f>
        <v>0.30211158447933367</v>
      </c>
      <c r="AJ35" s="783">
        <f>Mobile!AI26/1000000</f>
        <v>2.7018758492819404E-2</v>
      </c>
      <c r="AK35" s="783"/>
      <c r="AL35" s="783"/>
      <c r="AM35" s="783"/>
      <c r="AN35" s="783"/>
      <c r="AO35" s="783"/>
      <c r="AP35" s="783"/>
      <c r="AQ35" s="783"/>
      <c r="AR35" s="783"/>
      <c r="AS35" s="7"/>
      <c r="AU35" s="783"/>
      <c r="AV35" s="783"/>
      <c r="AW35" s="783"/>
    </row>
    <row r="36" spans="2:56" s="235" customFormat="1" ht="15">
      <c r="B36" s="573"/>
      <c r="C36" s="1461" t="s">
        <v>20</v>
      </c>
      <c r="D36" s="1462">
        <f>D33</f>
        <v>29.581745501205152</v>
      </c>
      <c r="E36" s="1297">
        <f>E33</f>
        <v>28.008157894701178</v>
      </c>
      <c r="F36" s="1297">
        <f t="shared" ref="F36:AG36" si="19">F33</f>
        <v>27.563413985474689</v>
      </c>
      <c r="G36" s="1297">
        <f t="shared" si="19"/>
        <v>27.772478299795356</v>
      </c>
      <c r="H36" s="1297">
        <f t="shared" si="19"/>
        <v>28.042783422795132</v>
      </c>
      <c r="I36" s="1297">
        <f t="shared" si="19"/>
        <v>28.704985829013353</v>
      </c>
      <c r="J36" s="1297">
        <f t="shared" si="19"/>
        <v>29.563275834798592</v>
      </c>
      <c r="K36" s="1297">
        <f t="shared" si="19"/>
        <v>29.897702983833565</v>
      </c>
      <c r="L36" s="1297">
        <f t="shared" si="19"/>
        <v>30.181109205449104</v>
      </c>
      <c r="M36" s="1297">
        <f t="shared" si="19"/>
        <v>30.790053220998082</v>
      </c>
      <c r="N36" s="1297">
        <f t="shared" si="19"/>
        <v>31.933517863915544</v>
      </c>
      <c r="O36" s="1297">
        <f t="shared" si="19"/>
        <v>31.430585003037418</v>
      </c>
      <c r="P36" s="1297">
        <f t="shared" si="19"/>
        <v>31.574740568992283</v>
      </c>
      <c r="Q36" s="1297">
        <f t="shared" si="19"/>
        <v>31.975501264052333</v>
      </c>
      <c r="R36" s="1297">
        <f t="shared" si="19"/>
        <v>33.215146622359377</v>
      </c>
      <c r="S36" s="1297">
        <f t="shared" si="19"/>
        <v>33.175691422999876</v>
      </c>
      <c r="T36" s="1297">
        <f t="shared" si="19"/>
        <v>32.288107111618324</v>
      </c>
      <c r="U36" s="1297">
        <f t="shared" si="19"/>
        <v>32.541825019643213</v>
      </c>
      <c r="V36" s="1297">
        <f t="shared" si="19"/>
        <v>31.54022746940004</v>
      </c>
      <c r="W36" s="1297">
        <f t="shared" si="19"/>
        <v>29.587581784741189</v>
      </c>
      <c r="X36" s="1297">
        <f t="shared" si="19"/>
        <v>29.777333231530921</v>
      </c>
      <c r="Y36" s="1297">
        <f t="shared" si="19"/>
        <v>29.714058402593366</v>
      </c>
      <c r="Z36" s="1297">
        <f t="shared" si="19"/>
        <v>29.128761594393538</v>
      </c>
      <c r="AA36" s="1297">
        <f t="shared" si="19"/>
        <v>30.369155716681494</v>
      </c>
      <c r="AB36" s="1297">
        <f t="shared" si="19"/>
        <v>28.526599424836107</v>
      </c>
      <c r="AC36" s="1297">
        <f t="shared" si="19"/>
        <v>28.936034779613621</v>
      </c>
      <c r="AD36" s="1297">
        <f t="shared" si="19"/>
        <v>29.270928447936527</v>
      </c>
      <c r="AE36" s="1297">
        <f t="shared" si="19"/>
        <v>28.685739090034748</v>
      </c>
      <c r="AF36" s="1297">
        <f t="shared" si="19"/>
        <v>29.324613555027671</v>
      </c>
      <c r="AG36" s="1297">
        <f t="shared" si="19"/>
        <v>29.077598592722559</v>
      </c>
      <c r="AH36" s="1297">
        <f t="shared" ref="AH36:AI36" si="20">AH33</f>
        <v>22.943227217729611</v>
      </c>
      <c r="AI36" s="1297">
        <f t="shared" si="20"/>
        <v>25.606773851436834</v>
      </c>
      <c r="AJ36" s="1662"/>
      <c r="AK36" s="1297"/>
      <c r="AL36" s="1297"/>
      <c r="AM36" s="1297"/>
      <c r="AN36" s="1297"/>
      <c r="AO36" s="1297"/>
      <c r="AP36" s="1297"/>
      <c r="AQ36" s="1297"/>
      <c r="AR36" s="1297"/>
      <c r="AS36" s="794"/>
      <c r="AU36" s="380"/>
      <c r="AV36" s="380"/>
      <c r="AW36" s="380"/>
      <c r="BD36" s="678"/>
    </row>
    <row r="37" spans="2:56" s="235" customFormat="1" ht="15">
      <c r="B37" s="573"/>
      <c r="C37" s="1359" t="s">
        <v>12</v>
      </c>
      <c r="D37" s="1305"/>
      <c r="E37" s="1298">
        <f>-(100-((E36/D36)*100))</f>
        <v>-5.3194548862570201</v>
      </c>
      <c r="F37" s="1298">
        <f t="shared" ref="F37:AI37" si="21">-(100-((F36/E36)*100))</f>
        <v>-1.5879084618793513</v>
      </c>
      <c r="G37" s="1298">
        <f t="shared" si="21"/>
        <v>0.75848483221577112</v>
      </c>
      <c r="H37" s="1298">
        <f t="shared" si="21"/>
        <v>0.97328412712008117</v>
      </c>
      <c r="I37" s="1298">
        <f t="shared" si="21"/>
        <v>2.3614004224699698</v>
      </c>
      <c r="J37" s="1298">
        <f t="shared" si="21"/>
        <v>2.9900380752591218</v>
      </c>
      <c r="K37" s="1298">
        <f t="shared" si="21"/>
        <v>1.1312249390215641</v>
      </c>
      <c r="L37" s="1298">
        <f t="shared" si="21"/>
        <v>0.94791971734009906</v>
      </c>
      <c r="M37" s="1298">
        <f t="shared" si="21"/>
        <v>2.0176329882502557</v>
      </c>
      <c r="N37" s="1298">
        <f t="shared" si="21"/>
        <v>3.7137468867304335</v>
      </c>
      <c r="O37" s="1298">
        <f t="shared" si="21"/>
        <v>-1.5749372274654263</v>
      </c>
      <c r="P37" s="1298">
        <f t="shared" si="21"/>
        <v>0.45864741601511128</v>
      </c>
      <c r="Q37" s="1298">
        <f t="shared" si="21"/>
        <v>1.2692446171786287</v>
      </c>
      <c r="R37" s="1298">
        <f t="shared" si="21"/>
        <v>3.8768598123610616</v>
      </c>
      <c r="S37" s="1298">
        <f t="shared" si="21"/>
        <v>-0.11878676860315807</v>
      </c>
      <c r="T37" s="1298">
        <f t="shared" si="21"/>
        <v>-2.6754056157099768</v>
      </c>
      <c r="U37" s="1298">
        <f t="shared" si="21"/>
        <v>0.78579368913698033</v>
      </c>
      <c r="V37" s="1298">
        <f t="shared" si="21"/>
        <v>-3.0778776225321707</v>
      </c>
      <c r="W37" s="1298">
        <f t="shared" si="21"/>
        <v>-6.1909689349998587</v>
      </c>
      <c r="X37" s="1298">
        <f t="shared" si="21"/>
        <v>0.64132124135805668</v>
      </c>
      <c r="Y37" s="1298">
        <f t="shared" si="21"/>
        <v>-0.21249326944614211</v>
      </c>
      <c r="Z37" s="1298">
        <f t="shared" si="21"/>
        <v>-1.9697639422716691</v>
      </c>
      <c r="AA37" s="1298">
        <f t="shared" si="21"/>
        <v>4.2583139632228466</v>
      </c>
      <c r="AB37" s="1298">
        <f t="shared" si="21"/>
        <v>-6.0671962995444346</v>
      </c>
      <c r="AC37" s="1298">
        <f t="shared" si="21"/>
        <v>1.4352757182163316</v>
      </c>
      <c r="AD37" s="1298">
        <f t="shared" si="21"/>
        <v>1.1573585353818174</v>
      </c>
      <c r="AE37" s="1298">
        <f t="shared" si="21"/>
        <v>-1.9992169327414473</v>
      </c>
      <c r="AF37" s="1298">
        <f t="shared" si="21"/>
        <v>2.2271500935977713</v>
      </c>
      <c r="AG37" s="1298">
        <f t="shared" si="21"/>
        <v>-0.84234686278674076</v>
      </c>
      <c r="AH37" s="1298">
        <f t="shared" si="21"/>
        <v>-21.096554295677763</v>
      </c>
      <c r="AI37" s="1298">
        <f t="shared" si="21"/>
        <v>11.609293707595512</v>
      </c>
      <c r="AJ37" s="1663"/>
      <c r="AK37" s="1298"/>
      <c r="AL37" s="1298"/>
      <c r="AM37" s="1298"/>
      <c r="AN37" s="1298"/>
      <c r="AO37" s="1298"/>
      <c r="AP37" s="1298"/>
      <c r="AQ37" s="1298"/>
      <c r="AR37" s="1298"/>
      <c r="AS37" s="794"/>
      <c r="AU37" s="380"/>
      <c r="AV37" s="380"/>
      <c r="AW37" s="380"/>
      <c r="BD37" s="678"/>
    </row>
    <row r="38" spans="2:56" s="235" customFormat="1" ht="15.5" thickBot="1">
      <c r="B38" s="573"/>
      <c r="C38" s="1359" t="s">
        <v>13</v>
      </c>
      <c r="D38" s="1305"/>
      <c r="E38" s="1298">
        <f>-(100-((E36/$D$36)*100))</f>
        <v>-5.3194548862570201</v>
      </c>
      <c r="F38" s="1298">
        <f t="shared" ref="F38:AG38" si="22">-(100-((F36/$D$36)*100))</f>
        <v>-6.8228952738716373</v>
      </c>
      <c r="G38" s="1298">
        <f t="shared" si="22"/>
        <v>-6.1161610674261482</v>
      </c>
      <c r="H38" s="1298">
        <f t="shared" si="22"/>
        <v>-5.2024045651644286</v>
      </c>
      <c r="I38" s="1298">
        <f t="shared" si="22"/>
        <v>-2.9638537460748466</v>
      </c>
      <c r="J38" s="1298">
        <f t="shared" si="22"/>
        <v>-6.2436026318351878E-2</v>
      </c>
      <c r="K38" s="1298">
        <f t="shared" si="22"/>
        <v>1.0680826208025564</v>
      </c>
      <c r="L38" s="1298">
        <f t="shared" si="22"/>
        <v>2.0261269039027354</v>
      </c>
      <c r="M38" s="1298">
        <f t="shared" si="22"/>
        <v>4.0846396969499494</v>
      </c>
      <c r="N38" s="1298">
        <f t="shared" si="22"/>
        <v>7.9500797632600069</v>
      </c>
      <c r="O38" s="1298">
        <f t="shared" si="22"/>
        <v>6.2499337699898376</v>
      </c>
      <c r="P38" s="1298">
        <f t="shared" si="22"/>
        <v>6.7372463457436425</v>
      </c>
      <c r="Q38" s="1298">
        <f t="shared" si="22"/>
        <v>8.0920030995117003</v>
      </c>
      <c r="R38" s="1298">
        <f t="shared" si="22"/>
        <v>12.282578528052724</v>
      </c>
      <c r="S38" s="1298">
        <f t="shared" si="22"/>
        <v>12.149201681314949</v>
      </c>
      <c r="T38" s="1298">
        <f t="shared" si="22"/>
        <v>9.14875564155912</v>
      </c>
      <c r="U38" s="1298">
        <f t="shared" si="22"/>
        <v>10.006439675162056</v>
      </c>
      <c r="V38" s="1298">
        <f t="shared" si="22"/>
        <v>6.6205760850559017</v>
      </c>
      <c r="W38" s="1298">
        <f t="shared" si="22"/>
        <v>1.9729341312199722E-2</v>
      </c>
      <c r="X38" s="1298">
        <f t="shared" si="22"/>
        <v>0.66117711112684674</v>
      </c>
      <c r="Y38" s="1298">
        <f t="shared" si="22"/>
        <v>0.44727888482046296</v>
      </c>
      <c r="Z38" s="1298">
        <f t="shared" si="22"/>
        <v>-1.5312953956457989</v>
      </c>
      <c r="AA38" s="1298">
        <f t="shared" si="22"/>
        <v>2.6618112019260849</v>
      </c>
      <c r="AB38" s="1298">
        <f t="shared" si="22"/>
        <v>-3.5668824083624884</v>
      </c>
      <c r="AC38" s="1298">
        <f t="shared" si="22"/>
        <v>-2.1828012872506974</v>
      </c>
      <c r="AD38" s="1298">
        <f t="shared" si="22"/>
        <v>-1.0507055888773067</v>
      </c>
      <c r="AE38" s="1298">
        <f t="shared" si="22"/>
        <v>-3.0289166375726495</v>
      </c>
      <c r="AF38" s="1298">
        <f t="shared" si="22"/>
        <v>-0.86922506370358121</v>
      </c>
      <c r="AG38" s="1298">
        <f t="shared" si="22"/>
        <v>-1.704250036435667</v>
      </c>
      <c r="AH38" s="1298">
        <f t="shared" ref="AH38:AI38" si="23">-(100-((AH36/$D$36)*100))</f>
        <v>-22.44126629784266</v>
      </c>
      <c r="AI38" s="1298">
        <f t="shared" si="23"/>
        <v>-13.437245106467358</v>
      </c>
      <c r="AJ38" s="1663"/>
      <c r="AK38" s="1298"/>
      <c r="AL38" s="1298"/>
      <c r="AM38" s="1298"/>
      <c r="AN38" s="1298"/>
      <c r="AO38" s="1298"/>
      <c r="AP38" s="1298"/>
      <c r="AQ38" s="1298"/>
      <c r="AR38" s="1298"/>
      <c r="AS38" s="794"/>
      <c r="AU38" s="380"/>
      <c r="AV38" s="380"/>
      <c r="AW38" s="380"/>
      <c r="BD38" s="678"/>
    </row>
    <row r="39" spans="2:56" s="235" customFormat="1" ht="15">
      <c r="B39" s="573"/>
      <c r="C39" s="1359" t="s">
        <v>113</v>
      </c>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1296"/>
      <c r="AH39" s="1296"/>
      <c r="AI39" s="1296"/>
      <c r="AJ39" s="1296"/>
      <c r="AK39" s="1296"/>
      <c r="AL39" s="1296"/>
      <c r="AM39" s="1296">
        <v>24.9</v>
      </c>
      <c r="AN39" s="1296"/>
      <c r="AO39" s="1296"/>
      <c r="AP39" s="1296"/>
      <c r="AQ39" s="1296"/>
      <c r="AR39" s="1296"/>
      <c r="AS39" s="794"/>
      <c r="AU39" s="380"/>
      <c r="AV39" s="380"/>
      <c r="AW39" s="380"/>
      <c r="BD39" s="678"/>
    </row>
    <row r="40" spans="2:56" s="235" customFormat="1" ht="15">
      <c r="B40" s="573"/>
      <c r="C40" s="1359" t="s">
        <v>114</v>
      </c>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1463"/>
      <c r="AH40" s="1463"/>
      <c r="AI40" s="1463"/>
      <c r="AJ40" s="1463"/>
      <c r="AK40" s="1463"/>
      <c r="AL40" s="1463"/>
      <c r="AM40" s="1463"/>
      <c r="AN40" s="1463"/>
      <c r="AO40" s="1463"/>
      <c r="AP40" s="1463"/>
      <c r="AQ40" s="1463"/>
      <c r="AR40" s="1512">
        <v>19.8</v>
      </c>
      <c r="AS40" s="794"/>
      <c r="AU40" s="380"/>
      <c r="AV40" s="380"/>
      <c r="AW40" s="380"/>
      <c r="BD40" s="678"/>
    </row>
    <row r="41" spans="2:56" s="235" customFormat="1" ht="15.5" thickBot="1">
      <c r="B41" s="573"/>
      <c r="C41" s="1460" t="s">
        <v>896</v>
      </c>
      <c r="D41" s="1513">
        <f>D36*(1-0.86)</f>
        <v>4.1414443701687214</v>
      </c>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555"/>
      <c r="AJ41" s="1661" t="s">
        <v>0</v>
      </c>
      <c r="AK41" s="555"/>
      <c r="AL41" s="555"/>
      <c r="AM41" s="555"/>
      <c r="AN41" s="555"/>
      <c r="AO41" s="555"/>
      <c r="AP41" s="555"/>
      <c r="AQ41" s="555"/>
      <c r="AR41" s="555"/>
      <c r="AS41" s="794"/>
      <c r="AU41" s="380"/>
      <c r="AV41" s="380"/>
      <c r="AW41" s="380"/>
      <c r="BD41" s="678"/>
    </row>
    <row r="42" spans="2:56" ht="15">
      <c r="B42" s="10"/>
      <c r="C42" s="454" t="s">
        <v>93</v>
      </c>
      <c r="D42" s="663">
        <f t="shared" ref="D42:AI42" si="24">D43+D44+D45+D46</f>
        <v>28.162431330116149</v>
      </c>
      <c r="E42" s="663">
        <f t="shared" si="24"/>
        <v>28.264086112233116</v>
      </c>
      <c r="F42" s="663">
        <f t="shared" si="24"/>
        <v>27.083465220071602</v>
      </c>
      <c r="G42" s="663">
        <f t="shared" si="24"/>
        <v>25.451998026482251</v>
      </c>
      <c r="H42" s="663">
        <f t="shared" si="24"/>
        <v>25.542371596902726</v>
      </c>
      <c r="I42" s="663">
        <f t="shared" si="24"/>
        <v>24.730600517332238</v>
      </c>
      <c r="J42" s="663">
        <f t="shared" si="24"/>
        <v>24.518556551976403</v>
      </c>
      <c r="K42" s="663">
        <f t="shared" si="24"/>
        <v>28.637910619201154</v>
      </c>
      <c r="L42" s="663">
        <f t="shared" si="24"/>
        <v>29.274838185751442</v>
      </c>
      <c r="M42" s="663">
        <f t="shared" si="24"/>
        <v>27.873815490312378</v>
      </c>
      <c r="N42" s="663">
        <f t="shared" si="24"/>
        <v>27.075557122322671</v>
      </c>
      <c r="O42" s="663">
        <f t="shared" si="24"/>
        <v>26.559330292919292</v>
      </c>
      <c r="P42" s="663">
        <f t="shared" si="24"/>
        <v>28.147865293131488</v>
      </c>
      <c r="Q42" s="663">
        <f t="shared" si="24"/>
        <v>29.637442609853473</v>
      </c>
      <c r="R42" s="663">
        <f t="shared" si="24"/>
        <v>28.528546079837444</v>
      </c>
      <c r="S42" s="663">
        <f t="shared" si="24"/>
        <v>29.976864897845587</v>
      </c>
      <c r="T42" s="663">
        <f t="shared" si="24"/>
        <v>26.19038906719242</v>
      </c>
      <c r="U42" s="663">
        <f t="shared" si="24"/>
        <v>27.844045358831437</v>
      </c>
      <c r="V42" s="663">
        <f t="shared" si="24"/>
        <v>25.13013733492188</v>
      </c>
      <c r="W42" s="663">
        <f t="shared" si="24"/>
        <v>22.503797074130041</v>
      </c>
      <c r="X42" s="663">
        <f t="shared" si="24"/>
        <v>23.211385774661306</v>
      </c>
      <c r="Y42" s="663">
        <f t="shared" si="24"/>
        <v>18.281940039005288</v>
      </c>
      <c r="Z42" s="663">
        <f t="shared" si="24"/>
        <v>15.861730129389429</v>
      </c>
      <c r="AA42" s="663">
        <f t="shared" si="24"/>
        <v>16.451256344134194</v>
      </c>
      <c r="AB42" s="663">
        <f t="shared" si="24"/>
        <v>14.884632747448642</v>
      </c>
      <c r="AC42" s="663">
        <f t="shared" si="24"/>
        <v>15.686193143295164</v>
      </c>
      <c r="AD42" s="663">
        <f t="shared" si="24"/>
        <v>14.734080530776255</v>
      </c>
      <c r="AE42" s="663">
        <f t="shared" si="24"/>
        <v>13.614624372124677</v>
      </c>
      <c r="AF42" s="872">
        <f t="shared" si="24"/>
        <v>12.134257177687315</v>
      </c>
      <c r="AG42" s="663">
        <f t="shared" si="24"/>
        <v>10.722427179823482</v>
      </c>
      <c r="AH42" s="663">
        <f t="shared" si="24"/>
        <v>12.806025117602701</v>
      </c>
      <c r="AI42" s="663">
        <f t="shared" si="24"/>
        <v>12.487183768517799</v>
      </c>
      <c r="AJ42" s="1292">
        <f t="shared" ref="AJ42:AK42" si="25">AJ43+AJ44+AJ45+AJ46</f>
        <v>8.0966232379189282</v>
      </c>
      <c r="AK42" s="1292">
        <f t="shared" si="25"/>
        <v>5.86</v>
      </c>
      <c r="AL42" s="663"/>
      <c r="AM42" s="663"/>
      <c r="AN42" s="663"/>
      <c r="AO42" s="663"/>
      <c r="AP42" s="663"/>
      <c r="AQ42" s="663"/>
      <c r="AR42" s="663"/>
      <c r="AS42" s="7"/>
      <c r="AU42" s="783"/>
      <c r="AV42" s="783"/>
      <c r="AW42" s="783"/>
    </row>
    <row r="43" spans="2:56" ht="15">
      <c r="B43" s="10"/>
      <c r="C43" s="358" t="s">
        <v>94</v>
      </c>
      <c r="D43" s="380">
        <f>CO2_FFC!C25</f>
        <v>25.256636732676711</v>
      </c>
      <c r="E43" s="380">
        <f>CO2_FFC!D25</f>
        <v>25.914728879913365</v>
      </c>
      <c r="F43" s="380">
        <f>CO2_FFC!E25</f>
        <v>24.426681636914616</v>
      </c>
      <c r="G43" s="380">
        <f>CO2_FFC!F25</f>
        <v>21.967535985573292</v>
      </c>
      <c r="H43" s="380">
        <f>CO2_FFC!G25</f>
        <v>22.308384804598031</v>
      </c>
      <c r="I43" s="380">
        <f>CO2_FFC!H25</f>
        <v>21.438788153844321</v>
      </c>
      <c r="J43" s="380">
        <f>CO2_FFC!I25</f>
        <v>20.883901096087193</v>
      </c>
      <c r="K43" s="380">
        <f>CO2_FFC!J25</f>
        <v>26.163942634042538</v>
      </c>
      <c r="L43" s="380">
        <f>CO2_FFC!K25</f>
        <v>26.747611926121518</v>
      </c>
      <c r="M43" s="380">
        <f>CO2_FFC!L25</f>
        <v>24.004093488628136</v>
      </c>
      <c r="N43" s="380">
        <f>CO2_FFC!M25</f>
        <v>22.176187156381239</v>
      </c>
      <c r="O43" s="380">
        <f>CO2_FFC!N25</f>
        <v>21.964418106491603</v>
      </c>
      <c r="P43" s="380">
        <f>CO2_FFC!O25</f>
        <v>22.920165736663851</v>
      </c>
      <c r="Q43" s="380">
        <f>CO2_FFC!P25</f>
        <v>25.008602205089463</v>
      </c>
      <c r="R43" s="380">
        <f>CO2_FFC!Q25</f>
        <v>23.742061768767059</v>
      </c>
      <c r="S43" s="380">
        <f>CO2_FFC!R25</f>
        <v>24.50850883956242</v>
      </c>
      <c r="T43" s="380">
        <f>CO2_FFC!S25</f>
        <v>21.605252315219431</v>
      </c>
      <c r="U43" s="380">
        <f>CO2_FFC!T25</f>
        <v>23.666295740032623</v>
      </c>
      <c r="V43" s="380">
        <f>CO2_FFC!U25</f>
        <v>20.168912335399149</v>
      </c>
      <c r="W43" s="380">
        <f>CO2_FFC!V25</f>
        <v>17.585116309401922</v>
      </c>
      <c r="X43" s="380">
        <f>CO2_FFC!W25</f>
        <v>18.286569094037727</v>
      </c>
      <c r="Y43" s="380">
        <f>CO2_FFC!X25</f>
        <v>14.3548374581957</v>
      </c>
      <c r="Z43" s="380">
        <f>CO2_FFC!Y25</f>
        <v>12.131402331331719</v>
      </c>
      <c r="AA43" s="380">
        <f>CO2_FFC!Z25</f>
        <v>12.659822445437142</v>
      </c>
      <c r="AB43" s="380">
        <f>CO2_FFC!AA25</f>
        <v>10.782306921880682</v>
      </c>
      <c r="AC43" s="380">
        <f>CO2_FFC!AB25</f>
        <v>11.311329440348851</v>
      </c>
      <c r="AD43" s="380">
        <f>CO2_FFC!AC25</f>
        <v>10.704619766914323</v>
      </c>
      <c r="AE43" s="380">
        <f>CO2_FFC!AD25</f>
        <v>10.277665924817709</v>
      </c>
      <c r="AF43" s="870">
        <f>CO2_FFC!AE25</f>
        <v>7.6499388544811335</v>
      </c>
      <c r="AG43" s="380">
        <f>CO2_FFC!AF25</f>
        <v>6.2240808974230486</v>
      </c>
      <c r="AH43" s="380">
        <f>CO2_FFC!AG25</f>
        <v>5.7447834902179782</v>
      </c>
      <c r="AI43" s="380">
        <f>CO2_FFC!AH25</f>
        <v>6.140913821697418</v>
      </c>
      <c r="AJ43" s="380">
        <f>CO2_FFC!AI25</f>
        <v>6.8040676928351207</v>
      </c>
      <c r="AK43" s="783">
        <f>CO2_FFC!AJ25</f>
        <v>5.86</v>
      </c>
      <c r="AL43" s="380"/>
      <c r="AM43" s="380"/>
      <c r="AN43" s="380"/>
      <c r="AO43" s="380"/>
      <c r="AP43" s="380"/>
      <c r="AQ43" s="380"/>
      <c r="AR43" s="380"/>
      <c r="AS43" s="1149"/>
      <c r="AU43" s="783"/>
      <c r="AV43" s="783"/>
      <c r="AW43" s="783"/>
    </row>
    <row r="44" spans="2:56" ht="15">
      <c r="B44" s="10"/>
      <c r="C44" s="358" t="s">
        <v>95</v>
      </c>
      <c r="D44" s="788">
        <f>Stationary!C49</f>
        <v>9.3884288699999999E-2</v>
      </c>
      <c r="E44" s="788">
        <f>Stationary!D49</f>
        <v>9.6822959449999982E-2</v>
      </c>
      <c r="F44" s="788">
        <f>Stationary!E49</f>
        <v>9.0914300150000002E-2</v>
      </c>
      <c r="G44" s="788">
        <f>Stationary!F49</f>
        <v>8.1111139864931528E-2</v>
      </c>
      <c r="H44" s="788">
        <f>Stationary!G49</f>
        <v>8.0477585687955544E-2</v>
      </c>
      <c r="I44" s="788">
        <f>Stationary!H49</f>
        <v>7.4875160274194996E-2</v>
      </c>
      <c r="J44" s="788">
        <f>Stationary!I49</f>
        <v>7.7779071191824187E-2</v>
      </c>
      <c r="K44" s="788">
        <f>Stationary!J49</f>
        <v>9.6195929234982464E-2</v>
      </c>
      <c r="L44" s="788">
        <f>Stationary!K49</f>
        <v>9.9711079707640801E-2</v>
      </c>
      <c r="M44" s="788">
        <f>Stationary!L49</f>
        <v>9.1104579842082992E-2</v>
      </c>
      <c r="N44" s="788">
        <f>Stationary!M49</f>
        <v>8.6038424382082979E-2</v>
      </c>
      <c r="O44" s="788">
        <f>Stationary!N49</f>
        <v>8.413450162652511E-2</v>
      </c>
      <c r="P44" s="788">
        <f>Stationary!O49</f>
        <v>8.3638818156826181E-2</v>
      </c>
      <c r="Q44" s="788">
        <f>Stationary!P49</f>
        <v>8.5135539922890011E-2</v>
      </c>
      <c r="R44" s="788">
        <f>Stationary!Q49</f>
        <v>8.1217180832885372E-2</v>
      </c>
      <c r="S44" s="788">
        <f>Stationary!R49</f>
        <v>8.7052797439037044E-2</v>
      </c>
      <c r="T44" s="788">
        <f>Stationary!S49</f>
        <v>7.3885363566639897E-2</v>
      </c>
      <c r="U44" s="788">
        <f>Stationary!T49</f>
        <v>7.9953929862497761E-2</v>
      </c>
      <c r="V44" s="788">
        <f>Stationary!U49</f>
        <v>7.0446347974949308E-2</v>
      </c>
      <c r="W44" s="788">
        <f>Stationary!V49</f>
        <v>5.9428030108149441E-2</v>
      </c>
      <c r="X44" s="788">
        <f>Stationary!W49</f>
        <v>5.5503284375582433E-2</v>
      </c>
      <c r="Y44" s="788">
        <f>Stationary!X49</f>
        <v>3.6155320731004754E-2</v>
      </c>
      <c r="Z44" s="788">
        <f>Stationary!Y49</f>
        <v>2.6670955463299097E-2</v>
      </c>
      <c r="AA44" s="788">
        <f>Stationary!Z49</f>
        <v>3.4448245063696509E-2</v>
      </c>
      <c r="AB44" s="788">
        <f>Stationary!AA49</f>
        <v>3.1111288169793579E-2</v>
      </c>
      <c r="AC44" s="788">
        <f>Stationary!AB49</f>
        <v>2.8343299533979942E-2</v>
      </c>
      <c r="AD44" s="380">
        <f>Stationary!AC49</f>
        <v>2.6785294101123132E-2</v>
      </c>
      <c r="AE44" s="380">
        <f>Stationary!AD49</f>
        <v>2.2732096724345383E-2</v>
      </c>
      <c r="AF44" s="870">
        <f>Stationary!AE49</f>
        <v>1.5683844602388072E-2</v>
      </c>
      <c r="AG44" s="380">
        <f>Stationary!AF49</f>
        <v>1.3002007791844079E-2</v>
      </c>
      <c r="AH44" s="1199">
        <f>Stationary!AG49</f>
        <v>1.2884334740007601E-2</v>
      </c>
      <c r="AI44" s="1199">
        <f>Stationary!AH49</f>
        <v>1.1772142384204598E-2</v>
      </c>
      <c r="AJ44" s="1199">
        <f>Stationary!AI49</f>
        <v>1.1836699083808506E-2</v>
      </c>
      <c r="AK44" s="1199"/>
      <c r="AL44" s="1199"/>
      <c r="AM44" s="1199"/>
      <c r="AN44" s="1199"/>
      <c r="AO44" s="1199"/>
      <c r="AP44" s="1199"/>
      <c r="AQ44" s="1199"/>
      <c r="AR44" s="1199"/>
      <c r="AS44" s="7"/>
      <c r="AU44" s="783"/>
      <c r="AV44" s="783"/>
      <c r="AW44" s="783"/>
    </row>
    <row r="45" spans="2:56" ht="15">
      <c r="B45" s="10"/>
      <c r="C45" s="358" t="s">
        <v>96</v>
      </c>
      <c r="D45" s="788">
        <f>'Solid Waste'!C46</f>
        <v>0.92601628752123666</v>
      </c>
      <c r="E45" s="788">
        <f>'Solid Waste'!D46</f>
        <v>1.0801301569133457</v>
      </c>
      <c r="F45" s="788">
        <f>'Solid Waste'!E46</f>
        <v>1.090647300839731</v>
      </c>
      <c r="G45" s="788">
        <f>'Solid Waste'!F46</f>
        <v>1.2427189040545052</v>
      </c>
      <c r="H45" s="788">
        <f>'Solid Waste'!G46</f>
        <v>1.2928195089196401</v>
      </c>
      <c r="I45" s="788">
        <f>'Solid Waste'!H46</f>
        <v>1.274495890341409</v>
      </c>
      <c r="J45" s="788">
        <f>'Solid Waste'!I46</f>
        <v>1.4468622619050446</v>
      </c>
      <c r="K45" s="788">
        <f>'Solid Waste'!J46</f>
        <v>1.4555860623276908</v>
      </c>
      <c r="L45" s="788">
        <f>'Solid Waste'!K46</f>
        <v>1.5164204737577509</v>
      </c>
      <c r="M45" s="788">
        <f>'Solid Waste'!L46</f>
        <v>1.5579246764154147</v>
      </c>
      <c r="N45" s="788">
        <f>'Solid Waste'!M46</f>
        <v>1.6955563813287422</v>
      </c>
      <c r="O45" s="788">
        <f>'Solid Waste'!N46</f>
        <v>1.7803166091743412</v>
      </c>
      <c r="P45" s="788">
        <f>'Solid Waste'!O46</f>
        <v>1.7760175871093162</v>
      </c>
      <c r="Q45" s="788">
        <f>'Solid Waste'!P46</f>
        <v>1.8060576400639383</v>
      </c>
      <c r="R45" s="788">
        <f>'Solid Waste'!Q46</f>
        <v>1.8435570813811437</v>
      </c>
      <c r="S45" s="788">
        <f>'Solid Waste'!R46</f>
        <v>1.9668336222264622</v>
      </c>
      <c r="T45" s="788">
        <f>'Solid Waste'!S46</f>
        <v>1.9577518984647779</v>
      </c>
      <c r="U45" s="788">
        <f>'Solid Waste'!T46</f>
        <v>1.8710997732851633</v>
      </c>
      <c r="V45" s="788">
        <f>'Solid Waste'!U46</f>
        <v>2.1772402484491558</v>
      </c>
      <c r="W45" s="788">
        <f>'Solid Waste'!V46</f>
        <v>2.1156528506438166</v>
      </c>
      <c r="X45" s="788">
        <f>'Solid Waste'!W46</f>
        <v>2.4268167200000001</v>
      </c>
      <c r="Y45" s="788">
        <f>'Solid Waste'!X46</f>
        <v>1.1283393000000002</v>
      </c>
      <c r="Z45" s="788">
        <f>'Solid Waste'!Y46</f>
        <v>1.1245143</v>
      </c>
      <c r="AA45" s="788">
        <f>'Solid Waste'!Z46</f>
        <v>1.1794822839999999</v>
      </c>
      <c r="AB45" s="788">
        <f>'Solid Waste'!AA46</f>
        <v>1.2139940979999999</v>
      </c>
      <c r="AC45" s="788">
        <f>'Solid Waste'!AB46</f>
        <v>1.218505508</v>
      </c>
      <c r="AD45" s="380">
        <f>'Solid Waste'!AC46</f>
        <v>1.234089784</v>
      </c>
      <c r="AE45" s="380">
        <f>'Solid Waste'!AD46</f>
        <v>1.1685330480000002</v>
      </c>
      <c r="AF45" s="380">
        <f>'Solid Waste'!AE46</f>
        <v>1.163976994</v>
      </c>
      <c r="AG45" s="380">
        <f>'Solid Waste'!AF46</f>
        <v>1.085687544</v>
      </c>
      <c r="AH45" s="380">
        <f>'Solid Waste'!AG46</f>
        <v>1.164040612</v>
      </c>
      <c r="AI45" s="380">
        <f>'Solid Waste'!AH46</f>
        <v>1.2226291460000001</v>
      </c>
      <c r="AJ45" s="380">
        <f>'Solid Waste'!AI46</f>
        <v>1.2807188459999999</v>
      </c>
      <c r="AK45" s="380"/>
      <c r="AL45" s="380"/>
      <c r="AM45" s="380"/>
      <c r="AN45" s="380"/>
      <c r="AO45" s="380"/>
      <c r="AP45" s="380"/>
      <c r="AQ45" s="380"/>
      <c r="AR45" s="380"/>
      <c r="AS45" s="7"/>
      <c r="AU45" s="380"/>
      <c r="AV45" s="380"/>
      <c r="AW45" s="380"/>
    </row>
    <row r="46" spans="2:56" ht="15">
      <c r="B46" s="10"/>
      <c r="C46" s="382" t="s">
        <v>97</v>
      </c>
      <c r="D46" s="380">
        <f>ElecImport!D8</f>
        <v>1.8858940212182027</v>
      </c>
      <c r="E46" s="380">
        <f>ElecImport!E8</f>
        <v>1.1724041159564047</v>
      </c>
      <c r="F46" s="380">
        <f>ElecImport!F8</f>
        <v>1.4752219821672543</v>
      </c>
      <c r="G46" s="380">
        <f>ElecImport!G8</f>
        <v>2.1606319969895238</v>
      </c>
      <c r="H46" s="380">
        <f>ElecImport!H8</f>
        <v>1.8606896976971012</v>
      </c>
      <c r="I46" s="380">
        <f>ElecImport!I8</f>
        <v>1.9424413128723124</v>
      </c>
      <c r="J46" s="380">
        <f>ElecImport!J8</f>
        <v>2.1100141227923412</v>
      </c>
      <c r="K46" s="380">
        <f>ElecImport!K8</f>
        <v>0.92218599359594056</v>
      </c>
      <c r="L46" s="380">
        <f>ElecImport!L8</f>
        <v>0.9110947061645297</v>
      </c>
      <c r="M46" s="380">
        <f>ElecImport!M8</f>
        <v>2.2206927454267458</v>
      </c>
      <c r="N46" s="380">
        <f>ElecImport!N8</f>
        <v>3.1177751602306079</v>
      </c>
      <c r="O46" s="380">
        <f>ElecImport!O8</f>
        <v>2.7304610756268213</v>
      </c>
      <c r="P46" s="380">
        <f>ElecImport!P8</f>
        <v>3.3680431512014977</v>
      </c>
      <c r="Q46" s="380">
        <f>ElecImport!Q8</f>
        <v>2.7376472247771821</v>
      </c>
      <c r="R46" s="380">
        <f>ElecImport!R8</f>
        <v>2.8617100488563549</v>
      </c>
      <c r="S46" s="380">
        <f>ElecImport!S8</f>
        <v>3.4144696386176672</v>
      </c>
      <c r="T46" s="380">
        <f>ElecImport!T8</f>
        <v>2.5534994899415717</v>
      </c>
      <c r="U46" s="380">
        <f>ElecImport!U8</f>
        <v>2.2266959156511517</v>
      </c>
      <c r="V46" s="380">
        <f>ElecImport!V8</f>
        <v>2.7135384030986245</v>
      </c>
      <c r="W46" s="380">
        <f>ElecImport!W8</f>
        <v>2.7435998839761511</v>
      </c>
      <c r="X46" s="380">
        <f>ElecImport!X8</f>
        <v>2.4424966762479952</v>
      </c>
      <c r="Y46" s="380">
        <f>ElecImport!Y8</f>
        <v>2.762607960078582</v>
      </c>
      <c r="Z46" s="380">
        <f>ElecImport!Z8</f>
        <v>2.5791425425944108</v>
      </c>
      <c r="AA46" s="380">
        <f>ElecImport!AA8</f>
        <v>2.5775033696333551</v>
      </c>
      <c r="AB46" s="380">
        <f>ElecImport!AB8</f>
        <v>2.8572204393981666</v>
      </c>
      <c r="AC46" s="380">
        <f>ElecImport!AC8</f>
        <v>3.1280148954123335</v>
      </c>
      <c r="AD46" s="380">
        <f>ElecImport!AD8</f>
        <v>2.7685856857608093</v>
      </c>
      <c r="AE46" s="380">
        <f>ElecImport!AE8</f>
        <v>2.1456933025826213</v>
      </c>
      <c r="AF46" s="870">
        <f>ElecImport!AF8</f>
        <v>3.3046574846037937</v>
      </c>
      <c r="AG46" s="380">
        <f>ElecImport!AG8</f>
        <v>3.3996567306085903</v>
      </c>
      <c r="AH46" s="380">
        <f>ElecImport!AH8</f>
        <v>5.8843166806447158</v>
      </c>
      <c r="AI46" s="380">
        <f>ElecImport!AI8</f>
        <v>5.111868658436177</v>
      </c>
      <c r="AJ46" s="783">
        <f>ElecImport!AJ8</f>
        <v>0</v>
      </c>
      <c r="AK46" s="380"/>
      <c r="AL46" s="380"/>
      <c r="AM46" s="380"/>
      <c r="AN46" s="380"/>
      <c r="AO46" s="380"/>
      <c r="AP46" s="380"/>
      <c r="AQ46" s="380"/>
      <c r="AR46" s="380"/>
      <c r="AS46" s="7"/>
      <c r="AU46" s="783"/>
      <c r="AV46" s="783"/>
      <c r="AW46" s="783"/>
    </row>
    <row r="47" spans="2:56" s="235" customFormat="1" ht="15">
      <c r="B47" s="573"/>
      <c r="C47" s="1461" t="s">
        <v>19</v>
      </c>
      <c r="D47" s="1462">
        <f>D42</f>
        <v>28.162431330116149</v>
      </c>
      <c r="E47" s="1297">
        <f>E42</f>
        <v>28.264086112233116</v>
      </c>
      <c r="F47" s="1297">
        <f t="shared" ref="F47:AH47" si="26">F42</f>
        <v>27.083465220071602</v>
      </c>
      <c r="G47" s="1297">
        <f t="shared" si="26"/>
        <v>25.451998026482251</v>
      </c>
      <c r="H47" s="1297">
        <f t="shared" si="26"/>
        <v>25.542371596902726</v>
      </c>
      <c r="I47" s="1297">
        <f t="shared" si="26"/>
        <v>24.730600517332238</v>
      </c>
      <c r="J47" s="1297">
        <f t="shared" si="26"/>
        <v>24.518556551976403</v>
      </c>
      <c r="K47" s="1297">
        <f t="shared" si="26"/>
        <v>28.637910619201154</v>
      </c>
      <c r="L47" s="1297">
        <f t="shared" si="26"/>
        <v>29.274838185751442</v>
      </c>
      <c r="M47" s="1297">
        <f t="shared" si="26"/>
        <v>27.873815490312378</v>
      </c>
      <c r="N47" s="1297">
        <f t="shared" si="26"/>
        <v>27.075557122322671</v>
      </c>
      <c r="O47" s="1297">
        <f t="shared" si="26"/>
        <v>26.559330292919292</v>
      </c>
      <c r="P47" s="1297">
        <f t="shared" si="26"/>
        <v>28.147865293131488</v>
      </c>
      <c r="Q47" s="1297">
        <f t="shared" si="26"/>
        <v>29.637442609853473</v>
      </c>
      <c r="R47" s="1297">
        <f t="shared" si="26"/>
        <v>28.528546079837444</v>
      </c>
      <c r="S47" s="1297">
        <f t="shared" si="26"/>
        <v>29.976864897845587</v>
      </c>
      <c r="T47" s="1297">
        <f t="shared" si="26"/>
        <v>26.19038906719242</v>
      </c>
      <c r="U47" s="1297">
        <f t="shared" si="26"/>
        <v>27.844045358831437</v>
      </c>
      <c r="V47" s="1297">
        <f t="shared" si="26"/>
        <v>25.13013733492188</v>
      </c>
      <c r="W47" s="1297">
        <f t="shared" si="26"/>
        <v>22.503797074130041</v>
      </c>
      <c r="X47" s="1297">
        <f t="shared" si="26"/>
        <v>23.211385774661306</v>
      </c>
      <c r="Y47" s="1297">
        <f t="shared" si="26"/>
        <v>18.281940039005288</v>
      </c>
      <c r="Z47" s="1297">
        <f t="shared" si="26"/>
        <v>15.861730129389429</v>
      </c>
      <c r="AA47" s="1297">
        <f t="shared" si="26"/>
        <v>16.451256344134194</v>
      </c>
      <c r="AB47" s="1297">
        <f t="shared" si="26"/>
        <v>14.884632747448642</v>
      </c>
      <c r="AC47" s="1297">
        <f t="shared" si="26"/>
        <v>15.686193143295164</v>
      </c>
      <c r="AD47" s="1297">
        <f t="shared" si="26"/>
        <v>14.734080530776255</v>
      </c>
      <c r="AE47" s="1297">
        <f t="shared" si="26"/>
        <v>13.614624372124677</v>
      </c>
      <c r="AF47" s="1297">
        <f t="shared" si="26"/>
        <v>12.134257177687315</v>
      </c>
      <c r="AG47" s="1297">
        <f t="shared" si="26"/>
        <v>10.722427179823482</v>
      </c>
      <c r="AH47" s="1297">
        <f t="shared" si="26"/>
        <v>12.806025117602701</v>
      </c>
      <c r="AI47" s="1297">
        <f t="shared" ref="AI47" si="27">AI42</f>
        <v>12.487183768517799</v>
      </c>
      <c r="AJ47" s="1297"/>
      <c r="AK47" s="1297"/>
      <c r="AL47" s="1297"/>
      <c r="AM47" s="1297"/>
      <c r="AN47" s="1297"/>
      <c r="AO47" s="1297"/>
      <c r="AP47" s="1297"/>
      <c r="AQ47" s="1297"/>
      <c r="AR47" s="1297"/>
      <c r="AS47" s="794"/>
      <c r="AU47" s="380"/>
      <c r="AV47" s="380"/>
      <c r="AW47" s="380"/>
      <c r="BD47" s="678"/>
    </row>
    <row r="48" spans="2:56" s="235" customFormat="1" ht="15">
      <c r="B48" s="573"/>
      <c r="C48" s="1359" t="s">
        <v>12</v>
      </c>
      <c r="D48" s="1305"/>
      <c r="E48" s="1298">
        <f>-(100-((E47/D47)*100))</f>
        <v>0.36095882818275982</v>
      </c>
      <c r="F48" s="1298">
        <f t="shared" ref="F48:AI48" si="28">-(100-((F47/E47)*100))</f>
        <v>-4.1771061957334013</v>
      </c>
      <c r="G48" s="1298">
        <f t="shared" si="28"/>
        <v>-6.023849534513289</v>
      </c>
      <c r="H48" s="1298">
        <f t="shared" si="28"/>
        <v>0.35507456163732343</v>
      </c>
      <c r="I48" s="1298">
        <f t="shared" si="28"/>
        <v>-3.1781351096971946</v>
      </c>
      <c r="J48" s="1298">
        <f t="shared" si="28"/>
        <v>-0.85741535150845039</v>
      </c>
      <c r="K48" s="1298">
        <f t="shared" si="28"/>
        <v>16.800964846736449</v>
      </c>
      <c r="L48" s="1298">
        <f t="shared" si="28"/>
        <v>2.2240713542950914</v>
      </c>
      <c r="M48" s="1298">
        <f t="shared" si="28"/>
        <v>-4.7857572655037472</v>
      </c>
      <c r="N48" s="1298">
        <f t="shared" si="28"/>
        <v>-2.863828844196604</v>
      </c>
      <c r="O48" s="1298">
        <f t="shared" si="28"/>
        <v>-1.9066157238100629</v>
      </c>
      <c r="P48" s="1298">
        <f t="shared" si="28"/>
        <v>5.9810807828829127</v>
      </c>
      <c r="Q48" s="1298">
        <f t="shared" si="28"/>
        <v>5.2919725926266352</v>
      </c>
      <c r="R48" s="1298">
        <f t="shared" si="28"/>
        <v>-3.7415391895094103</v>
      </c>
      <c r="S48" s="1298">
        <f t="shared" si="28"/>
        <v>5.0767354703426122</v>
      </c>
      <c r="T48" s="1298">
        <f t="shared" si="28"/>
        <v>-12.631327003529634</v>
      </c>
      <c r="U48" s="1298">
        <f t="shared" si="28"/>
        <v>6.313981389877398</v>
      </c>
      <c r="V48" s="1298">
        <f t="shared" si="28"/>
        <v>-9.746816559644671</v>
      </c>
      <c r="W48" s="1298">
        <f t="shared" si="28"/>
        <v>-10.450958646939696</v>
      </c>
      <c r="X48" s="1298">
        <f t="shared" si="28"/>
        <v>3.1443080392183873</v>
      </c>
      <c r="Y48" s="1298">
        <f t="shared" si="28"/>
        <v>-21.237188436363169</v>
      </c>
      <c r="Z48" s="1298">
        <f t="shared" si="28"/>
        <v>-13.238255373621399</v>
      </c>
      <c r="AA48" s="1298">
        <f t="shared" si="28"/>
        <v>3.7166577033892452</v>
      </c>
      <c r="AB48" s="1298">
        <f t="shared" si="28"/>
        <v>-9.5228204090573456</v>
      </c>
      <c r="AC48" s="1298">
        <f t="shared" si="28"/>
        <v>5.3851540004164207</v>
      </c>
      <c r="AD48" s="1298">
        <f t="shared" si="28"/>
        <v>-6.0697493892957368</v>
      </c>
      <c r="AE48" s="1298">
        <f t="shared" si="28"/>
        <v>-7.5977334066641049</v>
      </c>
      <c r="AF48" s="1298">
        <f t="shared" si="28"/>
        <v>-10.873360542126647</v>
      </c>
      <c r="AG48" s="1298">
        <f t="shared" si="28"/>
        <v>-11.635075614351834</v>
      </c>
      <c r="AH48" s="1298">
        <f t="shared" si="28"/>
        <v>19.432148177233131</v>
      </c>
      <c r="AI48" s="1298">
        <f t="shared" si="28"/>
        <v>-2.4897760714730595</v>
      </c>
      <c r="AJ48" s="1298"/>
      <c r="AK48" s="1298"/>
      <c r="AL48" s="1298"/>
      <c r="AM48" s="1298"/>
      <c r="AN48" s="1298"/>
      <c r="AO48" s="1298"/>
      <c r="AP48" s="1298"/>
      <c r="AQ48" s="1298"/>
      <c r="AR48" s="1298"/>
      <c r="AS48" s="794"/>
      <c r="AU48" s="380"/>
      <c r="AV48" s="380"/>
      <c r="AW48" s="380"/>
      <c r="BD48" s="678"/>
    </row>
    <row r="49" spans="2:56" s="235" customFormat="1" ht="15.5" thickBot="1">
      <c r="B49" s="573"/>
      <c r="C49" s="1359" t="s">
        <v>13</v>
      </c>
      <c r="D49" s="1305"/>
      <c r="E49" s="1298">
        <f>-(100-((E47/$D$47)*100))</f>
        <v>0.36095882818275982</v>
      </c>
      <c r="F49" s="1298">
        <f t="shared" ref="F49:AI49" si="29">-(100-((F47/$D$47)*100))</f>
        <v>-3.8312250011266968</v>
      </c>
      <c r="G49" s="1298">
        <f t="shared" si="29"/>
        <v>-9.6242873062434455</v>
      </c>
      <c r="H49" s="1298">
        <f t="shared" si="29"/>
        <v>-9.3033861405694864</v>
      </c>
      <c r="I49" s="1298">
        <f t="shared" si="29"/>
        <v>-12.185847068942522</v>
      </c>
      <c r="J49" s="1298">
        <f t="shared" si="29"/>
        <v>-12.938779096970521</v>
      </c>
      <c r="K49" s="1298">
        <f t="shared" si="29"/>
        <v>1.6883460220870319</v>
      </c>
      <c r="L49" s="1298">
        <f t="shared" si="29"/>
        <v>3.9499673966207496</v>
      </c>
      <c r="M49" s="1298">
        <f t="shared" si="29"/>
        <v>-1.0248257205518172</v>
      </c>
      <c r="N49" s="1298">
        <f t="shared" si="29"/>
        <v>-3.8593053101605079</v>
      </c>
      <c r="O49" s="1298">
        <f t="shared" si="29"/>
        <v>-5.692338912097199</v>
      </c>
      <c r="P49" s="1298">
        <f t="shared" si="29"/>
        <v>-5.1721517982301179E-2</v>
      </c>
      <c r="Q49" s="1298">
        <f t="shared" si="29"/>
        <v>5.2375139860882314</v>
      </c>
      <c r="R49" s="1298">
        <f t="shared" si="29"/>
        <v>1.3000111582332892</v>
      </c>
      <c r="S49" s="1298">
        <f t="shared" si="29"/>
        <v>6.4427447561643305</v>
      </c>
      <c r="T49" s="1298">
        <f t="shared" si="29"/>
        <v>-7.0023864055191893</v>
      </c>
      <c r="U49" s="1298">
        <f t="shared" si="29"/>
        <v>-1.1305343901335618</v>
      </c>
      <c r="V49" s="1298">
        <f t="shared" si="29"/>
        <v>-10.767159836628224</v>
      </c>
      <c r="W49" s="1298">
        <f t="shared" si="29"/>
        <v>-20.092847061591996</v>
      </c>
      <c r="X49" s="1298">
        <f t="shared" si="29"/>
        <v>-17.580320027839107</v>
      </c>
      <c r="Y49" s="1298">
        <f t="shared" si="29"/>
        <v>-35.083942772174396</v>
      </c>
      <c r="Z49" s="1298">
        <f t="shared" si="29"/>
        <v>-43.677696206480157</v>
      </c>
      <c r="AA49" s="1298">
        <f t="shared" si="29"/>
        <v>-41.58438896381201</v>
      </c>
      <c r="AB49" s="1298">
        <f t="shared" si="29"/>
        <v>-47.147202693641674</v>
      </c>
      <c r="AC49" s="1298">
        <f t="shared" si="29"/>
        <v>-44.300998165166341</v>
      </c>
      <c r="AD49" s="1298">
        <f t="shared" si="29"/>
        <v>-47.681787988879975</v>
      </c>
      <c r="AE49" s="1298">
        <f t="shared" si="29"/>
        <v>-51.65678626061819</v>
      </c>
      <c r="AF49" s="1298">
        <f t="shared" si="29"/>
        <v>-56.913318188152076</v>
      </c>
      <c r="AG49" s="1298">
        <f t="shared" si="29"/>
        <v>-61.926486196675761</v>
      </c>
      <c r="AH49" s="1298">
        <f t="shared" si="29"/>
        <v>-54.527984578134486</v>
      </c>
      <c r="AI49" s="1298">
        <f t="shared" si="29"/>
        <v>-55.660135937324632</v>
      </c>
      <c r="AJ49" s="1298"/>
      <c r="AK49" s="1298"/>
      <c r="AL49" s="1298"/>
      <c r="AM49" s="1298"/>
      <c r="AN49" s="1298"/>
      <c r="AO49" s="1298"/>
      <c r="AP49" s="1298"/>
      <c r="AQ49" s="1298"/>
      <c r="AR49" s="1298"/>
      <c r="AS49" s="794"/>
      <c r="AU49" s="380"/>
      <c r="AV49" s="380"/>
      <c r="AW49" s="380"/>
      <c r="BD49" s="678"/>
    </row>
    <row r="50" spans="2:56" s="235" customFormat="1" ht="15">
      <c r="B50" s="573"/>
      <c r="C50" s="1359" t="s">
        <v>115</v>
      </c>
      <c r="E50" s="38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1296"/>
      <c r="AH50" s="1296"/>
      <c r="AI50" s="1296"/>
      <c r="AJ50" s="1296"/>
      <c r="AK50" s="1296"/>
      <c r="AL50" s="1296"/>
      <c r="AM50" s="1296">
        <v>13.2</v>
      </c>
      <c r="AN50" s="1296"/>
      <c r="AO50" s="1296"/>
      <c r="AP50" s="1296"/>
      <c r="AQ50" s="1296"/>
      <c r="AR50" s="1296"/>
      <c r="AS50" s="794"/>
      <c r="AU50" s="380"/>
      <c r="AV50" s="380"/>
      <c r="AW50" s="380"/>
      <c r="BD50" s="678"/>
    </row>
    <row r="51" spans="2:56" s="235" customFormat="1" ht="15">
      <c r="B51" s="573"/>
      <c r="C51" s="1359" t="s">
        <v>116</v>
      </c>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1463"/>
      <c r="AH51" s="1463"/>
      <c r="AI51" s="1463"/>
      <c r="AJ51" s="1463"/>
      <c r="AK51" s="1463"/>
      <c r="AL51" s="1463"/>
      <c r="AM51" s="1463"/>
      <c r="AN51" s="1463"/>
      <c r="AO51" s="1463"/>
      <c r="AP51" s="1463"/>
      <c r="AQ51" s="1463"/>
      <c r="AR51" s="1512">
        <v>8.4</v>
      </c>
      <c r="AS51" s="794"/>
      <c r="AU51" s="380"/>
      <c r="AV51" s="380"/>
      <c r="AW51" s="380"/>
      <c r="BD51" s="678"/>
    </row>
    <row r="52" spans="2:56" s="235" customFormat="1" ht="15.5" thickBot="1">
      <c r="B52" s="573"/>
      <c r="C52" s="1460" t="s">
        <v>897</v>
      </c>
      <c r="D52" s="1513">
        <f>D47*(1-0.93)</f>
        <v>1.9713701931081291</v>
      </c>
      <c r="E52" s="555"/>
      <c r="F52" s="555"/>
      <c r="G52" s="555"/>
      <c r="H52" s="555"/>
      <c r="I52" s="555"/>
      <c r="J52" s="555"/>
      <c r="K52" s="555"/>
      <c r="L52" s="555"/>
      <c r="M52" s="555"/>
      <c r="N52" s="555"/>
      <c r="O52" s="555"/>
      <c r="P52" s="555"/>
      <c r="Q52" s="555"/>
      <c r="R52" s="555"/>
      <c r="S52" s="555"/>
      <c r="T52" s="555"/>
      <c r="U52" s="555"/>
      <c r="V52" s="555"/>
      <c r="W52" s="555"/>
      <c r="X52" s="555"/>
      <c r="Y52" s="555"/>
      <c r="Z52" s="555"/>
      <c r="AA52" s="555"/>
      <c r="AB52" s="555"/>
      <c r="AC52" s="555"/>
      <c r="AD52" s="555"/>
      <c r="AE52" s="555"/>
      <c r="AF52" s="555"/>
      <c r="AG52" s="555"/>
      <c r="AH52" s="555"/>
      <c r="AI52" s="555"/>
      <c r="AJ52" s="555"/>
      <c r="AK52" s="555"/>
      <c r="AL52" s="555"/>
      <c r="AM52" s="555"/>
      <c r="AN52" s="555"/>
      <c r="AO52" s="555"/>
      <c r="AP52" s="555"/>
      <c r="AQ52" s="555"/>
      <c r="AR52" s="555"/>
      <c r="AS52" s="794"/>
      <c r="AU52" s="380"/>
      <c r="AV52" s="380"/>
      <c r="AW52" s="380"/>
      <c r="BD52" s="678"/>
    </row>
    <row r="53" spans="2:56" ht="15">
      <c r="B53" s="10"/>
      <c r="C53" s="1147" t="s">
        <v>98</v>
      </c>
      <c r="D53" s="1366">
        <f>D54+D55</f>
        <v>1.8677651258656023</v>
      </c>
      <c r="E53" s="1366">
        <f>E54+E55</f>
        <v>1.8459141852462597</v>
      </c>
      <c r="F53" s="1366">
        <f t="shared" ref="F53:AI53" si="30">F54+F55</f>
        <v>1.8328011148242493</v>
      </c>
      <c r="G53" s="1366">
        <f t="shared" si="30"/>
        <v>1.754371218422466</v>
      </c>
      <c r="H53" s="1366">
        <f t="shared" si="30"/>
        <v>1.6979421175482081</v>
      </c>
      <c r="I53" s="1366">
        <f t="shared" si="30"/>
        <v>1.6639970217391518</v>
      </c>
      <c r="J53" s="1366">
        <f t="shared" si="30"/>
        <v>1.5854815983319805</v>
      </c>
      <c r="K53" s="1366">
        <f t="shared" si="30"/>
        <v>1.5341953490807867</v>
      </c>
      <c r="L53" s="1366">
        <f t="shared" si="30"/>
        <v>1.4749217365566851</v>
      </c>
      <c r="M53" s="1366">
        <f t="shared" si="30"/>
        <v>1.4159240794319685</v>
      </c>
      <c r="N53" s="1366">
        <f t="shared" si="30"/>
        <v>1.3779308860348727</v>
      </c>
      <c r="O53" s="1366">
        <f t="shared" si="30"/>
        <v>1.3078896113878109</v>
      </c>
      <c r="P53" s="1366">
        <f t="shared" si="30"/>
        <v>1.2705904514515338</v>
      </c>
      <c r="Q53" s="1366">
        <f t="shared" si="30"/>
        <v>1.217910217108797</v>
      </c>
      <c r="R53" s="1366">
        <f t="shared" si="30"/>
        <v>1.2026721581526407</v>
      </c>
      <c r="S53" s="1366">
        <f t="shared" si="30"/>
        <v>1.109795717263852</v>
      </c>
      <c r="T53" s="1366">
        <f t="shared" si="30"/>
        <v>1.0704121650190279</v>
      </c>
      <c r="U53" s="1366">
        <f t="shared" si="30"/>
        <v>1.0271288082702621</v>
      </c>
      <c r="V53" s="1366">
        <f t="shared" si="30"/>
        <v>1.010590335679201</v>
      </c>
      <c r="W53" s="1366">
        <f t="shared" si="30"/>
        <v>0.96019685439515889</v>
      </c>
      <c r="X53" s="1366">
        <f t="shared" si="30"/>
        <v>0.96322373008061823</v>
      </c>
      <c r="Y53" s="1366">
        <f t="shared" si="30"/>
        <v>0.79967539204563709</v>
      </c>
      <c r="Z53" s="1366">
        <f t="shared" si="30"/>
        <v>0.7993683187669699</v>
      </c>
      <c r="AA53" s="1366">
        <f t="shared" si="30"/>
        <v>0.78443741397921429</v>
      </c>
      <c r="AB53" s="1366">
        <f t="shared" si="30"/>
        <v>0.7596547163364249</v>
      </c>
      <c r="AC53" s="1366">
        <f t="shared" si="30"/>
        <v>0.7888767209069355</v>
      </c>
      <c r="AD53" s="1366">
        <f t="shared" si="30"/>
        <v>0.76847695919838299</v>
      </c>
      <c r="AE53" s="1366">
        <f t="shared" si="30"/>
        <v>0.73513424394234506</v>
      </c>
      <c r="AF53" s="1366">
        <f t="shared" si="30"/>
        <v>0.71995390570325668</v>
      </c>
      <c r="AG53" s="1184">
        <f t="shared" si="30"/>
        <v>0.71637272821169318</v>
      </c>
      <c r="AH53" s="1184">
        <f t="shared" si="30"/>
        <v>0.74058749016049774</v>
      </c>
      <c r="AI53" s="1184">
        <f t="shared" si="30"/>
        <v>0.71541075756581629</v>
      </c>
      <c r="AJ53" s="1184">
        <f t="shared" ref="AJ53" si="31">AJ54+AJ55</f>
        <v>0.73417706876001998</v>
      </c>
      <c r="AK53" s="1184"/>
      <c r="AL53" s="1184"/>
      <c r="AM53" s="1184"/>
      <c r="AN53" s="1184"/>
      <c r="AO53" s="1184"/>
      <c r="AP53" s="1184"/>
      <c r="AQ53" s="1184"/>
      <c r="AR53" s="1184"/>
      <c r="AS53" s="7"/>
      <c r="AU53" s="783"/>
      <c r="AV53" s="783"/>
      <c r="AW53" s="783"/>
    </row>
    <row r="54" spans="2:56" ht="15">
      <c r="B54" s="10"/>
      <c r="C54" s="358" t="s">
        <v>99</v>
      </c>
      <c r="D54" s="788">
        <f>'NG Sum&amp;Distribution&amp;PostMeter'!D9</f>
        <v>1.6981171446349697</v>
      </c>
      <c r="E54" s="788">
        <f>'NG Sum&amp;Distribution&amp;PostMeter'!E9</f>
        <v>1.6781368503696887</v>
      </c>
      <c r="F54" s="788">
        <f>'NG Sum&amp;Distribution&amp;PostMeter'!F9</f>
        <v>1.6650160146858348</v>
      </c>
      <c r="G54" s="788">
        <f>'NG Sum&amp;Distribution&amp;PostMeter'!G9</f>
        <v>1.5886060588676603</v>
      </c>
      <c r="H54" s="788">
        <f>'NG Sum&amp;Distribution&amp;PostMeter'!H9</f>
        <v>1.5341390258270899</v>
      </c>
      <c r="I54" s="788">
        <f>'NG Sum&amp;Distribution&amp;PostMeter'!I9</f>
        <v>1.5022669886244335</v>
      </c>
      <c r="J54" s="788">
        <f>'NG Sum&amp;Distribution&amp;PostMeter'!J9</f>
        <v>1.425467376127973</v>
      </c>
      <c r="K54" s="788">
        <f>'NG Sum&amp;Distribution&amp;PostMeter'!K9</f>
        <v>1.3761942204657134</v>
      </c>
      <c r="L54" s="788">
        <f>'NG Sum&amp;Distribution&amp;PostMeter'!L9</f>
        <v>1.3188501590234014</v>
      </c>
      <c r="M54" s="788">
        <f>'NG Sum&amp;Distribution&amp;PostMeter'!M9</f>
        <v>1.2616415488771622</v>
      </c>
      <c r="N54" s="788">
        <f>'NG Sum&amp;Distribution&amp;PostMeter'!N9</f>
        <v>1.2234268228376644</v>
      </c>
      <c r="O54" s="788">
        <f>'NG Sum&amp;Distribution&amp;PostMeter'!O9</f>
        <v>1.1548456256403654</v>
      </c>
      <c r="P54" s="788">
        <f>'NG Sum&amp;Distribution&amp;PostMeter'!P9</f>
        <v>1.1192932542656782</v>
      </c>
      <c r="Q54" s="788">
        <f>'NG Sum&amp;Distribution&amp;PostMeter'!Q9</f>
        <v>1.0689397263294129</v>
      </c>
      <c r="R54" s="788">
        <f>'NG Sum&amp;Distribution&amp;PostMeter'!R9</f>
        <v>1.0549659757958127</v>
      </c>
      <c r="S54" s="788">
        <f>'NG Sum&amp;Distribution&amp;PostMeter'!S9</f>
        <v>0.96388581295203768</v>
      </c>
      <c r="T54" s="788">
        <f>'NG Sum&amp;Distribution&amp;PostMeter'!T9</f>
        <v>0.92709111626173912</v>
      </c>
      <c r="U54" s="788">
        <f>'NG Sum&amp;Distribution&amp;PostMeter'!U9</f>
        <v>0.88512738029058702</v>
      </c>
      <c r="V54" s="788">
        <f>'NG Sum&amp;Distribution&amp;PostMeter'!V9</f>
        <v>0.83374515920712244</v>
      </c>
      <c r="W54" s="788">
        <f>'NG Sum&amp;Distribution&amp;PostMeter'!W9</f>
        <v>0.78517646934640628</v>
      </c>
      <c r="X54" s="788">
        <f>'NG Sum&amp;Distribution&amp;PostMeter'!X9</f>
        <v>0.75292583432142179</v>
      </c>
      <c r="Y54" s="788">
        <f>'NG Sum&amp;Distribution&amp;PostMeter'!Y9</f>
        <v>0.69892539643020735</v>
      </c>
      <c r="Z54" s="788">
        <f>'NG Sum&amp;Distribution&amp;PostMeter'!Z9</f>
        <v>0.69397194514018645</v>
      </c>
      <c r="AA54" s="788">
        <f>'NG Sum&amp;Distribution&amp;PostMeter'!AA9</f>
        <v>0.67896910883578931</v>
      </c>
      <c r="AB54" s="788">
        <f>'NG Sum&amp;Distribution&amp;PostMeter'!AB9</f>
        <v>0.65553191641877306</v>
      </c>
      <c r="AC54" s="788">
        <f>'NG Sum&amp;Distribution&amp;PostMeter'!AC9</f>
        <v>0.65849530228214259</v>
      </c>
      <c r="AD54" s="788">
        <f>'NG Sum&amp;Distribution&amp;PostMeter'!AD9</f>
        <v>0.65450594465976542</v>
      </c>
      <c r="AE54" s="788">
        <f>'NG Sum&amp;Distribution&amp;PostMeter'!AE9</f>
        <v>0.66705800983925934</v>
      </c>
      <c r="AF54" s="788">
        <f>'NG Sum&amp;Distribution&amp;PostMeter'!AF9</f>
        <v>0.65440896196676102</v>
      </c>
      <c r="AG54" s="380">
        <f>'NG Sum&amp;Distribution&amp;PostMeter'!AG9</f>
        <v>0.6409510730212864</v>
      </c>
      <c r="AH54" s="380">
        <f>'NG Sum&amp;Distribution&amp;PostMeter'!AH9</f>
        <v>0.66932286638484029</v>
      </c>
      <c r="AI54" s="380">
        <f>'NG Sum&amp;Distribution&amp;PostMeter'!AI9</f>
        <v>0.62668511331774612</v>
      </c>
      <c r="AJ54" s="380">
        <f>'NG Sum&amp;Distribution&amp;PostMeter'!AJ9</f>
        <v>0.64276940943466943</v>
      </c>
      <c r="AK54" s="380"/>
      <c r="AL54" s="380"/>
      <c r="AM54" s="380"/>
      <c r="AN54" s="380"/>
      <c r="AO54" s="380"/>
      <c r="AP54" s="380"/>
      <c r="AQ54" s="380"/>
      <c r="AR54" s="380"/>
      <c r="AS54" s="7"/>
      <c r="AU54" s="380"/>
      <c r="AV54" s="380"/>
      <c r="AW54" s="380"/>
    </row>
    <row r="55" spans="2:56" ht="15">
      <c r="B55" s="10"/>
      <c r="C55" s="358" t="s">
        <v>24</v>
      </c>
      <c r="D55" s="788">
        <f>'NG Sum&amp;Distribution&amp;PostMeter'!D8</f>
        <v>0.16964798123063266</v>
      </c>
      <c r="E55" s="788">
        <f>'NG Sum&amp;Distribution&amp;PostMeter'!E8</f>
        <v>0.16777733487657098</v>
      </c>
      <c r="F55" s="788">
        <f>'NG Sum&amp;Distribution&amp;PostMeter'!F8</f>
        <v>0.16778510013841447</v>
      </c>
      <c r="G55" s="788">
        <f>'NG Sum&amp;Distribution&amp;PostMeter'!G8</f>
        <v>0.16576515955480578</v>
      </c>
      <c r="H55" s="788">
        <f>'NG Sum&amp;Distribution&amp;PostMeter'!H8</f>
        <v>0.16380309172111826</v>
      </c>
      <c r="I55" s="788">
        <f>'NG Sum&amp;Distribution&amp;PostMeter'!I8</f>
        <v>0.16173003311471829</v>
      </c>
      <c r="J55" s="788">
        <f>'NG Sum&amp;Distribution&amp;PostMeter'!J8</f>
        <v>0.16001422220400752</v>
      </c>
      <c r="K55" s="788">
        <f>'NG Sum&amp;Distribution&amp;PostMeter'!K8</f>
        <v>0.15800112861507337</v>
      </c>
      <c r="L55" s="788">
        <f>'NG Sum&amp;Distribution&amp;PostMeter'!L8</f>
        <v>0.1560715775332838</v>
      </c>
      <c r="M55" s="788">
        <f>'NG Sum&amp;Distribution&amp;PostMeter'!M8</f>
        <v>0.15428253055480623</v>
      </c>
      <c r="N55" s="788">
        <f>'NG Sum&amp;Distribution&amp;PostMeter'!N8</f>
        <v>0.15450406319720827</v>
      </c>
      <c r="O55" s="788">
        <f>'NG Sum&amp;Distribution&amp;PostMeter'!O8</f>
        <v>0.1530439857474456</v>
      </c>
      <c r="P55" s="788">
        <f>'NG Sum&amp;Distribution&amp;PostMeter'!P8</f>
        <v>0.15129719718585574</v>
      </c>
      <c r="Q55" s="788">
        <f>'NG Sum&amp;Distribution&amp;PostMeter'!Q8</f>
        <v>0.14897049077938418</v>
      </c>
      <c r="R55" s="788">
        <f>'NG Sum&amp;Distribution&amp;PostMeter'!R8</f>
        <v>0.14770618235682798</v>
      </c>
      <c r="S55" s="788">
        <f>'NG Sum&amp;Distribution&amp;PostMeter'!S8</f>
        <v>0.14590990431181422</v>
      </c>
      <c r="T55" s="788">
        <f>'NG Sum&amp;Distribution&amp;PostMeter'!T8</f>
        <v>0.14332104875728888</v>
      </c>
      <c r="U55" s="788">
        <f>'NG Sum&amp;Distribution&amp;PostMeter'!U8</f>
        <v>0.14200142797967516</v>
      </c>
      <c r="V55" s="788">
        <f>'NG Sum&amp;Distribution&amp;PostMeter'!V8</f>
        <v>0.17684517647207851</v>
      </c>
      <c r="W55" s="788">
        <f>'NG Sum&amp;Distribution&amp;PostMeter'!W8</f>
        <v>0.17502038504875261</v>
      </c>
      <c r="X55" s="788">
        <f>'NG Sum&amp;Distribution&amp;PostMeter'!X8</f>
        <v>0.21029789575919641</v>
      </c>
      <c r="Y55" s="788">
        <f>'NG Sum&amp;Distribution&amp;PostMeter'!Y8</f>
        <v>0.10074999561542974</v>
      </c>
      <c r="Z55" s="788">
        <f>'NG Sum&amp;Distribution&amp;PostMeter'!Z8</f>
        <v>0.10539637362678343</v>
      </c>
      <c r="AA55" s="788">
        <f>'NG Sum&amp;Distribution&amp;PostMeter'!AA8</f>
        <v>0.10546830514342498</v>
      </c>
      <c r="AB55" s="788">
        <f>'NG Sum&amp;Distribution&amp;PostMeter'!AB8</f>
        <v>0.10412279991765183</v>
      </c>
      <c r="AC55" s="788">
        <f>'NG Sum&amp;Distribution&amp;PostMeter'!AC8</f>
        <v>0.13038141862479291</v>
      </c>
      <c r="AD55" s="788">
        <f>'NG Sum&amp;Distribution&amp;PostMeter'!AD8</f>
        <v>0.11397101453861756</v>
      </c>
      <c r="AE55" s="788">
        <f>'NG Sum&amp;Distribution&amp;PostMeter'!AE8</f>
        <v>6.8076234103085762E-2</v>
      </c>
      <c r="AF55" s="788">
        <f>'NG Sum&amp;Distribution&amp;PostMeter'!AF8</f>
        <v>6.5544943736495637E-2</v>
      </c>
      <c r="AG55" s="380">
        <f>'NG Sum&amp;Distribution&amp;PostMeter'!AG8</f>
        <v>7.5421655190406778E-2</v>
      </c>
      <c r="AH55" s="380">
        <f>'NG Sum&amp;Distribution&amp;PostMeter'!AH8</f>
        <v>7.1264623775657482E-2</v>
      </c>
      <c r="AI55" s="380">
        <f>'NG Sum&amp;Distribution&amp;PostMeter'!AI8</f>
        <v>8.8725644248070154E-2</v>
      </c>
      <c r="AJ55" s="380">
        <f>'NG Sum&amp;Distribution&amp;PostMeter'!AJ8</f>
        <v>9.1407659325350527E-2</v>
      </c>
      <c r="AK55" s="380"/>
      <c r="AL55" s="380"/>
      <c r="AM55" s="380"/>
      <c r="AN55" s="380"/>
      <c r="AO55" s="380"/>
      <c r="AP55" s="380"/>
      <c r="AQ55" s="380"/>
      <c r="AR55" s="380"/>
      <c r="AS55" s="7"/>
      <c r="AU55" s="1242"/>
      <c r="AV55" s="1242"/>
      <c r="AW55" s="1242"/>
    </row>
    <row r="56" spans="2:56" s="235" customFormat="1" ht="15">
      <c r="B56" s="573"/>
      <c r="C56" s="1461" t="s">
        <v>23</v>
      </c>
      <c r="D56" s="1462">
        <f>D53</f>
        <v>1.8677651258656023</v>
      </c>
      <c r="E56" s="1297">
        <f>E53</f>
        <v>1.8459141852462597</v>
      </c>
      <c r="F56" s="1297">
        <f t="shared" ref="F56:AH56" si="32">F53</f>
        <v>1.8328011148242493</v>
      </c>
      <c r="G56" s="1297">
        <f t="shared" si="32"/>
        <v>1.754371218422466</v>
      </c>
      <c r="H56" s="1297">
        <f t="shared" si="32"/>
        <v>1.6979421175482081</v>
      </c>
      <c r="I56" s="1297">
        <f t="shared" si="32"/>
        <v>1.6639970217391518</v>
      </c>
      <c r="J56" s="1297">
        <f t="shared" si="32"/>
        <v>1.5854815983319805</v>
      </c>
      <c r="K56" s="1297">
        <f t="shared" si="32"/>
        <v>1.5341953490807867</v>
      </c>
      <c r="L56" s="1297">
        <f t="shared" si="32"/>
        <v>1.4749217365566851</v>
      </c>
      <c r="M56" s="1297">
        <f t="shared" si="32"/>
        <v>1.4159240794319685</v>
      </c>
      <c r="N56" s="1297">
        <f t="shared" si="32"/>
        <v>1.3779308860348727</v>
      </c>
      <c r="O56" s="1297">
        <f t="shared" si="32"/>
        <v>1.3078896113878109</v>
      </c>
      <c r="P56" s="1297">
        <f t="shared" si="32"/>
        <v>1.2705904514515338</v>
      </c>
      <c r="Q56" s="1297">
        <f t="shared" si="32"/>
        <v>1.217910217108797</v>
      </c>
      <c r="R56" s="1297">
        <f t="shared" si="32"/>
        <v>1.2026721581526407</v>
      </c>
      <c r="S56" s="1297">
        <f t="shared" si="32"/>
        <v>1.109795717263852</v>
      </c>
      <c r="T56" s="1297">
        <f t="shared" si="32"/>
        <v>1.0704121650190279</v>
      </c>
      <c r="U56" s="1297">
        <f t="shared" si="32"/>
        <v>1.0271288082702621</v>
      </c>
      <c r="V56" s="1297">
        <f t="shared" si="32"/>
        <v>1.010590335679201</v>
      </c>
      <c r="W56" s="1297">
        <f t="shared" si="32"/>
        <v>0.96019685439515889</v>
      </c>
      <c r="X56" s="1297">
        <f t="shared" si="32"/>
        <v>0.96322373008061823</v>
      </c>
      <c r="Y56" s="1297">
        <f t="shared" si="32"/>
        <v>0.79967539204563709</v>
      </c>
      <c r="Z56" s="1297">
        <f t="shared" si="32"/>
        <v>0.7993683187669699</v>
      </c>
      <c r="AA56" s="1297">
        <f t="shared" si="32"/>
        <v>0.78443741397921429</v>
      </c>
      <c r="AB56" s="1297">
        <f t="shared" si="32"/>
        <v>0.7596547163364249</v>
      </c>
      <c r="AC56" s="1297">
        <f t="shared" si="32"/>
        <v>0.7888767209069355</v>
      </c>
      <c r="AD56" s="1297">
        <f t="shared" si="32"/>
        <v>0.76847695919838299</v>
      </c>
      <c r="AE56" s="1297">
        <f t="shared" si="32"/>
        <v>0.73513424394234506</v>
      </c>
      <c r="AF56" s="1297">
        <f t="shared" si="32"/>
        <v>0.71995390570325668</v>
      </c>
      <c r="AG56" s="1297">
        <f t="shared" si="32"/>
        <v>0.71637272821169318</v>
      </c>
      <c r="AH56" s="1297">
        <f t="shared" si="32"/>
        <v>0.74058749016049774</v>
      </c>
      <c r="AI56" s="1297">
        <f t="shared" ref="AI56:AJ56" si="33">AI53</f>
        <v>0.71541075756581629</v>
      </c>
      <c r="AJ56" s="1297">
        <f t="shared" si="33"/>
        <v>0.73417706876001998</v>
      </c>
      <c r="AK56" s="1297"/>
      <c r="AL56" s="1297"/>
      <c r="AM56" s="1297"/>
      <c r="AN56" s="1297"/>
      <c r="AO56" s="1297"/>
      <c r="AP56" s="1297"/>
      <c r="AQ56" s="1297"/>
      <c r="AR56" s="1297"/>
      <c r="AS56" s="794"/>
      <c r="AU56" s="1463"/>
      <c r="AV56" s="1463"/>
      <c r="AW56" s="1463"/>
      <c r="BD56" s="678"/>
    </row>
    <row r="57" spans="2:56" s="235" customFormat="1">
      <c r="B57" s="573"/>
      <c r="C57" s="1359" t="s">
        <v>12</v>
      </c>
      <c r="D57" s="1305"/>
      <c r="E57" s="1298">
        <f>-(100-((E56/D56)*100))</f>
        <v>-1.1698976662933376</v>
      </c>
      <c r="F57" s="1298">
        <f t="shared" ref="F57:AJ57" si="34">-(100-((F56/E56)*100))</f>
        <v>-0.71038353390522957</v>
      </c>
      <c r="G57" s="1298">
        <f t="shared" si="34"/>
        <v>-4.2792366158782187</v>
      </c>
      <c r="H57" s="1298">
        <f t="shared" si="34"/>
        <v>-3.2164857860013853</v>
      </c>
      <c r="I57" s="1298">
        <f t="shared" si="34"/>
        <v>-1.9991903998513294</v>
      </c>
      <c r="J57" s="1298">
        <f t="shared" si="34"/>
        <v>-4.7184834096102861</v>
      </c>
      <c r="K57" s="1298">
        <f t="shared" si="34"/>
        <v>-3.2347426362532445</v>
      </c>
      <c r="L57" s="1298">
        <f t="shared" si="34"/>
        <v>-3.8634983843234352</v>
      </c>
      <c r="M57" s="1298">
        <f t="shared" si="34"/>
        <v>-4.0000534036776116</v>
      </c>
      <c r="N57" s="1298">
        <f t="shared" si="34"/>
        <v>-2.6832789941913973</v>
      </c>
      <c r="O57" s="1298">
        <f t="shared" si="34"/>
        <v>-5.0830760350116151</v>
      </c>
      <c r="P57" s="1298">
        <f t="shared" si="34"/>
        <v>-2.8518584146179364</v>
      </c>
      <c r="Q57" s="1298">
        <f t="shared" si="34"/>
        <v>-4.1461223230943176</v>
      </c>
      <c r="R57" s="1298">
        <f t="shared" si="34"/>
        <v>-1.2511643914384791</v>
      </c>
      <c r="S57" s="1298">
        <f t="shared" si="34"/>
        <v>-7.7225069408317495</v>
      </c>
      <c r="T57" s="1298">
        <f t="shared" si="34"/>
        <v>-3.5487208710736695</v>
      </c>
      <c r="U57" s="1298">
        <f t="shared" si="34"/>
        <v>-4.0436159232174305</v>
      </c>
      <c r="V57" s="1298">
        <f t="shared" si="34"/>
        <v>-1.6101653909321101</v>
      </c>
      <c r="W57" s="1298">
        <f t="shared" si="34"/>
        <v>-4.9865390064484814</v>
      </c>
      <c r="X57" s="1298">
        <f t="shared" si="34"/>
        <v>0.31523490955049738</v>
      </c>
      <c r="Y57" s="1298">
        <f t="shared" si="34"/>
        <v>-16.979267944456964</v>
      </c>
      <c r="Z57" s="1298">
        <f t="shared" si="34"/>
        <v>-3.8399740910080027E-2</v>
      </c>
      <c r="AA57" s="1298">
        <f t="shared" si="34"/>
        <v>-1.8678379461906474</v>
      </c>
      <c r="AB57" s="1298">
        <f t="shared" si="34"/>
        <v>-3.1592957196003937</v>
      </c>
      <c r="AC57" s="1298">
        <f t="shared" si="34"/>
        <v>3.8467482583981223</v>
      </c>
      <c r="AD57" s="1298">
        <f t="shared" si="34"/>
        <v>-2.5859251728330719</v>
      </c>
      <c r="AE57" s="1298">
        <f t="shared" si="34"/>
        <v>-4.3388048082558726</v>
      </c>
      <c r="AF57" s="1298">
        <f t="shared" si="34"/>
        <v>-2.064974984389238</v>
      </c>
      <c r="AG57" s="1298">
        <f t="shared" si="34"/>
        <v>-0.49741760732104012</v>
      </c>
      <c r="AH57" s="1298">
        <f t="shared" si="34"/>
        <v>3.3801903667177271</v>
      </c>
      <c r="AI57" s="1298">
        <f t="shared" si="34"/>
        <v>-3.3995622298757979</v>
      </c>
      <c r="AJ57" s="1298">
        <f t="shared" si="34"/>
        <v>2.6231519439344311</v>
      </c>
      <c r="AK57" s="1298"/>
      <c r="AL57" s="1298"/>
      <c r="AM57" s="1298"/>
      <c r="AN57" s="1298"/>
      <c r="AO57" s="1298"/>
      <c r="AP57" s="1298"/>
      <c r="AQ57" s="1298"/>
      <c r="AR57" s="1298"/>
      <c r="AS57" s="794"/>
      <c r="AU57" s="1463"/>
      <c r="AV57" s="1463"/>
      <c r="AW57" s="1463"/>
      <c r="BD57" s="678"/>
    </row>
    <row r="58" spans="2:56" s="235" customFormat="1" ht="15" thickBot="1">
      <c r="B58" s="573"/>
      <c r="C58" s="1359" t="s">
        <v>13</v>
      </c>
      <c r="D58" s="1305"/>
      <c r="E58" s="1298">
        <f>-(100-((E56/$D$56)*100))</f>
        <v>-1.1698976662933376</v>
      </c>
      <c r="F58" s="1298">
        <f t="shared" ref="F58:AI58" si="35">-(100-((F56/$D$56)*100))</f>
        <v>-1.8719704398136798</v>
      </c>
      <c r="G58" s="1298">
        <f t="shared" si="35"/>
        <v>-6.0711010111929653</v>
      </c>
      <c r="H58" s="1298">
        <f t="shared" si="35"/>
        <v>-9.0923106961155469</v>
      </c>
      <c r="I58" s="1298">
        <f t="shared" si="35"/>
        <v>-10.909728493405495</v>
      </c>
      <c r="J58" s="1298">
        <f t="shared" si="35"/>
        <v>-15.113438174020914</v>
      </c>
      <c r="K58" s="1298">
        <f t="shared" si="35"/>
        <v>-17.85929998185533</v>
      </c>
      <c r="L58" s="1298">
        <f t="shared" si="35"/>
        <v>-21.032804599928312</v>
      </c>
      <c r="M58" s="1298">
        <f t="shared" si="35"/>
        <v>-24.191534587317634</v>
      </c>
      <c r="N58" s="1298">
        <f t="shared" si="35"/>
        <v>-26.225687215554984</v>
      </c>
      <c r="O58" s="1298">
        <f t="shared" si="35"/>
        <v>-29.975691628695614</v>
      </c>
      <c r="P58" s="1298">
        <f t="shared" si="35"/>
        <v>-31.972685759260671</v>
      </c>
      <c r="Q58" s="1298">
        <f t="shared" si="35"/>
        <v>-34.793181420797467</v>
      </c>
      <c r="R58" s="1298">
        <f t="shared" si="35"/>
        <v>-35.609025915650335</v>
      </c>
      <c r="S58" s="1298">
        <f t="shared" si="35"/>
        <v>-40.581623358583421</v>
      </c>
      <c r="T58" s="1298">
        <f t="shared" si="35"/>
        <v>-42.690215691710534</v>
      </c>
      <c r="U58" s="1298">
        <f t="shared" si="35"/>
        <v>-45.007603255562088</v>
      </c>
      <c r="V58" s="1298">
        <f t="shared" si="35"/>
        <v>-45.893071795585108</v>
      </c>
      <c r="W58" s="1298">
        <f t="shared" si="35"/>
        <v>-48.591134875689335</v>
      </c>
      <c r="X58" s="1298">
        <f t="shared" si="35"/>
        <v>-48.42907618621377</v>
      </c>
      <c r="Y58" s="1298">
        <f t="shared" si="35"/>
        <v>-57.185441521988302</v>
      </c>
      <c r="Z58" s="1298">
        <f t="shared" si="35"/>
        <v>-57.201882201515652</v>
      </c>
      <c r="AA58" s="1298">
        <f t="shared" si="35"/>
        <v>-58.001281686011112</v>
      </c>
      <c r="AB58" s="1298">
        <f t="shared" si="35"/>
        <v>-59.328145395991996</v>
      </c>
      <c r="AC58" s="1298">
        <f t="shared" si="35"/>
        <v>-57.763601537354099</v>
      </c>
      <c r="AD58" s="1298">
        <f t="shared" si="35"/>
        <v>-58.855803197297739</v>
      </c>
      <c r="AE58" s="1298">
        <f t="shared" si="35"/>
        <v>-60.640969586491643</v>
      </c>
      <c r="AF58" s="1298">
        <f t="shared" si="35"/>
        <v>-61.453723718628744</v>
      </c>
      <c r="AG58" s="1298">
        <f t="shared" si="35"/>
        <v>-61.645459683818892</v>
      </c>
      <c r="AH58" s="1298">
        <f t="shared" si="35"/>
        <v>-60.34900320685248</v>
      </c>
      <c r="AI58" s="1298">
        <f t="shared" si="35"/>
        <v>-61.696963517601588</v>
      </c>
      <c r="AJ58" s="1298">
        <f t="shared" ref="AJ58" si="36">-(100-((AJ56/$D$56)*100))</f>
        <v>-60.692216671527646</v>
      </c>
      <c r="AK58" s="1298"/>
      <c r="AL58" s="1298"/>
      <c r="AM58" s="1298"/>
      <c r="AN58" s="1298"/>
      <c r="AO58" s="1298"/>
      <c r="AP58" s="1298"/>
      <c r="AQ58" s="1298"/>
      <c r="AR58" s="1298"/>
      <c r="AS58" s="794"/>
      <c r="AU58" s="1463"/>
      <c r="AV58" s="1463"/>
      <c r="AW58" s="1463"/>
      <c r="BD58" s="678"/>
    </row>
    <row r="59" spans="2:56" s="235" customFormat="1" ht="15">
      <c r="B59" s="573"/>
      <c r="C59" s="1359" t="s">
        <v>117</v>
      </c>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1296"/>
      <c r="AH59" s="1296"/>
      <c r="AI59" s="1296"/>
      <c r="AJ59" s="1296"/>
      <c r="AK59" s="1296"/>
      <c r="AL59" s="1296"/>
      <c r="AM59" s="1296">
        <v>0.4</v>
      </c>
      <c r="AN59" s="1296"/>
      <c r="AO59" s="1296"/>
      <c r="AP59" s="1296"/>
      <c r="AQ59" s="1296"/>
      <c r="AR59" s="1296"/>
      <c r="AS59" s="794"/>
      <c r="AU59" s="1463"/>
      <c r="AV59" s="1463"/>
      <c r="AW59" s="1463"/>
      <c r="BD59" s="678"/>
    </row>
    <row r="60" spans="2:56" s="235" customFormat="1" ht="15">
      <c r="B60" s="573"/>
      <c r="C60" s="1359" t="s">
        <v>118</v>
      </c>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1463"/>
      <c r="AH60" s="1463"/>
      <c r="AI60" s="1463"/>
      <c r="AJ60" s="1463"/>
      <c r="AK60" s="1463"/>
      <c r="AL60" s="1463"/>
      <c r="AM60" s="1463"/>
      <c r="AN60" s="1463"/>
      <c r="AO60" s="1463"/>
      <c r="AP60" s="1463"/>
      <c r="AQ60" s="1463"/>
      <c r="AR60" s="1512">
        <v>0.4</v>
      </c>
      <c r="AS60" s="794"/>
      <c r="AU60" s="1463"/>
      <c r="AV60" s="1463"/>
      <c r="AW60" s="1463"/>
      <c r="BD60" s="678"/>
    </row>
    <row r="61" spans="2:56" s="235" customFormat="1" ht="15.5" thickBot="1">
      <c r="B61" s="573"/>
      <c r="C61" s="1460" t="s">
        <v>898</v>
      </c>
      <c r="D61" s="1513">
        <f>D56*(1-0.72)</f>
        <v>0.52297423524236863</v>
      </c>
      <c r="E61" s="555"/>
      <c r="F61" s="555"/>
      <c r="G61" s="555"/>
      <c r="H61" s="555"/>
      <c r="I61" s="555"/>
      <c r="J61" s="555"/>
      <c r="K61" s="555"/>
      <c r="L61" s="555"/>
      <c r="M61" s="555"/>
      <c r="N61" s="555"/>
      <c r="O61" s="555"/>
      <c r="P61" s="555"/>
      <c r="Q61" s="555"/>
      <c r="R61" s="555"/>
      <c r="S61" s="555"/>
      <c r="T61" s="555"/>
      <c r="U61" s="555"/>
      <c r="V61" s="555"/>
      <c r="W61" s="555"/>
      <c r="X61" s="555"/>
      <c r="Y61" s="555"/>
      <c r="Z61" s="555"/>
      <c r="AA61" s="555"/>
      <c r="AB61" s="555"/>
      <c r="AC61" s="555"/>
      <c r="AD61" s="555"/>
      <c r="AE61" s="555"/>
      <c r="AF61" s="555"/>
      <c r="AG61" s="555"/>
      <c r="AH61" s="555"/>
      <c r="AI61" s="555"/>
      <c r="AJ61" s="1661" t="s">
        <v>0</v>
      </c>
      <c r="AK61" s="555"/>
      <c r="AL61" s="555"/>
      <c r="AM61" s="555"/>
      <c r="AN61" s="555"/>
      <c r="AO61" s="555"/>
      <c r="AP61" s="555"/>
      <c r="AQ61" s="555"/>
      <c r="AR61" s="555"/>
      <c r="AS61" s="794"/>
      <c r="AU61" s="1463"/>
      <c r="AV61" s="1463"/>
      <c r="AW61" s="1463"/>
      <c r="BD61" s="678"/>
    </row>
    <row r="62" spans="2:56" ht="15">
      <c r="B62" s="10"/>
      <c r="C62" s="478" t="s">
        <v>100</v>
      </c>
      <c r="D62" s="1367">
        <f>'Indust. Proc.'!C24/1000000</f>
        <v>0.65625199051509786</v>
      </c>
      <c r="E62" s="1367">
        <f>'Indust. Proc.'!D24/1000000</f>
        <v>0.63331644452695712</v>
      </c>
      <c r="F62" s="1367">
        <f>'Indust. Proc.'!E24/1000000</f>
        <v>0.65299274390212458</v>
      </c>
      <c r="G62" s="1367">
        <f>'Indust. Proc.'!F24/1000000</f>
        <v>0.72753199127029544</v>
      </c>
      <c r="H62" s="1367">
        <f>'Indust. Proc.'!G24/1000000</f>
        <v>0.87114460853075537</v>
      </c>
      <c r="I62" s="1367">
        <f>'Indust. Proc.'!H24/1000000</f>
        <v>1.1874764653811856</v>
      </c>
      <c r="J62" s="1367">
        <f>'Indust. Proc.'!I24/1000000</f>
        <v>1.3818297182829506</v>
      </c>
      <c r="K62" s="1367">
        <f>'Indust. Proc.'!J24/1000000</f>
        <v>1.5914306750343177</v>
      </c>
      <c r="L62" s="1367">
        <f>'Indust. Proc.'!K24/1000000</f>
        <v>1.8072839076805174</v>
      </c>
      <c r="M62" s="1367">
        <f>'Indust. Proc.'!L24/1000000</f>
        <v>2.0319751903293111</v>
      </c>
      <c r="N62" s="1367">
        <f>'Indust. Proc.'!M24/1000000</f>
        <v>2.1782494890373849</v>
      </c>
      <c r="O62" s="1367">
        <f>'Indust. Proc.'!N24/1000000</f>
        <v>2.2546007709387683</v>
      </c>
      <c r="P62" s="1367">
        <f>'Indust. Proc.'!O24/1000000</f>
        <v>2.4083019604011335</v>
      </c>
      <c r="Q62" s="1367">
        <f>'Indust. Proc.'!P24/1000000</f>
        <v>2.4356834976929873</v>
      </c>
      <c r="R62" s="1367">
        <f>'Indust. Proc.'!Q24/1000000</f>
        <v>2.4599951742250012</v>
      </c>
      <c r="S62" s="1367">
        <f>'Indust. Proc.'!R24/1000000</f>
        <v>2.4957903789544686</v>
      </c>
      <c r="T62" s="1367">
        <f>'Indust. Proc.'!S24/1000000</f>
        <v>2.57163703562829</v>
      </c>
      <c r="U62" s="1367">
        <f>'Indust. Proc.'!T24/1000000</f>
        <v>2.6579478960926655</v>
      </c>
      <c r="V62" s="1367">
        <f>'Indust. Proc.'!U24/1000000</f>
        <v>2.8299968705084821</v>
      </c>
      <c r="W62" s="1367">
        <f>'Indust. Proc.'!V24/1000000</f>
        <v>2.8897573864573465</v>
      </c>
      <c r="X62" s="1367">
        <f>'Indust. Proc.'!W24/1000000</f>
        <v>2.7452187654011122</v>
      </c>
      <c r="Y62" s="1367">
        <f>'Indust. Proc.'!X24/1000000</f>
        <v>2.9694502142508616</v>
      </c>
      <c r="Z62" s="1367">
        <f>'Indust. Proc.'!Y24/1000000</f>
        <v>3.1868544050475593</v>
      </c>
      <c r="AA62" s="1367">
        <f>'Indust. Proc.'!Z24/1000000</f>
        <v>3.6349955572434878</v>
      </c>
      <c r="AB62" s="1367">
        <f>'Indust. Proc.'!AA24/1000000</f>
        <v>4.0223671955770204</v>
      </c>
      <c r="AC62" s="1367">
        <f>'Indust. Proc.'!AB24/1000000</f>
        <v>3.9056941429484664</v>
      </c>
      <c r="AD62" s="810">
        <f>'Indust. Proc.'!AC24/1000000</f>
        <v>3.9218385184312834</v>
      </c>
      <c r="AE62" s="810">
        <f>'Indust. Proc.'!AD24/1000000</f>
        <v>3.4253895318876237</v>
      </c>
      <c r="AF62" s="1072">
        <f>'Indust. Proc.'!AE24/1000000</f>
        <v>3.7961568247384667</v>
      </c>
      <c r="AG62" s="810">
        <f>'Indust. Proc.'!AF24/1000000</f>
        <v>3.6341921007072808</v>
      </c>
      <c r="AH62" s="810">
        <f>'Indust. Proc.'!AG24/1000000</f>
        <v>3.9345079101963329</v>
      </c>
      <c r="AI62" s="810">
        <f>'Indust. Proc.'!AH24/1000000</f>
        <v>4.1022563243660644</v>
      </c>
      <c r="AJ62" s="1080">
        <f>'Indust. Proc.'!AI24/1000000</f>
        <v>8.6354E-2</v>
      </c>
      <c r="AK62" s="1080"/>
      <c r="AL62" s="1080"/>
      <c r="AM62" s="1080"/>
      <c r="AN62" s="1080"/>
      <c r="AO62" s="1080"/>
      <c r="AP62" s="1080"/>
      <c r="AQ62" s="1080"/>
      <c r="AR62" s="1080"/>
      <c r="AS62" s="7"/>
      <c r="AU62" s="783"/>
      <c r="AV62" s="783"/>
      <c r="AW62" s="783"/>
    </row>
    <row r="63" spans="2:56" ht="15">
      <c r="B63" s="10"/>
      <c r="C63" s="358" t="s">
        <v>101</v>
      </c>
      <c r="D63" s="788">
        <f>'Indust. Proc.'!C5/1000000</f>
        <v>0.17486870435586824</v>
      </c>
      <c r="E63" s="788">
        <f>'Indust. Proc.'!D5/1000000</f>
        <v>0.16802495618437474</v>
      </c>
      <c r="F63" s="788">
        <f>'Indust. Proc.'!E5/1000000</f>
        <v>0.16647146143521593</v>
      </c>
      <c r="G63" s="788">
        <f>'Indust. Proc.'!F5/1000000</f>
        <v>0.16776886728671644</v>
      </c>
      <c r="H63" s="788">
        <f>'Indust. Proc.'!G5/1000000</f>
        <v>0.17123380147318815</v>
      </c>
      <c r="I63" s="788">
        <f>'Indust. Proc.'!H5/1000000</f>
        <v>0.17784788850002828</v>
      </c>
      <c r="J63" s="788">
        <f>'Indust. Proc.'!I5/1000000</f>
        <v>0.15474222736004781</v>
      </c>
      <c r="K63" s="788">
        <f>'Indust. Proc.'!J5/1000000</f>
        <v>0.1606841887589765</v>
      </c>
      <c r="L63" s="788">
        <f>'Indust. Proc.'!K5/1000000</f>
        <v>0.16287532043738079</v>
      </c>
      <c r="M63" s="788">
        <f>'Indust. Proc.'!L5/1000000</f>
        <v>0.15008461634922687</v>
      </c>
      <c r="N63" s="788">
        <f>'Indust. Proc.'!M5/1000000</f>
        <v>0.15566560192136597</v>
      </c>
      <c r="O63" s="788">
        <f>'Indust. Proc.'!N5/1000000</f>
        <v>0.15342201959521024</v>
      </c>
      <c r="P63" s="788">
        <f>'Indust. Proc.'!O5/1000000</f>
        <v>0.16106900239265376</v>
      </c>
      <c r="Q63" s="788">
        <f>'Indust. Proc.'!P5/1000000</f>
        <v>0.16288201663743104</v>
      </c>
      <c r="R63" s="788">
        <f>'Indust. Proc.'!Q5/1000000</f>
        <v>0.17856645821263281</v>
      </c>
      <c r="S63" s="788">
        <f>'Indust. Proc.'!R5/1000000</f>
        <v>0.1843543047002687</v>
      </c>
      <c r="T63" s="788">
        <f>'Indust. Proc.'!S5/1000000</f>
        <v>0.16912192522942632</v>
      </c>
      <c r="U63" s="788">
        <f>'Indust. Proc.'!T5/1000000</f>
        <v>0.16947294606177643</v>
      </c>
      <c r="V63" s="788">
        <f>'Indust. Proc.'!U5/1000000</f>
        <v>0.16999467681789315</v>
      </c>
      <c r="W63" s="788">
        <f>'Indust. Proc.'!V5/1000000</f>
        <v>0.17703708287497213</v>
      </c>
      <c r="X63" s="788">
        <f>'Indust. Proc.'!W5/1000000</f>
        <v>0.1650245185207484</v>
      </c>
      <c r="Y63" s="788">
        <f>'Indust. Proc.'!X5/1000000</f>
        <v>0.15730983808887186</v>
      </c>
      <c r="Z63" s="788">
        <f>'Indust. Proc.'!Y5/1000000</f>
        <v>0.14135005046817997</v>
      </c>
      <c r="AA63" s="788">
        <f>'Indust. Proc.'!Z5/1000000</f>
        <v>0.17274811479382912</v>
      </c>
      <c r="AB63" s="788">
        <f>'Indust. Proc.'!AA5/1000000</f>
        <v>0.15443164337067591</v>
      </c>
      <c r="AC63" s="788">
        <f>'Indust. Proc.'!AB5/1000000</f>
        <v>0.17849446201584365</v>
      </c>
      <c r="AD63" s="788">
        <f>'Indust. Proc.'!AC5/1000000</f>
        <v>0.16737999180826008</v>
      </c>
      <c r="AE63" s="788">
        <f>'Indust. Proc.'!AD5/1000000</f>
        <v>0.16163986486130955</v>
      </c>
      <c r="AF63" s="788">
        <f>'Indust. Proc.'!AE5/1000000</f>
        <v>0.17066999348626716</v>
      </c>
      <c r="AG63" s="380">
        <f>'Indust. Proc.'!AF5/1000000</f>
        <v>0.15656405049563235</v>
      </c>
      <c r="AH63" s="380">
        <f>'Indust. Proc.'!AG5/1000000</f>
        <v>0.15043766880673398</v>
      </c>
      <c r="AI63" s="380">
        <f>'Indust. Proc.'!AH5/1000000</f>
        <v>0.15324532225179405</v>
      </c>
      <c r="AJ63" s="783">
        <f>'Indust. Proc.'!AI5/1000000</f>
        <v>8.6354E-2</v>
      </c>
      <c r="AK63" s="783"/>
      <c r="AL63" s="783"/>
      <c r="AM63" s="783"/>
      <c r="AN63" s="783"/>
      <c r="AO63" s="783"/>
      <c r="AP63" s="783"/>
      <c r="AQ63" s="783"/>
      <c r="AR63" s="783"/>
      <c r="AS63" s="7"/>
      <c r="AU63" s="783"/>
      <c r="AV63" s="783"/>
      <c r="AW63" s="783"/>
    </row>
    <row r="64" spans="2:56" ht="15">
      <c r="B64" s="10"/>
      <c r="C64" s="358" t="s">
        <v>102</v>
      </c>
      <c r="D64" s="788">
        <f>'Indust. Proc.'!C17/1000000</f>
        <v>0.48138328615922965</v>
      </c>
      <c r="E64" s="788">
        <f>'Indust. Proc.'!D17/1000000</f>
        <v>0.46529148834258233</v>
      </c>
      <c r="F64" s="788">
        <f>'Indust. Proc.'!E17/1000000</f>
        <v>0.48652128246690862</v>
      </c>
      <c r="G64" s="788">
        <f>'Indust. Proc.'!F17/1000000</f>
        <v>0.55976312398357897</v>
      </c>
      <c r="H64" s="788">
        <f>'Indust. Proc.'!G17/1000000</f>
        <v>0.69991080705756725</v>
      </c>
      <c r="I64" s="788">
        <f>'Indust. Proc.'!H17/1000000</f>
        <v>1.0096285768811573</v>
      </c>
      <c r="J64" s="788">
        <f>'Indust. Proc.'!I17/1000000</f>
        <v>1.2270874909229028</v>
      </c>
      <c r="K64" s="788">
        <f>'Indust. Proc.'!J17/1000000</f>
        <v>1.4307464862753412</v>
      </c>
      <c r="L64" s="788">
        <f>'Indust. Proc.'!K17/1000000</f>
        <v>1.6444085872431364</v>
      </c>
      <c r="M64" s="788">
        <f>'Indust. Proc.'!L17/1000000</f>
        <v>1.8818905739800844</v>
      </c>
      <c r="N64" s="788">
        <f>'Indust. Proc.'!M17/1000000</f>
        <v>2.0225838871160189</v>
      </c>
      <c r="O64" s="788">
        <f>'Indust. Proc.'!N17/1000000</f>
        <v>2.101178751343558</v>
      </c>
      <c r="P64" s="788">
        <f>'Indust. Proc.'!O17/1000000</f>
        <v>2.24723295800848</v>
      </c>
      <c r="Q64" s="788">
        <f>'Indust. Proc.'!P17/1000000</f>
        <v>2.2728014810555561</v>
      </c>
      <c r="R64" s="788">
        <f>'Indust. Proc.'!Q17/1000000</f>
        <v>2.2814287160123685</v>
      </c>
      <c r="S64" s="788">
        <f>'Indust. Proc.'!R17/1000000</f>
        <v>2.3114360742541997</v>
      </c>
      <c r="T64" s="788">
        <f>'Indust. Proc.'!S17/1000000</f>
        <v>2.4025151103988636</v>
      </c>
      <c r="U64" s="788">
        <f>'Indust. Proc.'!T17/1000000</f>
        <v>2.4884749500308887</v>
      </c>
      <c r="V64" s="788">
        <f>'Indust. Proc.'!U17/1000000</f>
        <v>2.6600021936905893</v>
      </c>
      <c r="W64" s="788">
        <f>'Indust. Proc.'!V17/1000000</f>
        <v>2.7127203035823739</v>
      </c>
      <c r="X64" s="788">
        <f>'Indust. Proc.'!W17/1000000</f>
        <v>2.5801942468803643</v>
      </c>
      <c r="Y64" s="788">
        <f>'Indust. Proc.'!X17/1000000</f>
        <v>2.8121403761619899</v>
      </c>
      <c r="Z64" s="788">
        <f>'Indust. Proc.'!Y17/1000000</f>
        <v>3.0455043545793794</v>
      </c>
      <c r="AA64" s="788">
        <f>'Indust. Proc.'!Z17/1000000</f>
        <v>3.4622474424496588</v>
      </c>
      <c r="AB64" s="788">
        <f>'Indust. Proc.'!AA17/1000000</f>
        <v>3.8679355522063448</v>
      </c>
      <c r="AC64" s="788">
        <f>'Indust. Proc.'!AB17/1000000</f>
        <v>3.7271996809326229</v>
      </c>
      <c r="AD64" s="788">
        <f>'Indust. Proc.'!AC17/1000000</f>
        <v>3.7544585266230235</v>
      </c>
      <c r="AE64" s="788">
        <f>'Indust. Proc.'!AD17/1000000</f>
        <v>3.2637496670263144</v>
      </c>
      <c r="AF64" s="788">
        <f>'Indust. Proc.'!AE17/1000000</f>
        <v>3.6254868312521995</v>
      </c>
      <c r="AG64" s="380">
        <f>'Indust. Proc.'!AF17/1000000</f>
        <v>3.4776280502116483</v>
      </c>
      <c r="AH64" s="380">
        <f>'Indust. Proc.'!AG17/1000000</f>
        <v>3.7840702413895988</v>
      </c>
      <c r="AI64" s="380">
        <f>'Indust. Proc.'!AH17/1000000</f>
        <v>3.949011002114271</v>
      </c>
      <c r="AJ64" s="783">
        <f>'Indust. Proc.'!AI17/1000000</f>
        <v>0</v>
      </c>
      <c r="AK64" s="783"/>
      <c r="AL64" s="783"/>
      <c r="AM64" s="783"/>
      <c r="AN64" s="783"/>
      <c r="AO64" s="783"/>
      <c r="AP64" s="783"/>
      <c r="AQ64" s="783"/>
      <c r="AR64" s="783"/>
      <c r="AS64" s="7"/>
      <c r="AU64" s="783"/>
      <c r="AV64" s="783"/>
      <c r="AW64" s="783"/>
    </row>
    <row r="65" spans="2:56" ht="15">
      <c r="B65" s="10"/>
      <c r="C65" s="1360" t="s">
        <v>119</v>
      </c>
      <c r="D65" s="788">
        <f>'Indust. Proc.'!C18/1000000</f>
        <v>5.4099844792000005E-3</v>
      </c>
      <c r="E65" s="788">
        <f>'Indust. Proc.'!D18/1000000</f>
        <v>1.2460479461513315E-2</v>
      </c>
      <c r="F65" s="788">
        <f>'Indust. Proc.'!E18/1000000</f>
        <v>3.3364256189678726E-2</v>
      </c>
      <c r="G65" s="788">
        <f>'Indust. Proc.'!F18/1000000</f>
        <v>0.10791387960654042</v>
      </c>
      <c r="H65" s="788">
        <f>'Indust. Proc.'!G18/1000000</f>
        <v>0.26075442052323411</v>
      </c>
      <c r="I65" s="788">
        <f>'Indust. Proc.'!H18/1000000</f>
        <v>0.5726936510337084</v>
      </c>
      <c r="J65" s="788">
        <f>'Indust. Proc.'!I18/1000000</f>
        <v>0.80334416190255409</v>
      </c>
      <c r="K65" s="788">
        <f>'Indust. Proc.'!J18/1000000</f>
        <v>1.0209886908184624</v>
      </c>
      <c r="L65" s="788">
        <f>'Indust. Proc.'!K18/1000000</f>
        <v>1.1776020716654192</v>
      </c>
      <c r="M65" s="788">
        <f>'Indust. Proc.'!L18/1000000</f>
        <v>1.3381574499433033</v>
      </c>
      <c r="N65" s="788">
        <f>'Indust. Proc.'!M18/1000000</f>
        <v>1.4723589128157732</v>
      </c>
      <c r="O65" s="788">
        <f>'Indust. Proc.'!N18/1000000</f>
        <v>1.6016525441583729</v>
      </c>
      <c r="P65" s="788">
        <f>'Indust. Proc.'!O18/1000000</f>
        <v>1.6939374776078653</v>
      </c>
      <c r="Q65" s="788">
        <f>'Indust. Proc.'!P18/1000000</f>
        <v>1.7760353004828737</v>
      </c>
      <c r="R65" s="788">
        <f>'Indust. Proc.'!Q18/1000000</f>
        <v>1.8417104934056658</v>
      </c>
      <c r="S65" s="788">
        <f>'Indust. Proc.'!R18/1000000</f>
        <v>1.9230356945102909</v>
      </c>
      <c r="T65" s="788">
        <f>'Indust. Proc.'!S18/1000000</f>
        <v>2.0434734271879846</v>
      </c>
      <c r="U65" s="788">
        <f>'Indust. Proc.'!T18/1000000</f>
        <v>2.185336049036072</v>
      </c>
      <c r="V65" s="788">
        <f>'Indust. Proc.'!U18/1000000</f>
        <v>2.3446180055725572</v>
      </c>
      <c r="W65" s="788">
        <f>'Indust. Proc.'!V18/1000000</f>
        <v>2.4375478218789497</v>
      </c>
      <c r="X65" s="788">
        <f>'Indust. Proc.'!W18/1000000</f>
        <v>2.2487247459142132</v>
      </c>
      <c r="Y65" s="788">
        <f>'Indust. Proc.'!X18/1000000</f>
        <v>2.3750213406845253</v>
      </c>
      <c r="Z65" s="788">
        <f>'Indust. Proc.'!Y18/1000000</f>
        <v>2.590013383312308</v>
      </c>
      <c r="AA65" s="788">
        <f>'Indust. Proc.'!Z18/1000000</f>
        <v>3.0580482864494538</v>
      </c>
      <c r="AB65" s="788">
        <f>'Indust. Proc.'!AA18/1000000</f>
        <v>3.467413417722141</v>
      </c>
      <c r="AC65" s="788">
        <f>'Indust. Proc.'!AB18/1000000</f>
        <v>3.352298239825052</v>
      </c>
      <c r="AD65" s="788">
        <f>'Indust. Proc.'!AC18/1000000</f>
        <v>3.3968978292518734</v>
      </c>
      <c r="AE65" s="788">
        <f>'Indust. Proc.'!AD18/1000000</f>
        <v>2.9302622333298363</v>
      </c>
      <c r="AF65" s="788">
        <f>'Indust. Proc.'!AE18/1000000</f>
        <v>3.2874970695521233</v>
      </c>
      <c r="AG65" s="788">
        <f>'Indust. Proc.'!AF18/1000000</f>
        <v>3.1500186257919345</v>
      </c>
      <c r="AH65" s="380">
        <f>'Indust. Proc.'!AG18/1000000</f>
        <v>3.4605713795215456</v>
      </c>
      <c r="AI65" s="380">
        <f>'Indust. Proc.'!AH18/1000000</f>
        <v>3.5993820553111133</v>
      </c>
      <c r="AJ65" s="783">
        <f>'Indust. Proc.'!AI18/1000000</f>
        <v>0</v>
      </c>
      <c r="AK65" s="783"/>
      <c r="AL65" s="783"/>
      <c r="AM65" s="783"/>
      <c r="AN65" s="783"/>
      <c r="AO65" s="783"/>
      <c r="AP65" s="783"/>
      <c r="AQ65" s="783"/>
      <c r="AR65" s="783"/>
      <c r="AS65" s="7"/>
      <c r="AU65" s="783"/>
      <c r="AV65" s="783"/>
      <c r="AW65" s="783"/>
    </row>
    <row r="66" spans="2:56" ht="15">
      <c r="B66" s="10"/>
      <c r="C66" s="1361" t="s">
        <v>120</v>
      </c>
      <c r="D66" s="788">
        <f>'Indust. Proc.'!C19/1000000</f>
        <v>8.8073545482425117E-2</v>
      </c>
      <c r="E66" s="788">
        <f>'Indust. Proc.'!D19/1000000</f>
        <v>8.1004944716333571E-2</v>
      </c>
      <c r="F66" s="788">
        <f>'Indust. Proc.'!E19/1000000</f>
        <v>8.1004944716333571E-2</v>
      </c>
      <c r="G66" s="788">
        <f>'Indust. Proc.'!F19/1000000</f>
        <v>0.10125618089541694</v>
      </c>
      <c r="H66" s="788">
        <f>'Indust. Proc.'!G19/1000000</f>
        <v>0.11138179898495866</v>
      </c>
      <c r="I66" s="788">
        <f>'Indust. Proc.'!H19/1000000</f>
        <v>0.13996914247232409</v>
      </c>
      <c r="J66" s="788">
        <f>'Indust. Proc.'!I19/1000000</f>
        <v>0.15543053401135012</v>
      </c>
      <c r="K66" s="788">
        <f>'Indust. Proc.'!J19/1000000</f>
        <v>0.16425899693515966</v>
      </c>
      <c r="L66" s="788">
        <f>'Indust. Proc.'!K19/1000000</f>
        <v>0.26253939011032906</v>
      </c>
      <c r="M66" s="788">
        <f>'Indust. Proc.'!L19/1000000</f>
        <v>0.33435106863421576</v>
      </c>
      <c r="N66" s="788">
        <f>'Indust. Proc.'!M19/1000000</f>
        <v>0.34483880209913181</v>
      </c>
      <c r="O66" s="788">
        <f>'Indust. Proc.'!N19/1000000</f>
        <v>0.29379758504386466</v>
      </c>
      <c r="P66" s="788">
        <f>'Indust. Proc.'!O19/1000000</f>
        <v>0.35830450702210509</v>
      </c>
      <c r="Q66" s="788">
        <f>'Indust. Proc.'!P19/1000000</f>
        <v>0.30417391495858959</v>
      </c>
      <c r="R66" s="788">
        <f>'Indust. Proc.'!Q19/1000000</f>
        <v>0.25307006955678107</v>
      </c>
      <c r="S66" s="788">
        <f>'Indust. Proc.'!R19/1000000</f>
        <v>0.20876152734863998</v>
      </c>
      <c r="T66" s="788">
        <f>'Indust. Proc.'!S19/1000000</f>
        <v>0.19705972486139819</v>
      </c>
      <c r="U66" s="788">
        <f>'Indust. Proc.'!T19/1000000</f>
        <v>0.15277881297471974</v>
      </c>
      <c r="V66" s="788">
        <f>'Indust. Proc.'!U19/1000000</f>
        <v>0.16785017402067828</v>
      </c>
      <c r="W66" s="788">
        <f>'Indust. Proc.'!V19/1000000</f>
        <v>0.14326624702402438</v>
      </c>
      <c r="X66" s="788">
        <f>'Indust. Proc.'!W19/1000000</f>
        <v>0.21688356644994836</v>
      </c>
      <c r="Y66" s="788">
        <f>'Indust. Proc.'!X19/1000000</f>
        <v>0.33449905312150802</v>
      </c>
      <c r="Z66" s="788">
        <f>'Indust. Proc.'!Y19/1000000</f>
        <v>0.3669345445531878</v>
      </c>
      <c r="AA66" s="788">
        <f>'Indust. Proc.'!Z19/1000000</f>
        <v>0.3195543971840169</v>
      </c>
      <c r="AB66" s="788">
        <f>'Indust. Proc.'!AA19/1000000</f>
        <v>0.31488642340047368</v>
      </c>
      <c r="AC66" s="788">
        <f>'Indust. Proc.'!AB19/1000000</f>
        <v>0.29984889018138766</v>
      </c>
      <c r="AD66" s="788">
        <f>'Indust. Proc.'!AC19/1000000</f>
        <v>0.28086050526205503</v>
      </c>
      <c r="AE66" s="788">
        <f>'Indust. Proc.'!AD19/1000000</f>
        <v>0.25854189962968216</v>
      </c>
      <c r="AF66" s="788">
        <f>'Indust. Proc.'!AE19/1000000</f>
        <v>0.26775135593837884</v>
      </c>
      <c r="AG66" s="788">
        <f>'Indust. Proc.'!AF19/1000000</f>
        <v>0.24804664146958025</v>
      </c>
      <c r="AH66" s="380">
        <f>'Indust. Proc.'!AG19/1000000</f>
        <v>0.24706438617296594</v>
      </c>
      <c r="AI66" s="380">
        <f>'Indust. Proc.'!AH19/1000000</f>
        <v>0.27214199886570617</v>
      </c>
      <c r="AJ66" s="783">
        <f>'Indust. Proc.'!AI19/1000000</f>
        <v>0</v>
      </c>
      <c r="AK66" s="783"/>
      <c r="AL66" s="783"/>
      <c r="AM66" s="783"/>
      <c r="AN66" s="783"/>
      <c r="AO66" s="783"/>
      <c r="AP66" s="783"/>
      <c r="AQ66" s="783"/>
      <c r="AR66" s="783"/>
      <c r="AS66" s="7"/>
      <c r="AU66" s="783"/>
      <c r="AV66" s="783"/>
      <c r="AW66" s="783"/>
    </row>
    <row r="67" spans="2:56" ht="15">
      <c r="B67" s="10"/>
      <c r="C67" s="1362" t="s">
        <v>121</v>
      </c>
      <c r="D67" s="380">
        <f>'Indust. Proc.'!C21/1000000</f>
        <v>0.38789975619760453</v>
      </c>
      <c r="E67" s="788">
        <f>'Indust. Proc.'!D21/1000000</f>
        <v>0.3718260641647354</v>
      </c>
      <c r="F67" s="788">
        <f>'Indust. Proc.'!E21/1000000</f>
        <v>0.37215208156089641</v>
      </c>
      <c r="G67" s="788">
        <f>'Indust. Proc.'!F21/1000000</f>
        <v>0.35059306348162167</v>
      </c>
      <c r="H67" s="788">
        <f>'Indust. Proc.'!G21/1000000</f>
        <v>0.32777458754937455</v>
      </c>
      <c r="I67" s="788">
        <f>'Indust. Proc.'!H21/1000000</f>
        <v>0.29696578337512486</v>
      </c>
      <c r="J67" s="788">
        <f>'Indust. Proc.'!I21/1000000</f>
        <v>0.26831279500899841</v>
      </c>
      <c r="K67" s="788">
        <f>'Indust. Proc.'!J21/1000000</f>
        <v>0.24549879852171885</v>
      </c>
      <c r="L67" s="788">
        <f>'Indust. Proc.'!K21/1000000</f>
        <v>0.20426712546738821</v>
      </c>
      <c r="M67" s="788">
        <f>'Indust. Proc.'!L21/1000000</f>
        <v>0.20938205540256527</v>
      </c>
      <c r="N67" s="788">
        <f>'Indust. Proc.'!M21/1000000</f>
        <v>0.20538617220111405</v>
      </c>
      <c r="O67" s="788">
        <f>'Indust. Proc.'!N21/1000000</f>
        <v>0.20572862214132048</v>
      </c>
      <c r="P67" s="788">
        <f>'Indust. Proc.'!O21/1000000</f>
        <v>0.19499097337850929</v>
      </c>
      <c r="Q67" s="788">
        <f>'Indust. Proc.'!P21/1000000</f>
        <v>0.19259226561409309</v>
      </c>
      <c r="R67" s="788">
        <f>'Indust. Proc.'!Q21/1000000</f>
        <v>0.18664815304992144</v>
      </c>
      <c r="S67" s="788">
        <f>'Indust. Proc.'!R21/1000000</f>
        <v>0.17963885239526922</v>
      </c>
      <c r="T67" s="788">
        <f>'Indust. Proc.'!S21/1000000</f>
        <v>0.16198195834948043</v>
      </c>
      <c r="U67" s="788">
        <f>'Indust. Proc.'!T21/1000000</f>
        <v>0.15036008802009723</v>
      </c>
      <c r="V67" s="788">
        <f>'Indust. Proc.'!U21/1000000</f>
        <v>0.14753401409735378</v>
      </c>
      <c r="W67" s="788">
        <f>'Indust. Proc.'!V21/1000000</f>
        <v>0.13190623467939996</v>
      </c>
      <c r="X67" s="788">
        <f>'Indust. Proc.'!W21/1000000</f>
        <v>0.11458593451620261</v>
      </c>
      <c r="Y67" s="788">
        <f>'Indust. Proc.'!X21/1000000</f>
        <v>0.10261998235595651</v>
      </c>
      <c r="Z67" s="788">
        <f>'Indust. Proc.'!Y21/1000000</f>
        <v>8.8556426713883349E-2</v>
      </c>
      <c r="AA67" s="788">
        <f>'Indust. Proc.'!Z21/1000000</f>
        <v>8.4644758816187687E-2</v>
      </c>
      <c r="AB67" s="788">
        <f>'Indust. Proc.'!AA21/1000000</f>
        <v>8.56357110837309E-2</v>
      </c>
      <c r="AC67" s="788">
        <f>'Indust. Proc.'!AB21/1000000</f>
        <v>7.5052550926182612E-2</v>
      </c>
      <c r="AD67" s="788">
        <f>'Indust. Proc.'!AC21/1000000</f>
        <v>7.6700192109095663E-2</v>
      </c>
      <c r="AE67" s="788">
        <f>'Indust. Proc.'!AD21/1000000</f>
        <v>7.4945534066795869E-2</v>
      </c>
      <c r="AF67" s="788">
        <f>'Indust. Proc.'!AE21/1000000</f>
        <v>7.0238405761697736E-2</v>
      </c>
      <c r="AG67" s="788">
        <f>'Indust. Proc.'!AF21/1000000</f>
        <v>7.9562782950133915E-2</v>
      </c>
      <c r="AH67" s="380">
        <f>'Indust. Proc.'!AG21/1000000</f>
        <v>7.6434475695087434E-2</v>
      </c>
      <c r="AI67" s="380">
        <f>'Indust. Proc.'!AH21/1000000</f>
        <v>7.7486947937451728E-2</v>
      </c>
      <c r="AJ67" s="783">
        <f>'Indust. Proc.'!AI21/1000000</f>
        <v>0</v>
      </c>
      <c r="AK67" s="783"/>
      <c r="AL67" s="783"/>
      <c r="AM67" s="783"/>
      <c r="AN67" s="783"/>
      <c r="AO67" s="783"/>
      <c r="AP67" s="783"/>
      <c r="AQ67" s="783"/>
      <c r="AR67" s="783"/>
      <c r="AS67" s="7"/>
      <c r="AU67" s="783"/>
      <c r="AV67" s="783"/>
      <c r="AW67" s="783"/>
    </row>
    <row r="68" spans="2:56" s="235" customFormat="1" ht="15">
      <c r="B68" s="573"/>
      <c r="C68" s="1461" t="s">
        <v>122</v>
      </c>
      <c r="D68" s="1462">
        <f>D62</f>
        <v>0.65625199051509786</v>
      </c>
      <c r="E68" s="1297">
        <f>E62</f>
        <v>0.63331644452695712</v>
      </c>
      <c r="F68" s="1297">
        <f t="shared" ref="F68:AG68" si="37">F62</f>
        <v>0.65299274390212458</v>
      </c>
      <c r="G68" s="1297">
        <f t="shared" si="37"/>
        <v>0.72753199127029544</v>
      </c>
      <c r="H68" s="1297">
        <f t="shared" si="37"/>
        <v>0.87114460853075537</v>
      </c>
      <c r="I68" s="1297">
        <f t="shared" si="37"/>
        <v>1.1874764653811856</v>
      </c>
      <c r="J68" s="1297">
        <f t="shared" si="37"/>
        <v>1.3818297182829506</v>
      </c>
      <c r="K68" s="1297">
        <f t="shared" si="37"/>
        <v>1.5914306750343177</v>
      </c>
      <c r="L68" s="1297">
        <f t="shared" si="37"/>
        <v>1.8072839076805174</v>
      </c>
      <c r="M68" s="1297">
        <f t="shared" si="37"/>
        <v>2.0319751903293111</v>
      </c>
      <c r="N68" s="1297">
        <f t="shared" si="37"/>
        <v>2.1782494890373849</v>
      </c>
      <c r="O68" s="1297">
        <f t="shared" si="37"/>
        <v>2.2546007709387683</v>
      </c>
      <c r="P68" s="1297">
        <f t="shared" si="37"/>
        <v>2.4083019604011335</v>
      </c>
      <c r="Q68" s="1297">
        <f t="shared" si="37"/>
        <v>2.4356834976929873</v>
      </c>
      <c r="R68" s="1297">
        <f t="shared" si="37"/>
        <v>2.4599951742250012</v>
      </c>
      <c r="S68" s="1297">
        <f t="shared" si="37"/>
        <v>2.4957903789544686</v>
      </c>
      <c r="T68" s="1297">
        <f t="shared" si="37"/>
        <v>2.57163703562829</v>
      </c>
      <c r="U68" s="1297">
        <f t="shared" si="37"/>
        <v>2.6579478960926655</v>
      </c>
      <c r="V68" s="1297">
        <f t="shared" si="37"/>
        <v>2.8299968705084821</v>
      </c>
      <c r="W68" s="1297">
        <f t="shared" si="37"/>
        <v>2.8897573864573465</v>
      </c>
      <c r="X68" s="1297">
        <f t="shared" si="37"/>
        <v>2.7452187654011122</v>
      </c>
      <c r="Y68" s="1297">
        <f t="shared" si="37"/>
        <v>2.9694502142508616</v>
      </c>
      <c r="Z68" s="1297">
        <f t="shared" si="37"/>
        <v>3.1868544050475593</v>
      </c>
      <c r="AA68" s="1297">
        <f t="shared" si="37"/>
        <v>3.6349955572434878</v>
      </c>
      <c r="AB68" s="1297">
        <f t="shared" si="37"/>
        <v>4.0223671955770204</v>
      </c>
      <c r="AC68" s="1297">
        <f t="shared" si="37"/>
        <v>3.9056941429484664</v>
      </c>
      <c r="AD68" s="1297">
        <f t="shared" si="37"/>
        <v>3.9218385184312834</v>
      </c>
      <c r="AE68" s="1297">
        <f t="shared" si="37"/>
        <v>3.4253895318876237</v>
      </c>
      <c r="AF68" s="1297">
        <f t="shared" si="37"/>
        <v>3.7961568247384667</v>
      </c>
      <c r="AG68" s="1297">
        <f t="shared" si="37"/>
        <v>3.6341921007072808</v>
      </c>
      <c r="AH68" s="1297">
        <f t="shared" ref="AH68:AI68" si="38">AH62</f>
        <v>3.9345079101963329</v>
      </c>
      <c r="AI68" s="1297">
        <f t="shared" si="38"/>
        <v>4.1022563243660644</v>
      </c>
      <c r="AJ68" s="1297"/>
      <c r="AK68" s="1297"/>
      <c r="AL68" s="1297"/>
      <c r="AM68" s="1297"/>
      <c r="AN68" s="1297"/>
      <c r="AO68" s="1297"/>
      <c r="AP68" s="1297"/>
      <c r="AQ68" s="1297"/>
      <c r="AR68" s="1297"/>
      <c r="AS68" s="794"/>
      <c r="AU68" s="380"/>
      <c r="AV68" s="380"/>
      <c r="AW68" s="380"/>
      <c r="BD68" s="678"/>
    </row>
    <row r="69" spans="2:56" s="235" customFormat="1" ht="15">
      <c r="B69" s="573"/>
      <c r="C69" s="1359" t="s">
        <v>12</v>
      </c>
      <c r="D69" s="1305"/>
      <c r="E69" s="1298">
        <f>-(100-((E68/D68)*100))</f>
        <v>-3.4949297403484252</v>
      </c>
      <c r="F69" s="1298">
        <f t="shared" ref="F69:AI69" si="39">-(100-((F68/E68)*100))</f>
        <v>3.1068669612493949</v>
      </c>
      <c r="G69" s="1298">
        <f t="shared" si="39"/>
        <v>11.415019242440977</v>
      </c>
      <c r="H69" s="1298">
        <f t="shared" si="39"/>
        <v>19.739697907951424</v>
      </c>
      <c r="I69" s="1298">
        <f t="shared" si="39"/>
        <v>36.312209678246802</v>
      </c>
      <c r="J69" s="1298">
        <f t="shared" si="39"/>
        <v>16.366914087798506</v>
      </c>
      <c r="K69" s="1298">
        <f t="shared" si="39"/>
        <v>15.168363654229069</v>
      </c>
      <c r="L69" s="1298">
        <f t="shared" si="39"/>
        <v>13.563470657717787</v>
      </c>
      <c r="M69" s="1298">
        <f t="shared" si="39"/>
        <v>12.432539331198058</v>
      </c>
      <c r="N69" s="1298">
        <f t="shared" si="39"/>
        <v>7.1986262137564836</v>
      </c>
      <c r="O69" s="1298">
        <f t="shared" si="39"/>
        <v>3.5051669831964318</v>
      </c>
      <c r="P69" s="1298">
        <f t="shared" si="39"/>
        <v>6.8172242041045337</v>
      </c>
      <c r="Q69" s="1298">
        <f t="shared" si="39"/>
        <v>1.1369644563712882</v>
      </c>
      <c r="R69" s="1298">
        <f t="shared" si="39"/>
        <v>0.99814596416329948</v>
      </c>
      <c r="S69" s="1298">
        <f t="shared" si="39"/>
        <v>1.4550924775998482</v>
      </c>
      <c r="T69" s="1298">
        <f t="shared" si="39"/>
        <v>3.0389834544355807</v>
      </c>
      <c r="U69" s="1298">
        <f t="shared" si="39"/>
        <v>3.3562613723708665</v>
      </c>
      <c r="V69" s="1298">
        <f t="shared" si="39"/>
        <v>6.4730002671887803</v>
      </c>
      <c r="W69" s="1298">
        <f t="shared" si="39"/>
        <v>2.1116813439488595</v>
      </c>
      <c r="X69" s="1298">
        <f t="shared" si="39"/>
        <v>-5.0017562627784855</v>
      </c>
      <c r="Y69" s="1298">
        <f t="shared" si="39"/>
        <v>8.1680721287429492</v>
      </c>
      <c r="Z69" s="1298">
        <f t="shared" si="39"/>
        <v>7.3213617037032748</v>
      </c>
      <c r="AA69" s="1298">
        <f t="shared" si="39"/>
        <v>14.062178412861655</v>
      </c>
      <c r="AB69" s="1298">
        <f t="shared" si="39"/>
        <v>10.656729347622274</v>
      </c>
      <c r="AC69" s="1298">
        <f t="shared" si="39"/>
        <v>-2.9006067063406675</v>
      </c>
      <c r="AD69" s="1298">
        <f t="shared" si="39"/>
        <v>0.41335483250691141</v>
      </c>
      <c r="AE69" s="1298">
        <f t="shared" si="39"/>
        <v>-12.658577965679143</v>
      </c>
      <c r="AF69" s="1298">
        <f t="shared" si="39"/>
        <v>10.824091374113735</v>
      </c>
      <c r="AG69" s="1298">
        <f t="shared" si="39"/>
        <v>-4.2665446004682508</v>
      </c>
      <c r="AH69" s="1298">
        <f t="shared" si="39"/>
        <v>8.2636195656967431</v>
      </c>
      <c r="AI69" s="1298">
        <f t="shared" si="39"/>
        <v>4.2635170140339369</v>
      </c>
      <c r="AJ69" s="1298"/>
      <c r="AK69" s="1298"/>
      <c r="AL69" s="1298"/>
      <c r="AM69" s="1298"/>
      <c r="AN69" s="1298"/>
      <c r="AO69" s="1298"/>
      <c r="AP69" s="1298"/>
      <c r="AQ69" s="1298"/>
      <c r="AR69" s="1298"/>
      <c r="AS69" s="794"/>
      <c r="AU69" s="380"/>
      <c r="AV69" s="380"/>
      <c r="AW69" s="380"/>
      <c r="BD69" s="678"/>
    </row>
    <row r="70" spans="2:56" s="235" customFormat="1" ht="15.5" thickBot="1">
      <c r="B70" s="573"/>
      <c r="C70" s="1359" t="s">
        <v>13</v>
      </c>
      <c r="D70" s="1305"/>
      <c r="E70" s="1298">
        <f>-(100-((E68/$D$68)*100))</f>
        <v>-3.4949297403484252</v>
      </c>
      <c r="F70" s="1298">
        <f t="shared" ref="F70:AH70" si="40">-(100-((F68/$D$68)*100))</f>
        <v>-0.49664559652079276</v>
      </c>
      <c r="G70" s="1298">
        <f t="shared" si="40"/>
        <v>10.861681455510606</v>
      </c>
      <c r="H70" s="1298">
        <f t="shared" si="40"/>
        <v>32.745442470503804</v>
      </c>
      <c r="I70" s="1298">
        <f t="shared" si="40"/>
        <v>80.948245878709628</v>
      </c>
      <c r="J70" s="1298">
        <f t="shared" si="40"/>
        <v>110.56388982505644</v>
      </c>
      <c r="K70" s="1298">
        <f t="shared" si="40"/>
        <v>142.50298635821127</v>
      </c>
      <c r="L70" s="1298">
        <f t="shared" si="40"/>
        <v>175.39480775699661</v>
      </c>
      <c r="M70" s="1298">
        <f t="shared" si="40"/>
        <v>209.63337554746249</v>
      </c>
      <c r="N70" s="1298">
        <f t="shared" si="40"/>
        <v>231.92272488616118</v>
      </c>
      <c r="O70" s="1298">
        <f t="shared" si="40"/>
        <v>243.55717064859681</v>
      </c>
      <c r="P70" s="1298">
        <f t="shared" si="40"/>
        <v>266.97823324098971</v>
      </c>
      <c r="Q70" s="1298">
        <f t="shared" si="40"/>
        <v>271.15064531555907</v>
      </c>
      <c r="R70" s="1298">
        <f t="shared" si="40"/>
        <v>274.85527050274237</v>
      </c>
      <c r="S70" s="1298">
        <f t="shared" si="40"/>
        <v>280.30976134571432</v>
      </c>
      <c r="T70" s="1298">
        <f t="shared" si="40"/>
        <v>291.86731206861407</v>
      </c>
      <c r="U70" s="1298">
        <f t="shared" si="40"/>
        <v>305.01940329452094</v>
      </c>
      <c r="V70" s="1298">
        <f t="shared" si="40"/>
        <v>331.23631035194165</v>
      </c>
      <c r="W70" s="1298">
        <f t="shared" si="40"/>
        <v>340.34264706597702</v>
      </c>
      <c r="X70" s="1298">
        <f t="shared" si="40"/>
        <v>318.31778113867</v>
      </c>
      <c r="Y70" s="1298">
        <f t="shared" si="40"/>
        <v>352.48627922943353</v>
      </c>
      <c r="Z70" s="1298">
        <f t="shared" si="40"/>
        <v>385.6144363914492</v>
      </c>
      <c r="AA70" s="1298">
        <f t="shared" si="40"/>
        <v>453.90240483542743</v>
      </c>
      <c r="AB70" s="1298">
        <f t="shared" si="40"/>
        <v>512.93028496870988</v>
      </c>
      <c r="AC70" s="1298">
        <f t="shared" si="40"/>
        <v>495.15158801771463</v>
      </c>
      <c r="AD70" s="1298">
        <f t="shared" si="40"/>
        <v>497.61167586752742</v>
      </c>
      <c r="AE70" s="1298">
        <f t="shared" si="40"/>
        <v>421.9625359458347</v>
      </c>
      <c r="AF70" s="1298">
        <f t="shared" si="40"/>
        <v>478.46023777525306</v>
      </c>
      <c r="AG70" s="1298">
        <f t="shared" si="40"/>
        <v>453.77997373459732</v>
      </c>
      <c r="AH70" s="1298">
        <f t="shared" si="40"/>
        <v>499.54224399503971</v>
      </c>
      <c r="AI70" s="1298">
        <f t="shared" ref="AI70" si="41">-(100-((AI68/$D$68)*100))</f>
        <v>525.1038295740891</v>
      </c>
      <c r="AJ70" s="1298"/>
      <c r="AK70" s="1298"/>
      <c r="AL70" s="1298"/>
      <c r="AM70" s="1298"/>
      <c r="AN70" s="1298"/>
      <c r="AO70" s="1298"/>
      <c r="AP70" s="1298"/>
      <c r="AQ70" s="1298"/>
      <c r="AR70" s="1298"/>
      <c r="AS70" s="794"/>
      <c r="AU70" s="380"/>
      <c r="AV70" s="380"/>
      <c r="AW70" s="380"/>
      <c r="BD70" s="678"/>
    </row>
    <row r="71" spans="2:56" s="235" customFormat="1" ht="15">
      <c r="B71" s="573"/>
      <c r="C71" s="1359" t="s">
        <v>123</v>
      </c>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1296"/>
      <c r="AH71" s="1296"/>
      <c r="AI71" s="1296"/>
      <c r="AJ71" s="1296"/>
      <c r="AK71" s="1296"/>
      <c r="AL71" s="1296"/>
      <c r="AM71" s="1296">
        <v>3.6</v>
      </c>
      <c r="AN71" s="1296"/>
      <c r="AO71" s="1296"/>
      <c r="AP71" s="1296"/>
      <c r="AQ71" s="1296"/>
      <c r="AR71" s="1296"/>
      <c r="AS71" s="794"/>
      <c r="AU71" s="380"/>
      <c r="AV71" s="380"/>
      <c r="AW71" s="380"/>
      <c r="BD71" s="678"/>
    </row>
    <row r="72" spans="2:56" s="235" customFormat="1" ht="15">
      <c r="B72" s="573"/>
      <c r="C72" s="1359" t="s">
        <v>124</v>
      </c>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1463"/>
      <c r="AH72" s="1463"/>
      <c r="AI72" s="1463"/>
      <c r="AJ72" s="1463"/>
      <c r="AK72" s="1463"/>
      <c r="AL72" s="1463"/>
      <c r="AM72" s="1463"/>
      <c r="AN72" s="1463"/>
      <c r="AO72" s="1463"/>
      <c r="AP72" s="1463"/>
      <c r="AQ72" s="1463"/>
      <c r="AR72" s="1512">
        <v>2.5</v>
      </c>
      <c r="AS72" s="794"/>
      <c r="AU72" s="380"/>
      <c r="AV72" s="380"/>
      <c r="AW72" s="380"/>
      <c r="BD72" s="678"/>
    </row>
    <row r="73" spans="2:56" s="235" customFormat="1" ht="15.5" thickBot="1">
      <c r="B73" s="573"/>
      <c r="C73" s="1460" t="s">
        <v>899</v>
      </c>
      <c r="D73" s="1513">
        <f>D68+(D68*0.27)</f>
        <v>0.83344002795417427</v>
      </c>
      <c r="E73" s="555"/>
      <c r="F73" s="555"/>
      <c r="G73" s="555"/>
      <c r="H73" s="555"/>
      <c r="I73" s="555"/>
      <c r="J73" s="555"/>
      <c r="K73" s="555"/>
      <c r="L73" s="555"/>
      <c r="M73" s="555"/>
      <c r="N73" s="555"/>
      <c r="O73" s="555"/>
      <c r="P73" s="555"/>
      <c r="Q73" s="555"/>
      <c r="R73" s="555"/>
      <c r="S73" s="555"/>
      <c r="T73" s="555"/>
      <c r="U73" s="555"/>
      <c r="V73" s="555"/>
      <c r="W73" s="555"/>
      <c r="X73" s="555"/>
      <c r="Y73" s="555"/>
      <c r="Z73" s="555"/>
      <c r="AA73" s="555"/>
      <c r="AB73" s="555"/>
      <c r="AC73" s="555"/>
      <c r="AD73" s="555"/>
      <c r="AE73" s="555"/>
      <c r="AF73" s="555"/>
      <c r="AG73" s="555"/>
      <c r="AH73" s="555"/>
      <c r="AI73" s="555"/>
      <c r="AJ73" s="555"/>
      <c r="AK73" s="555"/>
      <c r="AL73" s="555"/>
      <c r="AM73" s="555"/>
      <c r="AN73" s="555"/>
      <c r="AO73" s="555"/>
      <c r="AP73" s="555"/>
      <c r="AQ73" s="555"/>
      <c r="AR73" s="555"/>
      <c r="AS73" s="794"/>
      <c r="AU73" s="380"/>
      <c r="AV73" s="380"/>
      <c r="AW73" s="380"/>
      <c r="BD73" s="678"/>
    </row>
    <row r="74" spans="2:56" ht="15" thickBot="1">
      <c r="B74" s="150"/>
      <c r="C74" s="408"/>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306"/>
      <c r="AF74" s="1306"/>
      <c r="AG74" s="1306"/>
      <c r="AH74" s="1306"/>
      <c r="AI74" s="1306"/>
      <c r="AJ74" s="1306"/>
      <c r="AK74" s="1306"/>
      <c r="AL74" s="1306"/>
      <c r="AM74" s="1306"/>
      <c r="AN74" s="1306"/>
      <c r="AO74" s="1306"/>
      <c r="AP74" s="1306"/>
      <c r="AQ74" s="1306"/>
      <c r="AR74" s="1306"/>
      <c r="AS74" s="1514"/>
      <c r="AU74" s="1244"/>
      <c r="AV74" s="1244"/>
      <c r="AW74" s="1244"/>
    </row>
    <row r="75" spans="2:56">
      <c r="AA75" s="1"/>
      <c r="BD75"/>
    </row>
  </sheetData>
  <mergeCells count="1">
    <mergeCell ref="C6:Q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6F09-A35A-4FFE-8476-E47DC42E1803}">
  <dimension ref="A1"/>
  <sheetViews>
    <sheetView workbookViewId="0"/>
  </sheetViews>
  <sheetFormatPr defaultRowHeight="1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AN58"/>
  <sheetViews>
    <sheetView zoomScaleNormal="100" workbookViewId="0"/>
  </sheetViews>
  <sheetFormatPr defaultColWidth="9.1796875" defaultRowHeight="15"/>
  <cols>
    <col min="1" max="1" width="5.1796875" style="90" customWidth="1"/>
    <col min="2" max="2" width="29.54296875" style="90" customWidth="1"/>
    <col min="3" max="9" width="6.453125" style="90" customWidth="1"/>
    <col min="10" max="10" width="8.453125" style="90" customWidth="1"/>
    <col min="11" max="11" width="8" style="90" customWidth="1"/>
    <col min="12" max="12" width="8.81640625" style="90" customWidth="1"/>
    <col min="13" max="15" width="8.453125" style="90" customWidth="1"/>
    <col min="16" max="17" width="8.81640625" style="90" customWidth="1"/>
    <col min="18" max="18" width="8.453125" style="90" customWidth="1"/>
    <col min="19" max="21" width="8.81640625" style="90" customWidth="1"/>
    <col min="22" max="22" width="10.54296875" style="90" customWidth="1"/>
    <col min="23" max="24" width="8.453125" style="90" customWidth="1"/>
    <col min="25" max="25" width="8.81640625" style="90" customWidth="1"/>
    <col min="26" max="26" width="10.1796875" style="90" customWidth="1"/>
    <col min="27" max="27" width="8.453125" style="90" customWidth="1"/>
    <col min="28" max="28" width="10.453125" style="90" customWidth="1"/>
    <col min="29" max="29" width="9.1796875" style="90" customWidth="1"/>
    <col min="30" max="30" width="8.81640625" style="90" customWidth="1"/>
    <col min="31" max="31" width="9.1796875" style="90"/>
    <col min="32" max="32" width="10" style="90" bestFit="1" customWidth="1"/>
    <col min="33" max="33" width="9.1796875" style="90"/>
    <col min="34" max="34" width="10" style="90" bestFit="1" customWidth="1"/>
    <col min="35" max="35" width="9.1796875" style="90"/>
    <col min="36" max="36" width="9.26953125" style="90" bestFit="1" customWidth="1"/>
    <col min="37" max="37" width="9.7265625" bestFit="1" customWidth="1"/>
    <col min="38" max="38" width="9.26953125" style="90" bestFit="1" customWidth="1"/>
    <col min="39" max="16384" width="9.1796875" style="90"/>
  </cols>
  <sheetData>
    <row r="1" spans="1:38" ht="21.5">
      <c r="B1" s="89" t="s">
        <v>125</v>
      </c>
      <c r="L1" s="218"/>
      <c r="R1" s="215"/>
    </row>
    <row r="2" spans="1:38">
      <c r="A2" s="4"/>
      <c r="B2" s="345"/>
      <c r="C2" s="550"/>
      <c r="D2" s="1695"/>
      <c r="E2" s="550"/>
      <c r="F2" s="550"/>
      <c r="G2" s="551"/>
      <c r="H2" s="551"/>
      <c r="I2" s="551"/>
      <c r="J2" s="551"/>
      <c r="K2" s="834"/>
      <c r="L2" s="834"/>
      <c r="M2" s="835"/>
      <c r="N2" s="216"/>
      <c r="O2" s="216"/>
      <c r="Q2" s="216"/>
      <c r="R2" s="216"/>
      <c r="S2" s="216"/>
      <c r="V2" s="216"/>
    </row>
    <row r="3" spans="1:38" ht="15.5" thickBot="1">
      <c r="A3" s="4"/>
      <c r="B3" s="568"/>
      <c r="C3" s="1546"/>
      <c r="D3" s="216"/>
      <c r="V3" s="242"/>
      <c r="W3" s="242"/>
      <c r="X3" s="242"/>
      <c r="Y3" s="242"/>
      <c r="AB3" s="216"/>
      <c r="AC3" s="216"/>
      <c r="AD3" s="216"/>
      <c r="AE3" s="216"/>
      <c r="AF3" s="216"/>
      <c r="AG3" s="216"/>
      <c r="AH3" s="216"/>
      <c r="AI3" s="216" t="s">
        <v>0</v>
      </c>
      <c r="AJ3" s="216" t="s">
        <v>0</v>
      </c>
    </row>
    <row r="4" spans="1:38" ht="15.5" thickBot="1">
      <c r="B4" s="93" t="s">
        <v>909</v>
      </c>
      <c r="C4" s="1245">
        <v>1990</v>
      </c>
      <c r="D4" s="114">
        <v>1991</v>
      </c>
      <c r="E4" s="114">
        <v>1992</v>
      </c>
      <c r="F4" s="114">
        <v>1993</v>
      </c>
      <c r="G4" s="114">
        <v>1994</v>
      </c>
      <c r="H4" s="114">
        <v>1995</v>
      </c>
      <c r="I4" s="114">
        <v>1996</v>
      </c>
      <c r="J4" s="114">
        <v>1997</v>
      </c>
      <c r="K4" s="114">
        <v>1998</v>
      </c>
      <c r="L4" s="114">
        <v>1999</v>
      </c>
      <c r="M4" s="114">
        <v>2000</v>
      </c>
      <c r="N4" s="114">
        <v>2001</v>
      </c>
      <c r="O4" s="114">
        <v>2002</v>
      </c>
      <c r="P4" s="114">
        <v>2003</v>
      </c>
      <c r="Q4" s="114">
        <v>2004</v>
      </c>
      <c r="R4" s="114">
        <v>2005</v>
      </c>
      <c r="S4" s="114">
        <v>2006</v>
      </c>
      <c r="T4" s="114">
        <v>2007</v>
      </c>
      <c r="U4" s="114">
        <v>2008</v>
      </c>
      <c r="V4" s="114">
        <v>2009</v>
      </c>
      <c r="W4" s="114">
        <v>2010</v>
      </c>
      <c r="X4" s="114">
        <v>2011</v>
      </c>
      <c r="Y4" s="114">
        <v>2012</v>
      </c>
      <c r="Z4" s="114">
        <v>2013</v>
      </c>
      <c r="AA4" s="114">
        <v>2014</v>
      </c>
      <c r="AB4" s="114">
        <v>2015</v>
      </c>
      <c r="AC4" s="114">
        <v>2016</v>
      </c>
      <c r="AD4" s="114">
        <v>2017</v>
      </c>
      <c r="AE4" s="1076">
        <v>2018</v>
      </c>
      <c r="AF4" s="114">
        <v>2019</v>
      </c>
      <c r="AG4" s="114">
        <v>2020</v>
      </c>
      <c r="AH4" s="114">
        <v>2021</v>
      </c>
      <c r="AI4" s="114">
        <v>2022</v>
      </c>
      <c r="AJ4" s="114">
        <v>2023</v>
      </c>
    </row>
    <row r="5" spans="1:38">
      <c r="B5" s="487" t="s">
        <v>127</v>
      </c>
      <c r="C5" s="488">
        <v>15.09218729035536</v>
      </c>
      <c r="D5" s="483">
        <v>14.295364882071034</v>
      </c>
      <c r="E5" s="483">
        <v>16.396053585147097</v>
      </c>
      <c r="F5" s="483">
        <v>16.518072434056432</v>
      </c>
      <c r="G5" s="483">
        <v>16.3428113958593</v>
      </c>
      <c r="H5" s="483">
        <v>14.751248409471906</v>
      </c>
      <c r="I5" s="483">
        <v>14.548991126703285</v>
      </c>
      <c r="J5" s="483">
        <v>14.378872297176233</v>
      </c>
      <c r="K5" s="483">
        <v>13.187544748996457</v>
      </c>
      <c r="L5" s="483">
        <v>14.010791823643141</v>
      </c>
      <c r="M5" s="483">
        <v>15.683527402244092</v>
      </c>
      <c r="N5" s="483">
        <v>16.029000961089942</v>
      </c>
      <c r="O5" s="483">
        <v>15.947597736625315</v>
      </c>
      <c r="P5" s="483">
        <v>16.424354633887898</v>
      </c>
      <c r="Q5" s="483">
        <v>15.02439042499277</v>
      </c>
      <c r="R5" s="483">
        <v>14.929934686615209</v>
      </c>
      <c r="S5" s="483">
        <v>12.846312302684595</v>
      </c>
      <c r="T5" s="483">
        <v>13.524855771139288</v>
      </c>
      <c r="U5" s="483">
        <v>14.39714565392285</v>
      </c>
      <c r="V5" s="483">
        <v>13.852964375083578</v>
      </c>
      <c r="W5" s="483">
        <v>13.589313015564603</v>
      </c>
      <c r="X5" s="483">
        <v>13.624708631879612</v>
      </c>
      <c r="Y5" s="483">
        <v>11.798985827009325</v>
      </c>
      <c r="Z5" s="483">
        <v>12.279880650460056</v>
      </c>
      <c r="AA5" s="483">
        <v>13.581589984107024</v>
      </c>
      <c r="AB5" s="483">
        <v>13.492417678538322</v>
      </c>
      <c r="AC5" s="483">
        <v>11.274433436984273</v>
      </c>
      <c r="AD5" s="483">
        <v>12.235011797173529</v>
      </c>
      <c r="AE5" s="483">
        <v>13.276887897527338</v>
      </c>
      <c r="AF5" s="483">
        <v>13.60200809288772</v>
      </c>
      <c r="AG5" s="483">
        <v>12.102936422079161</v>
      </c>
      <c r="AH5" s="483">
        <v>12.480073656420144</v>
      </c>
      <c r="AI5" s="483">
        <v>12.883270641350757</v>
      </c>
      <c r="AJ5" s="1625"/>
    </row>
    <row r="6" spans="1:38">
      <c r="B6" s="94" t="s">
        <v>128</v>
      </c>
      <c r="C6" s="220">
        <v>3.03486653913911E-2</v>
      </c>
      <c r="D6" s="96">
        <v>1.1558770081251947E-2</v>
      </c>
      <c r="E6" s="96">
        <v>2.5059396449863026E-2</v>
      </c>
      <c r="F6" s="96">
        <v>1.8514947762586775E-2</v>
      </c>
      <c r="G6" s="96">
        <v>7.9416925179722382E-3</v>
      </c>
      <c r="H6" s="96">
        <v>8.3353150486474466E-3</v>
      </c>
      <c r="I6" s="96">
        <v>9.3535092005508254E-3</v>
      </c>
      <c r="J6" s="96">
        <v>7.5009665665182745E-3</v>
      </c>
      <c r="K6" s="96">
        <v>7.4530151221721694E-3</v>
      </c>
      <c r="L6" s="96">
        <v>1.1620227577947674E-2</v>
      </c>
      <c r="M6" s="96">
        <v>4.5765940200198259E-3</v>
      </c>
      <c r="N6" s="96">
        <v>4.2892444550980255E-3</v>
      </c>
      <c r="O6" s="96">
        <v>2.4756980392554646E-2</v>
      </c>
      <c r="P6" s="96">
        <v>1.5844497901523053E-2</v>
      </c>
      <c r="Q6" s="96">
        <v>8.1640089319647106E-3</v>
      </c>
      <c r="R6" s="96">
        <v>8.2114346337846898E-3</v>
      </c>
      <c r="S6" s="96">
        <v>3.4671576570533048E-3</v>
      </c>
      <c r="T6" s="96">
        <v>5.51199431803737E-3</v>
      </c>
      <c r="U6" s="96">
        <v>0</v>
      </c>
      <c r="V6" s="96">
        <v>0</v>
      </c>
      <c r="W6" s="96">
        <v>0</v>
      </c>
      <c r="X6" s="96">
        <v>0</v>
      </c>
      <c r="Y6" s="96">
        <v>0</v>
      </c>
      <c r="Z6" s="96">
        <v>0</v>
      </c>
      <c r="AA6" s="96">
        <v>0</v>
      </c>
      <c r="AB6" s="96">
        <v>0</v>
      </c>
      <c r="AC6" s="96">
        <v>0</v>
      </c>
      <c r="AD6" s="96">
        <v>0</v>
      </c>
      <c r="AE6" s="96">
        <v>0</v>
      </c>
      <c r="AF6" s="96">
        <v>0</v>
      </c>
      <c r="AG6" s="96">
        <v>0</v>
      </c>
      <c r="AH6" s="96">
        <v>0</v>
      </c>
      <c r="AI6" s="96">
        <v>0</v>
      </c>
      <c r="AJ6" s="1626"/>
      <c r="AK6" s="626"/>
      <c r="AL6" s="443"/>
    </row>
    <row r="7" spans="1:38">
      <c r="B7" s="94" t="s">
        <v>129</v>
      </c>
      <c r="C7" s="220">
        <v>9.2133819337067262</v>
      </c>
      <c r="D7" s="96">
        <v>8.6110750892354933</v>
      </c>
      <c r="E7" s="96">
        <v>9.7797402402144034</v>
      </c>
      <c r="F7" s="96">
        <v>9.8092758593574167</v>
      </c>
      <c r="G7" s="96">
        <v>9.8374448107216708</v>
      </c>
      <c r="H7" s="96">
        <v>8.9857307823908155</v>
      </c>
      <c r="I7" s="96">
        <v>8.315103321014611</v>
      </c>
      <c r="J7" s="96">
        <v>8.2981296402132632</v>
      </c>
      <c r="K7" s="96">
        <v>7.689775364631215</v>
      </c>
      <c r="L7" s="96">
        <v>8.0553129805163</v>
      </c>
      <c r="M7" s="96">
        <v>9.357037558100906</v>
      </c>
      <c r="N7" s="96">
        <v>10.11398988538207</v>
      </c>
      <c r="O7" s="96">
        <v>9.9202799728060178</v>
      </c>
      <c r="P7" s="96">
        <v>9.5462317625474213</v>
      </c>
      <c r="Q7" s="96">
        <v>8.863731165530778</v>
      </c>
      <c r="R7" s="96">
        <v>8.5400482719658264</v>
      </c>
      <c r="S7" s="96">
        <v>7.281016774578573</v>
      </c>
      <c r="T7" s="96">
        <v>7.3143378749236136</v>
      </c>
      <c r="U7" s="96">
        <v>7.2618953567049509</v>
      </c>
      <c r="V7" s="96">
        <v>6.5862608060937013</v>
      </c>
      <c r="W7" s="96">
        <v>6.698250448966844</v>
      </c>
      <c r="X7" s="96">
        <v>6.5663731652380308</v>
      </c>
      <c r="Y7" s="96">
        <v>5.4716739853798444</v>
      </c>
      <c r="Z7" s="96">
        <v>5.8792794617926853</v>
      </c>
      <c r="AA7" s="96">
        <v>6.6982480946413077</v>
      </c>
      <c r="AB7" s="96">
        <v>6.5938733706189225</v>
      </c>
      <c r="AC7" s="96">
        <v>5.1645179430465324</v>
      </c>
      <c r="AD7" s="96">
        <v>5.6297452588484385</v>
      </c>
      <c r="AE7" s="96">
        <v>6.1698831916783146</v>
      </c>
      <c r="AF7" s="20">
        <v>6.2303980351860373</v>
      </c>
      <c r="AG7" s="20">
        <v>5.5461630152270951</v>
      </c>
      <c r="AH7" s="20">
        <v>5.7858828428376441</v>
      </c>
      <c r="AI7" s="20">
        <v>5.7137013210042209</v>
      </c>
      <c r="AJ7" s="1144"/>
      <c r="AK7" s="626"/>
    </row>
    <row r="8" spans="1:38">
      <c r="B8" s="94" t="s">
        <v>130</v>
      </c>
      <c r="C8" s="220">
        <v>5.8484566912572449</v>
      </c>
      <c r="D8" s="96">
        <v>5.6727310227542871</v>
      </c>
      <c r="E8" s="96">
        <v>6.5912539484828301</v>
      </c>
      <c r="F8" s="96">
        <v>6.6902816269364269</v>
      </c>
      <c r="G8" s="96">
        <v>6.4974248926196569</v>
      </c>
      <c r="H8" s="96">
        <v>5.7571823120324437</v>
      </c>
      <c r="I8" s="96">
        <v>6.2245342964881214</v>
      </c>
      <c r="J8" s="96">
        <v>6.0732416903964541</v>
      </c>
      <c r="K8" s="96">
        <v>5.490316369243069</v>
      </c>
      <c r="L8" s="96">
        <v>5.9438586155488924</v>
      </c>
      <c r="M8" s="96">
        <v>6.3219132501231661</v>
      </c>
      <c r="N8" s="96">
        <v>5.9107218312527738</v>
      </c>
      <c r="O8" s="96">
        <v>6.0025607834267412</v>
      </c>
      <c r="P8" s="96">
        <v>6.8622783734389534</v>
      </c>
      <c r="Q8" s="96">
        <v>6.152495250530027</v>
      </c>
      <c r="R8" s="96">
        <v>6.3816749800155987</v>
      </c>
      <c r="S8" s="96">
        <v>5.5618283704489695</v>
      </c>
      <c r="T8" s="96">
        <v>6.2050059018976373</v>
      </c>
      <c r="U8" s="96">
        <v>7.1352502972178993</v>
      </c>
      <c r="V8" s="96">
        <v>7.2667035689898762</v>
      </c>
      <c r="W8" s="96">
        <v>6.8910625665977587</v>
      </c>
      <c r="X8" s="96">
        <v>7.058335466641581</v>
      </c>
      <c r="Y8" s="96">
        <v>6.3273118416294825</v>
      </c>
      <c r="Z8" s="96">
        <v>6.4006011886673706</v>
      </c>
      <c r="AA8" s="96">
        <v>6.8833418894657168</v>
      </c>
      <c r="AB8" s="96">
        <v>6.8985443079193987</v>
      </c>
      <c r="AC8" s="96">
        <v>6.1099154939377405</v>
      </c>
      <c r="AD8" s="96">
        <v>6.6052665383250915</v>
      </c>
      <c r="AE8" s="96">
        <v>7.1070047058490236</v>
      </c>
      <c r="AF8" s="96">
        <v>7.371610057701683</v>
      </c>
      <c r="AG8" s="96">
        <v>6.5567734068520656</v>
      </c>
      <c r="AH8" s="96">
        <v>6.694190813582499</v>
      </c>
      <c r="AI8" s="96">
        <v>7.169569320346536</v>
      </c>
      <c r="AJ8" s="1626"/>
    </row>
    <row r="9" spans="1:38" ht="15.5" thickBot="1">
      <c r="B9" s="97" t="s">
        <v>131</v>
      </c>
      <c r="C9" s="220">
        <v>0</v>
      </c>
      <c r="D9" s="96">
        <v>0</v>
      </c>
      <c r="E9" s="96">
        <v>0</v>
      </c>
      <c r="F9" s="96">
        <v>0</v>
      </c>
      <c r="G9" s="96">
        <v>0</v>
      </c>
      <c r="H9" s="96">
        <v>0</v>
      </c>
      <c r="I9" s="96">
        <v>0</v>
      </c>
      <c r="J9" s="96">
        <v>0</v>
      </c>
      <c r="K9" s="96">
        <v>0</v>
      </c>
      <c r="L9" s="96">
        <v>0</v>
      </c>
      <c r="M9" s="96">
        <v>0</v>
      </c>
      <c r="N9" s="96">
        <v>0</v>
      </c>
      <c r="O9" s="96">
        <v>0</v>
      </c>
      <c r="P9" s="96">
        <v>0</v>
      </c>
      <c r="Q9" s="96">
        <v>0</v>
      </c>
      <c r="R9" s="96">
        <v>0</v>
      </c>
      <c r="S9" s="96">
        <v>0</v>
      </c>
      <c r="T9" s="96">
        <v>0</v>
      </c>
      <c r="U9" s="96">
        <v>0</v>
      </c>
      <c r="V9" s="96">
        <v>0</v>
      </c>
      <c r="W9" s="96">
        <v>0</v>
      </c>
      <c r="X9" s="96">
        <v>0</v>
      </c>
      <c r="Y9" s="96">
        <v>0</v>
      </c>
      <c r="Z9" s="96">
        <v>0</v>
      </c>
      <c r="AA9" s="96">
        <v>0</v>
      </c>
      <c r="AB9" s="96">
        <v>0</v>
      </c>
      <c r="AC9" s="96">
        <v>0</v>
      </c>
      <c r="AD9" s="96">
        <v>0</v>
      </c>
      <c r="AE9" s="96">
        <v>0</v>
      </c>
      <c r="AF9" s="96">
        <v>0</v>
      </c>
      <c r="AG9" s="96">
        <v>0</v>
      </c>
      <c r="AH9" s="96">
        <v>0</v>
      </c>
      <c r="AI9" s="96">
        <v>0</v>
      </c>
      <c r="AJ9" s="1626"/>
      <c r="AK9" s="626"/>
    </row>
    <row r="10" spans="1:38">
      <c r="B10" s="491" t="s">
        <v>132</v>
      </c>
      <c r="C10" s="492">
        <v>8.393199905810599</v>
      </c>
      <c r="D10" s="493">
        <v>9.1714074410264725</v>
      </c>
      <c r="E10" s="493">
        <v>8.9309955359805997</v>
      </c>
      <c r="F10" s="493">
        <v>7.9899165283760158</v>
      </c>
      <c r="G10" s="493">
        <v>8.8622762327746258</v>
      </c>
      <c r="H10" s="493">
        <v>8.9583234115736357</v>
      </c>
      <c r="I10" s="493">
        <v>9.0613426494264484</v>
      </c>
      <c r="J10" s="493">
        <v>9.452356588049005</v>
      </c>
      <c r="K10" s="493">
        <v>8.0754548915353475</v>
      </c>
      <c r="L10" s="493">
        <v>6.1959925594355161</v>
      </c>
      <c r="M10" s="493">
        <v>6.7932535616058303</v>
      </c>
      <c r="N10" s="493">
        <v>5.7670060508675824</v>
      </c>
      <c r="O10" s="493">
        <v>5.8880337932122524</v>
      </c>
      <c r="P10" s="493">
        <v>7.1132084080597151</v>
      </c>
      <c r="Q10" s="493">
        <v>6.5373600288097871</v>
      </c>
      <c r="R10" s="493">
        <v>6.6865712143985894</v>
      </c>
      <c r="S10" s="493">
        <v>5.0160944446169093</v>
      </c>
      <c r="T10" s="493">
        <v>5.3484329327599989</v>
      </c>
      <c r="U10" s="493">
        <v>5.5954704389832877</v>
      </c>
      <c r="V10" s="493">
        <v>5.7930992378099821</v>
      </c>
      <c r="W10" s="493">
        <v>6.7205520029870893</v>
      </c>
      <c r="X10" s="493">
        <v>6.3331977627934153</v>
      </c>
      <c r="Y10" s="493">
        <v>5.2380301223549299</v>
      </c>
      <c r="Z10" s="493">
        <v>6.7611893496847895</v>
      </c>
      <c r="AA10" s="493">
        <v>7.1448860839636392</v>
      </c>
      <c r="AB10" s="493">
        <v>7.545627367910976</v>
      </c>
      <c r="AC10" s="493">
        <v>6.9641016411483267</v>
      </c>
      <c r="AD10" s="493">
        <v>7.3076283203949952</v>
      </c>
      <c r="AE10" s="493">
        <v>7.8481931426451901</v>
      </c>
      <c r="AF10" s="493">
        <v>8.0254561539310512</v>
      </c>
      <c r="AG10" s="493">
        <v>7.2205112279485109</v>
      </c>
      <c r="AH10" s="493">
        <v>7.3492946038554301</v>
      </c>
      <c r="AI10" s="493">
        <v>8.0910568216766663</v>
      </c>
      <c r="AJ10" s="1627"/>
    </row>
    <row r="11" spans="1:38">
      <c r="B11" s="94" t="s">
        <v>128</v>
      </c>
      <c r="C11" s="220">
        <v>0.1213946615655644</v>
      </c>
      <c r="D11" s="96">
        <v>5.2785050037717225E-2</v>
      </c>
      <c r="E11" s="96">
        <v>0.11436373206076487</v>
      </c>
      <c r="F11" s="221">
        <v>8.4516419579476434E-2</v>
      </c>
      <c r="G11" s="96">
        <v>4.4779663836277198E-2</v>
      </c>
      <c r="H11" s="96">
        <v>5.5856191647832877E-2</v>
      </c>
      <c r="I11" s="96">
        <v>6.8719659432618291E-2</v>
      </c>
      <c r="J11" s="96">
        <v>6.0577426195426075E-2</v>
      </c>
      <c r="K11" s="96">
        <v>6.0484084260704916E-2</v>
      </c>
      <c r="L11" s="96">
        <v>8.5437247028025118E-2</v>
      </c>
      <c r="M11" s="96">
        <v>3.6803443577659432E-2</v>
      </c>
      <c r="N11" s="96">
        <v>3.4504588727677442E-2</v>
      </c>
      <c r="O11" s="96">
        <v>0.18167814841920868</v>
      </c>
      <c r="P11" s="96">
        <v>0.10585269983607871</v>
      </c>
      <c r="Q11" s="96">
        <v>7.3191289378427796E-2</v>
      </c>
      <c r="R11" s="96">
        <v>9.4336016490456656E-2</v>
      </c>
      <c r="S11" s="96">
        <v>3.5153126245123782E-2</v>
      </c>
      <c r="T11" s="96">
        <v>4.9702983247130073E-2</v>
      </c>
      <c r="U11" s="96">
        <v>0</v>
      </c>
      <c r="V11" s="96">
        <v>0</v>
      </c>
      <c r="W11" s="96">
        <v>0</v>
      </c>
      <c r="X11" s="96">
        <v>0</v>
      </c>
      <c r="Y11" s="96">
        <v>0</v>
      </c>
      <c r="Z11" s="96">
        <v>0</v>
      </c>
      <c r="AA11" s="96">
        <v>0</v>
      </c>
      <c r="AB11" s="96">
        <v>0</v>
      </c>
      <c r="AC11" s="96">
        <v>0</v>
      </c>
      <c r="AD11" s="96">
        <v>0</v>
      </c>
      <c r="AE11" s="96">
        <v>0</v>
      </c>
      <c r="AF11" s="96">
        <v>0</v>
      </c>
      <c r="AG11" s="96">
        <v>0</v>
      </c>
      <c r="AH11" s="96">
        <v>0</v>
      </c>
      <c r="AI11" s="96">
        <v>0</v>
      </c>
      <c r="AJ11" s="1626"/>
      <c r="AK11" s="1203"/>
      <c r="AL11" s="443"/>
    </row>
    <row r="12" spans="1:38">
      <c r="B12" s="94" t="s">
        <v>129</v>
      </c>
      <c r="C12" s="220">
        <v>5.5001724703188071</v>
      </c>
      <c r="D12" s="96">
        <v>6.1879984396249865</v>
      </c>
      <c r="E12" s="96">
        <v>5.2722282666774518</v>
      </c>
      <c r="F12" s="221">
        <v>4.2945244297210179</v>
      </c>
      <c r="G12" s="96">
        <v>4.2266842999635532</v>
      </c>
      <c r="H12" s="96">
        <v>4.4254898387524841</v>
      </c>
      <c r="I12" s="96">
        <v>3.7574319977166502</v>
      </c>
      <c r="J12" s="96">
        <v>3.6697676064265958</v>
      </c>
      <c r="K12" s="96">
        <v>3.168548051232515</v>
      </c>
      <c r="L12" s="96">
        <v>2.4480229605245616</v>
      </c>
      <c r="M12" s="96">
        <v>3.2211536244051677</v>
      </c>
      <c r="N12" s="96">
        <v>2.3138227561634204</v>
      </c>
      <c r="O12" s="96">
        <v>2.1490073968418533</v>
      </c>
      <c r="P12" s="96">
        <v>3.5953049175359779</v>
      </c>
      <c r="Q12" s="96">
        <v>3.3611849733983923</v>
      </c>
      <c r="R12" s="96">
        <v>3.5436062583373853</v>
      </c>
      <c r="S12" s="96">
        <v>2.1817340869501405</v>
      </c>
      <c r="T12" s="96">
        <v>1.9859143332480593</v>
      </c>
      <c r="U12" s="96">
        <v>1.7111962503367328</v>
      </c>
      <c r="V12" s="96">
        <v>1.8805976236195598</v>
      </c>
      <c r="W12" s="96">
        <v>2.7674224987085783</v>
      </c>
      <c r="X12" s="96">
        <v>1.9049327883520382</v>
      </c>
      <c r="Y12" s="96">
        <v>1.2301488243819914</v>
      </c>
      <c r="Z12" s="96">
        <v>1.2963482585676289</v>
      </c>
      <c r="AA12" s="96">
        <v>1.4060573164101322</v>
      </c>
      <c r="AB12" s="96">
        <v>1.8175385997979567</v>
      </c>
      <c r="AC12" s="96">
        <v>1.2483947263949233</v>
      </c>
      <c r="AD12" s="96">
        <v>1.3407018705199198</v>
      </c>
      <c r="AE12" s="96">
        <v>1.3740698302743068</v>
      </c>
      <c r="AF12" s="96">
        <v>1.4048561007690061</v>
      </c>
      <c r="AG12" s="20">
        <v>1.2675134722255061</v>
      </c>
      <c r="AH12" s="20">
        <v>1.7490464101547694</v>
      </c>
      <c r="AI12" s="20">
        <v>1.762191399495761</v>
      </c>
      <c r="AJ12" s="1200"/>
      <c r="AK12" s="1203"/>
      <c r="AL12" s="443"/>
    </row>
    <row r="13" spans="1:38">
      <c r="B13" s="94" t="s">
        <v>130</v>
      </c>
      <c r="C13" s="220">
        <v>2.7716327739262279</v>
      </c>
      <c r="D13" s="96">
        <v>2.9306239513637697</v>
      </c>
      <c r="E13" s="96">
        <v>3.544403537242383</v>
      </c>
      <c r="F13" s="96">
        <v>3.6108756790755212</v>
      </c>
      <c r="G13" s="96">
        <v>4.5908122689747959</v>
      </c>
      <c r="H13" s="96">
        <v>4.4769773811733193</v>
      </c>
      <c r="I13" s="96">
        <v>5.2351909922771789</v>
      </c>
      <c r="J13" s="96">
        <v>5.7220115554269819</v>
      </c>
      <c r="K13" s="96">
        <v>4.8464227560421289</v>
      </c>
      <c r="L13" s="96">
        <v>3.6625323518829296</v>
      </c>
      <c r="M13" s="96">
        <v>3.5352964936230031</v>
      </c>
      <c r="N13" s="96">
        <v>3.4186787059764838</v>
      </c>
      <c r="O13" s="96">
        <v>3.5573482479511904</v>
      </c>
      <c r="P13" s="96">
        <v>3.4120507906876578</v>
      </c>
      <c r="Q13" s="96">
        <v>3.1029837660329664</v>
      </c>
      <c r="R13" s="96">
        <v>3.0486289395707473</v>
      </c>
      <c r="S13" s="96">
        <v>2.799207231421645</v>
      </c>
      <c r="T13" s="96">
        <v>3.3128156162648099</v>
      </c>
      <c r="U13" s="96">
        <v>3.8842741886465557</v>
      </c>
      <c r="V13" s="96">
        <v>3.9125016141904223</v>
      </c>
      <c r="W13" s="96">
        <v>3.9531295042785106</v>
      </c>
      <c r="X13" s="96">
        <v>4.4282649744413778</v>
      </c>
      <c r="Y13" s="96">
        <v>4.0078812979729381</v>
      </c>
      <c r="Z13" s="96">
        <v>5.4648410911171599</v>
      </c>
      <c r="AA13" s="96">
        <v>5.7388287675535068</v>
      </c>
      <c r="AB13" s="96">
        <v>5.728088768113019</v>
      </c>
      <c r="AC13" s="96">
        <v>5.7157069147534036</v>
      </c>
      <c r="AD13" s="96">
        <v>5.9669264498750749</v>
      </c>
      <c r="AE13" s="20">
        <v>6.4741233123708817</v>
      </c>
      <c r="AF13" s="20">
        <v>6.620600053162045</v>
      </c>
      <c r="AG13" s="20">
        <v>5.952997755723004</v>
      </c>
      <c r="AH13" s="20">
        <v>5.6002481937006605</v>
      </c>
      <c r="AI13" s="20">
        <v>6.3288654221809066</v>
      </c>
      <c r="AJ13" s="1144"/>
      <c r="AK13" s="1204"/>
      <c r="AL13" s="443"/>
    </row>
    <row r="14" spans="1:38" ht="15.5" thickBot="1">
      <c r="B14" s="97" t="s">
        <v>131</v>
      </c>
      <c r="C14" s="222">
        <v>0</v>
      </c>
      <c r="D14" s="20">
        <v>0</v>
      </c>
      <c r="E14" s="20">
        <v>0</v>
      </c>
      <c r="F14" s="20">
        <v>0</v>
      </c>
      <c r="G14" s="20">
        <v>0</v>
      </c>
      <c r="H14" s="20">
        <v>0</v>
      </c>
      <c r="I14" s="20">
        <v>0</v>
      </c>
      <c r="J14" s="20">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1144"/>
      <c r="AK14" s="1203"/>
      <c r="AL14" s="443"/>
    </row>
    <row r="15" spans="1:38">
      <c r="B15" s="480" t="s">
        <v>133</v>
      </c>
      <c r="C15" s="489">
        <v>5.4029918486572228</v>
      </c>
      <c r="D15" s="490">
        <v>4.5228229539407057</v>
      </c>
      <c r="E15" s="490">
        <v>6.1983455467103985</v>
      </c>
      <c r="F15" s="490">
        <v>6.3617694551449189</v>
      </c>
      <c r="G15" s="490">
        <v>5.4902460675242688</v>
      </c>
      <c r="H15" s="490">
        <v>4.8083305710321991</v>
      </c>
      <c r="I15" s="490">
        <v>4.7613870758922374</v>
      </c>
      <c r="J15" s="490">
        <v>4.8463383639798963</v>
      </c>
      <c r="K15" s="490">
        <v>4.6464592213513232</v>
      </c>
      <c r="L15" s="490">
        <v>5.3356945217852427</v>
      </c>
      <c r="M15" s="490">
        <v>5.2142643450296333</v>
      </c>
      <c r="N15" s="490">
        <v>6.3077104169447518</v>
      </c>
      <c r="O15" s="490">
        <v>6.1681683456848448</v>
      </c>
      <c r="P15" s="490">
        <v>4.1408561850813221</v>
      </c>
      <c r="Q15" s="490">
        <v>4.0150771427307745</v>
      </c>
      <c r="R15" s="490">
        <v>4.2678692488388226</v>
      </c>
      <c r="S15" s="490">
        <v>4.0644835806137136</v>
      </c>
      <c r="T15" s="490">
        <v>3.9613641488613593</v>
      </c>
      <c r="U15" s="490">
        <v>3.6787495408304318</v>
      </c>
      <c r="V15" s="490">
        <v>2.9634075377400251</v>
      </c>
      <c r="W15" s="490">
        <v>3.4573603275871352</v>
      </c>
      <c r="X15" s="490">
        <v>3.6499889938515082</v>
      </c>
      <c r="Y15" s="490">
        <v>3.161272181995046</v>
      </c>
      <c r="Z15" s="490">
        <v>3.3348772974235161</v>
      </c>
      <c r="AA15" s="490">
        <v>3.2325052712513571</v>
      </c>
      <c r="AB15" s="490">
        <v>3.2415437997505472</v>
      </c>
      <c r="AC15" s="490">
        <v>3.1253277558171089</v>
      </c>
      <c r="AD15" s="839">
        <v>3.2402989292975919</v>
      </c>
      <c r="AE15" s="839">
        <v>3.2104718469933418</v>
      </c>
      <c r="AF15" s="839">
        <v>3.2576214499376914</v>
      </c>
      <c r="AG15" s="839">
        <v>3.0524355227076456</v>
      </c>
      <c r="AH15" s="839">
        <v>3.2261720807727956</v>
      </c>
      <c r="AI15" s="1548">
        <v>3.3479002685233925</v>
      </c>
      <c r="AJ15" s="1548"/>
      <c r="AK15" s="1203"/>
      <c r="AL15" s="443"/>
    </row>
    <row r="16" spans="1:38">
      <c r="B16" s="94" t="s">
        <v>128</v>
      </c>
      <c r="C16" s="222">
        <v>0.14071996204620343</v>
      </c>
      <c r="D16" s="96">
        <v>0.18261868066240247</v>
      </c>
      <c r="E16" s="96">
        <v>0.34370839280361198</v>
      </c>
      <c r="F16" s="96">
        <v>0.25927217777183115</v>
      </c>
      <c r="G16" s="96">
        <v>0.13691634093585056</v>
      </c>
      <c r="H16" s="96">
        <v>5.6958888629196867E-2</v>
      </c>
      <c r="I16" s="96">
        <v>4.3208759455908893E-2</v>
      </c>
      <c r="J16" s="96">
        <v>6.7411593398209263E-2</v>
      </c>
      <c r="K16" s="96">
        <v>7.1340767719259179E-2</v>
      </c>
      <c r="L16" s="96">
        <v>6.1436102890526853E-2</v>
      </c>
      <c r="M16" s="96">
        <v>0.12944929407095898</v>
      </c>
      <c r="N16" s="96">
        <v>0.12825148657170191</v>
      </c>
      <c r="O16" s="96">
        <v>9.1534353377311778E-2</v>
      </c>
      <c r="P16" s="96">
        <v>0.10433318021388831</v>
      </c>
      <c r="Q16" s="96">
        <v>0.12120012629417244</v>
      </c>
      <c r="R16" s="96">
        <v>0.16162712791805536</v>
      </c>
      <c r="S16" s="96">
        <v>0.17519944256202688</v>
      </c>
      <c r="T16" s="96">
        <v>0.19493614377967811</v>
      </c>
      <c r="U16" s="96">
        <v>0.1949794044077941</v>
      </c>
      <c r="V16" s="96">
        <v>0.11630084244052327</v>
      </c>
      <c r="W16" s="96">
        <v>0.15481118238039673</v>
      </c>
      <c r="X16" s="96">
        <v>0.14243930031123045</v>
      </c>
      <c r="Y16" s="96">
        <v>0.14333997686254105</v>
      </c>
      <c r="Z16" s="96">
        <v>0.13935898409394426</v>
      </c>
      <c r="AA16" s="96">
        <v>0.12335519063149798</v>
      </c>
      <c r="AB16" s="96">
        <v>9.6524521372259586E-2</v>
      </c>
      <c r="AC16" s="96">
        <v>3.0393573071249361E-3</v>
      </c>
      <c r="AD16" s="828">
        <v>3.4596461524501196E-3</v>
      </c>
      <c r="AE16" s="828">
        <v>9.4067987790331009E-4</v>
      </c>
      <c r="AF16" s="828">
        <v>2.4827882489683118E-3</v>
      </c>
      <c r="AG16" s="828">
        <v>0</v>
      </c>
      <c r="AH16" s="828">
        <v>0</v>
      </c>
      <c r="AI16" s="1549">
        <v>0</v>
      </c>
      <c r="AJ16" s="1549"/>
      <c r="AK16" s="1203"/>
      <c r="AL16" s="443"/>
    </row>
    <row r="17" spans="2:40">
      <c r="B17" s="94" t="s">
        <v>129</v>
      </c>
      <c r="C17" s="220">
        <v>2.8823046573615909</v>
      </c>
      <c r="D17" s="96">
        <v>1.5395344847195833</v>
      </c>
      <c r="E17" s="96">
        <v>2.2384317660060349</v>
      </c>
      <c r="F17" s="96">
        <v>2.4645906731735252</v>
      </c>
      <c r="G17" s="96">
        <v>2.0681959340228748</v>
      </c>
      <c r="H17" s="96">
        <v>1.554643559572346</v>
      </c>
      <c r="I17" s="96">
        <v>1.6027132238532289</v>
      </c>
      <c r="J17" s="96">
        <v>1.5319603464006903</v>
      </c>
      <c r="K17" s="96">
        <v>1.4521599115436445</v>
      </c>
      <c r="L17" s="96">
        <v>1.2496010990571416</v>
      </c>
      <c r="M17" s="96">
        <v>1.2410315958914973</v>
      </c>
      <c r="N17" s="96">
        <v>1.9839006799180861</v>
      </c>
      <c r="O17" s="96">
        <v>1.6805593547885904</v>
      </c>
      <c r="P17" s="96">
        <v>1.7747406455330048</v>
      </c>
      <c r="Q17" s="96">
        <v>1.6619708829045368</v>
      </c>
      <c r="R17" s="96">
        <v>1.6921630559261416</v>
      </c>
      <c r="S17" s="96">
        <v>1.7060035607657367</v>
      </c>
      <c r="T17" s="96">
        <v>1.4223794586831764</v>
      </c>
      <c r="U17" s="96">
        <v>1.2199682499554605</v>
      </c>
      <c r="V17" s="96">
        <v>0.81945371009051204</v>
      </c>
      <c r="W17" s="96">
        <v>1.0213509248734156</v>
      </c>
      <c r="X17" s="96">
        <v>1.0652959781141105</v>
      </c>
      <c r="Y17" s="96">
        <v>0.75278501009706156</v>
      </c>
      <c r="Z17" s="96">
        <v>0.78392175286952237</v>
      </c>
      <c r="AA17" s="96">
        <v>0.77506433237989736</v>
      </c>
      <c r="AB17" s="96">
        <v>0.86838660543547797</v>
      </c>
      <c r="AC17" s="96">
        <v>0.79894071035056202</v>
      </c>
      <c r="AD17" s="828">
        <v>0.87354698966266753</v>
      </c>
      <c r="AE17" s="828">
        <v>0.82357152728692118</v>
      </c>
      <c r="AF17" s="828">
        <v>0.80168524214533043</v>
      </c>
      <c r="AG17" s="828">
        <v>0.76185920833437704</v>
      </c>
      <c r="AH17" s="828">
        <v>0.8294372943428403</v>
      </c>
      <c r="AI17" s="1549">
        <v>0.8495208189539829</v>
      </c>
      <c r="AJ17" s="1549"/>
      <c r="AK17" s="1203"/>
      <c r="AL17" s="443"/>
    </row>
    <row r="18" spans="2:40">
      <c r="B18" s="94" t="s">
        <v>130</v>
      </c>
      <c r="C18" s="220">
        <v>2.3799672292494285</v>
      </c>
      <c r="D18" s="96">
        <v>2.8006697885587202</v>
      </c>
      <c r="E18" s="96">
        <v>3.6162053879007519</v>
      </c>
      <c r="F18" s="96">
        <v>3.637906604199562</v>
      </c>
      <c r="G18" s="96">
        <v>3.2851337925655431</v>
      </c>
      <c r="H18" s="96">
        <v>3.1967281228306561</v>
      </c>
      <c r="I18" s="96">
        <v>3.1154650925830993</v>
      </c>
      <c r="J18" s="96">
        <v>3.246966424180997</v>
      </c>
      <c r="K18" s="96">
        <v>3.1229585420884196</v>
      </c>
      <c r="L18" s="96">
        <v>4.0246573198375737</v>
      </c>
      <c r="M18" s="96">
        <v>3.843783455067177</v>
      </c>
      <c r="N18" s="96">
        <v>4.1955582504549636</v>
      </c>
      <c r="O18" s="96">
        <v>4.396074637518943</v>
      </c>
      <c r="P18" s="96">
        <v>2.2617823593344291</v>
      </c>
      <c r="Q18" s="96">
        <v>2.2319061335320654</v>
      </c>
      <c r="R18" s="96">
        <v>2.4140790649946258</v>
      </c>
      <c r="S18" s="96">
        <v>2.18328057728595</v>
      </c>
      <c r="T18" s="96">
        <v>2.344048546398505</v>
      </c>
      <c r="U18" s="96">
        <v>2.2638018864671774</v>
      </c>
      <c r="V18" s="96">
        <v>2.0276529852089902</v>
      </c>
      <c r="W18" s="96">
        <v>2.2811982203333225</v>
      </c>
      <c r="X18" s="96">
        <v>2.4422537154261676</v>
      </c>
      <c r="Y18" s="96">
        <v>2.2651471950354432</v>
      </c>
      <c r="Z18" s="96">
        <v>2.4115965604600493</v>
      </c>
      <c r="AA18" s="96">
        <v>2.3340857482399615</v>
      </c>
      <c r="AB18" s="96">
        <v>2.2766326729428097</v>
      </c>
      <c r="AC18" s="96">
        <v>2.3233476881594219</v>
      </c>
      <c r="AD18" s="828">
        <v>2.3632922934824743</v>
      </c>
      <c r="AE18" s="828">
        <v>2.385959639828517</v>
      </c>
      <c r="AF18" s="828">
        <v>2.4534534195433926</v>
      </c>
      <c r="AG18" s="828">
        <v>2.2905763143732685</v>
      </c>
      <c r="AH18" s="828">
        <v>2.3967347864299553</v>
      </c>
      <c r="AI18" s="1549">
        <v>2.4983794495694092</v>
      </c>
      <c r="AJ18" s="1549"/>
      <c r="AK18" s="1205"/>
      <c r="AL18" s="443"/>
    </row>
    <row r="19" spans="2:40" ht="15.5" thickBot="1">
      <c r="B19" s="97" t="s">
        <v>131</v>
      </c>
      <c r="C19" s="223">
        <v>0</v>
      </c>
      <c r="D19" s="98">
        <v>0</v>
      </c>
      <c r="E19" s="98">
        <v>0</v>
      </c>
      <c r="F19" s="98">
        <v>0</v>
      </c>
      <c r="G19" s="98">
        <v>0</v>
      </c>
      <c r="H19" s="98">
        <v>0</v>
      </c>
      <c r="I19" s="98">
        <v>0</v>
      </c>
      <c r="J19" s="98">
        <v>0</v>
      </c>
      <c r="K19" s="98">
        <v>0</v>
      </c>
      <c r="L19" s="98">
        <v>0</v>
      </c>
      <c r="M19" s="98">
        <v>0</v>
      </c>
      <c r="N19" s="98">
        <v>0</v>
      </c>
      <c r="O19" s="186">
        <v>0</v>
      </c>
      <c r="P19" s="186">
        <v>0</v>
      </c>
      <c r="Q19" s="186">
        <v>0</v>
      </c>
      <c r="R19" s="186">
        <v>0</v>
      </c>
      <c r="S19" s="186">
        <v>0</v>
      </c>
      <c r="T19" s="186">
        <v>0</v>
      </c>
      <c r="U19" s="186">
        <v>0</v>
      </c>
      <c r="V19" s="186">
        <v>0</v>
      </c>
      <c r="W19" s="186">
        <v>0</v>
      </c>
      <c r="X19" s="186">
        <v>0</v>
      </c>
      <c r="Y19" s="186">
        <v>0</v>
      </c>
      <c r="Z19" s="186">
        <v>0</v>
      </c>
      <c r="AA19" s="186">
        <v>0</v>
      </c>
      <c r="AB19" s="186">
        <v>0</v>
      </c>
      <c r="AC19" s="186">
        <v>0</v>
      </c>
      <c r="AD19" s="829">
        <v>0</v>
      </c>
      <c r="AE19" s="829">
        <v>0</v>
      </c>
      <c r="AF19" s="829">
        <v>0</v>
      </c>
      <c r="AG19" s="829">
        <v>0</v>
      </c>
      <c r="AH19" s="829">
        <v>0</v>
      </c>
      <c r="AI19" s="1250">
        <v>0</v>
      </c>
      <c r="AJ19" s="1250"/>
      <c r="AK19" s="1203"/>
      <c r="AL19" s="443"/>
    </row>
    <row r="20" spans="2:40">
      <c r="B20" s="481" t="s">
        <v>20</v>
      </c>
      <c r="C20" s="484">
        <v>28.506437825265561</v>
      </c>
      <c r="D20" s="485">
        <v>26.924606252648253</v>
      </c>
      <c r="E20" s="485">
        <v>26.448466366325668</v>
      </c>
      <c r="F20" s="485">
        <v>26.684940195948617</v>
      </c>
      <c r="G20" s="485">
        <v>26.904845065360281</v>
      </c>
      <c r="H20" s="485">
        <v>27.543957964998537</v>
      </c>
      <c r="I20" s="485">
        <v>28.348712325078182</v>
      </c>
      <c r="J20" s="485">
        <v>28.691676822505464</v>
      </c>
      <c r="K20" s="485">
        <v>28.98102039463458</v>
      </c>
      <c r="L20" s="485">
        <v>29.667708078894691</v>
      </c>
      <c r="M20" s="485">
        <v>30.840346353806449</v>
      </c>
      <c r="N20" s="485">
        <v>30.391075770329753</v>
      </c>
      <c r="O20" s="485">
        <v>30.599206279874757</v>
      </c>
      <c r="P20" s="485">
        <v>31.044336567887118</v>
      </c>
      <c r="Q20" s="485">
        <v>32.341144579996183</v>
      </c>
      <c r="R20" s="485">
        <v>32.347883053926061</v>
      </c>
      <c r="S20" s="485">
        <v>31.473855031392308</v>
      </c>
      <c r="T20" s="485">
        <v>31.828916188486346</v>
      </c>
      <c r="U20" s="485">
        <v>30.871216525399529</v>
      </c>
      <c r="V20" s="485">
        <v>28.987244396457257</v>
      </c>
      <c r="W20" s="485">
        <v>29.194372528968803</v>
      </c>
      <c r="X20" s="485">
        <v>29.139892806651648</v>
      </c>
      <c r="Y20" s="485">
        <v>28.60906538035595</v>
      </c>
      <c r="Z20" s="485">
        <v>29.873225105712574</v>
      </c>
      <c r="AA20" s="485">
        <v>28.061539553056065</v>
      </c>
      <c r="AB20" s="485">
        <v>28.545017287030312</v>
      </c>
      <c r="AC20" s="485">
        <v>28.891424634303558</v>
      </c>
      <c r="AD20" s="830">
        <v>28.332334902786233</v>
      </c>
      <c r="AE20" s="830">
        <v>29.002637465691354</v>
      </c>
      <c r="AF20" s="830">
        <v>28.718318898688366</v>
      </c>
      <c r="AG20" s="830">
        <v>22.642037334535477</v>
      </c>
      <c r="AH20" s="830">
        <v>25.3046622669575</v>
      </c>
      <c r="AI20" s="830">
        <v>25.915363713573509</v>
      </c>
      <c r="AJ20" s="1464"/>
      <c r="AK20" s="1203"/>
      <c r="AL20" s="443"/>
    </row>
    <row r="21" spans="2:40">
      <c r="B21" s="94" t="s">
        <v>128</v>
      </c>
      <c r="C21" s="220">
        <v>0</v>
      </c>
      <c r="D21" s="96">
        <v>0</v>
      </c>
      <c r="E21" s="96">
        <v>0</v>
      </c>
      <c r="F21" s="96">
        <v>0</v>
      </c>
      <c r="G21" s="96">
        <v>0</v>
      </c>
      <c r="H21" s="96">
        <v>0</v>
      </c>
      <c r="I21" s="96">
        <v>0</v>
      </c>
      <c r="J21" s="96">
        <v>0</v>
      </c>
      <c r="K21" s="96">
        <v>0</v>
      </c>
      <c r="L21" s="96">
        <v>0</v>
      </c>
      <c r="M21" s="96">
        <v>0</v>
      </c>
      <c r="N21" s="96">
        <v>0</v>
      </c>
      <c r="O21" s="96">
        <v>0</v>
      </c>
      <c r="P21" s="96">
        <v>0</v>
      </c>
      <c r="Q21" s="96">
        <v>0</v>
      </c>
      <c r="R21" s="96">
        <v>0</v>
      </c>
      <c r="S21" s="96">
        <v>0</v>
      </c>
      <c r="T21" s="96">
        <v>0</v>
      </c>
      <c r="U21" s="96">
        <v>0</v>
      </c>
      <c r="V21" s="96">
        <v>0</v>
      </c>
      <c r="W21" s="96">
        <v>0</v>
      </c>
      <c r="X21" s="96">
        <v>0</v>
      </c>
      <c r="Y21" s="96">
        <v>0</v>
      </c>
      <c r="Z21" s="96">
        <v>0</v>
      </c>
      <c r="AA21" s="96">
        <v>0</v>
      </c>
      <c r="AB21" s="96">
        <v>0</v>
      </c>
      <c r="AC21" s="96">
        <v>0</v>
      </c>
      <c r="AD21" s="828">
        <v>0</v>
      </c>
      <c r="AE21" s="828">
        <v>0</v>
      </c>
      <c r="AF21" s="828">
        <v>0</v>
      </c>
      <c r="AG21" s="828">
        <v>0</v>
      </c>
      <c r="AH21" s="828">
        <v>0</v>
      </c>
      <c r="AI21" s="828">
        <v>0</v>
      </c>
      <c r="AJ21" s="1549"/>
      <c r="AK21" s="1203"/>
      <c r="AL21" s="443"/>
    </row>
    <row r="22" spans="2:40">
      <c r="B22" s="94" t="s">
        <v>129</v>
      </c>
      <c r="C22" s="220">
        <v>28.506437825265561</v>
      </c>
      <c r="D22" s="96">
        <v>26.924551663841292</v>
      </c>
      <c r="E22" s="96">
        <v>26.448357188711736</v>
      </c>
      <c r="F22" s="96">
        <v>26.684830942615985</v>
      </c>
      <c r="G22" s="96">
        <v>26.904353539162464</v>
      </c>
      <c r="H22" s="96">
        <v>27.543302292974939</v>
      </c>
      <c r="I22" s="96">
        <v>28.348439128401683</v>
      </c>
      <c r="J22" s="96">
        <v>28.687797429699192</v>
      </c>
      <c r="K22" s="96">
        <v>28.977036329396217</v>
      </c>
      <c r="L22" s="96">
        <v>29.662737052259949</v>
      </c>
      <c r="M22" s="96">
        <v>30.834826498877117</v>
      </c>
      <c r="N22" s="96">
        <v>30.38424901758226</v>
      </c>
      <c r="O22" s="96">
        <v>30.592318521689833</v>
      </c>
      <c r="P22" s="96">
        <v>31.035926008502205</v>
      </c>
      <c r="Q22" s="96">
        <v>32.331691974989354</v>
      </c>
      <c r="R22" s="96">
        <v>32.305721028957556</v>
      </c>
      <c r="S22" s="96">
        <v>31.434806005676663</v>
      </c>
      <c r="T22" s="96">
        <v>31.790677522065259</v>
      </c>
      <c r="U22" s="96">
        <v>30.829809512332119</v>
      </c>
      <c r="V22" s="96">
        <v>28.945216986153724</v>
      </c>
      <c r="W22" s="96">
        <v>29.154184573186264</v>
      </c>
      <c r="X22" s="96">
        <v>29.098328209690141</v>
      </c>
      <c r="Y22" s="96">
        <v>28.56746550750891</v>
      </c>
      <c r="Z22" s="96">
        <v>29.8350410659578</v>
      </c>
      <c r="AA22" s="96">
        <v>28.022308260175041</v>
      </c>
      <c r="AB22" s="96">
        <v>28.500925718872331</v>
      </c>
      <c r="AC22" s="96">
        <v>28.871695156339172</v>
      </c>
      <c r="AD22" s="828">
        <v>28.326174849482637</v>
      </c>
      <c r="AE22" s="828">
        <v>28.995714219943061</v>
      </c>
      <c r="AF22" s="823">
        <v>28.711235339273056</v>
      </c>
      <c r="AG22" s="823">
        <v>22.636968711743521</v>
      </c>
      <c r="AH22" s="823">
        <v>25.300302161330013</v>
      </c>
      <c r="AI22" s="823">
        <v>25.909150563054336</v>
      </c>
      <c r="AJ22" s="1145"/>
      <c r="AK22" s="626"/>
      <c r="AL22" s="626"/>
    </row>
    <row r="23" spans="2:40">
      <c r="B23" s="94" t="s">
        <v>134</v>
      </c>
      <c r="C23" s="220">
        <v>0</v>
      </c>
      <c r="D23" s="96">
        <v>5.4588806964422069E-5</v>
      </c>
      <c r="E23" s="96">
        <v>1.0917761392884414E-4</v>
      </c>
      <c r="F23" s="96">
        <v>1.09253332631684E-4</v>
      </c>
      <c r="G23" s="96">
        <v>4.9152619781934082E-4</v>
      </c>
      <c r="H23" s="96">
        <v>6.5567202359502615E-4</v>
      </c>
      <c r="I23" s="96">
        <v>2.7319667649792757E-4</v>
      </c>
      <c r="J23" s="96">
        <v>3.8793928062705709E-3</v>
      </c>
      <c r="K23" s="96">
        <v>3.984065238362298E-3</v>
      </c>
      <c r="L23" s="96">
        <v>4.9710266347416212E-3</v>
      </c>
      <c r="M23" s="96">
        <v>5.5198549293330283E-3</v>
      </c>
      <c r="N23" s="96">
        <v>6.8267527474908454E-3</v>
      </c>
      <c r="O23" s="96">
        <v>6.8877581849242937E-3</v>
      </c>
      <c r="P23" s="96">
        <v>8.4105593849087244E-3</v>
      </c>
      <c r="Q23" s="96">
        <v>9.4526050068282959E-3</v>
      </c>
      <c r="R23" s="96">
        <v>4.2162024968503464E-2</v>
      </c>
      <c r="S23" s="96">
        <v>3.9049025715647639E-2</v>
      </c>
      <c r="T23" s="96">
        <v>3.8238666421089397E-2</v>
      </c>
      <c r="U23" s="96">
        <v>4.1407013067408231E-2</v>
      </c>
      <c r="V23" s="96">
        <v>4.2027410303535635E-2</v>
      </c>
      <c r="W23" s="96">
        <v>4.018795578253808E-2</v>
      </c>
      <c r="X23" s="96">
        <v>4.1564596961506863E-2</v>
      </c>
      <c r="Y23" s="96">
        <v>4.1599872847042758E-2</v>
      </c>
      <c r="Z23" s="96">
        <v>3.8184039754773559E-2</v>
      </c>
      <c r="AA23" s="96">
        <v>3.9231292881024088E-2</v>
      </c>
      <c r="AB23" s="96">
        <v>4.4091568157977469E-2</v>
      </c>
      <c r="AC23" s="96">
        <v>1.972947796438547E-2</v>
      </c>
      <c r="AD23" s="828">
        <v>6.1600533035981583E-3</v>
      </c>
      <c r="AE23" s="828">
        <v>6.9232457482917356E-3</v>
      </c>
      <c r="AF23" s="828">
        <v>7.0835594153091644E-3</v>
      </c>
      <c r="AG23" s="828">
        <v>5.0686227919553841E-3</v>
      </c>
      <c r="AH23" s="828">
        <v>4.3601056274885025E-3</v>
      </c>
      <c r="AI23" s="828">
        <v>6.2131505191711147E-3</v>
      </c>
      <c r="AJ23" s="1549"/>
      <c r="AK23" s="1207"/>
      <c r="AL23" s="1206"/>
      <c r="AM23" s="1206"/>
    </row>
    <row r="24" spans="2:40" ht="15.5" thickBot="1">
      <c r="B24" s="97" t="s">
        <v>131</v>
      </c>
      <c r="C24" s="223">
        <v>0</v>
      </c>
      <c r="D24" s="98">
        <v>0</v>
      </c>
      <c r="E24" s="98">
        <v>0</v>
      </c>
      <c r="F24" s="98">
        <v>0</v>
      </c>
      <c r="G24" s="98">
        <v>0</v>
      </c>
      <c r="H24" s="98">
        <v>0</v>
      </c>
      <c r="I24" s="98">
        <v>0</v>
      </c>
      <c r="J24" s="98">
        <v>0</v>
      </c>
      <c r="K24" s="98">
        <v>0</v>
      </c>
      <c r="L24" s="98">
        <v>0</v>
      </c>
      <c r="M24" s="98">
        <v>0</v>
      </c>
      <c r="N24" s="98">
        <v>0</v>
      </c>
      <c r="O24" s="98">
        <v>0</v>
      </c>
      <c r="P24" s="98">
        <v>0</v>
      </c>
      <c r="Q24" s="98">
        <v>0</v>
      </c>
      <c r="R24" s="98">
        <v>0</v>
      </c>
      <c r="S24" s="98">
        <v>0</v>
      </c>
      <c r="T24" s="98">
        <v>0</v>
      </c>
      <c r="U24" s="98">
        <v>0</v>
      </c>
      <c r="V24" s="98">
        <v>0</v>
      </c>
      <c r="W24" s="98">
        <v>0</v>
      </c>
      <c r="X24" s="98">
        <v>0</v>
      </c>
      <c r="Y24" s="98">
        <v>0</v>
      </c>
      <c r="Z24" s="98">
        <v>0</v>
      </c>
      <c r="AA24" s="98">
        <v>0</v>
      </c>
      <c r="AB24" s="98">
        <v>0</v>
      </c>
      <c r="AC24" s="98">
        <v>0</v>
      </c>
      <c r="AD24" s="831">
        <v>0</v>
      </c>
      <c r="AE24" s="831">
        <v>0</v>
      </c>
      <c r="AF24" s="831">
        <v>0</v>
      </c>
      <c r="AG24" s="831">
        <v>0</v>
      </c>
      <c r="AH24" s="831">
        <v>0</v>
      </c>
      <c r="AI24" s="831">
        <v>0</v>
      </c>
      <c r="AJ24" s="826"/>
      <c r="AN24" s="216"/>
    </row>
    <row r="25" spans="2:40" ht="13">
      <c r="B25" s="482" t="s">
        <v>19</v>
      </c>
      <c r="C25" s="494">
        <v>25.256636732676711</v>
      </c>
      <c r="D25" s="495">
        <v>25.914728879913365</v>
      </c>
      <c r="E25" s="495">
        <v>24.426681636914616</v>
      </c>
      <c r="F25" s="495">
        <v>21.967535985573292</v>
      </c>
      <c r="G25" s="495">
        <v>22.308384804598031</v>
      </c>
      <c r="H25" s="495">
        <v>21.438788153844321</v>
      </c>
      <c r="I25" s="495">
        <v>20.883901096087193</v>
      </c>
      <c r="J25" s="495">
        <v>26.163942634042538</v>
      </c>
      <c r="K25" s="495">
        <v>26.747611926121518</v>
      </c>
      <c r="L25" s="495">
        <v>24.004093488628136</v>
      </c>
      <c r="M25" s="495">
        <v>22.176187156381239</v>
      </c>
      <c r="N25" s="495">
        <v>21.964418106491603</v>
      </c>
      <c r="O25" s="495">
        <v>22.920165736663851</v>
      </c>
      <c r="P25" s="495">
        <v>25.008602205089463</v>
      </c>
      <c r="Q25" s="495">
        <v>23.742061768767059</v>
      </c>
      <c r="R25" s="495">
        <v>24.50850883956242</v>
      </c>
      <c r="S25" s="495">
        <v>21.605252315219431</v>
      </c>
      <c r="T25" s="495">
        <v>23.666295740032623</v>
      </c>
      <c r="U25" s="495">
        <v>20.168912335399149</v>
      </c>
      <c r="V25" s="495">
        <v>17.585116309401922</v>
      </c>
      <c r="W25" s="495">
        <v>18.286569094037727</v>
      </c>
      <c r="X25" s="495">
        <v>14.3548374581957</v>
      </c>
      <c r="Y25" s="495">
        <v>12.131402331331719</v>
      </c>
      <c r="Z25" s="495">
        <v>12.659822445437142</v>
      </c>
      <c r="AA25" s="495">
        <v>10.782306921880682</v>
      </c>
      <c r="AB25" s="495">
        <v>11.311329440348851</v>
      </c>
      <c r="AC25" s="495">
        <v>10.704619766914323</v>
      </c>
      <c r="AD25" s="495">
        <v>10.277665924817709</v>
      </c>
      <c r="AE25" s="1195">
        <v>7.6499388544811335</v>
      </c>
      <c r="AF25" s="1195">
        <v>6.2240808974230486</v>
      </c>
      <c r="AG25" s="1195">
        <v>5.7447834902179782</v>
      </c>
      <c r="AH25" s="1576">
        <v>6.140913821697418</v>
      </c>
      <c r="AI25" s="1576">
        <v>6.8040676928351207</v>
      </c>
      <c r="AJ25" s="1307">
        <v>5.86</v>
      </c>
      <c r="AK25" s="1547" t="s">
        <v>923</v>
      </c>
      <c r="AM25" s="216"/>
    </row>
    <row r="26" spans="2:40">
      <c r="B26" s="94" t="s">
        <v>128</v>
      </c>
      <c r="C26" s="220">
        <v>10.521323678949202</v>
      </c>
      <c r="D26" s="96">
        <v>10.963627545541623</v>
      </c>
      <c r="E26" s="96">
        <v>10.170308305657707</v>
      </c>
      <c r="F26" s="96">
        <v>9.0762143367234938</v>
      </c>
      <c r="G26" s="96">
        <v>9.4498677017642532</v>
      </c>
      <c r="H26" s="96">
        <v>9.8503048652441247</v>
      </c>
      <c r="I26" s="96">
        <v>10.639766697376016</v>
      </c>
      <c r="J26" s="96">
        <v>11.522554889866107</v>
      </c>
      <c r="K26" s="96">
        <v>10.299362720456667</v>
      </c>
      <c r="L26" s="96">
        <v>10.642907724189712</v>
      </c>
      <c r="M26" s="96">
        <v>10.741986927992645</v>
      </c>
      <c r="N26" s="96">
        <v>10.210804080889385</v>
      </c>
      <c r="O26" s="96">
        <v>10.981651155953722</v>
      </c>
      <c r="P26" s="96">
        <v>10.18942909303534</v>
      </c>
      <c r="Q26" s="96">
        <v>9.827440004535628</v>
      </c>
      <c r="R26" s="96">
        <v>11.130364765005536</v>
      </c>
      <c r="S26" s="96">
        <v>10.474958732849359</v>
      </c>
      <c r="T26" s="96">
        <v>11.205114385539192</v>
      </c>
      <c r="U26" s="96">
        <v>9.9950612412149127</v>
      </c>
      <c r="V26" s="96">
        <v>8.6652828575851419</v>
      </c>
      <c r="W26" s="96">
        <v>7.841565823926099</v>
      </c>
      <c r="X26" s="96">
        <v>3.9475989191205412</v>
      </c>
      <c r="Y26" s="96">
        <v>2.137960957321194</v>
      </c>
      <c r="Z26" s="96">
        <v>3.8779200825621181</v>
      </c>
      <c r="AA26" s="96">
        <v>2.7052281134040319</v>
      </c>
      <c r="AB26" s="96">
        <v>2.1951606622009576</v>
      </c>
      <c r="AC26" s="96">
        <v>1.9131774237776165</v>
      </c>
      <c r="AD26" s="96">
        <v>1.1770842216149977</v>
      </c>
      <c r="AE26" s="96">
        <v>0</v>
      </c>
      <c r="AF26" s="96">
        <v>0</v>
      </c>
      <c r="AG26" s="96">
        <v>0</v>
      </c>
      <c r="AH26" s="96">
        <v>0</v>
      </c>
      <c r="AI26" s="96">
        <v>0</v>
      </c>
      <c r="AJ26" s="1626"/>
    </row>
    <row r="27" spans="2:40">
      <c r="B27" s="94" t="s">
        <v>129</v>
      </c>
      <c r="C27" s="220">
        <v>11.362342652527619</v>
      </c>
      <c r="D27" s="96">
        <v>11.611644318033653</v>
      </c>
      <c r="E27" s="96">
        <v>10.138098335945825</v>
      </c>
      <c r="F27" s="96">
        <v>8.6449203945677393</v>
      </c>
      <c r="G27" s="96">
        <v>7.384548377453485</v>
      </c>
      <c r="H27" s="96">
        <v>4.608069488535576</v>
      </c>
      <c r="I27" s="96">
        <v>4.6377672616852585</v>
      </c>
      <c r="J27" s="96">
        <v>8.2446599696470919</v>
      </c>
      <c r="K27" s="96">
        <v>10.830817894184369</v>
      </c>
      <c r="L27" s="96">
        <v>8.3481019001934413</v>
      </c>
      <c r="M27" s="96">
        <v>6.5969650593734492</v>
      </c>
      <c r="N27" s="96">
        <v>6.4600306427226135</v>
      </c>
      <c r="O27" s="96">
        <v>4.9853709890681026</v>
      </c>
      <c r="P27" s="96">
        <v>5.5951829395783523</v>
      </c>
      <c r="Q27" s="96">
        <v>5.2959297194511823</v>
      </c>
      <c r="R27" s="96">
        <v>5.0302052332969875</v>
      </c>
      <c r="S27" s="96">
        <v>1.8820187282760468</v>
      </c>
      <c r="T27" s="96">
        <v>2.3882362282456264</v>
      </c>
      <c r="U27" s="96">
        <v>1.6741009222343135</v>
      </c>
      <c r="V27" s="96">
        <v>0.67931562234387988</v>
      </c>
      <c r="W27" s="96">
        <v>0.21489781503669622</v>
      </c>
      <c r="X27" s="96">
        <v>0.15106273441146226</v>
      </c>
      <c r="Y27" s="96">
        <v>0.11446004946133999</v>
      </c>
      <c r="Z27" s="96">
        <v>0.30601821018930508</v>
      </c>
      <c r="AA27" s="96">
        <v>0.71574840250948191</v>
      </c>
      <c r="AB27" s="96">
        <v>0.58348439627549187</v>
      </c>
      <c r="AC27" s="96">
        <v>0.26875868897783989</v>
      </c>
      <c r="AD27" s="96">
        <v>0.21505280099564686</v>
      </c>
      <c r="AE27" s="96">
        <v>0.34710807059006765</v>
      </c>
      <c r="AF27" s="96">
        <v>7.9846956185800733E-2</v>
      </c>
      <c r="AG27" s="96">
        <v>3.3838826756733817E-2</v>
      </c>
      <c r="AH27" s="96">
        <v>6.5127795353489101E-2</v>
      </c>
      <c r="AI27" s="96">
        <v>0.51350413321478572</v>
      </c>
      <c r="AJ27" s="1626"/>
    </row>
    <row r="28" spans="2:40">
      <c r="B28" s="94" t="s">
        <v>130</v>
      </c>
      <c r="C28" s="220">
        <v>3.3729704011998924</v>
      </c>
      <c r="D28" s="96">
        <v>3.3394570163380912</v>
      </c>
      <c r="E28" s="96">
        <v>4.1182749953110838</v>
      </c>
      <c r="F28" s="96">
        <v>4.2464012542820591</v>
      </c>
      <c r="G28" s="96">
        <v>5.4739687253802911</v>
      </c>
      <c r="H28" s="96">
        <v>6.9804138000646212</v>
      </c>
      <c r="I28" s="96">
        <v>5.6063671370259174</v>
      </c>
      <c r="J28" s="96">
        <v>6.3967277745293387</v>
      </c>
      <c r="K28" s="96">
        <v>5.6174313114804821</v>
      </c>
      <c r="L28" s="96">
        <v>5.013083864244984</v>
      </c>
      <c r="M28" s="96">
        <v>4.8372351690151447</v>
      </c>
      <c r="N28" s="96">
        <v>5.2935833828796008</v>
      </c>
      <c r="O28" s="96">
        <v>6.9531435916420223</v>
      </c>
      <c r="P28" s="96">
        <v>9.2239901724757676</v>
      </c>
      <c r="Q28" s="96">
        <v>8.6186920447802517</v>
      </c>
      <c r="R28" s="96">
        <v>8.3479388412598947</v>
      </c>
      <c r="S28" s="96">
        <v>9.2482748540940278</v>
      </c>
      <c r="T28" s="96">
        <v>10.072945126247806</v>
      </c>
      <c r="U28" s="96">
        <v>8.4997501719499216</v>
      </c>
      <c r="V28" s="96">
        <v>8.2405178294729016</v>
      </c>
      <c r="W28" s="96">
        <v>10.230105455074932</v>
      </c>
      <c r="X28" s="96">
        <v>10.256175804663695</v>
      </c>
      <c r="Y28" s="96">
        <v>9.8789813245491835</v>
      </c>
      <c r="Z28" s="96">
        <v>8.4758841526857189</v>
      </c>
      <c r="AA28" s="96">
        <v>7.3613304059671698</v>
      </c>
      <c r="AB28" s="96">
        <v>8.5326843818724019</v>
      </c>
      <c r="AC28" s="96">
        <v>8.5226836541588664</v>
      </c>
      <c r="AD28" s="96">
        <v>8.8855289022070654</v>
      </c>
      <c r="AE28" s="96">
        <v>7.302830783891066</v>
      </c>
      <c r="AF28" s="96">
        <v>6.144233941237248</v>
      </c>
      <c r="AG28" s="96">
        <v>5.7109446634612437</v>
      </c>
      <c r="AH28" s="96">
        <v>6.0757860263439296</v>
      </c>
      <c r="AI28" s="96">
        <v>6.2905635596203346</v>
      </c>
      <c r="AJ28" s="1626"/>
    </row>
    <row r="29" spans="2:40" ht="15.5" thickBot="1">
      <c r="B29" s="97" t="s">
        <v>131</v>
      </c>
      <c r="C29" s="185">
        <v>0</v>
      </c>
      <c r="D29" s="98">
        <v>0</v>
      </c>
      <c r="E29" s="186">
        <v>0</v>
      </c>
      <c r="F29" s="186">
        <v>0</v>
      </c>
      <c r="G29" s="186">
        <v>0</v>
      </c>
      <c r="H29" s="186">
        <v>0</v>
      </c>
      <c r="I29" s="186">
        <v>0</v>
      </c>
      <c r="J29" s="186">
        <v>0</v>
      </c>
      <c r="K29" s="186">
        <v>0</v>
      </c>
      <c r="L29" s="186">
        <v>0</v>
      </c>
      <c r="M29" s="186">
        <v>0</v>
      </c>
      <c r="N29" s="186">
        <v>0</v>
      </c>
      <c r="O29" s="186">
        <v>0</v>
      </c>
      <c r="P29" s="186">
        <v>0</v>
      </c>
      <c r="Q29" s="186">
        <v>0</v>
      </c>
      <c r="R29" s="186">
        <v>0</v>
      </c>
      <c r="S29" s="186">
        <v>0</v>
      </c>
      <c r="T29" s="186">
        <v>0</v>
      </c>
      <c r="U29" s="186">
        <v>0</v>
      </c>
      <c r="V29" s="186">
        <v>0</v>
      </c>
      <c r="W29" s="186">
        <v>0</v>
      </c>
      <c r="X29" s="186">
        <v>0</v>
      </c>
      <c r="Y29" s="186">
        <v>0</v>
      </c>
      <c r="Z29" s="186">
        <v>0</v>
      </c>
      <c r="AA29" s="186">
        <v>0</v>
      </c>
      <c r="AB29" s="186">
        <v>0</v>
      </c>
      <c r="AC29" s="186">
        <v>0</v>
      </c>
      <c r="AD29" s="186">
        <v>0</v>
      </c>
      <c r="AE29" s="186">
        <v>0</v>
      </c>
      <c r="AF29" s="186">
        <v>0</v>
      </c>
      <c r="AG29" s="186">
        <v>0</v>
      </c>
      <c r="AH29" s="186">
        <v>0</v>
      </c>
      <c r="AI29" s="186">
        <v>0</v>
      </c>
      <c r="AJ29" s="1628"/>
    </row>
    <row r="30" spans="2:40">
      <c r="B30" s="421" t="s">
        <v>135</v>
      </c>
      <c r="C30" s="222">
        <f>SUM(C31:C33)</f>
        <v>1.0452463728345625</v>
      </c>
      <c r="D30" s="20">
        <f>SUM(D31:D33)</f>
        <v>1.2043985020174812</v>
      </c>
      <c r="E30" s="20">
        <f t="shared" ref="E30:AI30" si="0">SUM(E31:E33)</f>
        <v>1.1631321569739694</v>
      </c>
      <c r="F30" s="20">
        <f t="shared" si="0"/>
        <v>1.1070675030347257</v>
      </c>
      <c r="G30" s="20">
        <f t="shared" si="0"/>
        <v>0.96559845756461615</v>
      </c>
      <c r="H30" s="20">
        <f t="shared" si="0"/>
        <v>0.78106839697222397</v>
      </c>
      <c r="I30" s="20">
        <f t="shared" si="0"/>
        <v>1.30340878917182</v>
      </c>
      <c r="J30" s="20">
        <f t="shared" si="0"/>
        <v>1.3784547067231099</v>
      </c>
      <c r="K30" s="20">
        <f t="shared" si="0"/>
        <v>1.1431057664989883</v>
      </c>
      <c r="L30" s="20">
        <f t="shared" si="0"/>
        <v>1.1809425376357632</v>
      </c>
      <c r="M30" s="20">
        <f t="shared" si="0"/>
        <v>1.3353088979132046</v>
      </c>
      <c r="N30" s="20">
        <f t="shared" si="0"/>
        <v>1.1334736121796833</v>
      </c>
      <c r="O30" s="20">
        <f t="shared" si="0"/>
        <v>0.98377864606437071</v>
      </c>
      <c r="P30" s="20">
        <f t="shared" si="0"/>
        <v>0.91722936459869253</v>
      </c>
      <c r="Q30" s="20">
        <f t="shared" si="0"/>
        <v>1.1816082978731166</v>
      </c>
      <c r="R30" s="20">
        <f t="shared" si="0"/>
        <v>1.4868977937644678</v>
      </c>
      <c r="S30" s="20">
        <f t="shared" si="0"/>
        <v>1.3351162237572942</v>
      </c>
      <c r="T30" s="20">
        <f t="shared" si="0"/>
        <v>1.2659270823216298</v>
      </c>
      <c r="U30" s="20">
        <f t="shared" si="0"/>
        <v>1.809523358117775</v>
      </c>
      <c r="V30" s="20">
        <f t="shared" si="0"/>
        <v>1.0838607576887096</v>
      </c>
      <c r="W30" s="20">
        <f t="shared" si="0"/>
        <v>1.3236630153514977</v>
      </c>
      <c r="X30" s="20">
        <f t="shared" si="0"/>
        <v>1.3409838238392502</v>
      </c>
      <c r="Y30" s="20">
        <f t="shared" si="0"/>
        <v>1.3129947692643804</v>
      </c>
      <c r="Z30" s="20">
        <f t="shared" si="0"/>
        <v>1.2992071404028855</v>
      </c>
      <c r="AA30" s="20">
        <f t="shared" si="0"/>
        <v>1.5520696327911627</v>
      </c>
      <c r="AB30" s="20">
        <f t="shared" si="0"/>
        <v>1.8425708267964334</v>
      </c>
      <c r="AC30" s="20">
        <f t="shared" si="0"/>
        <v>2.3812803027590284</v>
      </c>
      <c r="AD30" s="20">
        <f t="shared" si="0"/>
        <v>2.559869224810583</v>
      </c>
      <c r="AE30" s="20">
        <f t="shared" si="0"/>
        <v>2.4691613393642107</v>
      </c>
      <c r="AF30" s="20">
        <f t="shared" si="0"/>
        <v>2.7062235552071234</v>
      </c>
      <c r="AG30" s="20">
        <f t="shared" si="0"/>
        <v>0.8526579053373734</v>
      </c>
      <c r="AH30" s="20">
        <f t="shared" si="0"/>
        <v>1.0416719810086443</v>
      </c>
      <c r="AI30" s="1144">
        <f t="shared" si="0"/>
        <v>1.7640186835629774</v>
      </c>
      <c r="AJ30" s="1144"/>
    </row>
    <row r="31" spans="2:40">
      <c r="B31" s="94" t="s">
        <v>136</v>
      </c>
      <c r="C31" s="222">
        <v>0.33991981259492682</v>
      </c>
      <c r="D31" s="20">
        <v>0.79788248720762267</v>
      </c>
      <c r="E31" s="20">
        <v>0.7665163060050797</v>
      </c>
      <c r="F31" s="20">
        <v>0.72383197390929876</v>
      </c>
      <c r="G31" s="20">
        <v>0.7030808008519458</v>
      </c>
      <c r="H31" s="20">
        <v>0.55135710630715695</v>
      </c>
      <c r="I31" s="20">
        <v>0.56381127952710897</v>
      </c>
      <c r="J31" s="20">
        <v>0.72964770724004324</v>
      </c>
      <c r="K31" s="20">
        <v>1.0460958200495145</v>
      </c>
      <c r="L31" s="20">
        <v>1.0951371175598894</v>
      </c>
      <c r="M31" s="20">
        <v>1.1432224022547837</v>
      </c>
      <c r="N31" s="20">
        <v>0.97215636126556348</v>
      </c>
      <c r="O31" s="20">
        <v>0.77227012927743366</v>
      </c>
      <c r="P31" s="20">
        <v>0.85488476014877635</v>
      </c>
      <c r="Q31" s="20">
        <v>1.1000197552525799</v>
      </c>
      <c r="R31" s="20">
        <v>1.2055666166076922</v>
      </c>
      <c r="S31" s="20">
        <v>1.1228950205271291</v>
      </c>
      <c r="T31" s="20">
        <v>1.1021051722630055</v>
      </c>
      <c r="U31" s="20">
        <v>1.4880311862152888</v>
      </c>
      <c r="V31" s="20">
        <v>0.85711689469460517</v>
      </c>
      <c r="W31" s="20">
        <v>1.1469765859164369</v>
      </c>
      <c r="X31" s="20">
        <v>1.2107123287490862</v>
      </c>
      <c r="Y31" s="20">
        <v>1.2074387647416669</v>
      </c>
      <c r="Z31" s="20">
        <v>1.2065101236721025</v>
      </c>
      <c r="AA31" s="20">
        <v>1.4720431863581875</v>
      </c>
      <c r="AB31" s="20">
        <v>1.7405177875202433</v>
      </c>
      <c r="AC31" s="20">
        <v>2.253527039751702</v>
      </c>
      <c r="AD31" s="20">
        <v>2.3867503900377045</v>
      </c>
      <c r="AE31" s="20">
        <v>2.371819382128733</v>
      </c>
      <c r="AF31" s="20">
        <v>2.595484352085077</v>
      </c>
      <c r="AG31" s="20">
        <v>0.78159041843556398</v>
      </c>
      <c r="AH31" s="20">
        <v>0.97372372077580926</v>
      </c>
      <c r="AI31" s="20">
        <v>1.7640186835629774</v>
      </c>
      <c r="AJ31" s="1144"/>
    </row>
    <row r="32" spans="2:40">
      <c r="B32" s="94" t="s">
        <v>137</v>
      </c>
      <c r="C32" s="222">
        <v>0.2597651288496402</v>
      </c>
      <c r="D32" s="20">
        <v>0.26016987447474321</v>
      </c>
      <c r="E32" s="20">
        <v>0.29028591241167356</v>
      </c>
      <c r="F32" s="20">
        <v>0.30161001913568863</v>
      </c>
      <c r="G32" s="20">
        <v>0.1697826224937263</v>
      </c>
      <c r="H32" s="20">
        <v>0.19005750656789994</v>
      </c>
      <c r="I32" s="20">
        <v>0.15997725914520289</v>
      </c>
      <c r="J32" s="20">
        <v>0.12110229864888769</v>
      </c>
      <c r="K32" s="20">
        <v>8.9563583068394292E-2</v>
      </c>
      <c r="L32" s="20">
        <v>7.9676355604876625E-2</v>
      </c>
      <c r="M32" s="20">
        <v>6.5469907030320712E-2</v>
      </c>
      <c r="N32" s="20">
        <v>6.2295260334774866E-2</v>
      </c>
      <c r="O32" s="20">
        <v>0.11436751240695182</v>
      </c>
      <c r="P32" s="20">
        <v>5.9417906927929393E-2</v>
      </c>
      <c r="Q32" s="20">
        <v>8.0747316780758888E-2</v>
      </c>
      <c r="R32" s="20">
        <v>0.10462546170609668</v>
      </c>
      <c r="S32" s="20">
        <v>0.10882955266965344</v>
      </c>
      <c r="T32" s="20">
        <v>9.1685770690993512E-2</v>
      </c>
      <c r="U32" s="20">
        <v>0.22009028648995288</v>
      </c>
      <c r="V32" s="20">
        <v>8.2633884628443316E-2</v>
      </c>
      <c r="W32" s="20">
        <v>8.3284760426161827E-2</v>
      </c>
      <c r="X32" s="20">
        <v>6.3961855611908133E-2</v>
      </c>
      <c r="Y32" s="20">
        <v>5.2323157204331006E-2</v>
      </c>
      <c r="Z32" s="20">
        <v>3.1756888243761605E-2</v>
      </c>
      <c r="AA32" s="20">
        <v>4.3175104517561715E-2</v>
      </c>
      <c r="AB32" s="20">
        <v>6.6314266999848298E-2</v>
      </c>
      <c r="AC32" s="20">
        <v>5.9470746321263146E-2</v>
      </c>
      <c r="AD32" s="823">
        <v>6.8783101530837679E-2</v>
      </c>
      <c r="AE32" s="823">
        <v>6.1427881673618144E-2</v>
      </c>
      <c r="AF32" s="823">
        <v>4.7308192871269181E-2</v>
      </c>
      <c r="AG32" s="823">
        <v>6.6626999395898168E-2</v>
      </c>
      <c r="AH32" s="823">
        <v>6.3533317162415656E-2</v>
      </c>
      <c r="AI32" s="1145"/>
      <c r="AJ32" s="1145"/>
    </row>
    <row r="33" spans="2:36" ht="15.5" thickBot="1">
      <c r="B33" s="516" t="s">
        <v>138</v>
      </c>
      <c r="C33" s="185">
        <v>0.44556143138999538</v>
      </c>
      <c r="D33" s="186">
        <v>0.14634614033511531</v>
      </c>
      <c r="E33" s="186">
        <v>0.10632993855721599</v>
      </c>
      <c r="F33" s="186">
        <v>8.1625509989738193E-2</v>
      </c>
      <c r="G33" s="186">
        <v>9.2735034218943968E-2</v>
      </c>
      <c r="H33" s="186">
        <v>3.9653784097167036E-2</v>
      </c>
      <c r="I33" s="186">
        <v>0.57962025049950816</v>
      </c>
      <c r="J33" s="186">
        <v>0.52770470083417897</v>
      </c>
      <c r="K33" s="186">
        <v>7.4463633810794806E-3</v>
      </c>
      <c r="L33" s="186">
        <v>6.1290644709972629E-3</v>
      </c>
      <c r="M33" s="186">
        <v>0.12661658862810041</v>
      </c>
      <c r="N33" s="186">
        <v>9.9021990579345062E-2</v>
      </c>
      <c r="O33" s="186">
        <v>9.7141004379985185E-2</v>
      </c>
      <c r="P33" s="186">
        <v>2.9266975219868025E-3</v>
      </c>
      <c r="Q33" s="186">
        <v>8.4122583977776818E-4</v>
      </c>
      <c r="R33" s="186">
        <v>0.17670571545067906</v>
      </c>
      <c r="S33" s="186">
        <v>0.10339165056051179</v>
      </c>
      <c r="T33" s="186">
        <v>7.213613936763065E-2</v>
      </c>
      <c r="U33" s="186">
        <v>0.10140188541253309</v>
      </c>
      <c r="V33" s="186">
        <v>0.14410997836566108</v>
      </c>
      <c r="W33" s="186">
        <v>9.3401669008899083E-2</v>
      </c>
      <c r="X33" s="186">
        <v>6.6309639478255911E-2</v>
      </c>
      <c r="Y33" s="186">
        <v>5.323284731838248E-2</v>
      </c>
      <c r="Z33" s="186">
        <v>6.0940128487021489E-2</v>
      </c>
      <c r="AA33" s="186">
        <v>3.685134191541356E-2</v>
      </c>
      <c r="AB33" s="186">
        <v>3.5738772276341903E-2</v>
      </c>
      <c r="AC33" s="186">
        <v>6.8282516686063166E-2</v>
      </c>
      <c r="AD33" s="829">
        <v>0.10433573324204062</v>
      </c>
      <c r="AE33" s="829">
        <v>3.591407556185925E-2</v>
      </c>
      <c r="AF33" s="829">
        <v>6.3431010250776979E-2</v>
      </c>
      <c r="AG33" s="829">
        <v>4.4404875059113101E-3</v>
      </c>
      <c r="AH33" s="829">
        <v>4.4149430704193996E-3</v>
      </c>
      <c r="AI33" s="1250"/>
      <c r="AJ33" s="1250"/>
    </row>
    <row r="34" spans="2:36">
      <c r="B34" s="90" t="s">
        <v>25</v>
      </c>
      <c r="C34" s="220">
        <v>82.651453602765457</v>
      </c>
      <c r="D34" s="96">
        <v>80.828930409599835</v>
      </c>
      <c r="E34" s="96">
        <v>82.400542671078384</v>
      </c>
      <c r="F34" s="96">
        <v>79.522234599099264</v>
      </c>
      <c r="G34" s="96">
        <v>79.908563566116513</v>
      </c>
      <c r="H34" s="96">
        <v>77.500648510920612</v>
      </c>
      <c r="I34" s="96">
        <v>77.604334273187348</v>
      </c>
      <c r="J34" s="96">
        <v>83.533186705753138</v>
      </c>
      <c r="K34" s="96">
        <v>81.638091182639229</v>
      </c>
      <c r="L34" s="96">
        <v>79.214280472386719</v>
      </c>
      <c r="M34" s="96">
        <v>80.707578819067237</v>
      </c>
      <c r="N34" s="96">
        <v>80.459211305723628</v>
      </c>
      <c r="O34" s="96">
        <v>81.523171892061029</v>
      </c>
      <c r="P34" s="96">
        <v>83.731358000005514</v>
      </c>
      <c r="Q34" s="96">
        <v>81.660033945296576</v>
      </c>
      <c r="R34" s="96">
        <v>82.740767043341108</v>
      </c>
      <c r="S34" s="96">
        <v>75.005997674526967</v>
      </c>
      <c r="T34" s="96">
        <v>78.329864781279625</v>
      </c>
      <c r="U34" s="96">
        <v>74.711494494535259</v>
      </c>
      <c r="V34" s="96">
        <v>69.181831856492764</v>
      </c>
      <c r="W34" s="96">
        <v>71.248166969145359</v>
      </c>
      <c r="X34" s="96">
        <v>67.102625653371888</v>
      </c>
      <c r="Y34" s="96">
        <v>60.93875584304697</v>
      </c>
      <c r="Z34" s="96">
        <v>64.908994848718081</v>
      </c>
      <c r="AA34" s="96">
        <v>62.802827814258769</v>
      </c>
      <c r="AB34" s="96">
        <v>64.135935573579019</v>
      </c>
      <c r="AC34" s="96">
        <v>60.959907235167591</v>
      </c>
      <c r="AD34" s="828">
        <v>61.392939874470066</v>
      </c>
      <c r="AE34" s="828">
        <v>60.988129207338368</v>
      </c>
      <c r="AF34" s="828">
        <v>59.827485492867879</v>
      </c>
      <c r="AG34" s="828">
        <v>50.762703997488771</v>
      </c>
      <c r="AH34" s="828">
        <v>54.501116429703288</v>
      </c>
      <c r="AI34" s="1549">
        <v>57.041659137959442</v>
      </c>
      <c r="AJ34" s="1549"/>
    </row>
    <row r="35" spans="2:36">
      <c r="B35" s="94" t="s">
        <v>128</v>
      </c>
      <c r="C35" s="220">
        <v>10.813786967952362</v>
      </c>
      <c r="D35" s="96">
        <v>11.210590046322995</v>
      </c>
      <c r="E35" s="96">
        <v>10.653439826971947</v>
      </c>
      <c r="F35" s="96">
        <v>9.438517881837388</v>
      </c>
      <c r="G35" s="96">
        <v>9.639505399054352</v>
      </c>
      <c r="H35" s="96">
        <v>9.971455260569801</v>
      </c>
      <c r="I35" s="96">
        <v>10.761048625465094</v>
      </c>
      <c r="J35" s="96">
        <v>11.658044876026262</v>
      </c>
      <c r="K35" s="96">
        <v>10.438640587558803</v>
      </c>
      <c r="L35" s="96">
        <v>10.801401301686212</v>
      </c>
      <c r="M35" s="96">
        <v>10.912816259661284</v>
      </c>
      <c r="N35" s="96">
        <v>10.377849400643864</v>
      </c>
      <c r="O35" s="96">
        <v>11.279620638142799</v>
      </c>
      <c r="P35" s="96">
        <v>10.41545947098683</v>
      </c>
      <c r="Q35" s="96">
        <v>10.029995429140193</v>
      </c>
      <c r="R35" s="96">
        <v>11.394539344047832</v>
      </c>
      <c r="S35" s="96">
        <v>10.688778459313562</v>
      </c>
      <c r="T35" s="96">
        <v>11.455265506884038</v>
      </c>
      <c r="U35" s="96">
        <v>10.190040645622707</v>
      </c>
      <c r="V35" s="96">
        <v>8.7815837000256654</v>
      </c>
      <c r="W35" s="96">
        <v>7.9963770063064956</v>
      </c>
      <c r="X35" s="96">
        <v>4.0900382194317713</v>
      </c>
      <c r="Y35" s="96">
        <v>2.2813009341837347</v>
      </c>
      <c r="Z35" s="96">
        <v>4.0172790666560623</v>
      </c>
      <c r="AA35" s="96">
        <v>2.8285833040355297</v>
      </c>
      <c r="AB35" s="96">
        <v>2.2916851835732168</v>
      </c>
      <c r="AC35" s="96">
        <v>1.9162167810847417</v>
      </c>
      <c r="AD35" s="828">
        <v>1.1805438677674478</v>
      </c>
      <c r="AE35" s="828">
        <v>9.4067987790331009E-4</v>
      </c>
      <c r="AF35" s="828">
        <v>2.4827882489683118E-3</v>
      </c>
      <c r="AG35" s="828">
        <v>0</v>
      </c>
      <c r="AH35" s="828">
        <v>0</v>
      </c>
      <c r="AI35" s="1549">
        <v>0</v>
      </c>
      <c r="AJ35" s="1549"/>
    </row>
    <row r="36" spans="2:36">
      <c r="B36" s="94" t="s">
        <v>129</v>
      </c>
      <c r="C36" s="220">
        <v>57.464639539180304</v>
      </c>
      <c r="D36" s="96">
        <v>54.874803995455011</v>
      </c>
      <c r="E36" s="96">
        <v>53.876855797555457</v>
      </c>
      <c r="F36" s="96">
        <v>51.898142299435683</v>
      </c>
      <c r="G36" s="96">
        <v>50.421226961324045</v>
      </c>
      <c r="H36" s="96">
        <v>47.117235962226161</v>
      </c>
      <c r="I36" s="96">
        <v>46.661454932671433</v>
      </c>
      <c r="J36" s="96">
        <v>50.432314992386836</v>
      </c>
      <c r="K36" s="96">
        <v>52.11833755098796</v>
      </c>
      <c r="L36" s="96">
        <v>49.763775992551395</v>
      </c>
      <c r="M36" s="96">
        <v>51.251014336648133</v>
      </c>
      <c r="N36" s="96">
        <v>51.255992981768458</v>
      </c>
      <c r="O36" s="96">
        <v>49.327536235194401</v>
      </c>
      <c r="P36" s="96">
        <v>51.547386273696958</v>
      </c>
      <c r="Q36" s="96">
        <v>51.514508716274243</v>
      </c>
      <c r="R36" s="96">
        <v>51.111743848483897</v>
      </c>
      <c r="S36" s="96">
        <v>44.485579156247162</v>
      </c>
      <c r="T36" s="96">
        <v>44.901545417165735</v>
      </c>
      <c r="U36" s="96">
        <v>42.696970291563574</v>
      </c>
      <c r="V36" s="96">
        <v>38.910844748301379</v>
      </c>
      <c r="W36" s="96">
        <v>39.856106260771796</v>
      </c>
      <c r="X36" s="96">
        <v>38.785992875805782</v>
      </c>
      <c r="Y36" s="96">
        <v>36.136533376829142</v>
      </c>
      <c r="Z36" s="96">
        <v>38.100608749376939</v>
      </c>
      <c r="AA36" s="96">
        <v>37.617426406115861</v>
      </c>
      <c r="AB36" s="96">
        <v>38.364208691000179</v>
      </c>
      <c r="AC36" s="96">
        <v>36.35230722510903</v>
      </c>
      <c r="AD36" s="828">
        <v>36.385221769509307</v>
      </c>
      <c r="AE36" s="828">
        <v>37.710346839772669</v>
      </c>
      <c r="AF36" s="828">
        <v>37.228021673559233</v>
      </c>
      <c r="AG36" s="828">
        <v>30.246343234287231</v>
      </c>
      <c r="AH36" s="828">
        <v>33.729796504018758</v>
      </c>
      <c r="AI36" s="1549">
        <v>34.748068235723089</v>
      </c>
      <c r="AJ36" s="1549"/>
    </row>
    <row r="37" spans="2:36">
      <c r="B37" s="94" t="s">
        <v>130</v>
      </c>
      <c r="C37" s="220">
        <v>14.373027095632795</v>
      </c>
      <c r="D37" s="96">
        <v>14.743536367821832</v>
      </c>
      <c r="E37" s="96">
        <v>17.870247046550976</v>
      </c>
      <c r="F37" s="96">
        <v>18.185574417826203</v>
      </c>
      <c r="G37" s="96">
        <v>19.847831205738107</v>
      </c>
      <c r="H37" s="96">
        <v>20.411957288124636</v>
      </c>
      <c r="I37" s="96">
        <v>20.181830715050815</v>
      </c>
      <c r="J37" s="96">
        <v>21.442826837340036</v>
      </c>
      <c r="K37" s="96">
        <v>19.081113044092461</v>
      </c>
      <c r="L37" s="96">
        <v>18.649103178149122</v>
      </c>
      <c r="M37" s="96">
        <v>18.543748222757824</v>
      </c>
      <c r="N37" s="96">
        <v>18.825368923311313</v>
      </c>
      <c r="O37" s="96">
        <v>20.916015018723822</v>
      </c>
      <c r="P37" s="96">
        <v>21.768512255321717</v>
      </c>
      <c r="Q37" s="96">
        <v>20.11552979988214</v>
      </c>
      <c r="R37" s="96">
        <v>20.234483850809369</v>
      </c>
      <c r="S37" s="96">
        <v>19.83164005896624</v>
      </c>
      <c r="T37" s="96">
        <v>21.973053857229846</v>
      </c>
      <c r="U37" s="96">
        <v>21.824483557348962</v>
      </c>
      <c r="V37" s="96">
        <v>21.489403408165725</v>
      </c>
      <c r="W37" s="96">
        <v>23.395683702067064</v>
      </c>
      <c r="X37" s="96">
        <v>24.22659455813433</v>
      </c>
      <c r="Y37" s="96">
        <v>22.520921532034091</v>
      </c>
      <c r="Z37" s="96">
        <v>22.791107032685069</v>
      </c>
      <c r="AA37" s="96">
        <v>22.356818104107383</v>
      </c>
      <c r="AB37" s="96">
        <v>23.480041699005604</v>
      </c>
      <c r="AC37" s="96">
        <v>22.69138322897382</v>
      </c>
      <c r="AD37" s="828">
        <v>23.827174237193304</v>
      </c>
      <c r="AE37" s="828">
        <v>23.276841687687782</v>
      </c>
      <c r="AF37" s="828">
        <v>22.596981031059677</v>
      </c>
      <c r="AG37" s="828">
        <v>20.51636076320154</v>
      </c>
      <c r="AH37" s="828">
        <v>20.77131992568453</v>
      </c>
      <c r="AI37" s="1549">
        <v>22.293590902236357</v>
      </c>
      <c r="AJ37" s="1549"/>
    </row>
    <row r="38" spans="2:36" ht="15.5" thickBot="1">
      <c r="B38" s="97" t="s">
        <v>131</v>
      </c>
      <c r="C38" s="223">
        <v>0</v>
      </c>
      <c r="D38" s="186">
        <v>0</v>
      </c>
      <c r="E38" s="186">
        <v>0</v>
      </c>
      <c r="F38" s="186">
        <v>0</v>
      </c>
      <c r="G38" s="186">
        <v>0</v>
      </c>
      <c r="H38" s="186">
        <v>0</v>
      </c>
      <c r="I38" s="186">
        <v>0</v>
      </c>
      <c r="J38" s="186">
        <v>0</v>
      </c>
      <c r="K38" s="186">
        <v>0</v>
      </c>
      <c r="L38" s="186">
        <v>0</v>
      </c>
      <c r="M38" s="186">
        <v>0</v>
      </c>
      <c r="N38" s="186">
        <v>0</v>
      </c>
      <c r="O38" s="186">
        <v>0</v>
      </c>
      <c r="P38" s="186">
        <v>0</v>
      </c>
      <c r="Q38" s="186">
        <v>0</v>
      </c>
      <c r="R38" s="186">
        <v>0</v>
      </c>
      <c r="S38" s="186">
        <v>0</v>
      </c>
      <c r="T38" s="186">
        <v>0</v>
      </c>
      <c r="U38" s="186">
        <v>0</v>
      </c>
      <c r="V38" s="186">
        <v>0</v>
      </c>
      <c r="W38" s="186">
        <v>0</v>
      </c>
      <c r="X38" s="186">
        <v>0</v>
      </c>
      <c r="Y38" s="186">
        <v>0</v>
      </c>
      <c r="Z38" s="186">
        <v>0</v>
      </c>
      <c r="AA38" s="186">
        <v>0</v>
      </c>
      <c r="AB38" s="186">
        <v>0</v>
      </c>
      <c r="AC38" s="186">
        <v>0</v>
      </c>
      <c r="AD38" s="829">
        <v>0</v>
      </c>
      <c r="AE38" s="829">
        <v>0</v>
      </c>
      <c r="AF38" s="829">
        <v>0</v>
      </c>
      <c r="AG38" s="829">
        <v>0</v>
      </c>
      <c r="AH38" s="829">
        <v>0</v>
      </c>
      <c r="AI38" s="1250">
        <v>0</v>
      </c>
      <c r="AJ38" s="1250"/>
    </row>
    <row r="39" spans="2:36" ht="15.5" thickBot="1"/>
    <row r="40" spans="2:36" ht="15.5" thickBot="1">
      <c r="B40" s="480" t="s">
        <v>139</v>
      </c>
      <c r="C40" s="219">
        <v>1990</v>
      </c>
      <c r="D40" s="114">
        <v>1991</v>
      </c>
      <c r="E40" s="114">
        <v>1992</v>
      </c>
      <c r="F40" s="114">
        <v>1993</v>
      </c>
      <c r="G40" s="114">
        <v>1994</v>
      </c>
      <c r="H40" s="114">
        <v>1995</v>
      </c>
      <c r="I40" s="114">
        <v>1996</v>
      </c>
      <c r="J40" s="114">
        <v>1997</v>
      </c>
      <c r="K40" s="114">
        <v>1998</v>
      </c>
      <c r="L40" s="114">
        <v>1999</v>
      </c>
      <c r="M40" s="114">
        <v>2000</v>
      </c>
      <c r="N40" s="114">
        <v>2001</v>
      </c>
      <c r="O40" s="114">
        <v>2002</v>
      </c>
      <c r="P40" s="114">
        <v>2003</v>
      </c>
      <c r="Q40" s="114">
        <v>2004</v>
      </c>
      <c r="R40" s="114">
        <v>2005</v>
      </c>
      <c r="S40" s="114">
        <v>2006</v>
      </c>
      <c r="T40" s="114">
        <v>2007</v>
      </c>
      <c r="U40" s="114">
        <v>2008</v>
      </c>
      <c r="V40" s="114">
        <v>2009</v>
      </c>
      <c r="W40" s="114">
        <v>2010</v>
      </c>
      <c r="X40" s="114">
        <v>2011</v>
      </c>
      <c r="Y40" s="114">
        <v>2012</v>
      </c>
      <c r="Z40" s="114">
        <v>2013</v>
      </c>
      <c r="AA40" s="114">
        <v>2014</v>
      </c>
      <c r="AB40" s="114">
        <v>2015</v>
      </c>
      <c r="AC40" s="114">
        <v>2016</v>
      </c>
      <c r="AD40" s="114">
        <v>2017</v>
      </c>
      <c r="AE40" s="114">
        <v>2018</v>
      </c>
      <c r="AF40" s="114">
        <v>2019</v>
      </c>
      <c r="AG40" s="114">
        <v>2020</v>
      </c>
      <c r="AH40" s="114">
        <v>2021</v>
      </c>
      <c r="AI40" s="114">
        <v>2022</v>
      </c>
      <c r="AJ40" s="114">
        <v>2023</v>
      </c>
    </row>
    <row r="41" spans="2:36">
      <c r="B41" s="100" t="s">
        <v>140</v>
      </c>
      <c r="C41" s="1748" t="s">
        <v>141</v>
      </c>
      <c r="D41" s="1748"/>
      <c r="E41" s="1748"/>
      <c r="F41" s="1748"/>
      <c r="G41" s="1748"/>
      <c r="H41" s="1748"/>
      <c r="I41" s="1748"/>
      <c r="J41" s="806">
        <v>2355538</v>
      </c>
      <c r="K41" s="806">
        <v>1903421</v>
      </c>
      <c r="L41" s="806">
        <v>2654629</v>
      </c>
      <c r="M41" s="806">
        <v>2391145</v>
      </c>
      <c r="N41" s="806">
        <v>3186740</v>
      </c>
      <c r="O41" s="806">
        <v>4235913</v>
      </c>
      <c r="P41" s="806">
        <v>3755639</v>
      </c>
      <c r="Q41" s="806">
        <v>4097265</v>
      </c>
      <c r="R41" s="806">
        <v>4126382</v>
      </c>
      <c r="S41" s="806">
        <v>4795806</v>
      </c>
      <c r="T41" s="806">
        <v>5003485</v>
      </c>
      <c r="U41" s="806">
        <v>4165944</v>
      </c>
      <c r="V41" s="806">
        <v>4277462</v>
      </c>
      <c r="W41" s="806">
        <v>3904652</v>
      </c>
      <c r="X41" s="806">
        <v>3187876</v>
      </c>
      <c r="Y41" s="806">
        <v>2063940</v>
      </c>
      <c r="Z41" s="806">
        <v>2332840</v>
      </c>
      <c r="AA41" s="806">
        <v>2809472</v>
      </c>
      <c r="AB41" s="806">
        <v>2898350</v>
      </c>
      <c r="AC41" s="806">
        <v>1085590</v>
      </c>
      <c r="AD41" s="806">
        <v>658643</v>
      </c>
      <c r="AE41" s="806">
        <v>1497007</v>
      </c>
      <c r="AF41" s="806">
        <v>2575358</v>
      </c>
      <c r="AG41" s="806">
        <v>1790025</v>
      </c>
      <c r="AH41" s="806">
        <v>1271260</v>
      </c>
      <c r="AI41" s="806">
        <v>1435086</v>
      </c>
      <c r="AJ41" s="806"/>
    </row>
    <row r="42" spans="2:36">
      <c r="B42" s="100" t="s">
        <v>142</v>
      </c>
      <c r="C42" s="90">
        <v>1279</v>
      </c>
      <c r="D42" s="90">
        <v>1571</v>
      </c>
      <c r="E42" s="90">
        <v>1832</v>
      </c>
      <c r="F42" s="90">
        <v>2325</v>
      </c>
      <c r="G42" s="90">
        <v>1861</v>
      </c>
      <c r="H42" s="90">
        <v>1920</v>
      </c>
      <c r="I42" s="90">
        <v>2186</v>
      </c>
      <c r="J42" s="796">
        <f t="shared" ref="J42:AC42" si="1">J41*$B$44/1000</f>
        <v>2442.6929059999998</v>
      </c>
      <c r="K42" s="796">
        <f t="shared" si="1"/>
        <v>1973.8475769999998</v>
      </c>
      <c r="L42" s="796">
        <f t="shared" si="1"/>
        <v>2752.8502729999996</v>
      </c>
      <c r="M42" s="796">
        <f t="shared" si="1"/>
        <v>2479.6173649999996</v>
      </c>
      <c r="N42" s="796">
        <f t="shared" si="1"/>
        <v>3304.6493799999998</v>
      </c>
      <c r="O42" s="796">
        <f t="shared" si="1"/>
        <v>4392.6417809999994</v>
      </c>
      <c r="P42" s="796">
        <f t="shared" si="1"/>
        <v>3894.5976429999996</v>
      </c>
      <c r="Q42" s="796">
        <f t="shared" si="1"/>
        <v>4248.863805</v>
      </c>
      <c r="R42" s="796">
        <f t="shared" si="1"/>
        <v>4279.0581339999999</v>
      </c>
      <c r="S42" s="796">
        <f t="shared" si="1"/>
        <v>4973.250822</v>
      </c>
      <c r="T42" s="796">
        <f t="shared" si="1"/>
        <v>5188.6139449999991</v>
      </c>
      <c r="U42" s="796">
        <f t="shared" si="1"/>
        <v>4320.0839279999991</v>
      </c>
      <c r="V42" s="796">
        <f t="shared" si="1"/>
        <v>4435.7280939999991</v>
      </c>
      <c r="W42" s="796">
        <f t="shared" si="1"/>
        <v>4049.1241239999999</v>
      </c>
      <c r="X42" s="796">
        <f t="shared" si="1"/>
        <v>3305.8274119999996</v>
      </c>
      <c r="Y42" s="796">
        <f t="shared" si="1"/>
        <v>2140.3057799999997</v>
      </c>
      <c r="Z42" s="796">
        <f t="shared" si="1"/>
        <v>2419.1550799999995</v>
      </c>
      <c r="AA42" s="796">
        <f t="shared" si="1"/>
        <v>2913.4224639999998</v>
      </c>
      <c r="AB42" s="796">
        <f t="shared" si="1"/>
        <v>3005.5889499999998</v>
      </c>
      <c r="AC42" s="796">
        <f t="shared" si="1"/>
        <v>1125.7568299999998</v>
      </c>
      <c r="AD42" s="796">
        <f t="shared" ref="AD42:AI42" si="2">AD41*$B$44/1000</f>
        <v>683.01279099999999</v>
      </c>
      <c r="AE42" s="796">
        <f t="shared" si="2"/>
        <v>1552.3962589999999</v>
      </c>
      <c r="AF42" s="796">
        <f t="shared" si="2"/>
        <v>2670.6462459999998</v>
      </c>
      <c r="AG42" s="796">
        <f t="shared" si="2"/>
        <v>1856.2559249999997</v>
      </c>
      <c r="AH42" s="796">
        <f t="shared" si="2"/>
        <v>1318.2966199999998</v>
      </c>
      <c r="AI42" s="796">
        <f t="shared" si="2"/>
        <v>1488.1841819999997</v>
      </c>
      <c r="AJ42" s="796"/>
    </row>
    <row r="43" spans="2:36">
      <c r="B43" s="795" t="s">
        <v>910</v>
      </c>
      <c r="C43" s="443">
        <f t="shared" ref="C43:AC43" si="3">C42*$B$45</f>
        <v>6.7857230316333325E-2</v>
      </c>
      <c r="D43" s="443">
        <f t="shared" si="3"/>
        <v>8.3349264133666667E-2</v>
      </c>
      <c r="E43" s="443">
        <f t="shared" si="3"/>
        <v>9.7196595730666663E-2</v>
      </c>
      <c r="F43" s="443">
        <f t="shared" si="3"/>
        <v>0.12335266652499999</v>
      </c>
      <c r="G43" s="443">
        <f t="shared" si="3"/>
        <v>9.8735188130333329E-2</v>
      </c>
      <c r="H43" s="443">
        <f t="shared" si="3"/>
        <v>0.10186542783999999</v>
      </c>
      <c r="I43" s="443">
        <f t="shared" si="3"/>
        <v>0.11597803398866666</v>
      </c>
      <c r="J43" s="443">
        <f t="shared" si="3"/>
        <v>0.1295968530996994</v>
      </c>
      <c r="K43" s="443">
        <f t="shared" si="3"/>
        <v>0.10472230620940225</v>
      </c>
      <c r="L43" s="443">
        <f t="shared" si="3"/>
        <v>0.14605222439510715</v>
      </c>
      <c r="M43" s="443">
        <f t="shared" si="3"/>
        <v>0.13155587696105125</v>
      </c>
      <c r="N43" s="443">
        <f t="shared" si="3"/>
        <v>0.17532787653900558</v>
      </c>
      <c r="O43" s="443">
        <f t="shared" si="3"/>
        <v>0.23305121581740859</v>
      </c>
      <c r="P43" s="443">
        <f t="shared" si="3"/>
        <v>0.20662752873377632</v>
      </c>
      <c r="Q43" s="443">
        <f t="shared" si="3"/>
        <v>0.22542308819282048</v>
      </c>
      <c r="R43" s="443">
        <f t="shared" si="3"/>
        <v>0.22702504561049064</v>
      </c>
      <c r="S43" s="443">
        <f t="shared" si="3"/>
        <v>0.26385537642638629</v>
      </c>
      <c r="T43" s="443">
        <f t="shared" si="3"/>
        <v>0.27528144760625789</v>
      </c>
      <c r="U43" s="443">
        <f t="shared" si="3"/>
        <v>0.22920166543251438</v>
      </c>
      <c r="V43" s="443">
        <f t="shared" si="3"/>
        <v>0.23533715629021751</v>
      </c>
      <c r="W43" s="443">
        <f t="shared" si="3"/>
        <v>0.21482591732735687</v>
      </c>
      <c r="X43" s="443">
        <f t="shared" si="3"/>
        <v>0.17539037692113535</v>
      </c>
      <c r="Y43" s="443">
        <f t="shared" si="3"/>
        <v>0.11355373124381503</v>
      </c>
      <c r="Z43" s="443">
        <f t="shared" si="3"/>
        <v>0.12834805585182779</v>
      </c>
      <c r="AA43" s="443">
        <f t="shared" si="3"/>
        <v>0.15457136759063902</v>
      </c>
      <c r="AB43" s="443">
        <f t="shared" si="3"/>
        <v>0.15946125224110747</v>
      </c>
      <c r="AC43" s="443">
        <f t="shared" si="3"/>
        <v>5.9726927672787561E-2</v>
      </c>
      <c r="AD43" s="443">
        <f t="shared" ref="AD43:AI43" si="4">AD42*$B$45</f>
        <v>3.6237182383024737E-2</v>
      </c>
      <c r="AE43" s="443">
        <f t="shared" si="4"/>
        <v>8.2362244323047104E-2</v>
      </c>
      <c r="AF43" s="443">
        <f t="shared" si="4"/>
        <v>0.14169089711358326</v>
      </c>
      <c r="AG43" s="443">
        <f t="shared" si="4"/>
        <v>9.8483491656593702E-2</v>
      </c>
      <c r="AH43" s="443">
        <f t="shared" si="4"/>
        <v>6.9942108966836392E-2</v>
      </c>
      <c r="AI43" s="443">
        <f t="shared" si="4"/>
        <v>7.8955478335494989E-2</v>
      </c>
      <c r="AJ43" s="443"/>
    </row>
    <row r="44" spans="2:36">
      <c r="B44" s="90">
        <v>1.0369999999999999</v>
      </c>
      <c r="C44" s="90" t="s">
        <v>143</v>
      </c>
    </row>
    <row r="45" spans="2:36">
      <c r="B45" s="90">
        <f>(31.9)*1000*(1/2000)*(0.90718/1000000)*(44/12)</f>
        <v>5.305491033333333E-5</v>
      </c>
      <c r="C45" s="90" t="s">
        <v>144</v>
      </c>
      <c r="I45" s="212"/>
      <c r="J45" s="212"/>
      <c r="K45" s="212"/>
    </row>
    <row r="46" spans="2:36">
      <c r="C46" s="90" t="s">
        <v>145</v>
      </c>
      <c r="I46" s="212"/>
      <c r="J46" s="212"/>
      <c r="K46" s="212"/>
    </row>
    <row r="47" spans="2:36">
      <c r="I47" s="212"/>
      <c r="J47" s="212"/>
      <c r="K47" s="212"/>
    </row>
    <row r="48" spans="2:36" ht="15.5" thickBot="1">
      <c r="AG48" s="216"/>
    </row>
    <row r="49" spans="2:36" customFormat="1" ht="15.5" thickBot="1">
      <c r="B49" s="1188" t="s">
        <v>146</v>
      </c>
      <c r="C49" s="219">
        <v>1990</v>
      </c>
      <c r="D49" s="114">
        <v>1991</v>
      </c>
      <c r="E49" s="114">
        <v>1992</v>
      </c>
      <c r="F49" s="114">
        <v>1993</v>
      </c>
      <c r="G49" s="114">
        <v>1994</v>
      </c>
      <c r="H49" s="114">
        <v>1995</v>
      </c>
      <c r="I49" s="114">
        <v>1996</v>
      </c>
      <c r="J49" s="114">
        <v>1997</v>
      </c>
      <c r="K49" s="114">
        <v>1998</v>
      </c>
      <c r="L49" s="114">
        <v>1999</v>
      </c>
      <c r="M49" s="114">
        <v>2000</v>
      </c>
      <c r="N49" s="114">
        <v>2001</v>
      </c>
      <c r="O49" s="114">
        <v>2002</v>
      </c>
      <c r="P49" s="114">
        <v>2003</v>
      </c>
      <c r="Q49" s="114">
        <v>2004</v>
      </c>
      <c r="R49" s="114">
        <v>2005</v>
      </c>
      <c r="S49" s="114">
        <v>2006</v>
      </c>
      <c r="T49" s="114">
        <v>2007</v>
      </c>
      <c r="U49" s="114">
        <v>2008</v>
      </c>
      <c r="V49" s="114">
        <v>2009</v>
      </c>
      <c r="W49" s="114">
        <v>2010</v>
      </c>
      <c r="X49" s="114">
        <v>2011</v>
      </c>
      <c r="Y49" s="114">
        <v>2012</v>
      </c>
      <c r="Z49" s="114">
        <v>2013</v>
      </c>
      <c r="AA49" s="114">
        <v>2014</v>
      </c>
      <c r="AB49" s="114">
        <v>2015</v>
      </c>
      <c r="AC49" s="114">
        <v>2016</v>
      </c>
      <c r="AD49" s="114">
        <v>2017</v>
      </c>
      <c r="AE49" s="114">
        <v>2018</v>
      </c>
      <c r="AF49" s="114">
        <v>2019</v>
      </c>
      <c r="AG49" s="114">
        <v>2020</v>
      </c>
      <c r="AH49" s="114">
        <v>2021</v>
      </c>
      <c r="AI49" s="114">
        <v>2022</v>
      </c>
      <c r="AJ49" s="114">
        <v>2023</v>
      </c>
    </row>
    <row r="50" spans="2:36" customFormat="1">
      <c r="B50" s="100" t="s">
        <v>147</v>
      </c>
      <c r="C50" s="1187"/>
      <c r="D50" s="1495"/>
      <c r="E50" s="1495"/>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1495"/>
      <c r="AB50" s="1495"/>
      <c r="AC50" s="1495"/>
      <c r="AD50" s="1190" t="s">
        <v>148</v>
      </c>
      <c r="AE50" s="806">
        <v>19759</v>
      </c>
      <c r="AF50" s="806">
        <v>38970</v>
      </c>
      <c r="AG50" s="806">
        <v>68111</v>
      </c>
      <c r="AH50" s="806">
        <v>118958</v>
      </c>
      <c r="AI50" s="806">
        <v>93716</v>
      </c>
      <c r="AJ50" s="1521"/>
    </row>
    <row r="51" spans="2:36" customFormat="1">
      <c r="B51" s="100" t="s">
        <v>149</v>
      </c>
      <c r="C51" s="1186"/>
      <c r="D51" s="1186"/>
      <c r="E51" s="1186"/>
      <c r="F51" s="1186"/>
      <c r="G51" s="1186"/>
      <c r="H51" s="1186"/>
      <c r="I51" s="1186"/>
      <c r="J51" s="1186"/>
      <c r="K51" s="1186"/>
      <c r="L51" s="1186"/>
      <c r="M51" s="1186"/>
      <c r="N51" s="1186"/>
      <c r="O51" s="1186"/>
      <c r="P51" s="1186"/>
      <c r="Q51" s="1186"/>
      <c r="R51" s="1186"/>
      <c r="S51" s="1186"/>
      <c r="T51" s="1186"/>
      <c r="U51" s="1186"/>
      <c r="V51" s="1186"/>
      <c r="W51" s="1186"/>
      <c r="X51" s="1186"/>
      <c r="Y51" s="1186"/>
      <c r="Z51" s="1186"/>
      <c r="AA51" s="1186"/>
      <c r="AB51" s="1186"/>
      <c r="AC51" s="1186"/>
      <c r="AD51" s="1186"/>
      <c r="AE51" s="806">
        <f>AE50*$B$54</f>
        <v>13172.666666666666</v>
      </c>
      <c r="AF51" s="806">
        <f>AF50*$B$54</f>
        <v>25980</v>
      </c>
      <c r="AG51" s="806">
        <f>AG50*$B$54</f>
        <v>45407.333333333328</v>
      </c>
      <c r="AH51" s="806">
        <f>AH50*$B$54</f>
        <v>79305.333333333328</v>
      </c>
      <c r="AI51" s="806">
        <f>AI50*$B$54</f>
        <v>62477.333333333328</v>
      </c>
      <c r="AJ51" s="806"/>
    </row>
    <row r="52" spans="2:36" customFormat="1">
      <c r="B52" s="100" t="s">
        <v>150</v>
      </c>
      <c r="C52" s="1186"/>
      <c r="D52" s="1186"/>
      <c r="E52" s="1186"/>
      <c r="F52" s="1186"/>
      <c r="G52" s="1186"/>
      <c r="H52" s="1186"/>
      <c r="I52" s="1186"/>
      <c r="J52" s="1186"/>
      <c r="K52" s="1186"/>
      <c r="L52" s="1186"/>
      <c r="M52" s="1186"/>
      <c r="N52" s="1186"/>
      <c r="O52" s="1186"/>
      <c r="P52" s="1186"/>
      <c r="Q52" s="1186"/>
      <c r="R52" s="1186"/>
      <c r="S52" s="1186"/>
      <c r="T52" s="1186"/>
      <c r="U52" s="1186"/>
      <c r="V52" s="1186"/>
      <c r="W52" s="1186"/>
      <c r="X52" s="1186"/>
      <c r="Y52" s="1186"/>
      <c r="Z52" s="1186"/>
      <c r="AA52" s="1186"/>
      <c r="AB52" s="1186"/>
      <c r="AC52" s="1186"/>
      <c r="AD52" s="1186"/>
      <c r="AE52" s="796">
        <f>AE51*$B$55/1000</f>
        <v>87.861686666666657</v>
      </c>
      <c r="AF52" s="796">
        <f>AF51*$B$55/1000</f>
        <v>173.28659999999999</v>
      </c>
      <c r="AG52" s="796">
        <f>AG51*$B$55/1000</f>
        <v>302.86691333333329</v>
      </c>
      <c r="AH52" s="796">
        <f>AH51*$B$55/1000</f>
        <v>528.96657333333326</v>
      </c>
      <c r="AI52" s="796">
        <f>AI51*$B$55/1000</f>
        <v>416.72381333333328</v>
      </c>
      <c r="AJ52" s="796"/>
    </row>
    <row r="53" spans="2:36" customFormat="1">
      <c r="B53" s="795" t="s">
        <v>910</v>
      </c>
      <c r="C53" s="1186"/>
      <c r="D53" s="1186"/>
      <c r="E53" s="1186"/>
      <c r="F53" s="1186"/>
      <c r="G53" s="1186"/>
      <c r="H53" s="1186"/>
      <c r="I53" s="1186"/>
      <c r="J53" s="1186"/>
      <c r="K53" s="1186"/>
      <c r="L53" s="1186"/>
      <c r="M53" s="1186"/>
      <c r="N53" s="1186"/>
      <c r="O53" s="1186"/>
      <c r="P53" s="1186"/>
      <c r="Q53" s="1186"/>
      <c r="R53" s="1186"/>
      <c r="S53" s="1186"/>
      <c r="T53" s="1186"/>
      <c r="U53" s="1186"/>
      <c r="V53" s="1186"/>
      <c r="W53" s="1186"/>
      <c r="X53" s="1186"/>
      <c r="Y53" s="1186"/>
      <c r="Z53" s="1186"/>
      <c r="AA53" s="1186"/>
      <c r="AB53" s="1186"/>
      <c r="AC53" s="1186"/>
      <c r="AD53" s="1186"/>
      <c r="AE53" s="1189">
        <f>AE51*$B$56*0.90718474/2000/1000000</f>
        <v>4.4567682329355309E-3</v>
      </c>
      <c r="AF53" s="1189">
        <f>AF51*$B$56*0.90718474/2000/1000000</f>
        <v>8.7899315773823424E-3</v>
      </c>
      <c r="AG53" s="1189">
        <f>AG51*$B$56*0.90718474/2000/1000000</f>
        <v>1.5362869634772607E-2</v>
      </c>
      <c r="AH53" s="1189">
        <f>AH51*$B$56*0.90718474/2000/1000000</f>
        <v>2.6831734169418742E-2</v>
      </c>
      <c r="AI53" s="1189">
        <f>AI51*$B$56*0.90718474/2000/1000000</f>
        <v>2.1138240382498417E-2</v>
      </c>
      <c r="AJ53" s="1189"/>
    </row>
    <row r="54" spans="2:36" customFormat="1">
      <c r="B54" s="443">
        <f>2/3</f>
        <v>0.66666666666666663</v>
      </c>
      <c r="C54" s="90" t="s">
        <v>151</v>
      </c>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row>
    <row r="55" spans="2:36" customFormat="1">
      <c r="B55" s="90">
        <v>6.67</v>
      </c>
      <c r="C55" s="90" t="s">
        <v>152</v>
      </c>
      <c r="D55" s="90"/>
      <c r="E55" s="90"/>
      <c r="F55" s="90"/>
      <c r="G55" s="90"/>
      <c r="H55" s="90"/>
      <c r="I55" s="212"/>
      <c r="J55" s="212"/>
      <c r="K55" s="212"/>
      <c r="L55" s="90"/>
      <c r="M55" s="90"/>
      <c r="N55" s="90"/>
      <c r="O55" s="90"/>
      <c r="P55" s="90"/>
      <c r="Q55" s="90"/>
      <c r="R55" s="90"/>
      <c r="S55" s="90"/>
      <c r="T55" s="90"/>
      <c r="U55" s="90"/>
      <c r="V55" s="90"/>
      <c r="W55" s="90"/>
      <c r="X55" s="90"/>
      <c r="Y55" s="90"/>
      <c r="Z55" s="90"/>
      <c r="AA55" s="90"/>
      <c r="AB55" s="90"/>
      <c r="AC55" s="90"/>
      <c r="AD55" s="90"/>
      <c r="AE55" s="90"/>
      <c r="AF55" s="90"/>
    </row>
    <row r="56" spans="2:36" customFormat="1">
      <c r="B56" s="90">
        <v>745.9</v>
      </c>
      <c r="C56" s="90" t="s">
        <v>153</v>
      </c>
      <c r="D56" s="90"/>
      <c r="E56" s="90"/>
      <c r="F56" s="90"/>
      <c r="G56" s="90"/>
      <c r="H56" s="90"/>
      <c r="I56" s="212"/>
      <c r="J56" s="212"/>
      <c r="K56" s="212"/>
      <c r="L56" s="90"/>
      <c r="M56" s="90"/>
      <c r="N56" s="90"/>
      <c r="O56" s="90"/>
      <c r="P56" s="90"/>
      <c r="Q56" s="90"/>
      <c r="R56" s="90"/>
      <c r="S56" s="90"/>
      <c r="T56" s="90"/>
      <c r="U56" s="90"/>
      <c r="V56" s="90"/>
      <c r="W56" s="90"/>
      <c r="X56" s="90"/>
      <c r="Y56" s="90"/>
      <c r="Z56" s="90"/>
      <c r="AA56" s="90"/>
      <c r="AB56" s="90"/>
      <c r="AC56" s="90"/>
      <c r="AD56" s="90"/>
      <c r="AE56" s="90"/>
      <c r="AF56" s="90"/>
    </row>
    <row r="57" spans="2:36" customFormat="1">
      <c r="C57" s="90" t="s">
        <v>154</v>
      </c>
    </row>
    <row r="58" spans="2:36">
      <c r="C58" s="90" t="s">
        <v>155</v>
      </c>
    </row>
  </sheetData>
  <mergeCells count="1">
    <mergeCell ref="C41:I41"/>
  </mergeCells>
  <phoneticPr fontId="43" type="noConversion"/>
  <conditionalFormatting sqref="B3">
    <cfRule type="cellIs" dxfId="40" priority="2" stopIfTrue="1" operator="equal">
      <formula>0</formula>
    </cfRule>
    <cfRule type="cellIs" dxfId="39" priority="3" stopIfTrue="1" operator="notEqual">
      <formula>0</formula>
    </cfRule>
  </conditionalFormatting>
  <conditionalFormatting sqref="B2:O2 Q2:R2">
    <cfRule type="cellIs" dxfId="38" priority="6" stopIfTrue="1" operator="equal">
      <formula>0</formula>
    </cfRule>
    <cfRule type="cellIs" dxfId="37" priority="7" stopIfTrue="1" operator="notEqual">
      <formula>0</formula>
    </cfRule>
  </conditionalFormatting>
  <hyperlinks>
    <hyperlink ref="C57" r:id="rId1" display="https://www.epa.gov/sites/production/files/2015-07/documents/catalog_of_chp_technologies_section_6._technology_characterization_-_fuel_cells.pdf" xr:uid="{AF3715BC-B03C-4ADB-870C-37E99109C52F}"/>
  </hyperlinks>
  <pageMargins left="0" right="0" top="0" bottom="0" header="0.3" footer="0.3"/>
  <pageSetup scale="48" orientation="landscape" r:id="rId2"/>
  <headerFooter>
    <oddFooter>&amp;L&amp;F &amp;A&amp;RPage &amp;P of &amp;N</oddFooter>
  </headerFooter>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S62"/>
  <sheetViews>
    <sheetView zoomScaleNormal="100" workbookViewId="0"/>
  </sheetViews>
  <sheetFormatPr defaultColWidth="8.81640625" defaultRowHeight="14.5"/>
  <cols>
    <col min="1" max="1" width="6" customWidth="1"/>
    <col min="2" max="2" width="26.453125" bestFit="1" customWidth="1"/>
    <col min="3" max="3" width="9.54296875" customWidth="1"/>
    <col min="4" max="16" width="7.453125" bestFit="1" customWidth="1"/>
    <col min="17" max="17" width="7.1796875" bestFit="1" customWidth="1"/>
    <col min="18" max="20" width="7.453125" bestFit="1" customWidth="1"/>
    <col min="21" max="21" width="7.1796875" bestFit="1" customWidth="1"/>
    <col min="22" max="28" width="7.453125" bestFit="1" customWidth="1"/>
    <col min="29" max="29" width="9.54296875" bestFit="1" customWidth="1"/>
    <col min="30" max="30" width="7.81640625" bestFit="1" customWidth="1"/>
  </cols>
  <sheetData>
    <row r="1" spans="1:45" ht="21.5">
      <c r="B1" s="91" t="s">
        <v>156</v>
      </c>
      <c r="C1" s="90"/>
      <c r="D1" s="90"/>
      <c r="E1" s="90"/>
      <c r="F1" s="91"/>
      <c r="G1" s="90"/>
      <c r="H1" s="90"/>
      <c r="I1" s="90"/>
      <c r="J1" s="90"/>
      <c r="K1" s="215"/>
      <c r="L1" s="90"/>
      <c r="M1" s="1665"/>
      <c r="N1" s="90"/>
      <c r="O1" s="549"/>
      <c r="P1" s="4"/>
      <c r="Q1" s="218"/>
      <c r="R1" s="90"/>
      <c r="S1" s="90"/>
      <c r="T1" s="90"/>
      <c r="U1" s="90"/>
      <c r="V1" s="91"/>
      <c r="W1" s="235"/>
    </row>
    <row r="2" spans="1:45" ht="15">
      <c r="A2" s="90"/>
      <c r="C2" s="279"/>
      <c r="D2" s="1629"/>
      <c r="E2" s="279"/>
      <c r="F2" s="279"/>
      <c r="G2" s="99"/>
      <c r="H2" s="99"/>
      <c r="I2" s="99"/>
      <c r="J2" s="99"/>
      <c r="K2" s="99"/>
      <c r="L2" s="99"/>
      <c r="M2" s="99"/>
      <c r="N2" s="99"/>
      <c r="P2" s="217"/>
      <c r="Q2" s="217"/>
      <c r="R2" s="217"/>
      <c r="S2" s="217"/>
      <c r="T2" s="217"/>
      <c r="U2" s="217"/>
      <c r="V2" s="217"/>
      <c r="W2" s="217"/>
    </row>
    <row r="3" spans="1:45" ht="32.25" customHeight="1">
      <c r="A3" s="91"/>
      <c r="B3" s="1749" t="s">
        <v>157</v>
      </c>
      <c r="C3" s="1750"/>
      <c r="D3" s="1750"/>
      <c r="E3" s="1750"/>
      <c r="F3" s="1750"/>
      <c r="G3" s="1750"/>
      <c r="H3" s="1750"/>
      <c r="I3" s="1750"/>
      <c r="J3" s="1750"/>
      <c r="K3" s="1750"/>
      <c r="L3" s="1750"/>
      <c r="M3" s="1750"/>
      <c r="N3" s="1750"/>
      <c r="O3" s="1750"/>
      <c r="P3" s="1750"/>
      <c r="Q3" s="1750"/>
      <c r="R3" s="1751"/>
      <c r="S3" s="216"/>
      <c r="T3" s="216"/>
      <c r="U3" s="216"/>
      <c r="V3" s="216"/>
    </row>
    <row r="4" spans="1:45" ht="15.5" thickBot="1">
      <c r="A4" s="90"/>
      <c r="B4" s="649" t="s">
        <v>158</v>
      </c>
      <c r="C4" s="1546"/>
      <c r="E4" s="99"/>
      <c r="F4" s="99"/>
      <c r="G4" s="99"/>
      <c r="H4" s="99"/>
      <c r="I4" s="99"/>
      <c r="J4" s="99"/>
      <c r="K4" s="99"/>
      <c r="L4" s="99"/>
      <c r="M4" s="99"/>
      <c r="N4" s="99"/>
      <c r="O4" s="217"/>
      <c r="P4" s="217"/>
      <c r="Q4" s="217"/>
      <c r="R4" s="217"/>
      <c r="S4" s="217"/>
      <c r="T4" s="217"/>
      <c r="U4" s="217"/>
      <c r="V4" s="242"/>
      <c r="W4" s="242"/>
      <c r="X4" s="242"/>
      <c r="Y4" s="242"/>
      <c r="AB4" s="785"/>
      <c r="AC4" s="216"/>
      <c r="AD4" s="216"/>
      <c r="AE4" s="216"/>
      <c r="AF4" s="216"/>
      <c r="AG4" s="216"/>
      <c r="AH4" s="234"/>
      <c r="AI4" s="234" t="s">
        <v>0</v>
      </c>
    </row>
    <row r="5" spans="1:45" ht="15.5" thickBot="1">
      <c r="A5" s="90"/>
      <c r="B5" s="93" t="s">
        <v>126</v>
      </c>
      <c r="C5" s="219">
        <v>1990</v>
      </c>
      <c r="D5" s="114">
        <v>1991</v>
      </c>
      <c r="E5" s="114">
        <v>1992</v>
      </c>
      <c r="F5" s="114">
        <v>1993</v>
      </c>
      <c r="G5" s="114">
        <v>1994</v>
      </c>
      <c r="H5" s="114">
        <v>1995</v>
      </c>
      <c r="I5" s="114">
        <v>1996</v>
      </c>
      <c r="J5" s="114">
        <v>1997</v>
      </c>
      <c r="K5" s="114">
        <v>1998</v>
      </c>
      <c r="L5" s="114">
        <v>1999</v>
      </c>
      <c r="M5" s="114">
        <v>2000</v>
      </c>
      <c r="N5" s="226">
        <v>2001</v>
      </c>
      <c r="O5" s="226">
        <v>2002</v>
      </c>
      <c r="P5" s="226">
        <v>2003</v>
      </c>
      <c r="Q5" s="226">
        <v>2004</v>
      </c>
      <c r="R5" s="226">
        <v>2005</v>
      </c>
      <c r="S5" s="226">
        <v>2006</v>
      </c>
      <c r="T5" s="226">
        <v>2007</v>
      </c>
      <c r="U5" s="226">
        <v>2008</v>
      </c>
      <c r="V5" s="226">
        <v>2009</v>
      </c>
      <c r="W5" s="226">
        <v>2010</v>
      </c>
      <c r="X5" s="226">
        <v>2011</v>
      </c>
      <c r="Y5" s="226">
        <v>2012</v>
      </c>
      <c r="Z5" s="226">
        <v>2013</v>
      </c>
      <c r="AA5" s="226">
        <v>2014</v>
      </c>
      <c r="AB5" s="226">
        <v>2015</v>
      </c>
      <c r="AC5" s="226">
        <v>2016</v>
      </c>
      <c r="AD5" s="226">
        <v>2017</v>
      </c>
      <c r="AE5" s="1077">
        <v>2018</v>
      </c>
      <c r="AF5" s="226">
        <v>2019</v>
      </c>
      <c r="AG5" s="1077">
        <v>2020</v>
      </c>
      <c r="AH5" s="226">
        <v>2021</v>
      </c>
      <c r="AI5" s="226">
        <v>2022</v>
      </c>
    </row>
    <row r="6" spans="1:45" ht="15">
      <c r="A6" s="90"/>
      <c r="B6" s="487" t="s">
        <v>127</v>
      </c>
      <c r="C6" s="496">
        <v>0.22146311499000002</v>
      </c>
      <c r="D6" s="497">
        <v>0.22319701900000002</v>
      </c>
      <c r="E6" s="497">
        <v>0.24130316051999998</v>
      </c>
      <c r="F6" s="497">
        <v>0.24692919239</v>
      </c>
      <c r="G6" s="497">
        <v>0.23707447088</v>
      </c>
      <c r="H6" s="497">
        <v>0.23013408961000001</v>
      </c>
      <c r="I6" s="497">
        <v>0.23386723920999997</v>
      </c>
      <c r="J6" s="497">
        <v>0.18572004491999997</v>
      </c>
      <c r="K6" s="497">
        <v>0.16721576863999998</v>
      </c>
      <c r="L6" s="497">
        <v>0.17373373315999999</v>
      </c>
      <c r="M6" s="497">
        <v>0.18965812091999998</v>
      </c>
      <c r="N6" s="497">
        <v>0.17000999552999999</v>
      </c>
      <c r="O6" s="497">
        <v>0.17220707136999999</v>
      </c>
      <c r="P6" s="497">
        <v>0.17685685159999998</v>
      </c>
      <c r="Q6" s="497">
        <v>0.17276357204999995</v>
      </c>
      <c r="R6" s="497">
        <v>9.7274136220000015E-2</v>
      </c>
      <c r="S6" s="497">
        <v>8.413005162999998E-2</v>
      </c>
      <c r="T6" s="497">
        <v>8.9182665089999988E-2</v>
      </c>
      <c r="U6" s="497">
        <v>9.4441264939999992E-2</v>
      </c>
      <c r="V6" s="497">
        <v>0.14272761473999998</v>
      </c>
      <c r="W6" s="497">
        <v>0.14839883848999999</v>
      </c>
      <c r="X6" s="497">
        <v>0.14548486553999998</v>
      </c>
      <c r="Y6" s="497">
        <v>0.12263809054999998</v>
      </c>
      <c r="Z6" s="497">
        <v>0.14760029299999999</v>
      </c>
      <c r="AA6" s="497">
        <v>0.15489765653999996</v>
      </c>
      <c r="AB6" s="497">
        <v>0.14448972190999998</v>
      </c>
      <c r="AC6" s="497">
        <v>0.11650414967999996</v>
      </c>
      <c r="AD6" s="840">
        <v>0.11989612458999997</v>
      </c>
      <c r="AE6" s="840">
        <v>0.12429810913999999</v>
      </c>
      <c r="AF6" s="840">
        <v>0.14089930074999998</v>
      </c>
      <c r="AG6" s="840">
        <v>0.10054720982999998</v>
      </c>
      <c r="AH6" s="840">
        <v>0.10709732976999997</v>
      </c>
      <c r="AI6" s="840">
        <v>0.11730430804999999</v>
      </c>
      <c r="AJ6" s="1210"/>
      <c r="AL6" s="234"/>
    </row>
    <row r="7" spans="1:45" ht="15">
      <c r="A7" s="90"/>
      <c r="B7" s="154" t="s">
        <v>30</v>
      </c>
      <c r="C7" s="227">
        <v>4.5917890239999988E-2</v>
      </c>
      <c r="D7" s="228">
        <v>4.5307249499999987E-2</v>
      </c>
      <c r="E7" s="228">
        <v>4.9714815520000004E-2</v>
      </c>
      <c r="F7" s="228">
        <v>5.0596505139999998E-2</v>
      </c>
      <c r="G7" s="228">
        <v>4.933890937999999E-2</v>
      </c>
      <c r="H7" s="228">
        <v>4.6910510359999998E-2</v>
      </c>
      <c r="I7" s="228">
        <v>4.6404565959999998E-2</v>
      </c>
      <c r="J7" s="228">
        <v>3.9758575919999997E-2</v>
      </c>
      <c r="K7" s="228">
        <v>3.615214714E-2</v>
      </c>
      <c r="L7" s="228">
        <v>3.7670826659999997E-2</v>
      </c>
      <c r="M7" s="228">
        <v>4.1927270919999989E-2</v>
      </c>
      <c r="N7" s="228">
        <v>4.0407119279999994E-2</v>
      </c>
      <c r="O7" s="228">
        <v>4.0248979619999993E-2</v>
      </c>
      <c r="P7" s="228">
        <v>4.04881276E-2</v>
      </c>
      <c r="Q7" s="228">
        <v>3.8759548799999995E-2</v>
      </c>
      <c r="R7" s="228">
        <v>2.7949312719999998E-2</v>
      </c>
      <c r="S7" s="228">
        <v>2.4074841879999993E-2</v>
      </c>
      <c r="T7" s="228">
        <v>2.4936887339999991E-2</v>
      </c>
      <c r="U7" s="228">
        <v>2.5739162939999994E-2</v>
      </c>
      <c r="V7" s="228">
        <v>3.1290560240000008E-2</v>
      </c>
      <c r="W7" s="228">
        <v>3.218798724E-2</v>
      </c>
      <c r="X7" s="228">
        <v>3.1627330039999992E-2</v>
      </c>
      <c r="Y7" s="228">
        <v>2.6598317799999993E-2</v>
      </c>
      <c r="Z7" s="228">
        <v>3.0709272499999999E-2</v>
      </c>
      <c r="AA7" s="228">
        <v>3.3115318539999994E-2</v>
      </c>
      <c r="AB7" s="228">
        <v>3.1516083659999992E-2</v>
      </c>
      <c r="AC7" s="228">
        <v>2.5265456179999993E-2</v>
      </c>
      <c r="AD7" s="841">
        <v>2.6560912839999996E-2</v>
      </c>
      <c r="AE7" s="841">
        <v>2.8106072639999997E-2</v>
      </c>
      <c r="AF7" s="841">
        <v>3.0547309499999998E-2</v>
      </c>
      <c r="AG7" s="841">
        <v>2.3770107080000002E-2</v>
      </c>
      <c r="AH7" s="841">
        <v>2.5064032019999998E-2</v>
      </c>
      <c r="AI7" s="841">
        <v>2.6406331299999999E-2</v>
      </c>
      <c r="AJ7" s="1210"/>
    </row>
    <row r="8" spans="1:45" ht="15">
      <c r="A8" s="90"/>
      <c r="B8" s="154" t="s">
        <v>28</v>
      </c>
      <c r="C8" s="227">
        <v>0.17554522475000001</v>
      </c>
      <c r="D8" s="228">
        <v>0.17788976950000002</v>
      </c>
      <c r="E8" s="228">
        <v>0.19158834499999997</v>
      </c>
      <c r="F8" s="228">
        <v>0.19633268724999997</v>
      </c>
      <c r="G8" s="228">
        <v>0.18773556150000001</v>
      </c>
      <c r="H8" s="228">
        <v>0.18322357924999999</v>
      </c>
      <c r="I8" s="228">
        <v>0.18746267324999999</v>
      </c>
      <c r="J8" s="228">
        <v>0.14596146899999998</v>
      </c>
      <c r="K8" s="228">
        <v>0.1310636215</v>
      </c>
      <c r="L8" s="228">
        <v>0.1360629065</v>
      </c>
      <c r="M8" s="228">
        <v>0.14773084999999997</v>
      </c>
      <c r="N8" s="228">
        <v>0.12960287624999997</v>
      </c>
      <c r="O8" s="228">
        <v>0.13195809174999998</v>
      </c>
      <c r="P8" s="228">
        <v>0.13636872399999997</v>
      </c>
      <c r="Q8" s="228">
        <v>0.13400402324999997</v>
      </c>
      <c r="R8" s="228">
        <v>6.9324823500000007E-2</v>
      </c>
      <c r="S8" s="228">
        <v>6.0055209749999984E-2</v>
      </c>
      <c r="T8" s="228">
        <v>6.4245777749999997E-2</v>
      </c>
      <c r="U8" s="228">
        <v>6.8702101999999987E-2</v>
      </c>
      <c r="V8" s="228">
        <v>0.11143705449999998</v>
      </c>
      <c r="W8" s="228">
        <v>0.11621085124999998</v>
      </c>
      <c r="X8" s="228">
        <v>0.11385753549999998</v>
      </c>
      <c r="Y8" s="228">
        <v>9.6039772750000016E-2</v>
      </c>
      <c r="Z8" s="228">
        <v>0.1168910205</v>
      </c>
      <c r="AA8" s="228">
        <v>0.12178233799999998</v>
      </c>
      <c r="AB8" s="228">
        <v>0.11297363824999999</v>
      </c>
      <c r="AC8" s="228">
        <v>9.1238693499999982E-2</v>
      </c>
      <c r="AD8" s="841">
        <v>9.333521174999998E-2</v>
      </c>
      <c r="AE8" s="841">
        <v>9.6192036499999981E-2</v>
      </c>
      <c r="AF8" s="841">
        <v>0.11035199124999999</v>
      </c>
      <c r="AG8" s="841">
        <v>7.6777102749999993E-2</v>
      </c>
      <c r="AH8" s="841">
        <v>8.2033297749999984E-2</v>
      </c>
      <c r="AI8" s="841">
        <v>9.0897976749999998E-2</v>
      </c>
      <c r="AJ8" s="1210"/>
    </row>
    <row r="9" spans="1:45" ht="15">
      <c r="A9" s="90"/>
      <c r="B9" s="479" t="s">
        <v>159</v>
      </c>
      <c r="C9" s="498">
        <v>5.6637423469999996E-2</v>
      </c>
      <c r="D9" s="499">
        <v>6.1309964570000007E-2</v>
      </c>
      <c r="E9" s="499">
        <v>5.9076519639999991E-2</v>
      </c>
      <c r="F9" s="499">
        <v>5.8319693030000001E-2</v>
      </c>
      <c r="G9" s="499">
        <v>5.9352809769999994E-2</v>
      </c>
      <c r="H9" s="499">
        <v>6.04764063E-2</v>
      </c>
      <c r="I9" s="499">
        <v>5.9672558659999986E-2</v>
      </c>
      <c r="J9" s="499">
        <v>5.7526248299999992E-2</v>
      </c>
      <c r="K9" s="499">
        <v>4.9716922049999994E-2</v>
      </c>
      <c r="L9" s="499">
        <v>4.3382592259999998E-2</v>
      </c>
      <c r="M9" s="499">
        <v>4.8339800660000008E-2</v>
      </c>
      <c r="N9" s="499">
        <v>3.9798255599999999E-2</v>
      </c>
      <c r="O9" s="499">
        <v>4.0673450860000002E-2</v>
      </c>
      <c r="P9" s="499">
        <v>4.8785097749999999E-2</v>
      </c>
      <c r="Q9" s="499">
        <v>4.5861672030000002E-2</v>
      </c>
      <c r="R9" s="499">
        <v>3.4333987519999991E-2</v>
      </c>
      <c r="S9" s="499">
        <v>2.5074594689999997E-2</v>
      </c>
      <c r="T9" s="499">
        <v>2.5754540579999995E-2</v>
      </c>
      <c r="U9" s="499">
        <v>2.5650203579999999E-2</v>
      </c>
      <c r="V9" s="499">
        <v>3.3656842239999998E-2</v>
      </c>
      <c r="W9" s="499">
        <v>3.8726783610000003E-2</v>
      </c>
      <c r="X9" s="499">
        <v>3.4639570329999994E-2</v>
      </c>
      <c r="Y9" s="499">
        <v>2.8163892189999998E-2</v>
      </c>
      <c r="Z9" s="499">
        <v>3.4163095220000002E-2</v>
      </c>
      <c r="AA9" s="499">
        <v>3.6068446489999996E-2</v>
      </c>
      <c r="AB9" s="499">
        <v>3.930874661E-2</v>
      </c>
      <c r="AC9" s="499">
        <v>3.5500264379999993E-2</v>
      </c>
      <c r="AD9" s="842">
        <v>3.7020561719999991E-2</v>
      </c>
      <c r="AE9" s="842">
        <v>3.6394818864271934E-2</v>
      </c>
      <c r="AF9" s="842">
        <v>3.8792532259637996E-2</v>
      </c>
      <c r="AG9" s="842">
        <v>3.5461576908448728E-2</v>
      </c>
      <c r="AH9" s="842">
        <v>3.8435587932907203E-2</v>
      </c>
      <c r="AI9" s="842">
        <v>3.9957775972306861E-2</v>
      </c>
      <c r="AJ9" s="1210"/>
    </row>
    <row r="10" spans="1:45" ht="15">
      <c r="A10" s="90"/>
      <c r="B10" s="154" t="s">
        <v>30</v>
      </c>
      <c r="C10" s="227">
        <v>1.7459787219999998E-2</v>
      </c>
      <c r="D10" s="228">
        <v>1.8995366320000002E-2</v>
      </c>
      <c r="E10" s="228">
        <v>1.7514631139999997E-2</v>
      </c>
      <c r="F10" s="228">
        <v>1.5742106279999998E-2</v>
      </c>
      <c r="G10" s="228">
        <v>1.5752128019999995E-2</v>
      </c>
      <c r="H10" s="228">
        <v>1.6254365299999997E-2</v>
      </c>
      <c r="I10" s="228">
        <v>1.5220326159999999E-2</v>
      </c>
      <c r="J10" s="228">
        <v>1.48171113E-2</v>
      </c>
      <c r="K10" s="228">
        <v>1.2826024299999997E-2</v>
      </c>
      <c r="L10" s="228">
        <v>1.0733101759999997E-2</v>
      </c>
      <c r="M10" s="228">
        <v>1.244028416E-2</v>
      </c>
      <c r="N10" s="228">
        <v>9.7886890999999993E-3</v>
      </c>
      <c r="O10" s="228">
        <v>1.0195867359999998E-2</v>
      </c>
      <c r="P10" s="228">
        <v>1.3343843999999999E-2</v>
      </c>
      <c r="Q10" s="228">
        <v>1.2382007279999998E-2</v>
      </c>
      <c r="R10" s="228">
        <v>1.1187289519999997E-2</v>
      </c>
      <c r="S10" s="99">
        <v>7.4868864399999999E-3</v>
      </c>
      <c r="T10" s="99">
        <v>7.3917290800000002E-3</v>
      </c>
      <c r="U10" s="99">
        <v>6.8306695799999978E-3</v>
      </c>
      <c r="V10" s="99">
        <v>8.2027867400000006E-3</v>
      </c>
      <c r="W10" s="99">
        <v>1.033115936E-2</v>
      </c>
      <c r="X10" s="99">
        <v>8.4491075799999985E-3</v>
      </c>
      <c r="Y10" s="99">
        <v>6.4104359399999996E-3</v>
      </c>
      <c r="Z10" s="99">
        <v>7.5381752199999985E-3</v>
      </c>
      <c r="AA10" s="99">
        <v>8.0191442399999997E-3</v>
      </c>
      <c r="AB10" s="99">
        <v>9.1615838599999992E-3</v>
      </c>
      <c r="AC10" s="99">
        <v>7.7054783799999985E-3</v>
      </c>
      <c r="AD10" s="843">
        <v>8.0960312199999992E-3</v>
      </c>
      <c r="AE10" s="843">
        <v>8.1523181895635996E-3</v>
      </c>
      <c r="AF10" s="843">
        <v>8.5436552933880004E-3</v>
      </c>
      <c r="AG10" s="843">
        <v>7.7890382802403985E-3</v>
      </c>
      <c r="AH10" s="843">
        <v>8.9372372439071989E-3</v>
      </c>
      <c r="AI10" s="843">
        <v>9.2624409847651985E-3</v>
      </c>
      <c r="AJ10" s="1210"/>
    </row>
    <row r="11" spans="1:45" ht="15">
      <c r="A11" s="90"/>
      <c r="B11" s="154" t="s">
        <v>28</v>
      </c>
      <c r="C11" s="227">
        <v>3.9177636249999995E-2</v>
      </c>
      <c r="D11" s="228">
        <v>4.2314598250000002E-2</v>
      </c>
      <c r="E11" s="228">
        <v>4.1561888499999998E-2</v>
      </c>
      <c r="F11" s="228">
        <v>4.257758675E-2</v>
      </c>
      <c r="G11" s="228">
        <v>4.3600681750000002E-2</v>
      </c>
      <c r="H11" s="228">
        <v>4.4222040999999997E-2</v>
      </c>
      <c r="I11" s="228">
        <v>4.4452232499999994E-2</v>
      </c>
      <c r="J11" s="228">
        <v>4.2709136999999987E-2</v>
      </c>
      <c r="K11" s="228">
        <v>3.6890897749999998E-2</v>
      </c>
      <c r="L11" s="228">
        <v>3.2649490499999996E-2</v>
      </c>
      <c r="M11" s="228">
        <v>3.5899516500000006E-2</v>
      </c>
      <c r="N11" s="228">
        <v>3.0009566499999998E-2</v>
      </c>
      <c r="O11" s="228">
        <v>3.0477583499999999E-2</v>
      </c>
      <c r="P11" s="228">
        <v>3.5441253749999992E-2</v>
      </c>
      <c r="Q11" s="228">
        <v>3.3479664750000006E-2</v>
      </c>
      <c r="R11" s="228">
        <v>2.3146697999999997E-2</v>
      </c>
      <c r="S11" s="99">
        <v>1.758770825E-2</v>
      </c>
      <c r="T11" s="99">
        <v>1.8362811499999996E-2</v>
      </c>
      <c r="U11" s="99">
        <v>1.8819533999999999E-2</v>
      </c>
      <c r="V11" s="99">
        <v>2.5454055499999999E-2</v>
      </c>
      <c r="W11" s="99">
        <v>2.8395624250000001E-2</v>
      </c>
      <c r="X11" s="99">
        <v>2.6190462749999994E-2</v>
      </c>
      <c r="Y11" s="99">
        <v>2.1753456249999997E-2</v>
      </c>
      <c r="Z11" s="99">
        <v>2.6624919999999996E-2</v>
      </c>
      <c r="AA11" s="99">
        <v>2.8049302249999995E-2</v>
      </c>
      <c r="AB11" s="99">
        <v>3.0147162749999998E-2</v>
      </c>
      <c r="AC11" s="99">
        <v>2.7794785999999998E-2</v>
      </c>
      <c r="AD11" s="843">
        <v>2.8924530499999993E-2</v>
      </c>
      <c r="AE11" s="843">
        <v>2.8242500674708331E-2</v>
      </c>
      <c r="AF11" s="843">
        <v>3.0248876966250001E-2</v>
      </c>
      <c r="AG11" s="843">
        <v>2.7672538628208329E-2</v>
      </c>
      <c r="AH11" s="843">
        <v>2.9498350689000002E-2</v>
      </c>
      <c r="AI11" s="843">
        <v>3.0695334987541664E-2</v>
      </c>
      <c r="AJ11" s="1210"/>
      <c r="AL11" s="216"/>
      <c r="AM11" s="216"/>
      <c r="AN11" s="216"/>
      <c r="AO11" s="216"/>
      <c r="AP11" s="216"/>
      <c r="AQ11" s="216"/>
      <c r="AR11" s="216"/>
      <c r="AS11" s="216"/>
    </row>
    <row r="12" spans="1:45" ht="15">
      <c r="A12" s="90"/>
      <c r="B12" s="480" t="s">
        <v>160</v>
      </c>
      <c r="C12" s="500">
        <v>2.19391063196166E-2</v>
      </c>
      <c r="D12" s="501">
        <v>1.8781763976866355E-2</v>
      </c>
      <c r="E12" s="501">
        <v>2.2028050975299421E-2</v>
      </c>
      <c r="F12" s="501">
        <v>2.2576235395789939E-2</v>
      </c>
      <c r="G12" s="501">
        <v>2.0931408654771038E-2</v>
      </c>
      <c r="H12" s="501">
        <v>2.0643115784405128E-2</v>
      </c>
      <c r="I12" s="501">
        <v>2.0520728261739413E-2</v>
      </c>
      <c r="J12" s="501">
        <v>2.1745724419546825E-2</v>
      </c>
      <c r="K12" s="501">
        <v>1.9165047541601147E-2</v>
      </c>
      <c r="L12" s="501">
        <v>1.9545638441667956E-2</v>
      </c>
      <c r="M12" s="501">
        <v>1.9460913438582691E-2</v>
      </c>
      <c r="N12" s="501">
        <v>1.9232176795174957E-2</v>
      </c>
      <c r="O12" s="501">
        <v>1.5271691589455703E-2</v>
      </c>
      <c r="P12" s="501">
        <v>1.3985112497793053E-2</v>
      </c>
      <c r="Q12" s="501">
        <v>1.4127087107015783E-2</v>
      </c>
      <c r="R12" s="501">
        <v>1.4669129533986185E-2</v>
      </c>
      <c r="S12" s="501">
        <v>1.4637298499716995E-2</v>
      </c>
      <c r="T12" s="501">
        <v>1.426803998519488E-2</v>
      </c>
      <c r="U12" s="501">
        <v>1.3419300972966489E-2</v>
      </c>
      <c r="V12" s="501">
        <v>1.0576899549458172E-2</v>
      </c>
      <c r="W12" s="501">
        <v>1.5614741231349337E-2</v>
      </c>
      <c r="X12" s="501">
        <v>1.9335665690140769E-2</v>
      </c>
      <c r="Y12" s="501">
        <v>1.8159249023037855E-2</v>
      </c>
      <c r="Z12" s="501">
        <v>1.8240903161642428E-2</v>
      </c>
      <c r="AA12" s="501">
        <v>1.7625357939123103E-2</v>
      </c>
      <c r="AB12" s="501">
        <v>1.7681403664027522E-2</v>
      </c>
      <c r="AC12" s="501">
        <v>1.6850301602028297E-2</v>
      </c>
      <c r="AD12" s="844">
        <v>9.723583118374143E-3</v>
      </c>
      <c r="AE12" s="844">
        <v>9.5200979644166836E-3</v>
      </c>
      <c r="AF12" s="844">
        <v>9.5438869326614148E-3</v>
      </c>
      <c r="AG12" s="844">
        <v>9.2651865104436421E-3</v>
      </c>
      <c r="AH12" s="844">
        <v>9.576665808423545E-3</v>
      </c>
      <c r="AI12" s="1631">
        <v>9.7177212073857183E-3</v>
      </c>
      <c r="AJ12" s="1210"/>
    </row>
    <row r="13" spans="1:45" ht="15">
      <c r="A13" s="90"/>
      <c r="B13" s="94" t="s">
        <v>30</v>
      </c>
      <c r="C13" s="595">
        <v>1.4096739613452437E-2</v>
      </c>
      <c r="D13" s="99">
        <v>1.1740855849514479E-2</v>
      </c>
      <c r="E13" s="99">
        <v>1.3912245845453973E-2</v>
      </c>
      <c r="F13" s="99">
        <v>1.4294797157557312E-2</v>
      </c>
      <c r="G13" s="99">
        <v>1.3173649105995541E-2</v>
      </c>
      <c r="H13" s="99">
        <v>1.2833920516947055E-2</v>
      </c>
      <c r="I13" s="99">
        <v>1.2778451822213009E-2</v>
      </c>
      <c r="J13" s="99">
        <v>1.3509526569771431E-2</v>
      </c>
      <c r="K13" s="99">
        <v>1.1903332860952277E-2</v>
      </c>
      <c r="L13" s="99">
        <v>1.1994251367647882E-2</v>
      </c>
      <c r="M13" s="99">
        <v>1.1969208489207968E-2</v>
      </c>
      <c r="N13" s="99">
        <v>1.2033553970885603E-2</v>
      </c>
      <c r="O13" s="99">
        <v>9.4897339527327384E-3</v>
      </c>
      <c r="P13" s="99">
        <v>8.9135405774183624E-3</v>
      </c>
      <c r="Q13" s="99">
        <v>8.9785509412243728E-3</v>
      </c>
      <c r="R13" s="99">
        <v>9.3066059320120603E-3</v>
      </c>
      <c r="S13" s="99">
        <v>9.2954476241533246E-3</v>
      </c>
      <c r="T13" s="99">
        <v>8.9796543466770188E-3</v>
      </c>
      <c r="U13" s="99">
        <v>8.4196300557176397E-3</v>
      </c>
      <c r="V13" s="99">
        <v>6.5646305126551398E-3</v>
      </c>
      <c r="W13" s="99">
        <v>9.7022179872704954E-3</v>
      </c>
      <c r="X13" s="99">
        <v>1.1988523992714273E-2</v>
      </c>
      <c r="Y13" s="99">
        <v>1.1188753522926144E-2</v>
      </c>
      <c r="Z13" s="99">
        <v>1.1224193179913231E-2</v>
      </c>
      <c r="AA13" s="99">
        <v>1.0842152379977786E-2</v>
      </c>
      <c r="AB13" s="99">
        <v>1.0904427059852667E-2</v>
      </c>
      <c r="AC13" s="99">
        <v>1.0355025108014148E-2</v>
      </c>
      <c r="AD13" s="843">
        <v>5.9941678079721422E-3</v>
      </c>
      <c r="AE13" s="843">
        <v>5.8548257294491479E-3</v>
      </c>
      <c r="AF13" s="843">
        <v>5.8594180881889656E-3</v>
      </c>
      <c r="AG13" s="843">
        <v>5.6906603106652229E-3</v>
      </c>
      <c r="AH13" s="843">
        <v>5.8935779836148455E-3</v>
      </c>
      <c r="AI13" s="1630">
        <v>5.9764740334666694E-3</v>
      </c>
      <c r="AJ13" s="1210"/>
    </row>
    <row r="14" spans="1:45" ht="15">
      <c r="A14" s="90"/>
      <c r="B14" s="94" t="s">
        <v>28</v>
      </c>
      <c r="C14" s="595">
        <v>7.842366706164167E-3</v>
      </c>
      <c r="D14" s="99">
        <v>7.0409081273518741E-3</v>
      </c>
      <c r="E14" s="99">
        <v>8.1158051298454489E-3</v>
      </c>
      <c r="F14" s="99">
        <v>8.2814382382326267E-3</v>
      </c>
      <c r="G14" s="99">
        <v>7.7577595487754959E-3</v>
      </c>
      <c r="H14" s="99">
        <v>7.8091952674580736E-3</v>
      </c>
      <c r="I14" s="99">
        <v>7.742276439526405E-3</v>
      </c>
      <c r="J14" s="99">
        <v>8.2361978497754E-3</v>
      </c>
      <c r="K14" s="99">
        <v>7.2617146806488687E-3</v>
      </c>
      <c r="L14" s="99">
        <v>7.5513870740200745E-3</v>
      </c>
      <c r="M14" s="99">
        <v>7.4917049493747256E-3</v>
      </c>
      <c r="N14" s="99">
        <v>7.1986228242893529E-3</v>
      </c>
      <c r="O14" s="99">
        <v>5.7819576367229659E-3</v>
      </c>
      <c r="P14" s="99">
        <v>5.0715719203746918E-3</v>
      </c>
      <c r="Q14" s="99">
        <v>5.1485361657914123E-3</v>
      </c>
      <c r="R14" s="99">
        <v>5.3625236019741243E-3</v>
      </c>
      <c r="S14" s="99">
        <v>5.3418508755636697E-3</v>
      </c>
      <c r="T14" s="99">
        <v>5.2883856385178623E-3</v>
      </c>
      <c r="U14" s="99">
        <v>4.9996709172488501E-3</v>
      </c>
      <c r="V14" s="99">
        <v>4.0122690368030326E-3</v>
      </c>
      <c r="W14" s="99">
        <v>5.9125232440788407E-3</v>
      </c>
      <c r="X14" s="99">
        <v>7.3471416974264991E-3</v>
      </c>
      <c r="Y14" s="99">
        <v>6.9704955001117126E-3</v>
      </c>
      <c r="Z14" s="99">
        <v>7.0167099817292009E-3</v>
      </c>
      <c r="AA14" s="99">
        <v>6.7832055591453165E-3</v>
      </c>
      <c r="AB14" s="99">
        <v>6.7769766041748556E-3</v>
      </c>
      <c r="AC14" s="99">
        <v>6.4952764940141459E-3</v>
      </c>
      <c r="AD14" s="843">
        <v>3.7294153104019991E-3</v>
      </c>
      <c r="AE14" s="843">
        <v>3.6652722349675361E-3</v>
      </c>
      <c r="AF14" s="843">
        <v>3.6844688444724488E-3</v>
      </c>
      <c r="AG14" s="843">
        <v>3.5745261997784179E-3</v>
      </c>
      <c r="AH14" s="843">
        <v>3.6830878248086999E-3</v>
      </c>
      <c r="AI14" s="1630">
        <v>3.7412471739190494E-3</v>
      </c>
      <c r="AJ14" s="1210"/>
    </row>
    <row r="15" spans="1:45" ht="15">
      <c r="A15" s="90"/>
      <c r="B15" s="482" t="s">
        <v>19</v>
      </c>
      <c r="C15" s="502">
        <v>9.3884288699999999E-2</v>
      </c>
      <c r="D15" s="503">
        <v>9.6822959449999982E-2</v>
      </c>
      <c r="E15" s="503">
        <v>9.0914300150000002E-2</v>
      </c>
      <c r="F15" s="503">
        <v>8.0968274290000003E-2</v>
      </c>
      <c r="G15" s="503">
        <v>8.0141949439999985E-2</v>
      </c>
      <c r="H15" s="503">
        <v>7.4410357889999987E-2</v>
      </c>
      <c r="I15" s="503">
        <v>7.7208636350000012E-2</v>
      </c>
      <c r="J15" s="503">
        <v>9.464468308E-2</v>
      </c>
      <c r="K15" s="503">
        <v>9.775147676999997E-2</v>
      </c>
      <c r="L15" s="503">
        <v>8.8358784710000013E-2</v>
      </c>
      <c r="M15" s="503">
        <v>8.329262925E-2</v>
      </c>
      <c r="N15" s="503">
        <v>8.0602514299999969E-2</v>
      </c>
      <c r="O15" s="503">
        <v>8.0620520640000012E-2</v>
      </c>
      <c r="P15" s="503">
        <v>8.1508139919999986E-2</v>
      </c>
      <c r="Q15" s="503">
        <v>7.7900124000000015E-2</v>
      </c>
      <c r="R15" s="503">
        <v>8.3379175530000002E-2</v>
      </c>
      <c r="S15" s="503">
        <v>7.0483499379999995E-2</v>
      </c>
      <c r="T15" s="503">
        <v>7.637341520999999E-2</v>
      </c>
      <c r="U15" s="503">
        <v>6.6561128449999993E-2</v>
      </c>
      <c r="V15" s="503">
        <v>5.6023901600000002E-2</v>
      </c>
      <c r="W15" s="503">
        <v>5.2000805640000002E-2</v>
      </c>
      <c r="X15" s="503">
        <v>3.2640806060000006E-2</v>
      </c>
      <c r="Y15" s="503">
        <v>2.3186098119999998E-2</v>
      </c>
      <c r="Z15" s="503">
        <v>3.0803675749999995E-2</v>
      </c>
      <c r="AA15" s="503">
        <v>2.7060503099999998E-2</v>
      </c>
      <c r="AB15" s="503">
        <v>2.4717739169999999E-2</v>
      </c>
      <c r="AC15" s="503">
        <v>2.267397904E-2</v>
      </c>
      <c r="AD15" s="845">
        <v>1.923234222E-2</v>
      </c>
      <c r="AE15" s="845">
        <v>1.182446809E-2</v>
      </c>
      <c r="AF15" s="845">
        <v>9.5259709299999988E-3</v>
      </c>
      <c r="AG15" s="845">
        <v>9.4215021799999993E-3</v>
      </c>
      <c r="AH15" s="845">
        <v>8.630982429999998E-3</v>
      </c>
      <c r="AI15" s="845">
        <v>9.3795677599999988E-3</v>
      </c>
      <c r="AJ15" s="1210"/>
    </row>
    <row r="16" spans="1:45" ht="15">
      <c r="A16" s="90"/>
      <c r="B16" s="154" t="s">
        <v>30</v>
      </c>
      <c r="C16" s="227">
        <v>7.8214987199999988E-2</v>
      </c>
      <c r="D16" s="228">
        <v>8.0808928200000005E-2</v>
      </c>
      <c r="E16" s="228">
        <v>7.5352592899999987E-2</v>
      </c>
      <c r="F16" s="228">
        <v>6.7036658540000002E-2</v>
      </c>
      <c r="G16" s="228">
        <v>6.6667078939999999E-2</v>
      </c>
      <c r="H16" s="228">
        <v>6.2822849139999998E-2</v>
      </c>
      <c r="I16" s="228">
        <v>6.596332810000001E-2</v>
      </c>
      <c r="J16" s="228">
        <v>7.9168754080000001E-2</v>
      </c>
      <c r="K16" s="228">
        <v>7.9885527519999985E-2</v>
      </c>
      <c r="L16" s="228">
        <v>7.3959955460000004E-2</v>
      </c>
      <c r="M16" s="99">
        <v>7.0481097499999992E-2</v>
      </c>
      <c r="N16" s="99">
        <v>6.7872584299999969E-2</v>
      </c>
      <c r="O16" s="99">
        <v>6.8537520640000002E-2</v>
      </c>
      <c r="P16" s="99">
        <v>6.7759028419999992E-2</v>
      </c>
      <c r="Q16" s="99">
        <v>6.4901420000000015E-2</v>
      </c>
      <c r="R16" s="99">
        <v>7.0352468779999996E-2</v>
      </c>
      <c r="S16" s="99">
        <v>6.0361929379999991E-2</v>
      </c>
      <c r="T16" s="99">
        <v>6.5263942959999988E-2</v>
      </c>
      <c r="U16" s="99">
        <v>5.7153166700000001E-2</v>
      </c>
      <c r="V16" s="99">
        <v>4.8211766099999998E-2</v>
      </c>
      <c r="W16" s="99">
        <v>4.408349164E-2</v>
      </c>
      <c r="X16" s="99">
        <v>2.5766784560000002E-2</v>
      </c>
      <c r="Y16" s="99">
        <v>1.700021162E-2</v>
      </c>
      <c r="Z16" s="99">
        <v>2.4711575499999996E-2</v>
      </c>
      <c r="AA16" s="99">
        <v>2.0697798600000001E-2</v>
      </c>
      <c r="AB16" s="99">
        <v>1.8281417919999998E-2</v>
      </c>
      <c r="AC16" s="99">
        <v>1.6468144540000004E-2</v>
      </c>
      <c r="AD16" s="843">
        <v>1.3097737719999997E-2</v>
      </c>
      <c r="AE16" s="843">
        <v>6.7820568400000008E-3</v>
      </c>
      <c r="AF16" s="843">
        <v>5.3816296799999996E-3</v>
      </c>
      <c r="AG16" s="843">
        <v>5.3381961800000001E-3</v>
      </c>
      <c r="AH16" s="843">
        <v>4.8333096799999999E-3</v>
      </c>
      <c r="AI16" s="843">
        <v>5.4131312599999997E-3</v>
      </c>
      <c r="AJ16" s="1210"/>
      <c r="AL16" s="90"/>
    </row>
    <row r="17" spans="1:38" ht="15.5" thickBot="1">
      <c r="A17" s="90"/>
      <c r="B17" s="155" t="s">
        <v>28</v>
      </c>
      <c r="C17" s="229">
        <v>1.56693015E-2</v>
      </c>
      <c r="D17" s="156">
        <v>1.6014031249999994E-2</v>
      </c>
      <c r="E17" s="156">
        <v>1.5561707250000001E-2</v>
      </c>
      <c r="F17" s="156">
        <v>1.3931615750000001E-2</v>
      </c>
      <c r="G17" s="156">
        <v>1.34748705E-2</v>
      </c>
      <c r="H17" s="156">
        <v>1.1587508750000001E-2</v>
      </c>
      <c r="I17" s="156">
        <v>1.1245308250000001E-2</v>
      </c>
      <c r="J17" s="156">
        <v>1.5475928999999998E-2</v>
      </c>
      <c r="K17" s="156">
        <v>1.7865949249999999E-2</v>
      </c>
      <c r="L17" s="156">
        <v>1.439882925E-2</v>
      </c>
      <c r="M17" s="214">
        <v>1.2811531750000001E-2</v>
      </c>
      <c r="N17" s="214">
        <v>1.2729929999999999E-2</v>
      </c>
      <c r="O17" s="214">
        <v>1.2082999999999998E-2</v>
      </c>
      <c r="P17" s="214">
        <v>1.3749111499999999E-2</v>
      </c>
      <c r="Q17" s="214">
        <v>1.2998704E-2</v>
      </c>
      <c r="R17" s="214">
        <v>1.3026706749999999E-2</v>
      </c>
      <c r="S17" s="214">
        <v>1.012157E-2</v>
      </c>
      <c r="T17" s="214">
        <v>1.110947225E-2</v>
      </c>
      <c r="U17" s="214">
        <v>9.4079617499999973E-3</v>
      </c>
      <c r="V17" s="214">
        <v>7.8121355000000002E-3</v>
      </c>
      <c r="W17" s="214">
        <v>7.9173139999999982E-3</v>
      </c>
      <c r="X17" s="214">
        <v>6.8740215000000007E-3</v>
      </c>
      <c r="Y17" s="214">
        <v>6.1858865000000004E-3</v>
      </c>
      <c r="Z17" s="214">
        <v>6.0921002500000003E-3</v>
      </c>
      <c r="AA17" s="214">
        <v>6.3627045E-3</v>
      </c>
      <c r="AB17" s="214">
        <v>6.4363212500000008E-3</v>
      </c>
      <c r="AC17" s="214">
        <v>6.2058345000000001E-3</v>
      </c>
      <c r="AD17" s="846">
        <v>6.1346045000000007E-3</v>
      </c>
      <c r="AE17" s="846">
        <v>5.0424112499999991E-3</v>
      </c>
      <c r="AF17" s="846">
        <v>4.14434125E-3</v>
      </c>
      <c r="AG17" s="846">
        <v>4.0833060000000001E-3</v>
      </c>
      <c r="AH17" s="846">
        <v>3.7976727499999998E-3</v>
      </c>
      <c r="AI17" s="846">
        <v>3.9664364999999991E-3</v>
      </c>
      <c r="AJ17" s="1210"/>
      <c r="AL17" s="90"/>
    </row>
    <row r="18" spans="1:38" ht="15.5" thickBot="1">
      <c r="A18" s="90"/>
      <c r="B18" s="157" t="s">
        <v>25</v>
      </c>
      <c r="C18" s="229">
        <v>0.39392393347961657</v>
      </c>
      <c r="D18" s="156">
        <v>0.40011170699686632</v>
      </c>
      <c r="E18" s="156">
        <v>0.41332203128529937</v>
      </c>
      <c r="F18" s="156">
        <v>0.40879339510578988</v>
      </c>
      <c r="G18" s="156">
        <v>0.39750063874477098</v>
      </c>
      <c r="H18" s="156">
        <v>0.38566396958440513</v>
      </c>
      <c r="I18" s="156">
        <v>0.39126916248173932</v>
      </c>
      <c r="J18" s="156">
        <v>0.35963670071954684</v>
      </c>
      <c r="K18" s="156">
        <v>0.3338492150016012</v>
      </c>
      <c r="L18" s="156">
        <v>0.32502074857166796</v>
      </c>
      <c r="M18" s="156">
        <v>0.34075146426858266</v>
      </c>
      <c r="N18" s="156">
        <v>0.30964294222517491</v>
      </c>
      <c r="O18" s="156">
        <v>0.30877273445945569</v>
      </c>
      <c r="P18" s="156">
        <v>0.32113520176779303</v>
      </c>
      <c r="Q18" s="156">
        <v>0.31065245518701579</v>
      </c>
      <c r="R18" s="156">
        <v>0.22965642880398618</v>
      </c>
      <c r="S18" s="156">
        <v>0.19432544419971695</v>
      </c>
      <c r="T18" s="156">
        <v>0.20557866086519486</v>
      </c>
      <c r="U18" s="156">
        <v>0.20007189794296651</v>
      </c>
      <c r="V18" s="156">
        <v>0.24298525812945815</v>
      </c>
      <c r="W18" s="156">
        <v>0.2547411689713493</v>
      </c>
      <c r="X18" s="156">
        <v>0.23210090762014071</v>
      </c>
      <c r="Y18" s="156">
        <v>0.19214732988303784</v>
      </c>
      <c r="Z18" s="156">
        <v>0.23080796713164242</v>
      </c>
      <c r="AA18" s="156">
        <v>0.23565196406912306</v>
      </c>
      <c r="AB18" s="156">
        <v>0.22619761135402749</v>
      </c>
      <c r="AC18" s="156">
        <v>0.19152869470202827</v>
      </c>
      <c r="AD18" s="847">
        <v>0.1858726116483741</v>
      </c>
      <c r="AE18" s="847">
        <v>0.1820374940586886</v>
      </c>
      <c r="AF18" s="847">
        <v>0.19876169087229936</v>
      </c>
      <c r="AG18" s="847">
        <v>0.15469547542889237</v>
      </c>
      <c r="AH18" s="847">
        <v>0.16374056594133074</v>
      </c>
      <c r="AI18" s="1642">
        <v>0.17635937298969254</v>
      </c>
      <c r="AJ18" s="1210"/>
    </row>
    <row r="19" spans="1:38" ht="15">
      <c r="A19" s="90"/>
      <c r="B19" s="94"/>
      <c r="C19" s="96"/>
      <c r="D19" s="96"/>
      <c r="E19" s="96"/>
      <c r="F19" s="96"/>
      <c r="G19" s="96"/>
      <c r="H19" s="96"/>
      <c r="I19" s="96"/>
      <c r="J19" s="96"/>
      <c r="K19" s="96"/>
      <c r="L19" s="96"/>
      <c r="M19" s="96"/>
      <c r="N19" s="96"/>
      <c r="O19" s="96"/>
      <c r="P19" s="96"/>
      <c r="Q19" s="96"/>
      <c r="R19" s="96"/>
      <c r="S19" s="96"/>
      <c r="T19" s="96"/>
      <c r="U19" s="96"/>
      <c r="V19" s="96"/>
      <c r="AG19" s="1494"/>
      <c r="AH19" s="1494"/>
    </row>
    <row r="20" spans="1:38" ht="15">
      <c r="A20" s="90"/>
      <c r="C20" s="96"/>
      <c r="D20" s="96"/>
      <c r="E20" s="96"/>
      <c r="F20" s="96"/>
      <c r="G20" s="96"/>
      <c r="H20" s="96"/>
      <c r="I20" s="96"/>
      <c r="J20" s="96"/>
      <c r="K20" s="96"/>
      <c r="L20" s="96"/>
      <c r="M20" s="96"/>
      <c r="N20" s="96"/>
      <c r="O20" s="96"/>
      <c r="P20" s="96"/>
      <c r="Q20" s="96"/>
      <c r="R20" s="96"/>
      <c r="S20" s="96"/>
      <c r="T20" s="96"/>
      <c r="U20" s="96"/>
      <c r="V20" s="90"/>
    </row>
    <row r="21" spans="1:38" ht="15.5" thickBot="1">
      <c r="A21" s="90"/>
      <c r="B21" s="649" t="s">
        <v>161</v>
      </c>
      <c r="C21" s="99"/>
      <c r="E21" s="371"/>
      <c r="F21" s="99"/>
      <c r="G21" s="99"/>
      <c r="H21" s="99"/>
      <c r="I21" s="99"/>
      <c r="J21" s="99"/>
      <c r="K21" s="99"/>
      <c r="L21" s="99"/>
      <c r="M21" s="99"/>
      <c r="N21" s="99"/>
      <c r="O21" s="217"/>
      <c r="P21" s="217"/>
      <c r="Q21" s="217"/>
      <c r="R21" s="217"/>
      <c r="S21" s="217"/>
      <c r="T21" s="217"/>
      <c r="U21" s="217"/>
      <c r="V21" s="217"/>
      <c r="W21" s="217"/>
      <c r="Y21" s="217"/>
      <c r="AC21" s="216"/>
      <c r="AD21" s="216"/>
      <c r="AE21" s="216"/>
      <c r="AF21" s="216"/>
      <c r="AG21" s="216"/>
      <c r="AH21" s="216"/>
      <c r="AJ21" s="234" t="s">
        <v>0</v>
      </c>
    </row>
    <row r="22" spans="1:38" ht="15.5" thickBot="1">
      <c r="A22" s="90"/>
      <c r="B22" s="93" t="s">
        <v>126</v>
      </c>
      <c r="C22" s="219">
        <v>1990</v>
      </c>
      <c r="D22" s="114">
        <v>1991</v>
      </c>
      <c r="E22" s="114">
        <v>1992</v>
      </c>
      <c r="F22" s="114">
        <v>1993</v>
      </c>
      <c r="G22" s="114">
        <v>1994</v>
      </c>
      <c r="H22" s="114">
        <v>1995</v>
      </c>
      <c r="I22" s="114">
        <v>1996</v>
      </c>
      <c r="J22" s="114">
        <v>1997</v>
      </c>
      <c r="K22" s="114">
        <v>1998</v>
      </c>
      <c r="L22" s="114">
        <v>1999</v>
      </c>
      <c r="M22" s="114">
        <v>2000</v>
      </c>
      <c r="N22" s="226">
        <v>2001</v>
      </c>
      <c r="O22" s="226">
        <v>2002</v>
      </c>
      <c r="P22" s="226">
        <v>2003</v>
      </c>
      <c r="Q22" s="226">
        <v>2004</v>
      </c>
      <c r="R22" s="226">
        <v>2005</v>
      </c>
      <c r="S22" s="226">
        <v>2006</v>
      </c>
      <c r="T22" s="226">
        <v>2007</v>
      </c>
      <c r="U22" s="226">
        <v>2008</v>
      </c>
      <c r="V22" s="226">
        <v>2009</v>
      </c>
      <c r="W22" s="226">
        <v>2010</v>
      </c>
      <c r="X22" s="226">
        <v>2011</v>
      </c>
      <c r="Y22" s="226">
        <v>2012</v>
      </c>
      <c r="Z22" s="226">
        <v>2013</v>
      </c>
      <c r="AA22" s="226">
        <v>2014</v>
      </c>
      <c r="AB22" s="114">
        <v>2015</v>
      </c>
      <c r="AC22" s="226">
        <v>2016</v>
      </c>
      <c r="AD22" s="226">
        <v>2017</v>
      </c>
      <c r="AE22" s="226">
        <v>2018</v>
      </c>
      <c r="AF22" s="226">
        <v>2019</v>
      </c>
      <c r="AG22" s="226">
        <v>2020</v>
      </c>
      <c r="AH22" s="226">
        <v>2021</v>
      </c>
      <c r="AI22" s="226">
        <v>2022</v>
      </c>
      <c r="AJ22" s="226">
        <v>2023</v>
      </c>
    </row>
    <row r="23" spans="1:38" ht="15">
      <c r="A23" s="90"/>
      <c r="B23" s="487" t="s">
        <v>127</v>
      </c>
      <c r="C23" s="496">
        <f>C24+C25</f>
        <v>0</v>
      </c>
      <c r="D23" s="497">
        <f t="shared" ref="D23:Y23" si="0">D24+D25</f>
        <v>0</v>
      </c>
      <c r="E23" s="497">
        <f t="shared" si="0"/>
        <v>0</v>
      </c>
      <c r="F23" s="497">
        <f t="shared" si="0"/>
        <v>0</v>
      </c>
      <c r="G23" s="497">
        <f t="shared" si="0"/>
        <v>0</v>
      </c>
      <c r="H23" s="497">
        <f t="shared" si="0"/>
        <v>0</v>
      </c>
      <c r="I23" s="497">
        <f t="shared" si="0"/>
        <v>0</v>
      </c>
      <c r="J23" s="497">
        <f t="shared" si="0"/>
        <v>0</v>
      </c>
      <c r="K23" s="497">
        <f t="shared" si="0"/>
        <v>0</v>
      </c>
      <c r="L23" s="497">
        <f t="shared" si="0"/>
        <v>0</v>
      </c>
      <c r="M23" s="497">
        <f t="shared" si="0"/>
        <v>0</v>
      </c>
      <c r="N23" s="497">
        <f t="shared" si="0"/>
        <v>1.8080883482993198E-7</v>
      </c>
      <c r="O23" s="497">
        <f t="shared" si="0"/>
        <v>3.0134805804988657E-7</v>
      </c>
      <c r="P23" s="497">
        <f t="shared" si="0"/>
        <v>2.4107844643990927E-7</v>
      </c>
      <c r="Q23" s="497">
        <f t="shared" si="0"/>
        <v>4.8215689287981855E-7</v>
      </c>
      <c r="R23" s="497">
        <f t="shared" si="0"/>
        <v>1.6272795134693875E-6</v>
      </c>
      <c r="S23" s="497">
        <f t="shared" si="0"/>
        <v>4.6407600939682532E-6</v>
      </c>
      <c r="T23" s="497">
        <f t="shared" si="0"/>
        <v>6.2981744132426304E-6</v>
      </c>
      <c r="U23" s="497">
        <f t="shared" si="0"/>
        <v>5.3941302390929702E-6</v>
      </c>
      <c r="V23" s="497">
        <f t="shared" si="0"/>
        <v>5.7256131029478461E-6</v>
      </c>
      <c r="W23" s="497">
        <f t="shared" si="0"/>
        <v>4.6106252881632645E-6</v>
      </c>
      <c r="X23" s="497">
        <f t="shared" si="0"/>
        <v>1.5760503436009069E-5</v>
      </c>
      <c r="Y23" s="497">
        <f t="shared" si="0"/>
        <v>1.172243945814059E-5</v>
      </c>
      <c r="Z23" s="497">
        <f t="shared" ref="Z23:AE23" si="1">Z24+Z25</f>
        <v>6.4850102092335593E-5</v>
      </c>
      <c r="AA23" s="497">
        <f t="shared" si="1"/>
        <v>5.7105457000453515E-5</v>
      </c>
      <c r="AB23" s="497">
        <f t="shared" si="1"/>
        <v>6.7773178255419489E-5</v>
      </c>
      <c r="AC23" s="1081">
        <f t="shared" si="1"/>
        <v>1.0173510439764172E-4</v>
      </c>
      <c r="AD23" s="1081">
        <f t="shared" si="1"/>
        <v>1.100523107998186E-4</v>
      </c>
      <c r="AE23" s="1081">
        <f t="shared" si="1"/>
        <v>6.0902442531882077E-5</v>
      </c>
      <c r="AF23" s="497">
        <f t="shared" ref="AF23:AG23" si="2">AF24+AF25</f>
        <v>4.7703397589297044E-5</v>
      </c>
      <c r="AG23" s="497">
        <f t="shared" si="2"/>
        <v>4.9059463850521536E-5</v>
      </c>
      <c r="AH23" s="497">
        <f t="shared" ref="AH23:AI23" si="3">AH24+AH25</f>
        <v>4.1435357981859405E-5</v>
      </c>
      <c r="AI23" s="497">
        <f t="shared" si="3"/>
        <v>3.4263274200272107E-5</v>
      </c>
      <c r="AJ23" s="497">
        <f t="shared" ref="AJ23" si="4">AJ24+AJ25</f>
        <v>0</v>
      </c>
    </row>
    <row r="24" spans="1:38" ht="15">
      <c r="A24" s="90"/>
      <c r="B24" s="154" t="s">
        <v>30</v>
      </c>
      <c r="C24" s="227">
        <f>'Biogenic Combustion'!C209</f>
        <v>0</v>
      </c>
      <c r="D24" s="228">
        <f>'Biogenic Combustion'!D209</f>
        <v>0</v>
      </c>
      <c r="E24" s="228">
        <f>'Biogenic Combustion'!E209</f>
        <v>0</v>
      </c>
      <c r="F24" s="228">
        <f>'Biogenic Combustion'!F209</f>
        <v>0</v>
      </c>
      <c r="G24" s="228">
        <f>'Biogenic Combustion'!G209</f>
        <v>0</v>
      </c>
      <c r="H24" s="228">
        <f>'Biogenic Combustion'!H209</f>
        <v>0</v>
      </c>
      <c r="I24" s="228">
        <f>'Biogenic Combustion'!I209</f>
        <v>0</v>
      </c>
      <c r="J24" s="228">
        <f>'Biogenic Combustion'!J209</f>
        <v>0</v>
      </c>
      <c r="K24" s="228">
        <f>'Biogenic Combustion'!K209</f>
        <v>0</v>
      </c>
      <c r="L24" s="228">
        <f>'Biogenic Combustion'!L209</f>
        <v>0</v>
      </c>
      <c r="M24" s="228">
        <f>'Biogenic Combustion'!M209</f>
        <v>0</v>
      </c>
      <c r="N24" s="228">
        <f>'Biogenic Combustion'!N209</f>
        <v>9.8323052517006799E-8</v>
      </c>
      <c r="O24" s="228">
        <f>'Biogenic Combustion'!O209</f>
        <v>1.6387175419501132E-7</v>
      </c>
      <c r="P24" s="228">
        <f>'Biogenic Combustion'!P209</f>
        <v>1.3109740335600906E-7</v>
      </c>
      <c r="Q24" s="228">
        <f>'Biogenic Combustion'!Q209</f>
        <v>2.6219480671201813E-7</v>
      </c>
      <c r="R24" s="228">
        <f>'Biogenic Combustion'!R209</f>
        <v>8.8490747265306112E-7</v>
      </c>
      <c r="S24" s="99">
        <f>'Biogenic Combustion'!S209</f>
        <v>2.5236250146031745E-6</v>
      </c>
      <c r="T24" s="99">
        <f>'Biogenic Combustion'!T209</f>
        <v>3.4249196626757366E-6</v>
      </c>
      <c r="U24" s="99">
        <f>'Biogenic Combustion'!U209</f>
        <v>2.9333044000907026E-6</v>
      </c>
      <c r="V24" s="99">
        <f>'Biogenic Combustion'!V209</f>
        <v>3.1135633297052155E-6</v>
      </c>
      <c r="W24" s="99">
        <f>'Biogenic Combustion'!W209</f>
        <v>2.5072378391836732E-6</v>
      </c>
      <c r="X24" s="99">
        <f>'Biogenic Combustion'!X209</f>
        <v>8.5704927443990934E-6</v>
      </c>
      <c r="Y24" s="99">
        <f>'Biogenic Combustion'!Y209</f>
        <v>6.3746112381859409E-6</v>
      </c>
      <c r="Z24" s="99">
        <f>'Biogenic Combustion'!Z209</f>
        <v>3.526520150276644E-5</v>
      </c>
      <c r="AA24" s="99">
        <f>'Biogenic Combustion'!AA209</f>
        <v>3.1053697419954648E-5</v>
      </c>
      <c r="AB24" s="99">
        <f>'Biogenic Combustion'!AB209</f>
        <v>3.6854757518458046E-5</v>
      </c>
      <c r="AC24" s="99">
        <f>'Biogenic Combustion'!AC209</f>
        <v>5.5323104216235826E-5</v>
      </c>
      <c r="AD24" s="99">
        <f>'Biogenic Combustion'!AD209</f>
        <v>5.9845964632018144E-5</v>
      </c>
      <c r="AE24" s="1084">
        <f>'Biogenic Combustion'!AE209</f>
        <v>3.3118481522811787E-5</v>
      </c>
      <c r="AF24" s="99">
        <f>'Biogenic Combustion'!AF209</f>
        <v>2.5940898689070293E-5</v>
      </c>
      <c r="AG24" s="99">
        <f>'Biogenic Combustion'!AG209</f>
        <v>2.6678321582947843E-5</v>
      </c>
      <c r="AH24" s="99">
        <f>'Biogenic Combustion'!AH209</f>
        <v>2.2532366201814058E-5</v>
      </c>
      <c r="AI24" s="99">
        <f>'Biogenic Combustion'!AI209</f>
        <v>1.863221845197279E-5</v>
      </c>
      <c r="AJ24" s="99">
        <f>'Biogenic Combustion'!AJ209</f>
        <v>0</v>
      </c>
    </row>
    <row r="25" spans="1:38" ht="15">
      <c r="A25" s="90"/>
      <c r="B25" s="154" t="s">
        <v>28</v>
      </c>
      <c r="C25" s="227">
        <f>'Biogenic Combustion'!C205</f>
        <v>0</v>
      </c>
      <c r="D25" s="228">
        <f>'Biogenic Combustion'!D205</f>
        <v>0</v>
      </c>
      <c r="E25" s="228">
        <f>'Biogenic Combustion'!E205</f>
        <v>0</v>
      </c>
      <c r="F25" s="228">
        <f>'Biogenic Combustion'!F205</f>
        <v>0</v>
      </c>
      <c r="G25" s="228">
        <f>'Biogenic Combustion'!G205</f>
        <v>0</v>
      </c>
      <c r="H25" s="228">
        <f>'Biogenic Combustion'!H205</f>
        <v>0</v>
      </c>
      <c r="I25" s="228">
        <f>'Biogenic Combustion'!I205</f>
        <v>0</v>
      </c>
      <c r="J25" s="228">
        <f>'Biogenic Combustion'!J205</f>
        <v>0</v>
      </c>
      <c r="K25" s="228">
        <f>'Biogenic Combustion'!K205</f>
        <v>0</v>
      </c>
      <c r="L25" s="228">
        <f>'Biogenic Combustion'!L205</f>
        <v>0</v>
      </c>
      <c r="M25" s="228">
        <f>'Biogenic Combustion'!M205</f>
        <v>0</v>
      </c>
      <c r="N25" s="228">
        <f>'Biogenic Combustion'!N205</f>
        <v>8.248578231292517E-8</v>
      </c>
      <c r="O25" s="228">
        <f>'Biogenic Combustion'!O205</f>
        <v>1.3747630385487527E-7</v>
      </c>
      <c r="P25" s="228">
        <f>'Biogenic Combustion'!P205</f>
        <v>1.0998104308390022E-7</v>
      </c>
      <c r="Q25" s="228">
        <f>'Biogenic Combustion'!Q205</f>
        <v>2.1996208616780045E-7</v>
      </c>
      <c r="R25" s="228">
        <f>'Biogenic Combustion'!R205</f>
        <v>7.423720408163264E-7</v>
      </c>
      <c r="S25" s="99">
        <f>'Biogenic Combustion'!S205</f>
        <v>2.1171350793650791E-6</v>
      </c>
      <c r="T25" s="99">
        <f>'Biogenic Combustion'!T205</f>
        <v>2.8732547505668934E-6</v>
      </c>
      <c r="U25" s="99">
        <f>'Biogenic Combustion'!U205</f>
        <v>2.4608258390022675E-6</v>
      </c>
      <c r="V25" s="99">
        <f>'Biogenic Combustion'!V205</f>
        <v>2.6120497732426302E-6</v>
      </c>
      <c r="W25" s="99">
        <f>'Biogenic Combustion'!W205</f>
        <v>2.1033874489795913E-6</v>
      </c>
      <c r="X25" s="99">
        <f>'Biogenic Combustion'!X205</f>
        <v>7.1900106916099761E-6</v>
      </c>
      <c r="Y25" s="99">
        <f>'Biogenic Combustion'!Y205</f>
        <v>5.3478282199546483E-6</v>
      </c>
      <c r="Z25" s="99">
        <f>'Biogenic Combustion'!Z205</f>
        <v>2.958490058956916E-5</v>
      </c>
      <c r="AA25" s="99">
        <f>'Biogenic Combustion'!AA205</f>
        <v>2.6051759580498866E-5</v>
      </c>
      <c r="AB25" s="99">
        <f>'Biogenic Combustion'!AB205</f>
        <v>3.0918420736961449E-5</v>
      </c>
      <c r="AC25" s="99">
        <f>'Biogenic Combustion'!AC205</f>
        <v>4.6412000181405891E-5</v>
      </c>
      <c r="AD25" s="99">
        <f>'Biogenic Combustion'!AD205</f>
        <v>5.0206346167800452E-5</v>
      </c>
      <c r="AE25" s="1084">
        <f>'Biogenic Combustion'!AE205</f>
        <v>2.7783961009070293E-5</v>
      </c>
      <c r="AF25" s="99">
        <f>'Biogenic Combustion'!AF205</f>
        <v>2.1762498900226754E-5</v>
      </c>
      <c r="AG25" s="99">
        <f>'Biogenic Combustion'!AG205</f>
        <v>2.2381142267573693E-5</v>
      </c>
      <c r="AH25" s="99">
        <f>'Biogenic Combustion'!AH205</f>
        <v>1.8902991780045351E-5</v>
      </c>
      <c r="AI25" s="99">
        <f>'Biogenic Combustion'!AI205</f>
        <v>1.5631055748299318E-5</v>
      </c>
      <c r="AJ25" s="99">
        <f>'Biogenic Combustion'!AJ205</f>
        <v>0</v>
      </c>
    </row>
    <row r="26" spans="1:38" ht="15">
      <c r="A26" s="90"/>
      <c r="B26" s="479" t="s">
        <v>159</v>
      </c>
      <c r="C26" s="498">
        <f>C27+C28</f>
        <v>0</v>
      </c>
      <c r="D26" s="499">
        <f t="shared" ref="D26:Y26" si="5">D27+D28</f>
        <v>0</v>
      </c>
      <c r="E26" s="499">
        <f t="shared" si="5"/>
        <v>0</v>
      </c>
      <c r="F26" s="499">
        <f t="shared" si="5"/>
        <v>0</v>
      </c>
      <c r="G26" s="499">
        <f t="shared" si="5"/>
        <v>0</v>
      </c>
      <c r="H26" s="499">
        <f t="shared" si="5"/>
        <v>0</v>
      </c>
      <c r="I26" s="499">
        <f t="shared" si="5"/>
        <v>0</v>
      </c>
      <c r="J26" s="499">
        <f t="shared" si="5"/>
        <v>0</v>
      </c>
      <c r="K26" s="499">
        <f t="shared" si="5"/>
        <v>0</v>
      </c>
      <c r="L26" s="499">
        <f t="shared" si="5"/>
        <v>0</v>
      </c>
      <c r="M26" s="499">
        <f t="shared" si="5"/>
        <v>1.4306128119854873E-3</v>
      </c>
      <c r="N26" s="499">
        <f t="shared" si="5"/>
        <v>1.2838331117133784E-3</v>
      </c>
      <c r="O26" s="499">
        <f t="shared" si="5"/>
        <v>1.6967733351455781E-3</v>
      </c>
      <c r="P26" s="499">
        <f t="shared" si="5"/>
        <v>1.4775823160725623E-3</v>
      </c>
      <c r="Q26" s="499">
        <f t="shared" si="5"/>
        <v>3.3936069399027663E-3</v>
      </c>
      <c r="R26" s="499">
        <f t="shared" si="5"/>
        <v>1.8078311251861195E-3</v>
      </c>
      <c r="S26" s="499">
        <f t="shared" si="5"/>
        <v>1.9300083136953262E-3</v>
      </c>
      <c r="T26" s="499">
        <f t="shared" si="5"/>
        <v>1.8497069762694887E-3</v>
      </c>
      <c r="U26" s="499">
        <f t="shared" si="5"/>
        <v>1.8690803254093077E-3</v>
      </c>
      <c r="V26" s="499">
        <f t="shared" si="5"/>
        <v>1.9414513390294587E-3</v>
      </c>
      <c r="W26" s="499">
        <f t="shared" si="5"/>
        <v>1.8222018607205656E-3</v>
      </c>
      <c r="X26" s="499">
        <f t="shared" si="5"/>
        <v>1.9629291930957091E-3</v>
      </c>
      <c r="Y26" s="499">
        <f t="shared" si="5"/>
        <v>1.8972821565381632E-3</v>
      </c>
      <c r="Z26" s="499">
        <f t="shared" ref="Z26:AE26" si="6">Z27+Z28</f>
        <v>1.9881883319229189E-3</v>
      </c>
      <c r="AA26" s="499">
        <f t="shared" si="6"/>
        <v>2.0035934186291866E-3</v>
      </c>
      <c r="AB26" s="499">
        <f t="shared" si="6"/>
        <v>1.9980924125480512E-3</v>
      </c>
      <c r="AC26" s="499">
        <f t="shared" si="6"/>
        <v>2.0330750986387674E-3</v>
      </c>
      <c r="AD26" s="499">
        <f t="shared" si="6"/>
        <v>2.074759332836071E-3</v>
      </c>
      <c r="AE26" s="1083">
        <f t="shared" si="6"/>
        <v>2.0931175294353096E-3</v>
      </c>
      <c r="AF26" s="499">
        <f t="shared" ref="AF26:AG26" si="7">AF27+AF28</f>
        <v>2.1006719481632581E-3</v>
      </c>
      <c r="AG26" s="499">
        <f t="shared" si="7"/>
        <v>1.8796477793270258E-3</v>
      </c>
      <c r="AH26" s="499">
        <f t="shared" ref="AH26:AI26" si="8">AH27+AH28</f>
        <v>1.8773936159176682E-3</v>
      </c>
      <c r="AI26" s="499">
        <f t="shared" si="8"/>
        <v>1.8017861254976423E-3</v>
      </c>
      <c r="AJ26" s="1713">
        <f t="shared" ref="AJ26" si="9">AJ27+AJ28</f>
        <v>1.8640879068982888E-3</v>
      </c>
    </row>
    <row r="27" spans="1:38" ht="15">
      <c r="A27" s="90"/>
      <c r="B27" s="154" t="s">
        <v>30</v>
      </c>
      <c r="C27" s="227">
        <f>'Biogenic Combustion'!C76+'Biogenic Combustion'!C114</f>
        <v>0</v>
      </c>
      <c r="D27" s="228">
        <f>'Biogenic Combustion'!D76+'Biogenic Combustion'!D114</f>
        <v>0</v>
      </c>
      <c r="E27" s="228">
        <f>'Biogenic Combustion'!E76+'Biogenic Combustion'!E114</f>
        <v>0</v>
      </c>
      <c r="F27" s="228">
        <f>'Biogenic Combustion'!F76+'Biogenic Combustion'!F114</f>
        <v>0</v>
      </c>
      <c r="G27" s="228">
        <f>'Biogenic Combustion'!G76+'Biogenic Combustion'!G114</f>
        <v>0</v>
      </c>
      <c r="H27" s="228">
        <f>'Biogenic Combustion'!H76+'Biogenic Combustion'!H114</f>
        <v>0</v>
      </c>
      <c r="I27" s="228">
        <f>'Biogenic Combustion'!I76+'Biogenic Combustion'!I114</f>
        <v>0</v>
      </c>
      <c r="J27" s="228">
        <f>'Biogenic Combustion'!J76+'Biogenic Combustion'!J114</f>
        <v>0</v>
      </c>
      <c r="K27" s="228">
        <f>'Biogenic Combustion'!K76+'Biogenic Combustion'!K114</f>
        <v>0</v>
      </c>
      <c r="L27" s="228">
        <f>'Biogenic Combustion'!L76+'Biogenic Combustion'!L114</f>
        <v>0</v>
      </c>
      <c r="M27" s="228">
        <f>'Biogenic Combustion'!M76+'Biogenic Combustion'!M114</f>
        <v>1.3721428901714283E-3</v>
      </c>
      <c r="N27" s="228">
        <f>'Biogenic Combustion'!N76+'Biogenic Combustion'!N114</f>
        <v>1.231362155885714E-3</v>
      </c>
      <c r="O27" s="228">
        <f>'Biogenic Combustion'!O76+'Biogenic Combustion'!O114</f>
        <v>1.627425288342857E-3</v>
      </c>
      <c r="P27" s="228">
        <f>'Biogenic Combustion'!P76+'Biogenic Combustion'!P114</f>
        <v>1.4171927251428571E-3</v>
      </c>
      <c r="Q27" s="228">
        <f>'Biogenic Combustion'!Q76+'Biogenic Combustion'!Q114</f>
        <v>3.2548833510365532E-3</v>
      </c>
      <c r="R27" s="228">
        <f>'Biogenic Combustion'!R76+'Biogenic Combustion'!R114</f>
        <v>1.7338189262040967E-3</v>
      </c>
      <c r="S27" s="99">
        <f>'Biogenic Combustion'!S76+'Biogenic Combustion'!S114</f>
        <v>1.8506772506133278E-3</v>
      </c>
      <c r="T27" s="99">
        <f>'Biogenic Combustion'!T76+'Biogenic Combustion'!T114</f>
        <v>1.7735076803618241E-3</v>
      </c>
      <c r="U27" s="99">
        <f>'Biogenic Combustion'!U76+'Biogenic Combustion'!U114</f>
        <v>1.7921643262382976E-3</v>
      </c>
      <c r="V27" s="99">
        <f>'Biogenic Combustion'!V76+'Biogenic Combustion'!V114</f>
        <v>1.8615024012392982E-3</v>
      </c>
      <c r="W27" s="99">
        <f>'Biogenic Combustion'!W76+'Biogenic Combustion'!W114</f>
        <v>1.7472769058627323E-3</v>
      </c>
      <c r="X27" s="99">
        <f>'Biogenic Combustion'!X76+'Biogenic Combustion'!X114</f>
        <v>1.8814015475036579E-3</v>
      </c>
      <c r="Y27" s="99">
        <f>'Biogenic Combustion'!Y76+'Biogenic Combustion'!Y114</f>
        <v>1.8193637252821003E-3</v>
      </c>
      <c r="Z27" s="99">
        <f>'Biogenic Combustion'!Z76+'Biogenic Combustion'!Z114</f>
        <v>1.9065044519390594E-3</v>
      </c>
      <c r="AA27" s="99">
        <f>'Biogenic Combustion'!AA76+'Biogenic Combustion'!AA114</f>
        <v>1.9212799243935128E-3</v>
      </c>
      <c r="AB27" s="99">
        <f>'Biogenic Combustion'!AB76+'Biogenic Combustion'!AB114</f>
        <v>1.9038632230287873E-3</v>
      </c>
      <c r="AC27" s="99">
        <f>'Biogenic Combustion'!AC76+'Biogenic Combustion'!AC114</f>
        <v>1.9373911157498491E-3</v>
      </c>
      <c r="AD27" s="99">
        <f>'Biogenic Combustion'!AD76+'Biogenic Combustion'!AD114</f>
        <v>1.9771464045980555E-3</v>
      </c>
      <c r="AE27" s="1084">
        <f>'Biogenic Combustion'!AE76+'Biogenic Combustion'!AE114</f>
        <v>1.9949044837961941E-3</v>
      </c>
      <c r="AF27" s="99">
        <f>'Biogenic Combustion'!AF76+'Biogenic Combustion'!AF114</f>
        <v>2.0018497652234948E-3</v>
      </c>
      <c r="AG27" s="99">
        <f>'Biogenic Combustion'!AG76+'Biogenic Combustion'!AG114</f>
        <v>1.7896336860042852E-3</v>
      </c>
      <c r="AH27" s="99">
        <f>'Biogenic Combustion'!AH76+'Biogenic Combustion'!AH114</f>
        <v>1.7872213313860307E-3</v>
      </c>
      <c r="AI27" s="99">
        <f>'Biogenic Combustion'!AI76+'Biogenic Combustion'!AI114</f>
        <v>1.7132521035962043E-3</v>
      </c>
      <c r="AJ27" s="371">
        <f>'Biogenic Combustion'!AJ76+'Biogenic Combustion'!AJ114</f>
        <v>1.7879016227704339E-3</v>
      </c>
    </row>
    <row r="28" spans="1:38" ht="15">
      <c r="A28" s="90"/>
      <c r="B28" s="154" t="s">
        <v>28</v>
      </c>
      <c r="C28" s="227">
        <f>'Biogenic Combustion'!C72+'Biogenic Combustion'!C110</f>
        <v>0</v>
      </c>
      <c r="D28" s="228">
        <f>'Biogenic Combustion'!D72+'Biogenic Combustion'!D110</f>
        <v>0</v>
      </c>
      <c r="E28" s="228">
        <f>'Biogenic Combustion'!E72+'Biogenic Combustion'!E110</f>
        <v>0</v>
      </c>
      <c r="F28" s="228">
        <f>'Biogenic Combustion'!F72+'Biogenic Combustion'!F110</f>
        <v>0</v>
      </c>
      <c r="G28" s="228">
        <f>'Biogenic Combustion'!G72+'Biogenic Combustion'!G110</f>
        <v>0</v>
      </c>
      <c r="H28" s="228">
        <f>'Biogenic Combustion'!H72+'Biogenic Combustion'!H110</f>
        <v>0</v>
      </c>
      <c r="I28" s="228">
        <f>'Biogenic Combustion'!I72+'Biogenic Combustion'!I110</f>
        <v>0</v>
      </c>
      <c r="J28" s="228">
        <f>'Biogenic Combustion'!J72+'Biogenic Combustion'!J110</f>
        <v>0</v>
      </c>
      <c r="K28" s="228">
        <f>'Biogenic Combustion'!K72+'Biogenic Combustion'!K110</f>
        <v>0</v>
      </c>
      <c r="L28" s="228">
        <f>'Biogenic Combustion'!L72+'Biogenic Combustion'!L110</f>
        <v>0</v>
      </c>
      <c r="M28" s="228">
        <f>'Biogenic Combustion'!M72+'Biogenic Combustion'!M110</f>
        <v>5.8469921814058962E-5</v>
      </c>
      <c r="N28" s="228">
        <f>'Biogenic Combustion'!N72+'Biogenic Combustion'!N110</f>
        <v>5.2470955827664404E-5</v>
      </c>
      <c r="O28" s="228">
        <f>'Biogenic Combustion'!O72+'Biogenic Combustion'!O110</f>
        <v>6.9348046802721083E-5</v>
      </c>
      <c r="P28" s="228">
        <f>'Biogenic Combustion'!P72+'Biogenic Combustion'!P110</f>
        <v>6.0389590929705207E-5</v>
      </c>
      <c r="Q28" s="228">
        <f>'Biogenic Combustion'!Q72+'Biogenic Combustion'!Q110</f>
        <v>1.3872358886621314E-4</v>
      </c>
      <c r="R28" s="228">
        <f>'Biogenic Combustion'!R72+'Biogenic Combustion'!R110</f>
        <v>7.401219898202264E-5</v>
      </c>
      <c r="S28" s="99">
        <f>'Biogenic Combustion'!S72+'Biogenic Combustion'!S110</f>
        <v>7.9331063081998382E-5</v>
      </c>
      <c r="T28" s="99">
        <f>'Biogenic Combustion'!T72+'Biogenic Combustion'!T110</f>
        <v>7.6199295907664508E-5</v>
      </c>
      <c r="U28" s="99">
        <f>'Biogenic Combustion'!U72+'Biogenic Combustion'!U110</f>
        <v>7.6915999171010054E-5</v>
      </c>
      <c r="V28" s="99">
        <f>'Biogenic Combustion'!V72+'Biogenic Combustion'!V110</f>
        <v>7.9948937790160483E-5</v>
      </c>
      <c r="W28" s="99">
        <f>'Biogenic Combustion'!W72+'Biogenic Combustion'!W110</f>
        <v>7.4924954857833254E-5</v>
      </c>
      <c r="X28" s="99">
        <f>'Biogenic Combustion'!X72+'Biogenic Combustion'!X110</f>
        <v>8.1527645592051058E-5</v>
      </c>
      <c r="Y28" s="99">
        <f>'Biogenic Combustion'!Y72+'Biogenic Combustion'!Y110</f>
        <v>7.7918431256063001E-5</v>
      </c>
      <c r="Z28" s="99">
        <f>'Biogenic Combustion'!Z72+'Biogenic Combustion'!Z110</f>
        <v>8.1683879983859609E-5</v>
      </c>
      <c r="AA28" s="99">
        <f>'Biogenic Combustion'!AA72+'Biogenic Combustion'!AA110</f>
        <v>8.2313494235673962E-5</v>
      </c>
      <c r="AB28" s="99">
        <f>'Biogenic Combustion'!AB72+'Biogenic Combustion'!AB110</f>
        <v>9.4229189519263762E-5</v>
      </c>
      <c r="AC28" s="99">
        <f>'Biogenic Combustion'!AC72+'Biogenic Combustion'!AC110</f>
        <v>9.5683982888918203E-5</v>
      </c>
      <c r="AD28" s="99">
        <f>'Biogenic Combustion'!AD72+'Biogenic Combustion'!AD110</f>
        <v>9.7612928238015532E-5</v>
      </c>
      <c r="AE28" s="1084">
        <f>'Biogenic Combustion'!AE72+'Biogenic Combustion'!AE110</f>
        <v>9.8213045639115577E-5</v>
      </c>
      <c r="AF28" s="99">
        <f>'Biogenic Combustion'!AF72+'Biogenic Combustion'!AF110</f>
        <v>9.8822182939763148E-5</v>
      </c>
      <c r="AG28" s="99">
        <f>'Biogenic Combustion'!AG72+'Biogenic Combustion'!AG110</f>
        <v>9.0014093322740685E-5</v>
      </c>
      <c r="AH28" s="99">
        <f>'Biogenic Combustion'!AH72+'Biogenic Combustion'!AH110</f>
        <v>9.0172284531637417E-5</v>
      </c>
      <c r="AI28" s="99">
        <f>'Biogenic Combustion'!AI72+'Biogenic Combustion'!AI110</f>
        <v>8.8534021901438077E-5</v>
      </c>
      <c r="AJ28" s="371">
        <f>'Biogenic Combustion'!AJ72+'Biogenic Combustion'!AJ110</f>
        <v>7.6186284127854876E-5</v>
      </c>
    </row>
    <row r="29" spans="1:38" ht="15">
      <c r="A29" s="90"/>
      <c r="B29" s="480" t="s">
        <v>160</v>
      </c>
      <c r="C29" s="500">
        <f>C30+C31</f>
        <v>0</v>
      </c>
      <c r="D29" s="501">
        <f>D30+D31</f>
        <v>0</v>
      </c>
      <c r="E29" s="501">
        <f t="shared" ref="E29:Y29" si="10">E30+E31</f>
        <v>0</v>
      </c>
      <c r="F29" s="501">
        <f t="shared" si="10"/>
        <v>0</v>
      </c>
      <c r="G29" s="501">
        <f t="shared" si="10"/>
        <v>0</v>
      </c>
      <c r="H29" s="501">
        <f t="shared" si="10"/>
        <v>0</v>
      </c>
      <c r="I29" s="501">
        <f t="shared" si="10"/>
        <v>0</v>
      </c>
      <c r="J29" s="501">
        <f t="shared" si="10"/>
        <v>0</v>
      </c>
      <c r="K29" s="501">
        <f t="shared" si="10"/>
        <v>0</v>
      </c>
      <c r="L29" s="501">
        <f t="shared" si="10"/>
        <v>0</v>
      </c>
      <c r="M29" s="501">
        <f t="shared" si="10"/>
        <v>0</v>
      </c>
      <c r="N29" s="501">
        <f t="shared" si="10"/>
        <v>0</v>
      </c>
      <c r="O29" s="501">
        <f t="shared" si="10"/>
        <v>6.0269611609977319E-8</v>
      </c>
      <c r="P29" s="501">
        <f t="shared" si="10"/>
        <v>6.0269611609977319E-8</v>
      </c>
      <c r="Q29" s="501">
        <f t="shared" si="10"/>
        <v>6.0269611609977313E-7</v>
      </c>
      <c r="R29" s="501">
        <f t="shared" si="10"/>
        <v>4.9421081520181405E-6</v>
      </c>
      <c r="S29" s="501">
        <f t="shared" si="10"/>
        <v>1.350039300063492E-5</v>
      </c>
      <c r="T29" s="501">
        <f t="shared" si="10"/>
        <v>1.4283897951564627E-5</v>
      </c>
      <c r="U29" s="501">
        <f t="shared" si="10"/>
        <v>1.1390956594285712E-5</v>
      </c>
      <c r="V29" s="501">
        <f t="shared" si="10"/>
        <v>1.2295000768435374E-5</v>
      </c>
      <c r="W29" s="501">
        <f t="shared" si="10"/>
        <v>2.0009511054512471E-5</v>
      </c>
      <c r="X29" s="501">
        <f t="shared" si="10"/>
        <v>2.0491667947392289E-5</v>
      </c>
      <c r="Y29" s="501">
        <f t="shared" si="10"/>
        <v>1.9467084550022675E-5</v>
      </c>
      <c r="Z29" s="501">
        <f t="shared" ref="Z29:AE29" si="11">Z30+Z31</f>
        <v>2.0612207170612241E-5</v>
      </c>
      <c r="AA29" s="501">
        <f t="shared" si="11"/>
        <v>1.6574143192743762E-5</v>
      </c>
      <c r="AB29" s="501">
        <f t="shared" si="11"/>
        <v>1.639333435791383E-5</v>
      </c>
      <c r="AC29" s="501">
        <f t="shared" si="11"/>
        <v>1.6453603969523808E-5</v>
      </c>
      <c r="AD29" s="501">
        <f t="shared" si="11"/>
        <v>1.6815221639183671E-5</v>
      </c>
      <c r="AE29" s="1085">
        <f t="shared" si="11"/>
        <v>1.705630008562358E-5</v>
      </c>
      <c r="AF29" s="501">
        <f t="shared" ref="AF29:AG29" si="12">AF30+AF31</f>
        <v>1.7538456978503399E-5</v>
      </c>
      <c r="AG29" s="501">
        <f t="shared" si="12"/>
        <v>1.7779535424943308E-5</v>
      </c>
      <c r="AH29" s="501">
        <f t="shared" ref="AH29:AI29" si="13">AH30+AH31</f>
        <v>1.7779535424943308E-5</v>
      </c>
      <c r="AI29" s="501">
        <f t="shared" si="13"/>
        <v>1.8502770764263039E-5</v>
      </c>
      <c r="AJ29" s="501">
        <f t="shared" ref="AJ29" si="14">AJ30+AJ31</f>
        <v>0</v>
      </c>
    </row>
    <row r="30" spans="1:38" ht="15">
      <c r="A30" s="90"/>
      <c r="B30" s="154" t="s">
        <v>30</v>
      </c>
      <c r="C30" s="227">
        <f>'Biogenic Combustion'!C133</f>
        <v>0</v>
      </c>
      <c r="D30" s="228">
        <f>'Biogenic Combustion'!D133</f>
        <v>0</v>
      </c>
      <c r="E30" s="228">
        <f>'Biogenic Combustion'!E133</f>
        <v>0</v>
      </c>
      <c r="F30" s="228">
        <f>'Biogenic Combustion'!F133</f>
        <v>0</v>
      </c>
      <c r="G30" s="228">
        <f>'Biogenic Combustion'!G133</f>
        <v>0</v>
      </c>
      <c r="H30" s="228">
        <f>'Biogenic Combustion'!H133</f>
        <v>0</v>
      </c>
      <c r="I30" s="228">
        <f>'Biogenic Combustion'!I133</f>
        <v>0</v>
      </c>
      <c r="J30" s="228">
        <f>'Biogenic Combustion'!J133</f>
        <v>0</v>
      </c>
      <c r="K30" s="228">
        <f>'Biogenic Combustion'!K133</f>
        <v>0</v>
      </c>
      <c r="L30" s="228">
        <f>'Biogenic Combustion'!L133</f>
        <v>0</v>
      </c>
      <c r="M30" s="228">
        <f>'Biogenic Combustion'!M133</f>
        <v>0</v>
      </c>
      <c r="N30" s="228">
        <f>'Biogenic Combustion'!N133</f>
        <v>0</v>
      </c>
      <c r="O30" s="228">
        <f>'Biogenic Combustion'!O133</f>
        <v>3.2774350839002266E-8</v>
      </c>
      <c r="P30" s="228">
        <f>'Biogenic Combustion'!P133</f>
        <v>3.2774350839002266E-8</v>
      </c>
      <c r="Q30" s="228">
        <f>'Biogenic Combustion'!Q133</f>
        <v>3.2774350839002264E-7</v>
      </c>
      <c r="R30" s="228">
        <f>'Biogenic Combustion'!R133</f>
        <v>2.6874967687981861E-6</v>
      </c>
      <c r="S30" s="99">
        <f>'Biogenic Combustion'!S133</f>
        <v>7.341454587936508E-6</v>
      </c>
      <c r="T30" s="99">
        <f>'Biogenic Combustion'!T133</f>
        <v>7.7675211488435387E-6</v>
      </c>
      <c r="U30" s="99">
        <f>'Biogenic Combustion'!U133</f>
        <v>6.1943523085714276E-6</v>
      </c>
      <c r="V30" s="99">
        <f>'Biogenic Combustion'!V133</f>
        <v>6.6859675711564625E-6</v>
      </c>
      <c r="W30" s="99">
        <f>'Biogenic Combustion'!W133</f>
        <v>1.0881084478548753E-5</v>
      </c>
      <c r="X30" s="99">
        <f>'Biogenic Combustion'!X133</f>
        <v>1.1143279285260771E-5</v>
      </c>
      <c r="Y30" s="99">
        <f>'Biogenic Combustion'!Y133</f>
        <v>1.0586115320997733E-5</v>
      </c>
      <c r="Z30" s="99">
        <f>'Biogenic Combustion'!Z133</f>
        <v>1.1208827986938774E-5</v>
      </c>
      <c r="AA30" s="99">
        <f>'Biogenic Combustion'!AA133</f>
        <v>9.0129464807256232E-6</v>
      </c>
      <c r="AB30" s="99">
        <f>'Biogenic Combustion'!AB133</f>
        <v>8.9146234282086166E-6</v>
      </c>
      <c r="AC30" s="99">
        <f>'Biogenic Combustion'!AC133</f>
        <v>8.9473977790476183E-6</v>
      </c>
      <c r="AD30" s="99">
        <f>'Biogenic Combustion'!AD133</f>
        <v>9.1440438840816332E-6</v>
      </c>
      <c r="AE30" s="1084">
        <f>'Biogenic Combustion'!AE133</f>
        <v>9.2751412874376415E-6</v>
      </c>
      <c r="AF30" s="99">
        <f>'Biogenic Combustion'!AF133</f>
        <v>9.5373360941496597E-6</v>
      </c>
      <c r="AG30" s="99">
        <f>'Biogenic Combustion'!AG133</f>
        <v>9.668433497505668E-6</v>
      </c>
      <c r="AH30" s="99">
        <f>'Biogenic Combustion'!AH133</f>
        <v>9.668433497505668E-6</v>
      </c>
      <c r="AI30" s="99">
        <f>'Biogenic Combustion'!AI133</f>
        <v>1.0061725707573696E-5</v>
      </c>
      <c r="AJ30" s="99">
        <f>'Biogenic Combustion'!AJ133</f>
        <v>0</v>
      </c>
    </row>
    <row r="31" spans="1:38" ht="15">
      <c r="A31" s="90"/>
      <c r="B31" s="154" t="s">
        <v>28</v>
      </c>
      <c r="C31" s="227">
        <f>'Biogenic Combustion'!C129</f>
        <v>0</v>
      </c>
      <c r="D31" s="228">
        <f>'Biogenic Combustion'!D129</f>
        <v>0</v>
      </c>
      <c r="E31" s="228">
        <f>'Biogenic Combustion'!E129</f>
        <v>0</v>
      </c>
      <c r="F31" s="228">
        <f>'Biogenic Combustion'!F129</f>
        <v>0</v>
      </c>
      <c r="G31" s="228">
        <f>'Biogenic Combustion'!G129</f>
        <v>0</v>
      </c>
      <c r="H31" s="228">
        <f>'Biogenic Combustion'!H129</f>
        <v>0</v>
      </c>
      <c r="I31" s="228">
        <f>'Biogenic Combustion'!I129</f>
        <v>0</v>
      </c>
      <c r="J31" s="228">
        <f>'Biogenic Combustion'!J129</f>
        <v>0</v>
      </c>
      <c r="K31" s="228">
        <f>'Biogenic Combustion'!K129</f>
        <v>0</v>
      </c>
      <c r="L31" s="228">
        <f>'Biogenic Combustion'!L129</f>
        <v>0</v>
      </c>
      <c r="M31" s="228">
        <f>'Biogenic Combustion'!M129</f>
        <v>0</v>
      </c>
      <c r="N31" s="228">
        <f>'Biogenic Combustion'!N129</f>
        <v>0</v>
      </c>
      <c r="O31" s="228">
        <f>'Biogenic Combustion'!O129</f>
        <v>2.7495260770975056E-8</v>
      </c>
      <c r="P31" s="228">
        <f>'Biogenic Combustion'!P129</f>
        <v>2.7495260770975056E-8</v>
      </c>
      <c r="Q31" s="228">
        <f>'Biogenic Combustion'!Q129</f>
        <v>2.7495260770975055E-7</v>
      </c>
      <c r="R31" s="228">
        <f>'Biogenic Combustion'!R129</f>
        <v>2.2546113832199544E-6</v>
      </c>
      <c r="S31" s="99">
        <f>'Biogenic Combustion'!S129</f>
        <v>6.1589384126984121E-6</v>
      </c>
      <c r="T31" s="99">
        <f>'Biogenic Combustion'!T129</f>
        <v>6.5163768027210879E-6</v>
      </c>
      <c r="U31" s="99">
        <f>'Biogenic Combustion'!U129</f>
        <v>5.1966042857142848E-6</v>
      </c>
      <c r="V31" s="99">
        <f>'Biogenic Combustion'!V129</f>
        <v>5.6090331972789119E-6</v>
      </c>
      <c r="W31" s="99">
        <f>'Biogenic Combustion'!W129</f>
        <v>9.1284265759637186E-6</v>
      </c>
      <c r="X31" s="99">
        <f>'Biogenic Combustion'!X129</f>
        <v>9.3483886621315187E-6</v>
      </c>
      <c r="Y31" s="99">
        <f>'Biogenic Combustion'!Y129</f>
        <v>8.8809692290249428E-6</v>
      </c>
      <c r="Z31" s="99">
        <f>'Biogenic Combustion'!Z129</f>
        <v>9.4033791836734683E-6</v>
      </c>
      <c r="AA31" s="99">
        <f>'Biogenic Combustion'!AA129</f>
        <v>7.5611967120181397E-6</v>
      </c>
      <c r="AB31" s="99">
        <f>'Biogenic Combustion'!AB129</f>
        <v>7.4787109297052153E-6</v>
      </c>
      <c r="AC31" s="99">
        <f>'Biogenic Combustion'!AC129</f>
        <v>7.5062061904761901E-6</v>
      </c>
      <c r="AD31" s="99">
        <f>'Biogenic Combustion'!AD129</f>
        <v>7.6711777551020397E-6</v>
      </c>
      <c r="AE31" s="1084">
        <f>'Biogenic Combustion'!AE129</f>
        <v>7.7811587981859406E-6</v>
      </c>
      <c r="AF31" s="99">
        <f>'Biogenic Combustion'!AF129</f>
        <v>8.0011208843537407E-6</v>
      </c>
      <c r="AG31" s="99">
        <f>'Biogenic Combustion'!AG129</f>
        <v>8.1111019274376416E-6</v>
      </c>
      <c r="AH31" s="99">
        <f>'Biogenic Combustion'!AH129</f>
        <v>8.1111019274376416E-6</v>
      </c>
      <c r="AI31" s="99">
        <f>'Biogenic Combustion'!AI129</f>
        <v>8.4410450566893426E-6</v>
      </c>
      <c r="AJ31" s="99">
        <f>'Biogenic Combustion'!AJ129</f>
        <v>0</v>
      </c>
    </row>
    <row r="32" spans="1:38" ht="15">
      <c r="A32" s="90"/>
      <c r="B32" s="482" t="s">
        <v>19</v>
      </c>
      <c r="C32" s="502">
        <f>C33+C34</f>
        <v>0</v>
      </c>
      <c r="D32" s="503">
        <f>D33+D34</f>
        <v>0</v>
      </c>
      <c r="E32" s="503">
        <f t="shared" ref="E32:Y32" si="15">E33+E34</f>
        <v>0</v>
      </c>
      <c r="F32" s="503">
        <f t="shared" si="15"/>
        <v>1.4286557493151927E-4</v>
      </c>
      <c r="G32" s="503">
        <f t="shared" si="15"/>
        <v>3.356362479555555E-4</v>
      </c>
      <c r="H32" s="503">
        <f t="shared" si="15"/>
        <v>4.6480238419501131E-4</v>
      </c>
      <c r="I32" s="503">
        <f t="shared" si="15"/>
        <v>5.7043484182417231E-4</v>
      </c>
      <c r="J32" s="503">
        <f t="shared" si="15"/>
        <v>1.5512461549824579E-3</v>
      </c>
      <c r="K32" s="503">
        <f t="shared" si="15"/>
        <v>1.9596029376408269E-3</v>
      </c>
      <c r="L32" s="503">
        <f t="shared" si="15"/>
        <v>2.7457951320829822E-3</v>
      </c>
      <c r="M32" s="503">
        <f t="shared" si="15"/>
        <v>2.7457951320829822E-3</v>
      </c>
      <c r="N32" s="503">
        <f t="shared" si="15"/>
        <v>3.5319873265251384E-3</v>
      </c>
      <c r="O32" s="503">
        <f t="shared" si="15"/>
        <v>3.0182975168261635E-3</v>
      </c>
      <c r="P32" s="503">
        <f t="shared" si="15"/>
        <v>3.6274000028900201E-3</v>
      </c>
      <c r="Q32" s="503">
        <f t="shared" si="15"/>
        <v>3.317056832885355E-3</v>
      </c>
      <c r="R32" s="503">
        <f t="shared" si="15"/>
        <v>3.6736219090370429E-3</v>
      </c>
      <c r="S32" s="503">
        <f t="shared" si="15"/>
        <v>3.4018641866399089E-3</v>
      </c>
      <c r="T32" s="503">
        <f t="shared" si="15"/>
        <v>3.5805146524977684E-3</v>
      </c>
      <c r="U32" s="503">
        <f t="shared" si="15"/>
        <v>3.885219524949315E-3</v>
      </c>
      <c r="V32" s="503">
        <f t="shared" si="15"/>
        <v>3.4041285081494398E-3</v>
      </c>
      <c r="W32" s="503">
        <f t="shared" si="15"/>
        <v>3.5024787355824342E-3</v>
      </c>
      <c r="X32" s="503">
        <f t="shared" si="15"/>
        <v>3.5145146710047468E-3</v>
      </c>
      <c r="Y32" s="503">
        <f t="shared" si="15"/>
        <v>3.4848573432990997E-3</v>
      </c>
      <c r="Z32" s="503">
        <f t="shared" ref="Z32:AE32" si="16">Z33+Z34</f>
        <v>3.6445693136965165E-3</v>
      </c>
      <c r="AA32" s="503">
        <f t="shared" si="16"/>
        <v>4.0507850697935827E-3</v>
      </c>
      <c r="AB32" s="503">
        <f t="shared" si="16"/>
        <v>3.6255603639799433E-3</v>
      </c>
      <c r="AC32" s="503">
        <f t="shared" si="16"/>
        <v>4.1113150611231308E-3</v>
      </c>
      <c r="AD32" s="503">
        <f t="shared" si="16"/>
        <v>3.4997545043453835E-3</v>
      </c>
      <c r="AE32" s="1086">
        <f t="shared" si="16"/>
        <v>3.8593765123880719E-3</v>
      </c>
      <c r="AF32" s="503">
        <f t="shared" ref="AF32:AG32" si="17">AF33+AF34</f>
        <v>3.4760368618440814E-3</v>
      </c>
      <c r="AG32" s="503">
        <f t="shared" si="17"/>
        <v>3.4628325600076022E-3</v>
      </c>
      <c r="AH32" s="503">
        <f t="shared" ref="AH32:AI32" si="18">AH33+AH34</f>
        <v>3.1411599542046E-3</v>
      </c>
      <c r="AI32" s="503">
        <f t="shared" si="18"/>
        <v>2.4571313238085073E-3</v>
      </c>
      <c r="AJ32" s="503">
        <f t="shared" ref="AJ32" si="19">AJ33+AJ34</f>
        <v>0</v>
      </c>
    </row>
    <row r="33" spans="1:37" ht="15">
      <c r="A33" s="90"/>
      <c r="B33" s="154" t="s">
        <v>30</v>
      </c>
      <c r="C33" s="227">
        <f>'Biogenic Combustion'!C40</f>
        <v>0</v>
      </c>
      <c r="D33" s="228">
        <f>'Biogenic Combustion'!D40</f>
        <v>0</v>
      </c>
      <c r="E33" s="228">
        <f>'Biogenic Combustion'!E40</f>
        <v>0</v>
      </c>
      <c r="F33" s="228">
        <f>'Biogenic Combustion'!F40</f>
        <v>1.3702658137142856E-4</v>
      </c>
      <c r="G33" s="228">
        <f>'Biogenic Combustion'!G40</f>
        <v>3.2191861239999994E-4</v>
      </c>
      <c r="H33" s="228">
        <f>'Biogenic Combustion'!H40</f>
        <v>4.4580565857142853E-4</v>
      </c>
      <c r="I33" s="228">
        <f>'Biogenic Combustion'!I40</f>
        <v>5.4712086034571427E-4</v>
      </c>
      <c r="J33" s="228">
        <f>'Biogenic Combustion'!J40</f>
        <v>1.4878458829897141E-3</v>
      </c>
      <c r="K33" s="228">
        <f>'Biogenic Combustion'!K40</f>
        <v>1.8795129023842282E-3</v>
      </c>
      <c r="L33" s="228">
        <f>'Biogenic Combustion'!L40</f>
        <v>2.6335729952858848E-3</v>
      </c>
      <c r="M33" s="99">
        <f>'Biogenic Combustion'!M40</f>
        <v>2.6335729952858848E-3</v>
      </c>
      <c r="N33" s="99">
        <f>'Biogenic Combustion'!N40</f>
        <v>3.387633088187542E-3</v>
      </c>
      <c r="O33" s="99">
        <f>'Biogenic Combustion'!O40</f>
        <v>2.8949380597166853E-3</v>
      </c>
      <c r="P33" s="99">
        <f>'Biogenic Combustion'!P40</f>
        <v>3.4791461967026279E-3</v>
      </c>
      <c r="Q33" s="99">
        <f>'Biogenic Combustion'!Q40</f>
        <v>3.1814869204347426E-3</v>
      </c>
      <c r="R33" s="99">
        <f>'Biogenic Combustion'!R40</f>
        <v>3.5234789884674282E-3</v>
      </c>
      <c r="S33" s="99">
        <f>'Biogenic Combustion'!S40</f>
        <v>3.262828151628571E-3</v>
      </c>
      <c r="T33" s="99">
        <f>'Biogenic Combustion'!T40</f>
        <v>3.4341770760188566E-3</v>
      </c>
      <c r="U33" s="99">
        <f>'Biogenic Combustion'!U40</f>
        <v>3.726428495013714E-3</v>
      </c>
      <c r="V33" s="99">
        <f>'Biogenic Combustion'!V40</f>
        <v>3.2649999290894852E-3</v>
      </c>
      <c r="W33" s="99">
        <f>'Biogenic Combustion'!W40</f>
        <v>3.3593305293667425E-3</v>
      </c>
      <c r="X33" s="99">
        <f>'Biogenic Combustion'!X40</f>
        <v>3.370874549578171E-3</v>
      </c>
      <c r="Y33" s="99">
        <f>'Biogenic Combustion'!Y40</f>
        <v>3.3424293329466282E-3</v>
      </c>
      <c r="Z33" s="99">
        <f>'Biogenic Combustion'!Z40</f>
        <v>3.4956137884611426E-3</v>
      </c>
      <c r="AA33" s="99">
        <f>'Biogenic Combustion'!AA40</f>
        <v>3.8852272862115421E-3</v>
      </c>
      <c r="AB33" s="99">
        <f>'Biogenic Combustion'!AB40</f>
        <v>3.477381744832914E-3</v>
      </c>
      <c r="AC33" s="99">
        <f>'Biogenic Combustion'!AC40</f>
        <v>3.9432833839545137E-3</v>
      </c>
      <c r="AD33" s="99">
        <f>'Biogenic Combustion'!AD40</f>
        <v>3.3567176389383995E-3</v>
      </c>
      <c r="AE33" s="1084">
        <f>'Biogenic Combustion'!AE40</f>
        <v>3.7016417003971421E-3</v>
      </c>
      <c r="AF33" s="99">
        <f>'Biogenic Combustion'!AF40</f>
        <v>3.3339693493542855E-3</v>
      </c>
      <c r="AG33" s="99">
        <f>'Biogenic Combustion'!AG40</f>
        <v>3.3213047144979423E-3</v>
      </c>
      <c r="AH33" s="99">
        <f>'Biogenic Combustion'!AH40</f>
        <v>3.0127790426196567E-3</v>
      </c>
      <c r="AI33" s="99">
        <f>'Biogenic Combustion'!AI40</f>
        <v>2.3567070334719995E-3</v>
      </c>
      <c r="AJ33" s="99">
        <f>'Biogenic Combustion'!AJ40</f>
        <v>0</v>
      </c>
    </row>
    <row r="34" spans="1:37" ht="15.5" thickBot="1">
      <c r="A34" s="90"/>
      <c r="B34" s="155" t="s">
        <v>28</v>
      </c>
      <c r="C34" s="229">
        <f>'Biogenic Combustion'!C36</f>
        <v>0</v>
      </c>
      <c r="D34" s="156">
        <f>'Biogenic Combustion'!D36</f>
        <v>0</v>
      </c>
      <c r="E34" s="156">
        <f>'Biogenic Combustion'!E36</f>
        <v>0</v>
      </c>
      <c r="F34" s="156">
        <f>'Biogenic Combustion'!F36</f>
        <v>5.8389935600907027E-6</v>
      </c>
      <c r="G34" s="156">
        <f>'Biogenic Combustion'!G36</f>
        <v>1.3717635555555555E-5</v>
      </c>
      <c r="H34" s="156">
        <f>'Biogenic Combustion'!H36</f>
        <v>1.8996725623582765E-5</v>
      </c>
      <c r="I34" s="156">
        <f>'Biogenic Combustion'!I36</f>
        <v>2.3313981478458048E-5</v>
      </c>
      <c r="J34" s="156">
        <f>'Biogenic Combustion'!J36</f>
        <v>6.3400271992743754E-5</v>
      </c>
      <c r="K34" s="156">
        <f>'Biogenic Combustion'!K36</f>
        <v>8.0090035256598639E-5</v>
      </c>
      <c r="L34" s="156">
        <f>'Biogenic Combustion'!L36</f>
        <v>1.1222213679709749E-4</v>
      </c>
      <c r="M34" s="214">
        <f>'Biogenic Combustion'!M36</f>
        <v>1.1222213679709749E-4</v>
      </c>
      <c r="N34" s="214">
        <f>'Biogenic Combustion'!N36</f>
        <v>1.4435423833759637E-4</v>
      </c>
      <c r="O34" s="214">
        <f>'Biogenic Combustion'!O36</f>
        <v>1.2335945710947844E-4</v>
      </c>
      <c r="P34" s="214">
        <f>'Biogenic Combustion'!P36</f>
        <v>1.4825380618739225E-4</v>
      </c>
      <c r="Q34" s="214">
        <f>'Biogenic Combustion'!Q36</f>
        <v>1.3556991245061223E-4</v>
      </c>
      <c r="R34" s="214">
        <f>'Biogenic Combustion'!R36</f>
        <v>1.5014292056961452E-4</v>
      </c>
      <c r="S34" s="214">
        <f>'Biogenic Combustion'!S36</f>
        <v>1.3903603501133787E-4</v>
      </c>
      <c r="T34" s="214">
        <f>'Biogenic Combustion'!T36</f>
        <v>1.4633757647891158E-4</v>
      </c>
      <c r="U34" s="214">
        <f>'Biogenic Combustion'!U36</f>
        <v>1.5879102993560088E-4</v>
      </c>
      <c r="V34" s="214">
        <f>'Biogenic Combustion'!V36</f>
        <v>1.3912857905995464E-4</v>
      </c>
      <c r="W34" s="214">
        <f>'Biogenic Combustion'!W36</f>
        <v>1.4314820621569158E-4</v>
      </c>
      <c r="X34" s="214">
        <f>'Biogenic Combustion'!X36</f>
        <v>1.4364012142657596E-4</v>
      </c>
      <c r="Y34" s="214">
        <f>'Biogenic Combustion'!Y36</f>
        <v>1.4242801035247165E-4</v>
      </c>
      <c r="Z34" s="214">
        <f>'Biogenic Combustion'!Z36</f>
        <v>1.4895552523537414E-4</v>
      </c>
      <c r="AA34" s="214">
        <f>'Biogenic Combustion'!AA36</f>
        <v>1.6555778358204082E-4</v>
      </c>
      <c r="AB34" s="214">
        <f>'Biogenic Combustion'!AB36</f>
        <v>1.4817861914702949E-4</v>
      </c>
      <c r="AC34" s="214">
        <f>'Biogenic Combustion'!AC36</f>
        <v>1.6803167716861677E-4</v>
      </c>
      <c r="AD34" s="214">
        <f>'Biogenic Combustion'!AD36</f>
        <v>1.4303686540698412E-4</v>
      </c>
      <c r="AE34" s="1087">
        <f>'Biogenic Combustion'!AE36</f>
        <v>1.5773481199092969E-4</v>
      </c>
      <c r="AF34" s="214">
        <f>'Biogenic Combustion'!AF36</f>
        <v>1.4206751248979591E-4</v>
      </c>
      <c r="AG34" s="214">
        <f>'Biogenic Combustion'!AG36</f>
        <v>1.4152784550965986E-4</v>
      </c>
      <c r="AH34" s="214">
        <f>'Biogenic Combustion'!AH36</f>
        <v>1.2838091158494331E-4</v>
      </c>
      <c r="AI34" s="214">
        <f>'Biogenic Combustion'!AI36</f>
        <v>1.0042429033650794E-4</v>
      </c>
      <c r="AJ34" s="214">
        <f>'Biogenic Combustion'!AJ36</f>
        <v>0</v>
      </c>
    </row>
    <row r="35" spans="1:37" ht="15.5" thickBot="1">
      <c r="A35" s="90"/>
      <c r="B35" s="157" t="s">
        <v>25</v>
      </c>
      <c r="C35" s="229">
        <f>C23+C26+C29+C32</f>
        <v>0</v>
      </c>
      <c r="D35" s="156">
        <f>D23+D26+D29+D32</f>
        <v>0</v>
      </c>
      <c r="E35" s="156">
        <f t="shared" ref="E35:Y35" si="20">E23+E26+E29+E32</f>
        <v>0</v>
      </c>
      <c r="F35" s="156">
        <f t="shared" si="20"/>
        <v>1.4286557493151927E-4</v>
      </c>
      <c r="G35" s="156">
        <f t="shared" si="20"/>
        <v>3.356362479555555E-4</v>
      </c>
      <c r="H35" s="156">
        <f t="shared" si="20"/>
        <v>4.6480238419501131E-4</v>
      </c>
      <c r="I35" s="156">
        <f t="shared" si="20"/>
        <v>5.7043484182417231E-4</v>
      </c>
      <c r="J35" s="156">
        <f t="shared" si="20"/>
        <v>1.5512461549824579E-3</v>
      </c>
      <c r="K35" s="156">
        <f t="shared" si="20"/>
        <v>1.9596029376408269E-3</v>
      </c>
      <c r="L35" s="156">
        <f t="shared" si="20"/>
        <v>2.7457951320829822E-3</v>
      </c>
      <c r="M35" s="156">
        <f t="shared" si="20"/>
        <v>4.1764079440684693E-3</v>
      </c>
      <c r="N35" s="156">
        <f t="shared" si="20"/>
        <v>4.8160012470733465E-3</v>
      </c>
      <c r="O35" s="156">
        <f t="shared" si="20"/>
        <v>4.7154324696414016E-3</v>
      </c>
      <c r="P35" s="156">
        <f t="shared" si="20"/>
        <v>5.1052836670206318E-3</v>
      </c>
      <c r="Q35" s="156">
        <f t="shared" si="20"/>
        <v>6.7117486257971008E-3</v>
      </c>
      <c r="R35" s="156">
        <f t="shared" si="20"/>
        <v>5.4880224218886494E-3</v>
      </c>
      <c r="S35" s="156">
        <f t="shared" si="20"/>
        <v>5.3500136534298387E-3</v>
      </c>
      <c r="T35" s="156">
        <f t="shared" si="20"/>
        <v>5.4508037011320645E-3</v>
      </c>
      <c r="U35" s="156">
        <f t="shared" si="20"/>
        <v>5.7710849371920012E-3</v>
      </c>
      <c r="V35" s="156">
        <f t="shared" si="20"/>
        <v>5.3636004610502818E-3</v>
      </c>
      <c r="W35" s="156">
        <f t="shared" si="20"/>
        <v>5.3493007326456754E-3</v>
      </c>
      <c r="X35" s="156">
        <f t="shared" si="20"/>
        <v>5.5136960354838574E-3</v>
      </c>
      <c r="Y35" s="156">
        <f t="shared" si="20"/>
        <v>5.4133290238454262E-3</v>
      </c>
      <c r="Z35" s="156">
        <f t="shared" ref="Z35:AE35" si="21">Z23+Z26+Z29+Z32</f>
        <v>5.7182199548823833E-3</v>
      </c>
      <c r="AA35" s="156">
        <f t="shared" si="21"/>
        <v>6.1280580886159666E-3</v>
      </c>
      <c r="AB35" s="156">
        <f t="shared" si="21"/>
        <v>5.7078192891413283E-3</v>
      </c>
      <c r="AC35" s="156">
        <f t="shared" si="21"/>
        <v>6.262578868129063E-3</v>
      </c>
      <c r="AD35" s="156">
        <f t="shared" si="21"/>
        <v>5.7013813696204559E-3</v>
      </c>
      <c r="AE35" s="1088">
        <f t="shared" si="21"/>
        <v>6.0304527844408876E-3</v>
      </c>
      <c r="AF35" s="156">
        <f t="shared" ref="AF35:AG35" si="22">AF23+AF26+AF29+AF32</f>
        <v>5.6419506645751395E-3</v>
      </c>
      <c r="AG35" s="156">
        <f t="shared" si="22"/>
        <v>5.4093193386100923E-3</v>
      </c>
      <c r="AH35" s="156">
        <f t="shared" ref="AH35:AI35" si="23">AH23+AH26+AH29+AH32</f>
        <v>5.0777684635290709E-3</v>
      </c>
      <c r="AI35" s="156">
        <f t="shared" si="23"/>
        <v>4.3116834942706853E-3</v>
      </c>
      <c r="AJ35" s="156">
        <f t="shared" ref="AJ35" si="24">AJ23+AJ26+AJ29+AJ32</f>
        <v>1.8640879068982888E-3</v>
      </c>
    </row>
    <row r="36" spans="1:37" ht="15">
      <c r="A36" s="90"/>
      <c r="B36" s="90"/>
      <c r="C36" s="90"/>
      <c r="D36" s="90"/>
      <c r="E36" s="90"/>
      <c r="F36" s="90"/>
      <c r="G36" s="90"/>
      <c r="H36" s="90"/>
      <c r="I36" s="90"/>
      <c r="J36" s="90"/>
      <c r="K36" s="90"/>
      <c r="L36" s="90"/>
      <c r="M36" s="90"/>
      <c r="N36" s="90"/>
      <c r="O36" s="90"/>
      <c r="P36" s="90"/>
      <c r="Q36" s="90"/>
      <c r="R36" s="90"/>
      <c r="S36" s="90"/>
      <c r="T36" s="90"/>
      <c r="U36" s="90"/>
      <c r="V36" s="90"/>
    </row>
    <row r="37" spans="1:37" ht="15">
      <c r="A37" s="90"/>
      <c r="B37" s="90"/>
      <c r="C37" s="90"/>
      <c r="D37" s="90"/>
      <c r="E37" s="90"/>
      <c r="F37" s="90"/>
      <c r="G37" s="90"/>
      <c r="H37" s="90"/>
      <c r="I37" s="90"/>
      <c r="J37" s="90"/>
      <c r="K37" s="90"/>
      <c r="L37" s="90"/>
      <c r="M37" s="90"/>
      <c r="N37" s="90"/>
      <c r="O37" s="90"/>
      <c r="P37" s="90"/>
      <c r="Q37" s="90"/>
      <c r="R37" s="90"/>
      <c r="S37" s="90"/>
      <c r="T37" s="90"/>
      <c r="U37" s="90"/>
      <c r="V37" s="90"/>
    </row>
    <row r="38" spans="1:37" ht="16" thickBot="1">
      <c r="B38" s="649" t="s">
        <v>162</v>
      </c>
      <c r="C38" s="99"/>
      <c r="D38" s="99"/>
      <c r="E38" s="99"/>
      <c r="F38" s="99"/>
      <c r="G38" s="99"/>
      <c r="H38" s="99"/>
      <c r="I38" s="99"/>
      <c r="J38" s="99"/>
      <c r="K38" s="99"/>
      <c r="L38" s="99"/>
      <c r="M38" s="99"/>
      <c r="N38" s="99"/>
      <c r="O38" s="217"/>
      <c r="P38" s="217"/>
      <c r="Q38" s="217"/>
      <c r="R38" s="217"/>
      <c r="S38" s="217"/>
      <c r="T38" s="217"/>
      <c r="U38" s="217"/>
      <c r="V38" s="217"/>
      <c r="W38" s="217"/>
      <c r="Y38" s="217"/>
      <c r="AC38" s="216"/>
      <c r="AD38" s="216"/>
      <c r="AE38" s="216"/>
      <c r="AF38" s="216"/>
      <c r="AG38" s="216"/>
      <c r="AH38" s="216"/>
      <c r="AI38" s="1056"/>
      <c r="AJ38" s="1056"/>
      <c r="AK38" s="1056"/>
    </row>
    <row r="39" spans="1:37" ht="15.5" thickBot="1">
      <c r="B39" s="93" t="s">
        <v>126</v>
      </c>
      <c r="C39" s="219">
        <v>1990</v>
      </c>
      <c r="D39" s="114">
        <v>1991</v>
      </c>
      <c r="E39" s="114">
        <v>1992</v>
      </c>
      <c r="F39" s="114">
        <v>1993</v>
      </c>
      <c r="G39" s="114">
        <v>1994</v>
      </c>
      <c r="H39" s="114">
        <v>1995</v>
      </c>
      <c r="I39" s="114">
        <v>1996</v>
      </c>
      <c r="J39" s="114">
        <v>1997</v>
      </c>
      <c r="K39" s="114">
        <v>1998</v>
      </c>
      <c r="L39" s="114">
        <v>1999</v>
      </c>
      <c r="M39" s="114">
        <v>2000</v>
      </c>
      <c r="N39" s="226">
        <v>2001</v>
      </c>
      <c r="O39" s="226">
        <v>2002</v>
      </c>
      <c r="P39" s="226">
        <v>2003</v>
      </c>
      <c r="Q39" s="226">
        <v>2004</v>
      </c>
      <c r="R39" s="226">
        <v>2005</v>
      </c>
      <c r="S39" s="226">
        <v>2006</v>
      </c>
      <c r="T39" s="226">
        <v>2007</v>
      </c>
      <c r="U39" s="226">
        <v>2008</v>
      </c>
      <c r="V39" s="226">
        <v>2009</v>
      </c>
      <c r="W39" s="226">
        <v>2010</v>
      </c>
      <c r="X39" s="226">
        <v>2011</v>
      </c>
      <c r="Y39" s="226">
        <v>2012</v>
      </c>
      <c r="Z39" s="226">
        <v>2013</v>
      </c>
      <c r="AA39" s="226">
        <v>2014</v>
      </c>
      <c r="AB39" s="114">
        <v>2015</v>
      </c>
      <c r="AC39" s="226">
        <v>2016</v>
      </c>
      <c r="AD39" s="226">
        <v>2017</v>
      </c>
      <c r="AE39" s="1077">
        <v>2018</v>
      </c>
      <c r="AF39" s="226">
        <v>2019</v>
      </c>
      <c r="AG39" s="226">
        <v>2020</v>
      </c>
      <c r="AH39" s="226">
        <v>2021</v>
      </c>
      <c r="AI39" s="226">
        <v>2022</v>
      </c>
      <c r="AJ39" s="1209"/>
      <c r="AK39" s="1209"/>
    </row>
    <row r="40" spans="1:37" ht="15">
      <c r="B40" s="487" t="s">
        <v>127</v>
      </c>
      <c r="C40" s="496">
        <f>C6+C23</f>
        <v>0.22146311499000002</v>
      </c>
      <c r="D40" s="497">
        <f>D6+D23</f>
        <v>0.22319701900000002</v>
      </c>
      <c r="E40" s="497">
        <f t="shared" ref="E40:Y40" si="25">E6+E23</f>
        <v>0.24130316051999998</v>
      </c>
      <c r="F40" s="497">
        <f t="shared" si="25"/>
        <v>0.24692919239</v>
      </c>
      <c r="G40" s="497">
        <f t="shared" si="25"/>
        <v>0.23707447088</v>
      </c>
      <c r="H40" s="497">
        <f t="shared" si="25"/>
        <v>0.23013408961000001</v>
      </c>
      <c r="I40" s="497">
        <f t="shared" si="25"/>
        <v>0.23386723920999997</v>
      </c>
      <c r="J40" s="497">
        <f t="shared" si="25"/>
        <v>0.18572004491999997</v>
      </c>
      <c r="K40" s="497">
        <f t="shared" si="25"/>
        <v>0.16721576863999998</v>
      </c>
      <c r="L40" s="497">
        <f t="shared" si="25"/>
        <v>0.17373373315999999</v>
      </c>
      <c r="M40" s="497">
        <f t="shared" si="25"/>
        <v>0.18965812091999998</v>
      </c>
      <c r="N40" s="497">
        <f t="shared" si="25"/>
        <v>0.17001017633883481</v>
      </c>
      <c r="O40" s="497">
        <f t="shared" si="25"/>
        <v>0.17220737271805805</v>
      </c>
      <c r="P40" s="497">
        <f t="shared" si="25"/>
        <v>0.1768570926784464</v>
      </c>
      <c r="Q40" s="497">
        <f t="shared" si="25"/>
        <v>0.17276405420689284</v>
      </c>
      <c r="R40" s="497">
        <f t="shared" si="25"/>
        <v>9.7275763499513487E-2</v>
      </c>
      <c r="S40" s="497">
        <f t="shared" si="25"/>
        <v>8.4134692390093954E-2</v>
      </c>
      <c r="T40" s="497">
        <f t="shared" si="25"/>
        <v>8.9188963264413237E-2</v>
      </c>
      <c r="U40" s="497">
        <f t="shared" si="25"/>
        <v>9.4446659070239081E-2</v>
      </c>
      <c r="V40" s="497">
        <f t="shared" si="25"/>
        <v>0.14273334035310292</v>
      </c>
      <c r="W40" s="497">
        <f t="shared" si="25"/>
        <v>0.14840344911528816</v>
      </c>
      <c r="X40" s="497">
        <f t="shared" si="25"/>
        <v>0.145500626043436</v>
      </c>
      <c r="Y40" s="497">
        <f t="shared" si="25"/>
        <v>0.12264981298945812</v>
      </c>
      <c r="Z40" s="497">
        <f t="shared" ref="Z40:AA52" si="26">Z6+Z23</f>
        <v>0.14766514310209233</v>
      </c>
      <c r="AA40" s="497">
        <f t="shared" si="26"/>
        <v>0.15495476199700042</v>
      </c>
      <c r="AB40" s="497">
        <f t="shared" ref="AB40:AC52" si="27">AB6+AB23</f>
        <v>0.14455749508825541</v>
      </c>
      <c r="AC40" s="497">
        <f t="shared" si="27"/>
        <v>0.1166058847843976</v>
      </c>
      <c r="AD40" s="497">
        <f t="shared" ref="AD40:AE52" si="28">AD6+AD23</f>
        <v>0.12000617690079979</v>
      </c>
      <c r="AE40" s="497">
        <f t="shared" si="28"/>
        <v>0.12435901158253188</v>
      </c>
      <c r="AF40" s="497">
        <f t="shared" ref="AF40:AG40" si="29">AF6+AF23</f>
        <v>0.14094700414758929</v>
      </c>
      <c r="AG40" s="497">
        <f t="shared" si="29"/>
        <v>0.1005962692938505</v>
      </c>
      <c r="AH40" s="497">
        <f t="shared" ref="AH40:AI40" si="30">AH6+AH23</f>
        <v>0.10713876512798183</v>
      </c>
      <c r="AI40" s="497">
        <f t="shared" si="30"/>
        <v>0.11733857132420025</v>
      </c>
      <c r="AJ40" s="1210"/>
      <c r="AK40" s="1210"/>
    </row>
    <row r="41" spans="1:37" ht="15">
      <c r="B41" s="154" t="s">
        <v>30</v>
      </c>
      <c r="C41" s="227">
        <f t="shared" ref="C41:D51" si="31">C7+C24</f>
        <v>4.5917890239999988E-2</v>
      </c>
      <c r="D41" s="228">
        <f t="shared" si="31"/>
        <v>4.5307249499999987E-2</v>
      </c>
      <c r="E41" s="228">
        <f t="shared" ref="E41:Y41" si="32">E7+E24</f>
        <v>4.9714815520000004E-2</v>
      </c>
      <c r="F41" s="228">
        <f t="shared" si="32"/>
        <v>5.0596505139999998E-2</v>
      </c>
      <c r="G41" s="228">
        <f t="shared" si="32"/>
        <v>4.933890937999999E-2</v>
      </c>
      <c r="H41" s="228">
        <f t="shared" si="32"/>
        <v>4.6910510359999998E-2</v>
      </c>
      <c r="I41" s="228">
        <f t="shared" si="32"/>
        <v>4.6404565959999998E-2</v>
      </c>
      <c r="J41" s="228">
        <f t="shared" si="32"/>
        <v>3.9758575919999997E-2</v>
      </c>
      <c r="K41" s="228">
        <f t="shared" si="32"/>
        <v>3.615214714E-2</v>
      </c>
      <c r="L41" s="228">
        <f t="shared" si="32"/>
        <v>3.7670826659999997E-2</v>
      </c>
      <c r="M41" s="228">
        <f t="shared" si="32"/>
        <v>4.1927270919999989E-2</v>
      </c>
      <c r="N41" s="228">
        <f t="shared" si="32"/>
        <v>4.0407217603052513E-2</v>
      </c>
      <c r="O41" s="228">
        <f t="shared" si="32"/>
        <v>4.0249143491754187E-2</v>
      </c>
      <c r="P41" s="228">
        <f t="shared" si="32"/>
        <v>4.0488258697403356E-2</v>
      </c>
      <c r="Q41" s="228">
        <f t="shared" si="32"/>
        <v>3.8759810994806708E-2</v>
      </c>
      <c r="R41" s="228">
        <f t="shared" si="32"/>
        <v>2.795019762747265E-2</v>
      </c>
      <c r="S41" s="228">
        <f t="shared" si="32"/>
        <v>2.4077365505014596E-2</v>
      </c>
      <c r="T41" s="228">
        <f t="shared" si="32"/>
        <v>2.4940312259662666E-2</v>
      </c>
      <c r="U41" s="228">
        <f t="shared" si="32"/>
        <v>2.5742096244400086E-2</v>
      </c>
      <c r="V41" s="228">
        <f t="shared" si="32"/>
        <v>3.1293673803329716E-2</v>
      </c>
      <c r="W41" s="228">
        <f t="shared" si="32"/>
        <v>3.2190494477839185E-2</v>
      </c>
      <c r="X41" s="228">
        <f t="shared" si="32"/>
        <v>3.1635900532744392E-2</v>
      </c>
      <c r="Y41" s="228">
        <f t="shared" si="32"/>
        <v>2.6604692411238178E-2</v>
      </c>
      <c r="Z41" s="228">
        <f t="shared" si="26"/>
        <v>3.0744537701502764E-2</v>
      </c>
      <c r="AA41" s="228">
        <f t="shared" si="26"/>
        <v>3.3146372237419945E-2</v>
      </c>
      <c r="AB41" s="228">
        <f t="shared" si="27"/>
        <v>3.1552938417518453E-2</v>
      </c>
      <c r="AC41" s="228">
        <f t="shared" si="27"/>
        <v>2.5320779284216229E-2</v>
      </c>
      <c r="AD41" s="228">
        <f t="shared" si="28"/>
        <v>2.6620758804632015E-2</v>
      </c>
      <c r="AE41" s="1082">
        <f t="shared" si="28"/>
        <v>2.813919112152281E-2</v>
      </c>
      <c r="AF41" s="228">
        <f t="shared" ref="AF41:AG41" si="33">AF7+AF24</f>
        <v>3.0573250398689068E-2</v>
      </c>
      <c r="AG41" s="228">
        <f t="shared" si="33"/>
        <v>2.3796785401582948E-2</v>
      </c>
      <c r="AH41" s="228">
        <f t="shared" ref="AH41:AI41" si="34">AH7+AH24</f>
        <v>2.5086564386201812E-2</v>
      </c>
      <c r="AI41" s="228">
        <f t="shared" si="34"/>
        <v>2.6424963518451972E-2</v>
      </c>
    </row>
    <row r="42" spans="1:37" ht="15">
      <c r="B42" s="154" t="s">
        <v>28</v>
      </c>
      <c r="C42" s="227">
        <f t="shared" si="31"/>
        <v>0.17554522475000001</v>
      </c>
      <c r="D42" s="228">
        <f t="shared" si="31"/>
        <v>0.17788976950000002</v>
      </c>
      <c r="E42" s="228">
        <f t="shared" ref="E42:Y42" si="35">E8+E25</f>
        <v>0.19158834499999997</v>
      </c>
      <c r="F42" s="228">
        <f t="shared" si="35"/>
        <v>0.19633268724999997</v>
      </c>
      <c r="G42" s="228">
        <f t="shared" si="35"/>
        <v>0.18773556150000001</v>
      </c>
      <c r="H42" s="228">
        <f t="shared" si="35"/>
        <v>0.18322357924999999</v>
      </c>
      <c r="I42" s="228">
        <f t="shared" si="35"/>
        <v>0.18746267324999999</v>
      </c>
      <c r="J42" s="228">
        <f t="shared" si="35"/>
        <v>0.14596146899999998</v>
      </c>
      <c r="K42" s="228">
        <f t="shared" si="35"/>
        <v>0.1310636215</v>
      </c>
      <c r="L42" s="228">
        <f t="shared" si="35"/>
        <v>0.1360629065</v>
      </c>
      <c r="M42" s="228">
        <f t="shared" si="35"/>
        <v>0.14773084999999997</v>
      </c>
      <c r="N42" s="228">
        <f t="shared" si="35"/>
        <v>0.12960295873578229</v>
      </c>
      <c r="O42" s="228">
        <f t="shared" si="35"/>
        <v>0.13195822922630385</v>
      </c>
      <c r="P42" s="228">
        <f t="shared" si="35"/>
        <v>0.13636883398104305</v>
      </c>
      <c r="Q42" s="228">
        <f t="shared" si="35"/>
        <v>0.13400424321208612</v>
      </c>
      <c r="R42" s="228">
        <f t="shared" si="35"/>
        <v>6.932556587204082E-2</v>
      </c>
      <c r="S42" s="228">
        <f t="shared" si="35"/>
        <v>6.0057326885079351E-2</v>
      </c>
      <c r="T42" s="228">
        <f t="shared" si="35"/>
        <v>6.4248651004750565E-2</v>
      </c>
      <c r="U42" s="228">
        <f t="shared" si="35"/>
        <v>6.8704562825838991E-2</v>
      </c>
      <c r="V42" s="228">
        <f t="shared" si="35"/>
        <v>0.11143966654977322</v>
      </c>
      <c r="W42" s="228">
        <f t="shared" si="35"/>
        <v>0.11621295463744896</v>
      </c>
      <c r="X42" s="228">
        <f t="shared" si="35"/>
        <v>0.11386472551069159</v>
      </c>
      <c r="Y42" s="228">
        <f t="shared" si="35"/>
        <v>9.604512057821997E-2</v>
      </c>
      <c r="Z42" s="228">
        <f t="shared" si="26"/>
        <v>0.11692060540058957</v>
      </c>
      <c r="AA42" s="228">
        <f t="shared" si="26"/>
        <v>0.12180838975958047</v>
      </c>
      <c r="AB42" s="228">
        <f t="shared" si="27"/>
        <v>0.11300455667073696</v>
      </c>
      <c r="AC42" s="228">
        <f t="shared" si="27"/>
        <v>9.1285105500181388E-2</v>
      </c>
      <c r="AD42" s="228">
        <f t="shared" si="28"/>
        <v>9.338541809616778E-2</v>
      </c>
      <c r="AE42" s="1082">
        <f t="shared" si="28"/>
        <v>9.6219820461009048E-2</v>
      </c>
      <c r="AF42" s="228">
        <f t="shared" ref="AF42:AG42" si="36">AF8+AF25</f>
        <v>0.11037375374890021</v>
      </c>
      <c r="AG42" s="228">
        <f t="shared" si="36"/>
        <v>7.6799483892267567E-2</v>
      </c>
      <c r="AH42" s="228">
        <f t="shared" ref="AH42:AI42" si="37">AH8+AH25</f>
        <v>8.2052200741780032E-2</v>
      </c>
      <c r="AI42" s="228">
        <f t="shared" si="37"/>
        <v>9.0913607805748295E-2</v>
      </c>
    </row>
    <row r="43" spans="1:37" ht="15">
      <c r="B43" s="479" t="s">
        <v>159</v>
      </c>
      <c r="C43" s="498">
        <f t="shared" si="31"/>
        <v>5.6637423469999996E-2</v>
      </c>
      <c r="D43" s="499">
        <f t="shared" si="31"/>
        <v>6.1309964570000007E-2</v>
      </c>
      <c r="E43" s="499">
        <f t="shared" ref="E43:Y43" si="38">E9+E26</f>
        <v>5.9076519639999991E-2</v>
      </c>
      <c r="F43" s="499">
        <f t="shared" si="38"/>
        <v>5.8319693030000001E-2</v>
      </c>
      <c r="G43" s="499">
        <f t="shared" si="38"/>
        <v>5.9352809769999994E-2</v>
      </c>
      <c r="H43" s="499">
        <f t="shared" si="38"/>
        <v>6.04764063E-2</v>
      </c>
      <c r="I43" s="499">
        <f t="shared" si="38"/>
        <v>5.9672558659999986E-2</v>
      </c>
      <c r="J43" s="499">
        <f t="shared" si="38"/>
        <v>5.7526248299999992E-2</v>
      </c>
      <c r="K43" s="499">
        <f t="shared" si="38"/>
        <v>4.9716922049999994E-2</v>
      </c>
      <c r="L43" s="499">
        <f t="shared" si="38"/>
        <v>4.3382592259999998E-2</v>
      </c>
      <c r="M43" s="499">
        <f t="shared" si="38"/>
        <v>4.9770413471985499E-2</v>
      </c>
      <c r="N43" s="499">
        <f t="shared" si="38"/>
        <v>4.1082088711713378E-2</v>
      </c>
      <c r="O43" s="499">
        <f t="shared" si="38"/>
        <v>4.2370224195145578E-2</v>
      </c>
      <c r="P43" s="499">
        <f t="shared" si="38"/>
        <v>5.0262680066072561E-2</v>
      </c>
      <c r="Q43" s="499">
        <f t="shared" si="38"/>
        <v>4.9255278969902769E-2</v>
      </c>
      <c r="R43" s="499">
        <f t="shared" si="38"/>
        <v>3.6141818645186112E-2</v>
      </c>
      <c r="S43" s="499">
        <f t="shared" si="38"/>
        <v>2.7004603003695324E-2</v>
      </c>
      <c r="T43" s="499">
        <f t="shared" si="38"/>
        <v>2.7604247556269484E-2</v>
      </c>
      <c r="U43" s="499">
        <f t="shared" si="38"/>
        <v>2.7519283905409309E-2</v>
      </c>
      <c r="V43" s="499">
        <f t="shared" si="38"/>
        <v>3.5598293579029459E-2</v>
      </c>
      <c r="W43" s="499">
        <f t="shared" si="38"/>
        <v>4.0548985470720569E-2</v>
      </c>
      <c r="X43" s="499">
        <f t="shared" si="38"/>
        <v>3.6602499523095702E-2</v>
      </c>
      <c r="Y43" s="499">
        <f t="shared" si="38"/>
        <v>3.0061174346538162E-2</v>
      </c>
      <c r="Z43" s="499">
        <f t="shared" si="26"/>
        <v>3.6151283551922923E-2</v>
      </c>
      <c r="AA43" s="499">
        <f t="shared" si="26"/>
        <v>3.8072039908629181E-2</v>
      </c>
      <c r="AB43" s="499">
        <f t="shared" si="27"/>
        <v>4.1306839022548052E-2</v>
      </c>
      <c r="AC43" s="499">
        <f t="shared" si="27"/>
        <v>3.7533339478638759E-2</v>
      </c>
      <c r="AD43" s="499">
        <f t="shared" si="28"/>
        <v>3.9095321052836064E-2</v>
      </c>
      <c r="AE43" s="1083">
        <f t="shared" si="28"/>
        <v>3.8487936393707241E-2</v>
      </c>
      <c r="AF43" s="499">
        <f t="shared" ref="AF43:AG43" si="39">AF9+AF26</f>
        <v>4.0893204207801251E-2</v>
      </c>
      <c r="AG43" s="499">
        <f t="shared" si="39"/>
        <v>3.7341224687775752E-2</v>
      </c>
      <c r="AH43" s="499">
        <f t="shared" ref="AH43:AI43" si="40">AH9+AH26</f>
        <v>4.0312981548824872E-2</v>
      </c>
      <c r="AI43" s="499">
        <f t="shared" si="40"/>
        <v>4.1759562097804501E-2</v>
      </c>
      <c r="AJ43" s="1208"/>
      <c r="AK43" s="1208"/>
    </row>
    <row r="44" spans="1:37" ht="15">
      <c r="B44" s="154" t="s">
        <v>30</v>
      </c>
      <c r="C44" s="227">
        <f t="shared" si="31"/>
        <v>1.7459787219999998E-2</v>
      </c>
      <c r="D44" s="228">
        <f t="shared" si="31"/>
        <v>1.8995366320000002E-2</v>
      </c>
      <c r="E44" s="228">
        <f t="shared" ref="E44:Y44" si="41">E10+E27</f>
        <v>1.7514631139999997E-2</v>
      </c>
      <c r="F44" s="228">
        <f t="shared" si="41"/>
        <v>1.5742106279999998E-2</v>
      </c>
      <c r="G44" s="228">
        <f t="shared" si="41"/>
        <v>1.5752128019999995E-2</v>
      </c>
      <c r="H44" s="228">
        <f t="shared" si="41"/>
        <v>1.6254365299999997E-2</v>
      </c>
      <c r="I44" s="228">
        <f t="shared" si="41"/>
        <v>1.5220326159999999E-2</v>
      </c>
      <c r="J44" s="228">
        <f t="shared" si="41"/>
        <v>1.48171113E-2</v>
      </c>
      <c r="K44" s="228">
        <f t="shared" si="41"/>
        <v>1.2826024299999997E-2</v>
      </c>
      <c r="L44" s="228">
        <f t="shared" si="41"/>
        <v>1.0733101759999997E-2</v>
      </c>
      <c r="M44" s="228">
        <f t="shared" si="41"/>
        <v>1.3812427050171428E-2</v>
      </c>
      <c r="N44" s="228">
        <f t="shared" si="41"/>
        <v>1.1020051255885713E-2</v>
      </c>
      <c r="O44" s="228">
        <f t="shared" si="41"/>
        <v>1.1823292648342854E-2</v>
      </c>
      <c r="P44" s="228">
        <f t="shared" si="41"/>
        <v>1.4761036725142855E-2</v>
      </c>
      <c r="Q44" s="228">
        <f t="shared" si="41"/>
        <v>1.563689063103655E-2</v>
      </c>
      <c r="R44" s="228">
        <f t="shared" si="41"/>
        <v>1.2921108446204095E-2</v>
      </c>
      <c r="S44" s="99">
        <f t="shared" si="41"/>
        <v>9.3375636906133271E-3</v>
      </c>
      <c r="T44" s="99">
        <f t="shared" si="41"/>
        <v>9.1652367603618241E-3</v>
      </c>
      <c r="U44" s="99">
        <f t="shared" si="41"/>
        <v>8.6228339062382961E-3</v>
      </c>
      <c r="V44" s="99">
        <f t="shared" si="41"/>
        <v>1.0064289141239299E-2</v>
      </c>
      <c r="W44" s="99">
        <f t="shared" si="41"/>
        <v>1.2078436265862733E-2</v>
      </c>
      <c r="X44" s="99">
        <f t="shared" si="41"/>
        <v>1.0330509127503657E-2</v>
      </c>
      <c r="Y44" s="99">
        <f t="shared" si="41"/>
        <v>8.2297996652820997E-3</v>
      </c>
      <c r="Z44" s="99">
        <f t="shared" si="26"/>
        <v>9.4446796719390574E-3</v>
      </c>
      <c r="AA44" s="99">
        <f t="shared" si="26"/>
        <v>9.9404241643935125E-3</v>
      </c>
      <c r="AB44" s="99">
        <f t="shared" si="27"/>
        <v>1.1065447083028786E-2</v>
      </c>
      <c r="AC44" s="99">
        <f t="shared" si="27"/>
        <v>9.6428694957498475E-3</v>
      </c>
      <c r="AD44" s="99">
        <f t="shared" si="28"/>
        <v>1.0073177624598055E-2</v>
      </c>
      <c r="AE44" s="1084">
        <f t="shared" si="28"/>
        <v>1.0147222673359794E-2</v>
      </c>
      <c r="AF44" s="99">
        <f t="shared" ref="AF44:AG44" si="42">AF10+AF27</f>
        <v>1.0545505058611494E-2</v>
      </c>
      <c r="AG44" s="99">
        <f t="shared" si="42"/>
        <v>9.5786719662446836E-3</v>
      </c>
      <c r="AH44" s="99">
        <f t="shared" ref="AH44:AI44" si="43">AH10+AH27</f>
        <v>1.0724458575293229E-2</v>
      </c>
      <c r="AI44" s="99">
        <f t="shared" si="43"/>
        <v>1.0975693088361403E-2</v>
      </c>
    </row>
    <row r="45" spans="1:37" ht="15">
      <c r="B45" s="154" t="s">
        <v>28</v>
      </c>
      <c r="C45" s="227">
        <f t="shared" si="31"/>
        <v>3.9177636249999995E-2</v>
      </c>
      <c r="D45" s="228">
        <f t="shared" si="31"/>
        <v>4.2314598250000002E-2</v>
      </c>
      <c r="E45" s="228">
        <f t="shared" ref="E45:Y45" si="44">E11+E28</f>
        <v>4.1561888499999998E-2</v>
      </c>
      <c r="F45" s="228">
        <f t="shared" si="44"/>
        <v>4.257758675E-2</v>
      </c>
      <c r="G45" s="228">
        <f t="shared" si="44"/>
        <v>4.3600681750000002E-2</v>
      </c>
      <c r="H45" s="228">
        <f t="shared" si="44"/>
        <v>4.4222040999999997E-2</v>
      </c>
      <c r="I45" s="228">
        <f t="shared" si="44"/>
        <v>4.4452232499999994E-2</v>
      </c>
      <c r="J45" s="228">
        <f t="shared" si="44"/>
        <v>4.2709136999999987E-2</v>
      </c>
      <c r="K45" s="228">
        <f t="shared" si="44"/>
        <v>3.6890897749999998E-2</v>
      </c>
      <c r="L45" s="228">
        <f t="shared" si="44"/>
        <v>3.2649490499999996E-2</v>
      </c>
      <c r="M45" s="228">
        <f t="shared" si="44"/>
        <v>3.5957986421814067E-2</v>
      </c>
      <c r="N45" s="228">
        <f t="shared" si="44"/>
        <v>3.0062037455827664E-2</v>
      </c>
      <c r="O45" s="228">
        <f t="shared" si="44"/>
        <v>3.0546931546802721E-2</v>
      </c>
      <c r="P45" s="228">
        <f t="shared" si="44"/>
        <v>3.5501643340929694E-2</v>
      </c>
      <c r="Q45" s="228">
        <f t="shared" si="44"/>
        <v>3.3618388338866219E-2</v>
      </c>
      <c r="R45" s="228">
        <f t="shared" si="44"/>
        <v>2.322071019898202E-2</v>
      </c>
      <c r="S45" s="99">
        <f t="shared" si="44"/>
        <v>1.7667039313082E-2</v>
      </c>
      <c r="T45" s="99">
        <f t="shared" si="44"/>
        <v>1.8439010795907661E-2</v>
      </c>
      <c r="U45" s="99">
        <f t="shared" si="44"/>
        <v>1.8896449999171009E-2</v>
      </c>
      <c r="V45" s="99">
        <f t="shared" si="44"/>
        <v>2.5534004437790161E-2</v>
      </c>
      <c r="W45" s="99">
        <f t="shared" si="44"/>
        <v>2.8470549204857833E-2</v>
      </c>
      <c r="X45" s="99">
        <f t="shared" si="44"/>
        <v>2.6271990395592044E-2</v>
      </c>
      <c r="Y45" s="99">
        <f t="shared" si="44"/>
        <v>2.1831374681256059E-2</v>
      </c>
      <c r="Z45" s="99">
        <f t="shared" si="26"/>
        <v>2.6706603879983856E-2</v>
      </c>
      <c r="AA45" s="99">
        <f t="shared" si="26"/>
        <v>2.8131615744235668E-2</v>
      </c>
      <c r="AB45" s="99">
        <f t="shared" si="27"/>
        <v>3.024139193951926E-2</v>
      </c>
      <c r="AC45" s="99">
        <f t="shared" si="27"/>
        <v>2.7890469982888917E-2</v>
      </c>
      <c r="AD45" s="99">
        <f t="shared" si="28"/>
        <v>2.9022143428238008E-2</v>
      </c>
      <c r="AE45" s="1084">
        <f t="shared" si="28"/>
        <v>2.8340713720347448E-2</v>
      </c>
      <c r="AF45" s="99">
        <f t="shared" ref="AF45:AG45" si="45">AF11+AF28</f>
        <v>3.0347699149189764E-2</v>
      </c>
      <c r="AG45" s="99">
        <f t="shared" si="45"/>
        <v>2.776255272153107E-2</v>
      </c>
      <c r="AH45" s="99">
        <f t="shared" ref="AH45:AI45" si="46">AH11+AH28</f>
        <v>2.958852297353164E-2</v>
      </c>
      <c r="AI45" s="99">
        <f t="shared" si="46"/>
        <v>3.0783869009443101E-2</v>
      </c>
      <c r="AJ45" s="216"/>
      <c r="AK45" s="216"/>
    </row>
    <row r="46" spans="1:37" ht="15">
      <c r="B46" s="480" t="s">
        <v>133</v>
      </c>
      <c r="C46" s="500">
        <f>C12+C29</f>
        <v>2.19391063196166E-2</v>
      </c>
      <c r="D46" s="501">
        <f t="shared" si="31"/>
        <v>1.8781763976866355E-2</v>
      </c>
      <c r="E46" s="501">
        <f t="shared" ref="E46:Y46" si="47">E12+E29</f>
        <v>2.2028050975299421E-2</v>
      </c>
      <c r="F46" s="501">
        <f t="shared" si="47"/>
        <v>2.2576235395789939E-2</v>
      </c>
      <c r="G46" s="501">
        <f t="shared" si="47"/>
        <v>2.0931408654771038E-2</v>
      </c>
      <c r="H46" s="501">
        <f t="shared" si="47"/>
        <v>2.0643115784405128E-2</v>
      </c>
      <c r="I46" s="501">
        <f t="shared" si="47"/>
        <v>2.0520728261739413E-2</v>
      </c>
      <c r="J46" s="501">
        <f t="shared" si="47"/>
        <v>2.1745724419546825E-2</v>
      </c>
      <c r="K46" s="501">
        <f t="shared" si="47"/>
        <v>1.9165047541601147E-2</v>
      </c>
      <c r="L46" s="501">
        <f t="shared" si="47"/>
        <v>1.9545638441667956E-2</v>
      </c>
      <c r="M46" s="501">
        <f t="shared" si="47"/>
        <v>1.9460913438582691E-2</v>
      </c>
      <c r="N46" s="501">
        <f t="shared" si="47"/>
        <v>1.9232176795174957E-2</v>
      </c>
      <c r="O46" s="501">
        <f t="shared" si="47"/>
        <v>1.5271751859067314E-2</v>
      </c>
      <c r="P46" s="501">
        <f t="shared" si="47"/>
        <v>1.3985172767404663E-2</v>
      </c>
      <c r="Q46" s="501">
        <f t="shared" si="47"/>
        <v>1.4127689803131883E-2</v>
      </c>
      <c r="R46" s="501">
        <f t="shared" si="47"/>
        <v>1.4674071642138202E-2</v>
      </c>
      <c r="S46" s="501">
        <f t="shared" si="47"/>
        <v>1.465079889271763E-2</v>
      </c>
      <c r="T46" s="501">
        <f t="shared" si="47"/>
        <v>1.4282323883146444E-2</v>
      </c>
      <c r="U46" s="501">
        <f t="shared" si="47"/>
        <v>1.3430691929560775E-2</v>
      </c>
      <c r="V46" s="501">
        <f t="shared" si="47"/>
        <v>1.0589194550226607E-2</v>
      </c>
      <c r="W46" s="501">
        <f t="shared" si="47"/>
        <v>1.563475074240385E-2</v>
      </c>
      <c r="X46" s="501">
        <f t="shared" si="47"/>
        <v>1.9356157358088162E-2</v>
      </c>
      <c r="Y46" s="501">
        <f t="shared" si="47"/>
        <v>1.8178716107587877E-2</v>
      </c>
      <c r="Z46" s="501">
        <f t="shared" si="26"/>
        <v>1.8261515368813042E-2</v>
      </c>
      <c r="AA46" s="501">
        <f t="shared" si="26"/>
        <v>1.7641932082315848E-2</v>
      </c>
      <c r="AB46" s="501">
        <f t="shared" si="27"/>
        <v>1.7697796998385435E-2</v>
      </c>
      <c r="AC46" s="501">
        <f t="shared" si="27"/>
        <v>1.686675520599782E-2</v>
      </c>
      <c r="AD46" s="501">
        <f t="shared" si="28"/>
        <v>9.7403983400133273E-3</v>
      </c>
      <c r="AE46" s="1085">
        <f t="shared" si="28"/>
        <v>9.537154264502308E-3</v>
      </c>
      <c r="AF46" s="501">
        <f t="shared" ref="AF46:AG46" si="48">AF12+AF29</f>
        <v>9.5614253896399177E-3</v>
      </c>
      <c r="AG46" s="501">
        <f t="shared" si="48"/>
        <v>9.2829660458685851E-3</v>
      </c>
      <c r="AH46" s="501">
        <f t="shared" ref="AH46:AI46" si="49">AH12+AH29</f>
        <v>9.5944453438484879E-3</v>
      </c>
      <c r="AI46" s="501">
        <f t="shared" si="49"/>
        <v>9.7362239781499816E-3</v>
      </c>
      <c r="AJ46" s="1210"/>
      <c r="AK46" s="1210"/>
    </row>
    <row r="47" spans="1:37" ht="15">
      <c r="B47" s="154" t="s">
        <v>30</v>
      </c>
      <c r="C47" s="227">
        <f>C13+C30</f>
        <v>1.4096739613452437E-2</v>
      </c>
      <c r="D47" s="228">
        <f>D13+D30</f>
        <v>1.1740855849514479E-2</v>
      </c>
      <c r="E47" s="228">
        <f t="shared" ref="E47:Y47" si="50">E13+E30</f>
        <v>1.3912245845453973E-2</v>
      </c>
      <c r="F47" s="228">
        <f t="shared" si="50"/>
        <v>1.4294797157557312E-2</v>
      </c>
      <c r="G47" s="228">
        <f t="shared" si="50"/>
        <v>1.3173649105995541E-2</v>
      </c>
      <c r="H47" s="228">
        <f t="shared" si="50"/>
        <v>1.2833920516947055E-2</v>
      </c>
      <c r="I47" s="228">
        <f t="shared" si="50"/>
        <v>1.2778451822213009E-2</v>
      </c>
      <c r="J47" s="228">
        <f t="shared" si="50"/>
        <v>1.3509526569771431E-2</v>
      </c>
      <c r="K47" s="228">
        <f t="shared" si="50"/>
        <v>1.1903332860952277E-2</v>
      </c>
      <c r="L47" s="228">
        <f t="shared" si="50"/>
        <v>1.1994251367647882E-2</v>
      </c>
      <c r="M47" s="228">
        <f t="shared" si="50"/>
        <v>1.1969208489207968E-2</v>
      </c>
      <c r="N47" s="228">
        <f t="shared" si="50"/>
        <v>1.2033553970885603E-2</v>
      </c>
      <c r="O47" s="228">
        <f t="shared" si="50"/>
        <v>9.4897667270835775E-3</v>
      </c>
      <c r="P47" s="228">
        <f t="shared" si="50"/>
        <v>8.9135733517692016E-3</v>
      </c>
      <c r="Q47" s="228">
        <f t="shared" si="50"/>
        <v>8.9788786847327627E-3</v>
      </c>
      <c r="R47" s="228">
        <f t="shared" si="50"/>
        <v>9.3092934287808578E-3</v>
      </c>
      <c r="S47" s="228">
        <f t="shared" si="50"/>
        <v>9.3027890787412606E-3</v>
      </c>
      <c r="T47" s="228">
        <f t="shared" si="50"/>
        <v>8.9874218678258622E-3</v>
      </c>
      <c r="U47" s="228">
        <f t="shared" si="50"/>
        <v>8.4258244080262119E-3</v>
      </c>
      <c r="V47" s="228">
        <f t="shared" si="50"/>
        <v>6.571316480226296E-3</v>
      </c>
      <c r="W47" s="228">
        <f t="shared" si="50"/>
        <v>9.7130990717490436E-3</v>
      </c>
      <c r="X47" s="228">
        <f t="shared" si="50"/>
        <v>1.1999667271999534E-2</v>
      </c>
      <c r="Y47" s="228">
        <f t="shared" si="50"/>
        <v>1.1199339638247142E-2</v>
      </c>
      <c r="Z47" s="228">
        <f t="shared" si="26"/>
        <v>1.1235402007900169E-2</v>
      </c>
      <c r="AA47" s="228">
        <f t="shared" si="26"/>
        <v>1.0851165326458512E-2</v>
      </c>
      <c r="AB47" s="228">
        <f t="shared" si="27"/>
        <v>1.0913341683280876E-2</v>
      </c>
      <c r="AC47" s="228">
        <f t="shared" si="27"/>
        <v>1.0363972505793196E-2</v>
      </c>
      <c r="AD47" s="228">
        <f t="shared" si="28"/>
        <v>6.0033118518562235E-3</v>
      </c>
      <c r="AE47" s="1082">
        <f t="shared" si="28"/>
        <v>5.8641008707365858E-3</v>
      </c>
      <c r="AF47" s="228">
        <f t="shared" ref="AF47:AG47" si="51">AF13+AF30</f>
        <v>5.8689554242831151E-3</v>
      </c>
      <c r="AG47" s="228">
        <f t="shared" si="51"/>
        <v>5.7003287441627281E-3</v>
      </c>
      <c r="AH47" s="228">
        <f t="shared" ref="AH47:AI47" si="52">AH13+AH30</f>
        <v>5.9032464171123507E-3</v>
      </c>
      <c r="AI47" s="228">
        <f t="shared" si="52"/>
        <v>5.9865357591742429E-3</v>
      </c>
    </row>
    <row r="48" spans="1:37" ht="15">
      <c r="B48" s="154" t="s">
        <v>28</v>
      </c>
      <c r="C48" s="227">
        <f>C14+C31</f>
        <v>7.842366706164167E-3</v>
      </c>
      <c r="D48" s="228">
        <f>D14+D31</f>
        <v>7.0409081273518741E-3</v>
      </c>
      <c r="E48" s="228">
        <f t="shared" ref="E48:Y48" si="53">E14+E31</f>
        <v>8.1158051298454489E-3</v>
      </c>
      <c r="F48" s="228">
        <f t="shared" si="53"/>
        <v>8.2814382382326267E-3</v>
      </c>
      <c r="G48" s="228">
        <f t="shared" si="53"/>
        <v>7.7577595487754959E-3</v>
      </c>
      <c r="H48" s="228">
        <f t="shared" si="53"/>
        <v>7.8091952674580736E-3</v>
      </c>
      <c r="I48" s="228">
        <f t="shared" si="53"/>
        <v>7.742276439526405E-3</v>
      </c>
      <c r="J48" s="228">
        <f t="shared" si="53"/>
        <v>8.2361978497754E-3</v>
      </c>
      <c r="K48" s="228">
        <f t="shared" si="53"/>
        <v>7.2617146806488687E-3</v>
      </c>
      <c r="L48" s="228">
        <f t="shared" si="53"/>
        <v>7.5513870740200745E-3</v>
      </c>
      <c r="M48" s="228">
        <f t="shared" si="53"/>
        <v>7.4917049493747256E-3</v>
      </c>
      <c r="N48" s="228">
        <f t="shared" si="53"/>
        <v>7.1986228242893529E-3</v>
      </c>
      <c r="O48" s="228">
        <f t="shared" si="53"/>
        <v>5.7819851319837372E-3</v>
      </c>
      <c r="P48" s="228">
        <f t="shared" si="53"/>
        <v>5.0715994156354631E-3</v>
      </c>
      <c r="Q48" s="228">
        <f t="shared" si="53"/>
        <v>5.1488111183991218E-3</v>
      </c>
      <c r="R48" s="228">
        <f t="shared" si="53"/>
        <v>5.3647782133573445E-3</v>
      </c>
      <c r="S48" s="228">
        <f t="shared" si="53"/>
        <v>5.348009813976368E-3</v>
      </c>
      <c r="T48" s="228">
        <f t="shared" si="53"/>
        <v>5.2949020153205831E-3</v>
      </c>
      <c r="U48" s="228">
        <f t="shared" si="53"/>
        <v>5.0048675215345643E-3</v>
      </c>
      <c r="V48" s="228">
        <f t="shared" si="53"/>
        <v>4.0178780700003119E-3</v>
      </c>
      <c r="W48" s="228">
        <f t="shared" si="53"/>
        <v>5.9216516706548043E-3</v>
      </c>
      <c r="X48" s="228">
        <f t="shared" si="53"/>
        <v>7.3564900860886304E-3</v>
      </c>
      <c r="Y48" s="228">
        <f t="shared" si="53"/>
        <v>6.979376469340738E-3</v>
      </c>
      <c r="Z48" s="228">
        <f t="shared" si="26"/>
        <v>7.0261133609128747E-3</v>
      </c>
      <c r="AA48" s="228">
        <f t="shared" si="26"/>
        <v>6.7907667558573344E-3</v>
      </c>
      <c r="AB48" s="228">
        <f t="shared" si="27"/>
        <v>6.7844553151045605E-3</v>
      </c>
      <c r="AC48" s="228">
        <f t="shared" si="27"/>
        <v>6.5027827002046221E-3</v>
      </c>
      <c r="AD48" s="228">
        <f t="shared" si="28"/>
        <v>3.7370864881571013E-3</v>
      </c>
      <c r="AE48" s="1082">
        <f t="shared" si="28"/>
        <v>3.6730533937657222E-3</v>
      </c>
      <c r="AF48" s="228">
        <f t="shared" ref="AF48:AG48" si="54">AF14+AF31</f>
        <v>3.6924699653568026E-3</v>
      </c>
      <c r="AG48" s="228">
        <f t="shared" si="54"/>
        <v>3.5826373017058557E-3</v>
      </c>
      <c r="AH48" s="228">
        <f t="shared" ref="AH48:AI48" si="55">AH14+AH31</f>
        <v>3.6911989267361376E-3</v>
      </c>
      <c r="AI48" s="228">
        <f t="shared" si="55"/>
        <v>3.7496882189757387E-3</v>
      </c>
    </row>
    <row r="49" spans="2:35" ht="15">
      <c r="B49" s="482" t="s">
        <v>19</v>
      </c>
      <c r="C49" s="502">
        <f t="shared" si="31"/>
        <v>9.3884288699999999E-2</v>
      </c>
      <c r="D49" s="503">
        <f t="shared" si="31"/>
        <v>9.6822959449999982E-2</v>
      </c>
      <c r="E49" s="503">
        <f t="shared" ref="E49:Y49" si="56">E15+E32</f>
        <v>9.0914300150000002E-2</v>
      </c>
      <c r="F49" s="503">
        <f t="shared" si="56"/>
        <v>8.1111139864931528E-2</v>
      </c>
      <c r="G49" s="503">
        <f t="shared" si="56"/>
        <v>8.0477585687955544E-2</v>
      </c>
      <c r="H49" s="503">
        <f t="shared" si="56"/>
        <v>7.4875160274194996E-2</v>
      </c>
      <c r="I49" s="503">
        <f t="shared" si="56"/>
        <v>7.7779071191824187E-2</v>
      </c>
      <c r="J49" s="503">
        <f t="shared" si="56"/>
        <v>9.6195929234982464E-2</v>
      </c>
      <c r="K49" s="503">
        <f t="shared" si="56"/>
        <v>9.9711079707640801E-2</v>
      </c>
      <c r="L49" s="503">
        <f t="shared" si="56"/>
        <v>9.1104579842082992E-2</v>
      </c>
      <c r="M49" s="503">
        <f t="shared" si="56"/>
        <v>8.6038424382082979E-2</v>
      </c>
      <c r="N49" s="503">
        <f t="shared" si="56"/>
        <v>8.413450162652511E-2</v>
      </c>
      <c r="O49" s="503">
        <f t="shared" si="56"/>
        <v>8.3638818156826181E-2</v>
      </c>
      <c r="P49" s="503">
        <f t="shared" si="56"/>
        <v>8.5135539922890011E-2</v>
      </c>
      <c r="Q49" s="503">
        <f t="shared" si="56"/>
        <v>8.1217180832885372E-2</v>
      </c>
      <c r="R49" s="503">
        <f t="shared" si="56"/>
        <v>8.7052797439037044E-2</v>
      </c>
      <c r="S49" s="503">
        <f t="shared" si="56"/>
        <v>7.3885363566639897E-2</v>
      </c>
      <c r="T49" s="503">
        <f t="shared" si="56"/>
        <v>7.9953929862497761E-2</v>
      </c>
      <c r="U49" s="503">
        <f t="shared" si="56"/>
        <v>7.0446347974949308E-2</v>
      </c>
      <c r="V49" s="503">
        <f t="shared" si="56"/>
        <v>5.9428030108149441E-2</v>
      </c>
      <c r="W49" s="503">
        <f t="shared" si="56"/>
        <v>5.5503284375582433E-2</v>
      </c>
      <c r="X49" s="503">
        <f t="shared" si="56"/>
        <v>3.6155320731004754E-2</v>
      </c>
      <c r="Y49" s="503">
        <f t="shared" si="56"/>
        <v>2.6670955463299097E-2</v>
      </c>
      <c r="Z49" s="503">
        <f t="shared" si="26"/>
        <v>3.4448245063696509E-2</v>
      </c>
      <c r="AA49" s="503">
        <f t="shared" si="26"/>
        <v>3.1111288169793579E-2</v>
      </c>
      <c r="AB49" s="503">
        <f t="shared" si="27"/>
        <v>2.8343299533979942E-2</v>
      </c>
      <c r="AC49" s="503">
        <f t="shared" si="27"/>
        <v>2.6785294101123132E-2</v>
      </c>
      <c r="AD49" s="503">
        <f t="shared" si="28"/>
        <v>2.2732096724345383E-2</v>
      </c>
      <c r="AE49" s="1086">
        <f t="shared" si="28"/>
        <v>1.5683844602388072E-2</v>
      </c>
      <c r="AF49" s="503">
        <f t="shared" ref="AF49:AG49" si="57">AF15+AF32</f>
        <v>1.3002007791844079E-2</v>
      </c>
      <c r="AG49" s="503">
        <f t="shared" si="57"/>
        <v>1.2884334740007601E-2</v>
      </c>
      <c r="AH49" s="503">
        <f t="shared" ref="AH49:AI49" si="58">AH15+AH32</f>
        <v>1.1772142384204598E-2</v>
      </c>
      <c r="AI49" s="503">
        <f t="shared" si="58"/>
        <v>1.1836699083808506E-2</v>
      </c>
    </row>
    <row r="50" spans="2:35" ht="15">
      <c r="B50" s="154" t="s">
        <v>30</v>
      </c>
      <c r="C50" s="227">
        <f t="shared" si="31"/>
        <v>7.8214987199999988E-2</v>
      </c>
      <c r="D50" s="228">
        <f t="shared" si="31"/>
        <v>8.0808928200000005E-2</v>
      </c>
      <c r="E50" s="228">
        <f t="shared" ref="E50:Y50" si="59">E16+E33</f>
        <v>7.5352592899999987E-2</v>
      </c>
      <c r="F50" s="228">
        <f t="shared" si="59"/>
        <v>6.7173685121371424E-2</v>
      </c>
      <c r="G50" s="228">
        <f t="shared" si="59"/>
        <v>6.6988997552399995E-2</v>
      </c>
      <c r="H50" s="228">
        <f t="shared" si="59"/>
        <v>6.3268654798571425E-2</v>
      </c>
      <c r="I50" s="228">
        <f t="shared" si="59"/>
        <v>6.6510448960345719E-2</v>
      </c>
      <c r="J50" s="228">
        <f t="shared" si="59"/>
        <v>8.0656599962989711E-2</v>
      </c>
      <c r="K50" s="228">
        <f t="shared" si="59"/>
        <v>8.1765040422384208E-2</v>
      </c>
      <c r="L50" s="228">
        <f t="shared" si="59"/>
        <v>7.6593528455285886E-2</v>
      </c>
      <c r="M50" s="99">
        <f t="shared" si="59"/>
        <v>7.3114670495285874E-2</v>
      </c>
      <c r="N50" s="99">
        <f t="shared" si="59"/>
        <v>7.1260217388187511E-2</v>
      </c>
      <c r="O50" s="99">
        <f t="shared" si="59"/>
        <v>7.1432458699716692E-2</v>
      </c>
      <c r="P50" s="99">
        <f t="shared" si="59"/>
        <v>7.1238174616702621E-2</v>
      </c>
      <c r="Q50" s="99">
        <f t="shared" si="59"/>
        <v>6.8082906920434755E-2</v>
      </c>
      <c r="R50" s="99">
        <f t="shared" si="59"/>
        <v>7.3875947768467426E-2</v>
      </c>
      <c r="S50" s="99">
        <f t="shared" si="59"/>
        <v>6.3624757531628565E-2</v>
      </c>
      <c r="T50" s="99">
        <f t="shared" si="59"/>
        <v>6.8698120036018842E-2</v>
      </c>
      <c r="U50" s="99">
        <f t="shared" si="59"/>
        <v>6.0879595195013715E-2</v>
      </c>
      <c r="V50" s="99">
        <f t="shared" si="59"/>
        <v>5.1476766029089481E-2</v>
      </c>
      <c r="W50" s="99">
        <f t="shared" si="59"/>
        <v>4.7442822169366745E-2</v>
      </c>
      <c r="X50" s="99">
        <f t="shared" si="59"/>
        <v>2.9137659109578173E-2</v>
      </c>
      <c r="Y50" s="99">
        <f t="shared" si="59"/>
        <v>2.034264095294663E-2</v>
      </c>
      <c r="Z50" s="99">
        <f t="shared" si="26"/>
        <v>2.8207189288461137E-2</v>
      </c>
      <c r="AA50" s="99">
        <f t="shared" si="26"/>
        <v>2.4583025886211543E-2</v>
      </c>
      <c r="AB50" s="99">
        <f t="shared" si="27"/>
        <v>2.1758799664832913E-2</v>
      </c>
      <c r="AC50" s="99">
        <f t="shared" si="27"/>
        <v>2.0411427923954516E-2</v>
      </c>
      <c r="AD50" s="99">
        <f t="shared" si="28"/>
        <v>1.6454455358938396E-2</v>
      </c>
      <c r="AE50" s="1084">
        <f t="shared" si="28"/>
        <v>1.0483698540397143E-2</v>
      </c>
      <c r="AF50" s="99">
        <f t="shared" ref="AF50:AG50" si="60">AF16+AF33</f>
        <v>8.7155990293542856E-3</v>
      </c>
      <c r="AG50" s="99">
        <f t="shared" si="60"/>
        <v>8.6595008944979415E-3</v>
      </c>
      <c r="AH50" s="99">
        <f t="shared" ref="AH50:AI50" si="61">AH16+AH33</f>
        <v>7.8460887226196561E-3</v>
      </c>
      <c r="AI50" s="99">
        <f t="shared" si="61"/>
        <v>7.7698382934719996E-3</v>
      </c>
    </row>
    <row r="51" spans="2:35" ht="15.5" thickBot="1">
      <c r="B51" s="155" t="s">
        <v>28</v>
      </c>
      <c r="C51" s="229">
        <f t="shared" si="31"/>
        <v>1.56693015E-2</v>
      </c>
      <c r="D51" s="156">
        <f t="shared" si="31"/>
        <v>1.6014031249999994E-2</v>
      </c>
      <c r="E51" s="156">
        <f t="shared" ref="E51:Y51" si="62">E17+E34</f>
        <v>1.5561707250000001E-2</v>
      </c>
      <c r="F51" s="156">
        <f t="shared" si="62"/>
        <v>1.3937454743560092E-2</v>
      </c>
      <c r="G51" s="156">
        <f t="shared" si="62"/>
        <v>1.3488588135555556E-2</v>
      </c>
      <c r="H51" s="156">
        <f t="shared" si="62"/>
        <v>1.1606505475623584E-2</v>
      </c>
      <c r="I51" s="156">
        <f t="shared" si="62"/>
        <v>1.1268622231478459E-2</v>
      </c>
      <c r="J51" s="156">
        <f t="shared" si="62"/>
        <v>1.5539329271992742E-2</v>
      </c>
      <c r="K51" s="156">
        <f t="shared" si="62"/>
        <v>1.7946039285256597E-2</v>
      </c>
      <c r="L51" s="156">
        <f t="shared" si="62"/>
        <v>1.4511051386797098E-2</v>
      </c>
      <c r="M51" s="214">
        <f t="shared" si="62"/>
        <v>1.2923753886797099E-2</v>
      </c>
      <c r="N51" s="214">
        <f t="shared" si="62"/>
        <v>1.2874284238337596E-2</v>
      </c>
      <c r="O51" s="214">
        <f t="shared" si="62"/>
        <v>1.2206359457109477E-2</v>
      </c>
      <c r="P51" s="214">
        <f t="shared" si="62"/>
        <v>1.3897365306187391E-2</v>
      </c>
      <c r="Q51" s="214">
        <f t="shared" si="62"/>
        <v>1.3134273912450612E-2</v>
      </c>
      <c r="R51" s="214">
        <f t="shared" si="62"/>
        <v>1.3176849670569613E-2</v>
      </c>
      <c r="S51" s="214">
        <f t="shared" si="62"/>
        <v>1.0260606035011338E-2</v>
      </c>
      <c r="T51" s="214">
        <f t="shared" si="62"/>
        <v>1.1255809826478912E-2</v>
      </c>
      <c r="U51" s="214">
        <f t="shared" si="62"/>
        <v>9.5667527799355983E-3</v>
      </c>
      <c r="V51" s="214">
        <f t="shared" si="62"/>
        <v>7.9512640790599543E-3</v>
      </c>
      <c r="W51" s="214">
        <f t="shared" si="62"/>
        <v>8.0604622062156895E-3</v>
      </c>
      <c r="X51" s="214">
        <f t="shared" si="62"/>
        <v>7.0176616214265766E-3</v>
      </c>
      <c r="Y51" s="214">
        <f t="shared" si="62"/>
        <v>6.3283145103524719E-3</v>
      </c>
      <c r="Z51" s="214">
        <f t="shared" si="26"/>
        <v>6.2410557752353747E-3</v>
      </c>
      <c r="AA51" s="214">
        <f t="shared" si="26"/>
        <v>6.5282622835820406E-3</v>
      </c>
      <c r="AB51" s="214">
        <f t="shared" si="27"/>
        <v>6.5844998691470301E-3</v>
      </c>
      <c r="AC51" s="214">
        <f t="shared" si="27"/>
        <v>6.3738661771686172E-3</v>
      </c>
      <c r="AD51" s="214">
        <f t="shared" si="28"/>
        <v>6.2776413654069847E-3</v>
      </c>
      <c r="AE51" s="1087">
        <f t="shared" si="28"/>
        <v>5.200146061990929E-3</v>
      </c>
      <c r="AF51" s="214">
        <f t="shared" ref="AF51:AG51" si="63">AF17+AF34</f>
        <v>4.2864087624897964E-3</v>
      </c>
      <c r="AG51" s="214">
        <f t="shared" si="63"/>
        <v>4.2248338455096596E-3</v>
      </c>
      <c r="AH51" s="214">
        <f>AH17+AH34</f>
        <v>3.9260536615849427E-3</v>
      </c>
      <c r="AI51" s="214">
        <f>AI17+AI34</f>
        <v>4.0668607903365074E-3</v>
      </c>
    </row>
    <row r="52" spans="2:35" ht="15.5" thickBot="1">
      <c r="B52" s="157" t="s">
        <v>25</v>
      </c>
      <c r="C52" s="229">
        <f>C18+C35</f>
        <v>0.39392393347961657</v>
      </c>
      <c r="D52" s="156">
        <f>D18+D35</f>
        <v>0.40011170699686632</v>
      </c>
      <c r="E52" s="156">
        <f t="shared" ref="E52:Y52" si="64">E18+E35</f>
        <v>0.41332203128529937</v>
      </c>
      <c r="F52" s="156">
        <f t="shared" si="64"/>
        <v>0.40893626068072142</v>
      </c>
      <c r="G52" s="156">
        <f t="shared" si="64"/>
        <v>0.39783627499272656</v>
      </c>
      <c r="H52" s="156">
        <f t="shared" si="64"/>
        <v>0.38612877196860013</v>
      </c>
      <c r="I52" s="156">
        <f t="shared" si="64"/>
        <v>0.39183959732356349</v>
      </c>
      <c r="J52" s="156">
        <f t="shared" si="64"/>
        <v>0.36118794687452932</v>
      </c>
      <c r="K52" s="156">
        <f t="shared" si="64"/>
        <v>0.335808817939242</v>
      </c>
      <c r="L52" s="156">
        <f t="shared" si="64"/>
        <v>0.32776654370375097</v>
      </c>
      <c r="M52" s="156">
        <f t="shared" si="64"/>
        <v>0.34492787221265114</v>
      </c>
      <c r="N52" s="156">
        <f t="shared" si="64"/>
        <v>0.31445894347224823</v>
      </c>
      <c r="O52" s="156">
        <f t="shared" si="64"/>
        <v>0.31348816692909709</v>
      </c>
      <c r="P52" s="156">
        <f t="shared" si="64"/>
        <v>0.32624048543481365</v>
      </c>
      <c r="Q52" s="156">
        <f t="shared" si="64"/>
        <v>0.31736420381281288</v>
      </c>
      <c r="R52" s="156">
        <f t="shared" si="64"/>
        <v>0.23514445122587482</v>
      </c>
      <c r="S52" s="156">
        <f t="shared" si="64"/>
        <v>0.19967545785314678</v>
      </c>
      <c r="T52" s="156">
        <f t="shared" si="64"/>
        <v>0.21102946456632693</v>
      </c>
      <c r="U52" s="156">
        <f t="shared" si="64"/>
        <v>0.20584298288015851</v>
      </c>
      <c r="V52" s="156">
        <f t="shared" si="64"/>
        <v>0.24834885859050843</v>
      </c>
      <c r="W52" s="156">
        <f t="shared" si="64"/>
        <v>0.26009046970399496</v>
      </c>
      <c r="X52" s="156">
        <f t="shared" si="64"/>
        <v>0.23761460365562456</v>
      </c>
      <c r="Y52" s="156">
        <f t="shared" si="64"/>
        <v>0.19756065890688326</v>
      </c>
      <c r="Z52" s="156">
        <f t="shared" si="26"/>
        <v>0.23652618708652481</v>
      </c>
      <c r="AA52" s="156">
        <f t="shared" si="26"/>
        <v>0.24178002215773903</v>
      </c>
      <c r="AB52" s="156">
        <f t="shared" si="27"/>
        <v>0.23190543064316882</v>
      </c>
      <c r="AC52" s="156">
        <f t="shared" si="27"/>
        <v>0.19779127357015733</v>
      </c>
      <c r="AD52" s="156">
        <f t="shared" si="28"/>
        <v>0.19157399301799455</v>
      </c>
      <c r="AE52" s="1088">
        <f t="shared" si="28"/>
        <v>0.1880679468431295</v>
      </c>
      <c r="AF52" s="156">
        <f t="shared" ref="AF52:AG52" si="65">AF18+AF35</f>
        <v>0.20440364153687451</v>
      </c>
      <c r="AG52" s="156">
        <f t="shared" si="65"/>
        <v>0.16010479476750245</v>
      </c>
      <c r="AH52" s="156">
        <f t="shared" ref="AH52:AI52" si="66">AH18+AH35</f>
        <v>0.1688183344048598</v>
      </c>
      <c r="AI52" s="156">
        <f t="shared" si="66"/>
        <v>0.18067105648396323</v>
      </c>
    </row>
    <row r="54" spans="2:35" ht="15" thickBot="1"/>
    <row r="55" spans="2:35" ht="15.5" thickBot="1">
      <c r="B55" s="480" t="s">
        <v>139</v>
      </c>
      <c r="C55" s="219">
        <v>1990</v>
      </c>
      <c r="D55" s="114">
        <v>1991</v>
      </c>
      <c r="E55" s="114">
        <v>1992</v>
      </c>
      <c r="F55" s="114">
        <v>1993</v>
      </c>
      <c r="G55" s="114">
        <v>1994</v>
      </c>
      <c r="H55" s="114">
        <v>1995</v>
      </c>
      <c r="I55" s="114">
        <v>1996</v>
      </c>
      <c r="J55" s="114">
        <v>1997</v>
      </c>
      <c r="K55" s="114">
        <v>1998</v>
      </c>
      <c r="L55" s="114">
        <v>1999</v>
      </c>
      <c r="M55" s="114">
        <v>2000</v>
      </c>
      <c r="N55" s="114">
        <v>2001</v>
      </c>
      <c r="O55" s="114">
        <v>2002</v>
      </c>
      <c r="P55" s="114">
        <v>2003</v>
      </c>
      <c r="Q55" s="114">
        <v>2004</v>
      </c>
      <c r="R55" s="114">
        <v>2005</v>
      </c>
      <c r="S55" s="114">
        <v>2006</v>
      </c>
      <c r="T55" s="114">
        <v>2007</v>
      </c>
      <c r="U55" s="114">
        <v>2008</v>
      </c>
      <c r="V55" s="114">
        <v>2009</v>
      </c>
      <c r="W55" s="114">
        <v>2010</v>
      </c>
      <c r="X55" s="114">
        <v>2011</v>
      </c>
      <c r="Y55" s="114">
        <v>2012</v>
      </c>
      <c r="Z55" s="114">
        <v>2013</v>
      </c>
      <c r="AA55" s="114">
        <v>2014</v>
      </c>
      <c r="AB55" s="114">
        <v>2015</v>
      </c>
      <c r="AC55" s="114">
        <v>2016</v>
      </c>
      <c r="AD55" s="114">
        <v>2017</v>
      </c>
      <c r="AE55" s="114">
        <v>2018</v>
      </c>
      <c r="AF55" s="114">
        <v>2019</v>
      </c>
      <c r="AG55" s="114">
        <v>2020</v>
      </c>
      <c r="AH55" s="114">
        <v>2021</v>
      </c>
      <c r="AI55" s="114">
        <v>2022</v>
      </c>
    </row>
    <row r="56" spans="2:35" ht="15">
      <c r="B56" s="797" t="s">
        <v>163</v>
      </c>
      <c r="C56" s="798">
        <f>C57+C58</f>
        <v>6.4679029999999997E-5</v>
      </c>
      <c r="D56" s="798">
        <f t="shared" ref="D56:AC56" si="67">D57+D58</f>
        <v>7.9445470000000002E-5</v>
      </c>
      <c r="E56" s="798">
        <f t="shared" si="67"/>
        <v>9.2644239999999992E-5</v>
      </c>
      <c r="F56" s="798">
        <f t="shared" si="67"/>
        <v>1.1757524999999999E-4</v>
      </c>
      <c r="G56" s="798">
        <f t="shared" si="67"/>
        <v>9.4110769999999991E-5</v>
      </c>
      <c r="H56" s="798">
        <f t="shared" si="67"/>
        <v>9.709439999999999E-5</v>
      </c>
      <c r="I56" s="798">
        <f t="shared" si="67"/>
        <v>1.1054602E-4</v>
      </c>
      <c r="J56" s="798">
        <f t="shared" si="67"/>
        <v>1.2352698025641998E-4</v>
      </c>
      <c r="K56" s="798">
        <f t="shared" si="67"/>
        <v>9.9817471968889979E-5</v>
      </c>
      <c r="L56" s="798">
        <f t="shared" si="67"/>
        <v>1.3921163830560995E-4</v>
      </c>
      <c r="M56" s="798">
        <f t="shared" si="67"/>
        <v>1.2539425014804998E-4</v>
      </c>
      <c r="N56" s="798">
        <f t="shared" si="67"/>
        <v>1.6711611914659998E-4</v>
      </c>
      <c r="O56" s="798">
        <f t="shared" si="67"/>
        <v>2.2213589486516996E-4</v>
      </c>
      <c r="P56" s="798">
        <f t="shared" si="67"/>
        <v>1.9694980280650996E-4</v>
      </c>
      <c r="Q56" s="798">
        <f t="shared" si="67"/>
        <v>2.1486504261884997E-4</v>
      </c>
      <c r="R56" s="798">
        <f t="shared" si="67"/>
        <v>2.1639196983637998E-4</v>
      </c>
      <c r="S56" s="798">
        <f t="shared" si="67"/>
        <v>2.5149729406853997E-4</v>
      </c>
      <c r="T56" s="798">
        <f t="shared" si="67"/>
        <v>2.6238820719864996E-4</v>
      </c>
      <c r="U56" s="798">
        <f t="shared" si="67"/>
        <v>2.1846664423895993E-4</v>
      </c>
      <c r="V56" s="798">
        <f t="shared" si="67"/>
        <v>2.2431476971357994E-4</v>
      </c>
      <c r="W56" s="798">
        <f t="shared" si="67"/>
        <v>2.0476420695067997E-4</v>
      </c>
      <c r="X56" s="798">
        <f t="shared" si="67"/>
        <v>1.6717569222483996E-4</v>
      </c>
      <c r="Y56" s="798">
        <f t="shared" si="67"/>
        <v>1.0823526329459997E-4</v>
      </c>
      <c r="Z56" s="798">
        <f t="shared" si="67"/>
        <v>1.2233667239559996E-4</v>
      </c>
      <c r="AA56" s="798">
        <f t="shared" si="67"/>
        <v>1.4733177400447998E-4</v>
      </c>
      <c r="AB56" s="798">
        <f t="shared" si="67"/>
        <v>1.5199263320149999E-4</v>
      </c>
      <c r="AC56" s="798">
        <f t="shared" si="67"/>
        <v>5.6929522893099984E-5</v>
      </c>
      <c r="AD56" s="798">
        <f t="shared" ref="AD56:AI56" si="68">AD57+AD58</f>
        <v>3.4539956840869994E-5</v>
      </c>
      <c r="AE56" s="798">
        <f t="shared" si="68"/>
        <v>7.8504678817629974E-5</v>
      </c>
      <c r="AF56" s="798">
        <f t="shared" si="68"/>
        <v>1.3505458066021995E-4</v>
      </c>
      <c r="AG56" s="798">
        <f t="shared" si="68"/>
        <v>9.3870862127249982E-5</v>
      </c>
      <c r="AH56" s="798">
        <f t="shared" si="68"/>
        <v>6.6666260073399992E-5</v>
      </c>
      <c r="AI56" s="798">
        <f t="shared" si="68"/>
        <v>7.5257474083739972E-5</v>
      </c>
    </row>
    <row r="57" spans="2:35" ht="15">
      <c r="B57" s="797" t="s">
        <v>164</v>
      </c>
      <c r="C57" s="798">
        <f>C59*$B$60</f>
        <v>3.4302779999999998E-5</v>
      </c>
      <c r="D57" s="798">
        <f t="shared" ref="D57:AC57" si="69">D59*$B$60</f>
        <v>4.2134219999999995E-5</v>
      </c>
      <c r="E57" s="798">
        <f t="shared" si="69"/>
        <v>4.9134239999999997E-5</v>
      </c>
      <c r="F57" s="798">
        <f t="shared" si="69"/>
        <v>6.2356499999999992E-5</v>
      </c>
      <c r="G57" s="798">
        <f t="shared" si="69"/>
        <v>4.9912019999999994E-5</v>
      </c>
      <c r="H57" s="798">
        <f t="shared" si="69"/>
        <v>5.1494399999999993E-5</v>
      </c>
      <c r="I57" s="798">
        <f t="shared" si="69"/>
        <v>5.8628519999999998E-5</v>
      </c>
      <c r="J57" s="798">
        <f t="shared" si="69"/>
        <v>6.551302373891999E-5</v>
      </c>
      <c r="K57" s="798">
        <f t="shared" si="69"/>
        <v>5.2938592015139989E-5</v>
      </c>
      <c r="L57" s="798">
        <f t="shared" si="69"/>
        <v>7.3831444321859977E-5</v>
      </c>
      <c r="M57" s="798">
        <f t="shared" si="69"/>
        <v>6.6503337729299981E-5</v>
      </c>
      <c r="N57" s="798">
        <f t="shared" si="69"/>
        <v>8.8630696371599989E-5</v>
      </c>
      <c r="O57" s="798">
        <f t="shared" si="69"/>
        <v>1.1781065256641998E-4</v>
      </c>
      <c r="P57" s="798">
        <f t="shared" si="69"/>
        <v>1.0445310878525999E-4</v>
      </c>
      <c r="Q57" s="798">
        <f t="shared" si="69"/>
        <v>1.1395452725009998E-4</v>
      </c>
      <c r="R57" s="798">
        <f t="shared" si="69"/>
        <v>1.1476433915387999E-4</v>
      </c>
      <c r="S57" s="798">
        <f t="shared" si="69"/>
        <v>1.3338258704603998E-4</v>
      </c>
      <c r="T57" s="798">
        <f t="shared" si="69"/>
        <v>1.3915862600489997E-4</v>
      </c>
      <c r="U57" s="798">
        <f t="shared" si="69"/>
        <v>1.1586465094895996E-4</v>
      </c>
      <c r="V57" s="798">
        <f t="shared" si="69"/>
        <v>1.1896622748107997E-4</v>
      </c>
      <c r="W57" s="798">
        <f t="shared" si="69"/>
        <v>1.0859750900567999E-4</v>
      </c>
      <c r="X57" s="798">
        <f t="shared" si="69"/>
        <v>8.866229118983998E-5</v>
      </c>
      <c r="Y57" s="798">
        <f t="shared" si="69"/>
        <v>5.7403001019599985E-5</v>
      </c>
      <c r="Z57" s="798">
        <f t="shared" si="69"/>
        <v>6.4881739245599987E-5</v>
      </c>
      <c r="AA57" s="798">
        <f t="shared" si="69"/>
        <v>7.8137990484479985E-5</v>
      </c>
      <c r="AB57" s="798">
        <f t="shared" si="69"/>
        <v>8.060989563899999E-5</v>
      </c>
      <c r="AC57" s="798">
        <f t="shared" si="69"/>
        <v>3.0192798180599992E-5</v>
      </c>
      <c r="AD57" s="798">
        <f t="shared" ref="AD57:AI57" si="70">AD59*$B$60</f>
        <v>1.8318403054619997E-5</v>
      </c>
      <c r="AE57" s="798">
        <f t="shared" si="70"/>
        <v>4.163526766637999E-5</v>
      </c>
      <c r="AF57" s="798">
        <f t="shared" si="70"/>
        <v>7.1626732317719982E-5</v>
      </c>
      <c r="AG57" s="798">
        <f t="shared" si="70"/>
        <v>4.9784783908499985E-5</v>
      </c>
      <c r="AH57" s="798">
        <f t="shared" si="70"/>
        <v>3.5356715348399994E-5</v>
      </c>
      <c r="AI57" s="798">
        <f t="shared" si="70"/>
        <v>3.9913099761239988E-5</v>
      </c>
    </row>
    <row r="58" spans="2:35" ht="15">
      <c r="B58" s="797" t="s">
        <v>165</v>
      </c>
      <c r="C58" s="798">
        <f>C59*$B$61</f>
        <v>3.0376249999999996E-5</v>
      </c>
      <c r="D58" s="798">
        <f t="shared" ref="D58:AI58" si="71">D59*$B$61</f>
        <v>3.731125E-5</v>
      </c>
      <c r="E58" s="798">
        <f t="shared" si="71"/>
        <v>4.3509999999999995E-5</v>
      </c>
      <c r="F58" s="798">
        <f t="shared" si="71"/>
        <v>5.5218749999999997E-5</v>
      </c>
      <c r="G58" s="798">
        <f t="shared" si="71"/>
        <v>4.4198749999999998E-5</v>
      </c>
      <c r="H58" s="798">
        <f t="shared" si="71"/>
        <v>4.5599999999999997E-5</v>
      </c>
      <c r="I58" s="798">
        <f t="shared" si="71"/>
        <v>5.1917499999999992E-5</v>
      </c>
      <c r="J58" s="798">
        <f t="shared" si="71"/>
        <v>5.8013956517499987E-5</v>
      </c>
      <c r="K58" s="798">
        <f t="shared" si="71"/>
        <v>4.687887995374999E-5</v>
      </c>
      <c r="L58" s="798">
        <f t="shared" si="71"/>
        <v>6.538019398374999E-5</v>
      </c>
      <c r="M58" s="798">
        <f t="shared" si="71"/>
        <v>5.8890912418749984E-5</v>
      </c>
      <c r="N58" s="798">
        <f t="shared" si="71"/>
        <v>7.8485422774999991E-5</v>
      </c>
      <c r="O58" s="798">
        <f t="shared" si="71"/>
        <v>1.0432524229874998E-4</v>
      </c>
      <c r="P58" s="798">
        <f t="shared" si="71"/>
        <v>9.2496694021249978E-5</v>
      </c>
      <c r="Q58" s="798">
        <f t="shared" si="71"/>
        <v>1.0091051536874999E-4</v>
      </c>
      <c r="R58" s="798">
        <f t="shared" si="71"/>
        <v>1.0162763068249999E-4</v>
      </c>
      <c r="S58" s="798">
        <f t="shared" si="71"/>
        <v>1.1811470702249998E-4</v>
      </c>
      <c r="T58" s="798">
        <f t="shared" si="71"/>
        <v>1.2322958119374996E-4</v>
      </c>
      <c r="U58" s="798">
        <f t="shared" si="71"/>
        <v>1.0260199328999996E-4</v>
      </c>
      <c r="V58" s="798">
        <f t="shared" si="71"/>
        <v>1.0534854223249997E-4</v>
      </c>
      <c r="W58" s="798">
        <f t="shared" si="71"/>
        <v>9.6166697944999986E-5</v>
      </c>
      <c r="X58" s="798">
        <f t="shared" si="71"/>
        <v>7.851340103499998E-5</v>
      </c>
      <c r="Y58" s="798">
        <f t="shared" si="71"/>
        <v>5.0832262274999987E-5</v>
      </c>
      <c r="Z58" s="798">
        <f t="shared" si="71"/>
        <v>5.7454933149999982E-5</v>
      </c>
      <c r="AA58" s="798">
        <f t="shared" si="71"/>
        <v>6.9193783519999993E-5</v>
      </c>
      <c r="AB58" s="798">
        <f t="shared" si="71"/>
        <v>7.1382737562499996E-5</v>
      </c>
      <c r="AC58" s="798">
        <f t="shared" si="71"/>
        <v>2.6736724712499992E-5</v>
      </c>
      <c r="AD58" s="798">
        <f t="shared" si="71"/>
        <v>1.6221553786249997E-5</v>
      </c>
      <c r="AE58" s="798">
        <f t="shared" si="71"/>
        <v>3.6869411151249991E-5</v>
      </c>
      <c r="AF58" s="798">
        <f t="shared" si="71"/>
        <v>6.3427848342499982E-5</v>
      </c>
      <c r="AG58" s="798">
        <f t="shared" si="71"/>
        <v>4.408607821874999E-5</v>
      </c>
      <c r="AH58" s="798">
        <f t="shared" si="71"/>
        <v>3.1309544724999992E-5</v>
      </c>
      <c r="AI58" s="798">
        <f t="shared" si="71"/>
        <v>3.5344374322499991E-5</v>
      </c>
    </row>
    <row r="59" spans="2:35" ht="15">
      <c r="B59" s="100" t="s">
        <v>166</v>
      </c>
      <c r="C59" s="796">
        <f>CO2_FFC!C42</f>
        <v>1279</v>
      </c>
      <c r="D59" s="796">
        <f>CO2_FFC!D42</f>
        <v>1571</v>
      </c>
      <c r="E59" s="796">
        <f>CO2_FFC!E42</f>
        <v>1832</v>
      </c>
      <c r="F59" s="796">
        <f>CO2_FFC!F42</f>
        <v>2325</v>
      </c>
      <c r="G59" s="796">
        <f>CO2_FFC!G42</f>
        <v>1861</v>
      </c>
      <c r="H59" s="796">
        <f>CO2_FFC!H42</f>
        <v>1920</v>
      </c>
      <c r="I59" s="796">
        <f>CO2_FFC!I42</f>
        <v>2186</v>
      </c>
      <c r="J59" s="796">
        <f>CO2_FFC!J42</f>
        <v>2442.6929059999998</v>
      </c>
      <c r="K59" s="796">
        <f>CO2_FFC!K42</f>
        <v>1973.8475769999998</v>
      </c>
      <c r="L59" s="796">
        <f>CO2_FFC!L42</f>
        <v>2752.8502729999996</v>
      </c>
      <c r="M59" s="796">
        <f>CO2_FFC!M42</f>
        <v>2479.6173649999996</v>
      </c>
      <c r="N59" s="796">
        <f>CO2_FFC!N42</f>
        <v>3304.6493799999998</v>
      </c>
      <c r="O59" s="796">
        <f>CO2_FFC!O42</f>
        <v>4392.6417809999994</v>
      </c>
      <c r="P59" s="796">
        <f>CO2_FFC!P42</f>
        <v>3894.5976429999996</v>
      </c>
      <c r="Q59" s="796">
        <f>CO2_FFC!Q42</f>
        <v>4248.863805</v>
      </c>
      <c r="R59" s="796">
        <f>CO2_FFC!R42</f>
        <v>4279.0581339999999</v>
      </c>
      <c r="S59" s="796">
        <f>CO2_FFC!S42</f>
        <v>4973.250822</v>
      </c>
      <c r="T59" s="796">
        <f>CO2_FFC!T42</f>
        <v>5188.6139449999991</v>
      </c>
      <c r="U59" s="796">
        <f>CO2_FFC!U42</f>
        <v>4320.0839279999991</v>
      </c>
      <c r="V59" s="796">
        <f>CO2_FFC!V42</f>
        <v>4435.7280939999991</v>
      </c>
      <c r="W59" s="796">
        <f>CO2_FFC!W42</f>
        <v>4049.1241239999999</v>
      </c>
      <c r="X59" s="796">
        <f>CO2_FFC!X42</f>
        <v>3305.8274119999996</v>
      </c>
      <c r="Y59" s="796">
        <f>CO2_FFC!Y42</f>
        <v>2140.3057799999997</v>
      </c>
      <c r="Z59" s="796">
        <f>CO2_FFC!Z42</f>
        <v>2419.1550799999995</v>
      </c>
      <c r="AA59" s="796">
        <f>CO2_FFC!AA42</f>
        <v>2913.4224639999998</v>
      </c>
      <c r="AB59" s="796">
        <f>CO2_FFC!AB42</f>
        <v>3005.5889499999998</v>
      </c>
      <c r="AC59" s="796">
        <f>CO2_FFC!AC42</f>
        <v>1125.7568299999998</v>
      </c>
      <c r="AD59" s="796">
        <f>CO2_FFC!AD42</f>
        <v>683.01279099999999</v>
      </c>
      <c r="AE59" s="796">
        <f>CO2_FFC!AE42</f>
        <v>1552.3962589999999</v>
      </c>
      <c r="AF59" s="796">
        <f>CO2_FFC!AF42</f>
        <v>2670.6462459999998</v>
      </c>
      <c r="AG59" s="796">
        <f>CO2_FFC!AG42</f>
        <v>1856.2559249999997</v>
      </c>
      <c r="AH59" s="796">
        <f>CO2_FFC!AH42</f>
        <v>1318.2966199999998</v>
      </c>
      <c r="AI59" s="796">
        <f>CO2_FFC!AI42</f>
        <v>1488.1841819999997</v>
      </c>
    </row>
    <row r="60" spans="2:35" ht="15">
      <c r="B60" s="90">
        <f>(0.00009)*298*(12/44)/1000000/(12/44)</f>
        <v>2.6819999999999998E-8</v>
      </c>
      <c r="C60" s="90" t="s">
        <v>167</v>
      </c>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row>
    <row r="61" spans="2:35" ht="15">
      <c r="B61" s="90">
        <f>(0.00095)*25*(12/44)/1000000/(12/44)</f>
        <v>2.3749999999999998E-8</v>
      </c>
      <c r="C61" s="90" t="s">
        <v>168</v>
      </c>
      <c r="D61" s="90"/>
      <c r="E61" s="90"/>
      <c r="F61" s="90"/>
      <c r="G61" s="90"/>
      <c r="H61" s="90"/>
      <c r="I61" s="90"/>
      <c r="J61" s="90"/>
      <c r="K61" s="90"/>
      <c r="L61" s="90"/>
      <c r="M61" s="90"/>
      <c r="N61" s="90"/>
      <c r="O61" s="90"/>
      <c r="P61" s="90"/>
      <c r="Q61" s="90"/>
      <c r="R61" s="90"/>
      <c r="S61" s="90"/>
      <c r="T61" s="90"/>
      <c r="U61" s="90"/>
      <c r="V61" s="90"/>
    </row>
    <row r="62" spans="2:35" ht="15">
      <c r="C62" s="90" t="str">
        <f>CO2_FFC!C46</f>
        <v>These emissions are from use of Natural Gas by NG transmission and distribution companies for space heating, combustion in compressors, and liquefaction/vaporization of LNG.</v>
      </c>
    </row>
  </sheetData>
  <mergeCells count="1">
    <mergeCell ref="B3:R3"/>
  </mergeCells>
  <phoneticPr fontId="43" type="noConversion"/>
  <conditionalFormatting sqref="B3">
    <cfRule type="cellIs" dxfId="36" priority="3" stopIfTrue="1" operator="equal">
      <formula>0</formula>
    </cfRule>
    <cfRule type="cellIs" dxfId="35" priority="4" stopIfTrue="1" operator="notEqual">
      <formula>0</formula>
    </cfRule>
    <cfRule type="cellIs" dxfId="34" priority="13" stopIfTrue="1" operator="equal">
      <formula>0</formula>
    </cfRule>
    <cfRule type="cellIs" dxfId="33" priority="14" stopIfTrue="1" operator="notEqual">
      <formula>0</formula>
    </cfRule>
  </conditionalFormatting>
  <conditionalFormatting sqref="M1">
    <cfRule type="cellIs" dxfId="32" priority="1" stopIfTrue="1" operator="equal">
      <formula>0</formula>
    </cfRule>
    <cfRule type="cellIs" dxfId="31" priority="2" stopIfTrue="1" operator="notEqual">
      <formula>0</formula>
    </cfRule>
  </conditionalFormatting>
  <pageMargins left="0" right="0" top="0" bottom="0" header="0.3" footer="0.3"/>
  <pageSetup scale="52" orientation="landscape" r:id="rId1"/>
  <headerFooter>
    <oddFooter>&amp;L&amp;F &amp;A&amp;R 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I150"/>
  <sheetViews>
    <sheetView zoomScaleNormal="100" zoomScaleSheetLayoutView="30" workbookViewId="0"/>
  </sheetViews>
  <sheetFormatPr defaultColWidth="8.81640625" defaultRowHeight="14.5"/>
  <cols>
    <col min="1" max="1" width="5.1796875" customWidth="1"/>
    <col min="2" max="2" width="21.54296875" customWidth="1"/>
    <col min="3" max="26" width="11.453125" customWidth="1"/>
    <col min="27" max="27" width="12.1796875" customWidth="1"/>
    <col min="28" max="28" width="12.453125" customWidth="1"/>
    <col min="29" max="29" width="15.26953125" bestFit="1" customWidth="1"/>
    <col min="30" max="30" width="11.453125" customWidth="1"/>
    <col min="31" max="31" width="15.26953125" bestFit="1" customWidth="1"/>
    <col min="32" max="32" width="11.453125" customWidth="1"/>
    <col min="33" max="34" width="15.26953125" bestFit="1" customWidth="1"/>
    <col min="35" max="35" width="14.1796875" bestFit="1" customWidth="1"/>
  </cols>
  <sheetData>
    <row r="1" spans="1:35" ht="21.5">
      <c r="B1" s="91" t="s">
        <v>169</v>
      </c>
      <c r="C1" s="90"/>
      <c r="D1" s="90"/>
      <c r="E1" s="90"/>
      <c r="F1" s="91"/>
      <c r="G1" s="90"/>
      <c r="H1" s="550"/>
      <c r="I1" s="550"/>
      <c r="J1" s="90"/>
      <c r="K1" s="90"/>
      <c r="L1" s="90"/>
      <c r="M1" s="90"/>
      <c r="N1" s="90"/>
      <c r="O1" s="90"/>
      <c r="P1" s="90"/>
      <c r="Q1" s="90"/>
      <c r="R1" s="90"/>
      <c r="S1" s="90"/>
      <c r="T1" s="90"/>
    </row>
    <row r="2" spans="1:35" ht="15">
      <c r="B2" s="591"/>
      <c r="C2" s="591"/>
      <c r="D2" s="591"/>
      <c r="E2" s="235"/>
      <c r="F2" s="235"/>
      <c r="G2" s="234"/>
      <c r="H2" s="550"/>
      <c r="X2" s="276"/>
      <c r="AF2" s="234"/>
    </row>
    <row r="3" spans="1:35" ht="15.5" thickBot="1">
      <c r="A3" s="90"/>
      <c r="B3" s="93" t="s">
        <v>170</v>
      </c>
      <c r="C3" s="93"/>
      <c r="D3" s="1632"/>
      <c r="E3" s="93"/>
      <c r="F3" s="1632"/>
      <c r="G3" s="93"/>
      <c r="H3" s="93"/>
      <c r="I3" s="93"/>
      <c r="J3" s="93"/>
      <c r="K3" s="93"/>
      <c r="L3" s="93"/>
      <c r="M3" s="93"/>
      <c r="N3" s="93"/>
      <c r="O3" s="93"/>
      <c r="P3" s="93"/>
      <c r="Q3" s="93"/>
      <c r="R3" s="93"/>
      <c r="S3" s="93"/>
      <c r="T3" s="93"/>
      <c r="V3" s="242"/>
      <c r="W3" s="242"/>
      <c r="X3" s="242"/>
      <c r="AF3" s="234"/>
      <c r="AG3" s="216"/>
      <c r="AI3" s="216" t="s">
        <v>0</v>
      </c>
    </row>
    <row r="4" spans="1:35" ht="15.5" thickBot="1">
      <c r="A4" s="90"/>
      <c r="B4" s="152" t="s">
        <v>171</v>
      </c>
      <c r="C4" s="1540">
        <v>1990</v>
      </c>
      <c r="D4" s="153">
        <v>1991</v>
      </c>
      <c r="E4" s="153">
        <v>1992</v>
      </c>
      <c r="F4" s="153">
        <v>1993</v>
      </c>
      <c r="G4" s="153">
        <v>1994</v>
      </c>
      <c r="H4" s="153">
        <v>1995</v>
      </c>
      <c r="I4" s="153">
        <v>1996</v>
      </c>
      <c r="J4" s="153">
        <v>1997</v>
      </c>
      <c r="K4" s="153">
        <v>1998</v>
      </c>
      <c r="L4" s="153">
        <v>1999</v>
      </c>
      <c r="M4" s="153">
        <v>2000</v>
      </c>
      <c r="N4" s="153">
        <v>2001</v>
      </c>
      <c r="O4" s="153">
        <v>2002</v>
      </c>
      <c r="P4" s="153">
        <v>2003</v>
      </c>
      <c r="Q4" s="153">
        <v>2004</v>
      </c>
      <c r="R4" s="153">
        <v>2005</v>
      </c>
      <c r="S4" s="153">
        <v>2006</v>
      </c>
      <c r="T4" s="153">
        <v>2007</v>
      </c>
      <c r="U4" s="153">
        <v>2008</v>
      </c>
      <c r="V4" s="153">
        <v>2009</v>
      </c>
      <c r="W4" s="153">
        <v>2010</v>
      </c>
      <c r="X4" s="153">
        <v>2011</v>
      </c>
      <c r="Y4" s="153">
        <v>2012</v>
      </c>
      <c r="Z4" s="153">
        <v>2013</v>
      </c>
      <c r="AA4" s="153">
        <v>2014</v>
      </c>
      <c r="AB4" s="153">
        <v>2015</v>
      </c>
      <c r="AC4" s="153">
        <v>2016</v>
      </c>
      <c r="AD4" s="153">
        <v>2017</v>
      </c>
      <c r="AE4" s="153">
        <v>2018</v>
      </c>
      <c r="AF4" s="153">
        <v>2019</v>
      </c>
      <c r="AG4" s="153">
        <v>2020</v>
      </c>
      <c r="AH4" s="1445">
        <v>2021</v>
      </c>
      <c r="AI4" s="1445">
        <v>2022</v>
      </c>
    </row>
    <row r="5" spans="1:35" ht="15">
      <c r="A5" s="90"/>
      <c r="B5" s="90" t="s">
        <v>172</v>
      </c>
      <c r="C5" s="1534">
        <v>933098.1178424973</v>
      </c>
      <c r="D5" s="415">
        <v>972514.68185609928</v>
      </c>
      <c r="E5" s="415">
        <v>1013806.4220179564</v>
      </c>
      <c r="F5" s="415">
        <v>1019962.7717696681</v>
      </c>
      <c r="G5" s="415">
        <v>1031349.0068142229</v>
      </c>
      <c r="H5" s="415">
        <v>1056424.1790787224</v>
      </c>
      <c r="I5" s="415">
        <v>1092703.3957985817</v>
      </c>
      <c r="J5" s="415">
        <v>1086580.1327463135</v>
      </c>
      <c r="K5" s="415">
        <v>1093548.3363492347</v>
      </c>
      <c r="L5" s="415">
        <v>1002313.3470339223</v>
      </c>
      <c r="M5" s="415">
        <v>967886.17281031841</v>
      </c>
      <c r="N5" s="415">
        <v>890600.34826010978</v>
      </c>
      <c r="O5" s="415">
        <v>833254.91746858647</v>
      </c>
      <c r="P5" s="415">
        <v>787582.44146754872</v>
      </c>
      <c r="Q5" s="415">
        <v>723846.75802271813</v>
      </c>
      <c r="R5" s="415">
        <v>666284.14873009943</v>
      </c>
      <c r="S5" s="415">
        <v>639257.38556261756</v>
      </c>
      <c r="T5" s="415">
        <v>544208.95062976412</v>
      </c>
      <c r="U5" s="415">
        <v>497753.46353097312</v>
      </c>
      <c r="V5" s="415">
        <v>437584.25272829796</v>
      </c>
      <c r="W5" s="415">
        <v>407062.17762516154</v>
      </c>
      <c r="X5" s="415">
        <v>386882.56038268376</v>
      </c>
      <c r="Y5" s="415">
        <v>343093.28843096859</v>
      </c>
      <c r="Z5" s="415">
        <v>301960.00217838638</v>
      </c>
      <c r="AA5" s="415">
        <v>266142.58249729499</v>
      </c>
      <c r="AB5" s="415">
        <v>234628.71461236698</v>
      </c>
      <c r="AC5" s="415">
        <v>217639.84424486308</v>
      </c>
      <c r="AD5" s="415">
        <v>185096.32801593994</v>
      </c>
      <c r="AE5" s="415">
        <v>147644.95215533458</v>
      </c>
      <c r="AF5" s="415">
        <v>173220.3393533421</v>
      </c>
      <c r="AG5" s="415">
        <v>127302.50643100613</v>
      </c>
      <c r="AH5" s="1446">
        <v>113457.37616872683</v>
      </c>
      <c r="AI5" s="1450">
        <v>0</v>
      </c>
    </row>
    <row r="6" spans="1:35" ht="15">
      <c r="A6" s="90"/>
      <c r="B6" s="94" t="s">
        <v>173</v>
      </c>
      <c r="C6" s="1534">
        <v>599470.94963486143</v>
      </c>
      <c r="D6" s="415">
        <v>583975.0047735452</v>
      </c>
      <c r="E6" s="415">
        <v>586998.11489991564</v>
      </c>
      <c r="F6" s="415">
        <v>574863.50323022495</v>
      </c>
      <c r="G6" s="415">
        <v>577049.99663790339</v>
      </c>
      <c r="H6" s="415">
        <v>585929.97586575011</v>
      </c>
      <c r="I6" s="415">
        <v>599885.88861354033</v>
      </c>
      <c r="J6" s="415">
        <v>587741.28832145885</v>
      </c>
      <c r="K6" s="415">
        <v>586599.10286205274</v>
      </c>
      <c r="L6" s="415">
        <v>524754.42383279291</v>
      </c>
      <c r="M6" s="415">
        <v>502653.06073681056</v>
      </c>
      <c r="N6" s="415">
        <v>460960.31906228355</v>
      </c>
      <c r="O6" s="415">
        <v>427537.5617663415</v>
      </c>
      <c r="P6" s="415">
        <v>396447.62243543268</v>
      </c>
      <c r="Q6" s="415">
        <v>372489.73924797314</v>
      </c>
      <c r="R6" s="415">
        <v>345119.85235341254</v>
      </c>
      <c r="S6" s="415">
        <v>307963.45268736506</v>
      </c>
      <c r="T6" s="415">
        <v>279926.14093744004</v>
      </c>
      <c r="U6" s="415">
        <v>254026.59431520707</v>
      </c>
      <c r="V6" s="415">
        <v>302611.94590254995</v>
      </c>
      <c r="W6" s="415">
        <v>280724.18567725981</v>
      </c>
      <c r="X6" s="415">
        <v>270826.72193359962</v>
      </c>
      <c r="Y6" s="415">
        <v>241846.98686737547</v>
      </c>
      <c r="Z6" s="415">
        <v>213569.93320304237</v>
      </c>
      <c r="AA6" s="415">
        <v>185692.78309480182</v>
      </c>
      <c r="AB6" s="415">
        <v>166813.01340474011</v>
      </c>
      <c r="AC6" s="415">
        <v>149416.95978487364</v>
      </c>
      <c r="AD6" s="415">
        <v>127335.6321792603</v>
      </c>
      <c r="AE6" s="415">
        <v>104681.55562412369</v>
      </c>
      <c r="AF6" s="415">
        <v>116145.64615660509</v>
      </c>
      <c r="AG6" s="415">
        <v>81756.527961444823</v>
      </c>
      <c r="AH6" s="1446">
        <v>78242.827578327793</v>
      </c>
      <c r="AI6" s="1450">
        <v>0</v>
      </c>
    </row>
    <row r="7" spans="1:35" ht="15">
      <c r="A7" s="90"/>
      <c r="B7" s="94" t="s">
        <v>174</v>
      </c>
      <c r="C7" s="1534">
        <v>315103.61517220928</v>
      </c>
      <c r="D7" s="415">
        <v>368048.87147054676</v>
      </c>
      <c r="E7" s="415">
        <v>406329.47428964532</v>
      </c>
      <c r="F7" s="415">
        <v>425441.70769233437</v>
      </c>
      <c r="G7" s="415">
        <v>434283.52261994994</v>
      </c>
      <c r="H7" s="415">
        <v>449910.94151754217</v>
      </c>
      <c r="I7" s="415">
        <v>471049.44555507862</v>
      </c>
      <c r="J7" s="415">
        <v>476456.52046608285</v>
      </c>
      <c r="K7" s="415">
        <v>482814.04570513545</v>
      </c>
      <c r="L7" s="415">
        <v>453308.56888882292</v>
      </c>
      <c r="M7" s="415">
        <v>440861.07578799507</v>
      </c>
      <c r="N7" s="415">
        <v>405332.89776315587</v>
      </c>
      <c r="O7" s="415">
        <v>380356.55256848759</v>
      </c>
      <c r="P7" s="415">
        <v>365193.42856686673</v>
      </c>
      <c r="Q7" s="415">
        <v>326285.32822518394</v>
      </c>
      <c r="R7" s="415">
        <v>298130.04845768207</v>
      </c>
      <c r="S7" s="415">
        <v>324408.93065341411</v>
      </c>
      <c r="T7" s="415">
        <v>257936.00223455363</v>
      </c>
      <c r="U7" s="415">
        <v>237748.99349022249</v>
      </c>
      <c r="V7" s="415">
        <v>126609.83257353723</v>
      </c>
      <c r="W7" s="415">
        <v>119323.47233775964</v>
      </c>
      <c r="X7" s="415">
        <v>109918.5810579635</v>
      </c>
      <c r="Y7" s="415">
        <v>95599.941193010687</v>
      </c>
      <c r="Z7" s="415">
        <v>83460.097921026376</v>
      </c>
      <c r="AA7" s="415">
        <v>76124.035214999516</v>
      </c>
      <c r="AB7" s="415">
        <v>64184.384360349279</v>
      </c>
      <c r="AC7" s="415">
        <v>58104.521778962197</v>
      </c>
      <c r="AD7" s="415">
        <v>48974.700636835674</v>
      </c>
      <c r="AE7" s="415">
        <v>35737.096265428023</v>
      </c>
      <c r="AF7" s="415">
        <v>49265.336765292639</v>
      </c>
      <c r="AG7" s="415">
        <v>43744.458506264898</v>
      </c>
      <c r="AH7" s="1446">
        <v>30676.161658126708</v>
      </c>
      <c r="AI7" s="1450">
        <v>0</v>
      </c>
    </row>
    <row r="8" spans="1:35" ht="15">
      <c r="A8" s="90"/>
      <c r="B8" s="94" t="s">
        <v>175</v>
      </c>
      <c r="C8" s="1534">
        <v>17617.99020500691</v>
      </c>
      <c r="D8" s="415">
        <v>19578.182933200991</v>
      </c>
      <c r="E8" s="415">
        <v>19550.305880028936</v>
      </c>
      <c r="F8" s="415">
        <v>18742.174107295061</v>
      </c>
      <c r="G8" s="415">
        <v>19094.922212982576</v>
      </c>
      <c r="H8" s="415">
        <v>19663.949817017547</v>
      </c>
      <c r="I8" s="415">
        <v>20891.577976590939</v>
      </c>
      <c r="J8" s="415">
        <v>21554.330933754271</v>
      </c>
      <c r="K8" s="415">
        <v>23318.611224221964</v>
      </c>
      <c r="L8" s="415">
        <v>23394.845593473681</v>
      </c>
      <c r="M8" s="415">
        <v>23553.118124189095</v>
      </c>
      <c r="N8" s="415">
        <v>23564.161637101777</v>
      </c>
      <c r="O8" s="415">
        <v>24645.43742874738</v>
      </c>
      <c r="P8" s="415">
        <v>25240.204579406171</v>
      </c>
      <c r="Q8" s="415">
        <v>24345.530798730459</v>
      </c>
      <c r="R8" s="415">
        <v>22301.790842004946</v>
      </c>
      <c r="S8" s="415">
        <v>6185.4157560649228</v>
      </c>
      <c r="T8" s="415">
        <v>5867.2548475250896</v>
      </c>
      <c r="U8" s="415">
        <v>5569.6334850668327</v>
      </c>
      <c r="V8" s="415">
        <v>7809.6229456671945</v>
      </c>
      <c r="W8" s="415">
        <v>6571.0976052822189</v>
      </c>
      <c r="X8" s="415">
        <v>5721.6005898641488</v>
      </c>
      <c r="Y8" s="415">
        <v>5222.2803202073937</v>
      </c>
      <c r="Z8" s="415">
        <v>4573.2545835555084</v>
      </c>
      <c r="AA8" s="415">
        <v>4018.3197601933894</v>
      </c>
      <c r="AB8" s="415">
        <v>3365.8458921902093</v>
      </c>
      <c r="AC8" s="415">
        <v>9872.5744723197749</v>
      </c>
      <c r="AD8" s="415">
        <v>8569.96409758964</v>
      </c>
      <c r="AE8" s="415">
        <v>7048.7270553662684</v>
      </c>
      <c r="AF8" s="415">
        <v>7546.2392934832214</v>
      </c>
      <c r="AG8" s="415">
        <v>1603.4670770271346</v>
      </c>
      <c r="AH8" s="1446">
        <v>4115.8073247185748</v>
      </c>
      <c r="AI8" s="1450">
        <v>0</v>
      </c>
    </row>
    <row r="9" spans="1:35" ht="15.5" thickBot="1">
      <c r="A9" s="90"/>
      <c r="B9" s="97" t="s">
        <v>176</v>
      </c>
      <c r="C9" s="1534">
        <v>905.56283041970892</v>
      </c>
      <c r="D9" s="415">
        <v>912.62267880637603</v>
      </c>
      <c r="E9" s="415">
        <v>928.52694836633839</v>
      </c>
      <c r="F9" s="415">
        <v>915.38673981363638</v>
      </c>
      <c r="G9" s="415">
        <v>920.5653433871006</v>
      </c>
      <c r="H9" s="415">
        <v>919.31187841236624</v>
      </c>
      <c r="I9" s="415">
        <v>876.48365337182531</v>
      </c>
      <c r="J9" s="415">
        <v>827.99302501770239</v>
      </c>
      <c r="K9" s="415">
        <v>816.57655782437632</v>
      </c>
      <c r="L9" s="415">
        <v>855.50871883299487</v>
      </c>
      <c r="M9" s="415">
        <v>818.91816132372185</v>
      </c>
      <c r="N9" s="415">
        <v>742.96979756861253</v>
      </c>
      <c r="O9" s="415">
        <v>715.36570501002757</v>
      </c>
      <c r="P9" s="415">
        <v>701.18588584307543</v>
      </c>
      <c r="Q9" s="415">
        <v>726.15975083059709</v>
      </c>
      <c r="R9" s="415">
        <v>732.45707699982881</v>
      </c>
      <c r="S9" s="415">
        <v>699.58646577338948</v>
      </c>
      <c r="T9" s="415">
        <v>479.55261024546621</v>
      </c>
      <c r="U9" s="415">
        <v>408.24224047664865</v>
      </c>
      <c r="V9" s="415">
        <v>552.85130654357442</v>
      </c>
      <c r="W9" s="415">
        <v>443.42200485979538</v>
      </c>
      <c r="X9" s="415">
        <v>415.65680125649794</v>
      </c>
      <c r="Y9" s="415">
        <v>424.08005037507718</v>
      </c>
      <c r="Z9" s="415">
        <v>356.71647076213623</v>
      </c>
      <c r="AA9" s="415">
        <v>307.44442730028618</v>
      </c>
      <c r="AB9" s="415">
        <v>265.47095508735907</v>
      </c>
      <c r="AC9" s="415">
        <v>245.78820870742967</v>
      </c>
      <c r="AD9" s="415">
        <v>216.03110225430987</v>
      </c>
      <c r="AE9" s="415">
        <v>177.57321041659333</v>
      </c>
      <c r="AF9" s="415">
        <v>263.11713796114088</v>
      </c>
      <c r="AG9" s="415">
        <v>198.05288626927029</v>
      </c>
      <c r="AH9" s="1446">
        <v>422.57960755375444</v>
      </c>
      <c r="AI9" s="1450">
        <v>0</v>
      </c>
    </row>
    <row r="10" spans="1:35" ht="15">
      <c r="A10" s="90"/>
      <c r="B10" s="416" t="s">
        <v>177</v>
      </c>
      <c r="C10" s="1535">
        <v>3721.6718007483987</v>
      </c>
      <c r="D10" s="417">
        <v>3871.6246114995065</v>
      </c>
      <c r="E10" s="417">
        <v>3968.4435526056322</v>
      </c>
      <c r="F10" s="417">
        <v>3912.589715994472</v>
      </c>
      <c r="G10" s="417">
        <v>4238.137881315658</v>
      </c>
      <c r="H10" s="417">
        <v>4381.5900667360966</v>
      </c>
      <c r="I10" s="417">
        <v>4533.5134664875559</v>
      </c>
      <c r="J10" s="417">
        <v>4736.3489979994247</v>
      </c>
      <c r="K10" s="417">
        <v>4950.8328766137893</v>
      </c>
      <c r="L10" s="417">
        <v>5084.771786071391</v>
      </c>
      <c r="M10" s="417">
        <v>5138.2195791518252</v>
      </c>
      <c r="N10" s="417">
        <v>6052.5781092428515</v>
      </c>
      <c r="O10" s="417">
        <v>6084.114396438089</v>
      </c>
      <c r="P10" s="417">
        <v>6063.5418582363354</v>
      </c>
      <c r="Q10" s="417">
        <v>6314.6587982976716</v>
      </c>
      <c r="R10" s="417">
        <v>6263.4616454648976</v>
      </c>
      <c r="S10" s="417">
        <v>6811.4305437852736</v>
      </c>
      <c r="T10" s="417">
        <v>13406.451663139142</v>
      </c>
      <c r="U10" s="417">
        <v>17259.730558047166</v>
      </c>
      <c r="V10" s="417">
        <v>24292.125912057531</v>
      </c>
      <c r="W10" s="417">
        <v>26886.376717490595</v>
      </c>
      <c r="X10" s="417">
        <v>29229.407167284895</v>
      </c>
      <c r="Y10" s="417">
        <v>34666.045073284753</v>
      </c>
      <c r="Z10" s="417">
        <v>40738.739367007503</v>
      </c>
      <c r="AA10" s="417">
        <v>46783.621772797138</v>
      </c>
      <c r="AB10" s="417">
        <v>52424.891070507874</v>
      </c>
      <c r="AC10" s="417">
        <v>53377.637054300547</v>
      </c>
      <c r="AD10" s="417">
        <v>56282.509420117174</v>
      </c>
      <c r="AE10" s="417">
        <v>60222.725281036466</v>
      </c>
      <c r="AF10" s="417">
        <v>67526.496504029434</v>
      </c>
      <c r="AG10" s="417">
        <v>72382.40858935735</v>
      </c>
      <c r="AH10" s="1447">
        <v>74345.58607592668</v>
      </c>
      <c r="AI10" s="1449">
        <v>0</v>
      </c>
    </row>
    <row r="11" spans="1:35" ht="15">
      <c r="A11" s="90"/>
      <c r="B11" s="94" t="s">
        <v>173</v>
      </c>
      <c r="C11" s="1534">
        <v>103.45159832200827</v>
      </c>
      <c r="D11" s="415">
        <v>92.183936347061206</v>
      </c>
      <c r="E11" s="415">
        <v>88.880571240986214</v>
      </c>
      <c r="F11" s="418">
        <v>83.877528630552376</v>
      </c>
      <c r="G11" s="415">
        <v>78.945143505619441</v>
      </c>
      <c r="H11" s="415">
        <v>74.53086347932566</v>
      </c>
      <c r="I11" s="415">
        <v>72.688330040068124</v>
      </c>
      <c r="J11" s="415">
        <v>70.714691333085767</v>
      </c>
      <c r="K11" s="415">
        <v>67.275040353441298</v>
      </c>
      <c r="L11" s="415">
        <v>67.787245224953622</v>
      </c>
      <c r="M11" s="415">
        <v>65.036767618681836</v>
      </c>
      <c r="N11" s="415">
        <v>56.754973658129131</v>
      </c>
      <c r="O11" s="415">
        <v>56.439918840757898</v>
      </c>
      <c r="P11" s="415">
        <v>55.922827750775319</v>
      </c>
      <c r="Q11" s="415">
        <v>56.846868187797355</v>
      </c>
      <c r="R11" s="415">
        <v>56.981536016568391</v>
      </c>
      <c r="S11" s="415">
        <v>49.92252416802792</v>
      </c>
      <c r="T11" s="415">
        <v>56.604579667989199</v>
      </c>
      <c r="U11" s="415">
        <v>63.84608957941694</v>
      </c>
      <c r="V11" s="415">
        <v>193.14962403769945</v>
      </c>
      <c r="W11" s="415">
        <v>355.15962609059079</v>
      </c>
      <c r="X11" s="415">
        <v>527.02731086633298</v>
      </c>
      <c r="Y11" s="415">
        <v>709.5813966222471</v>
      </c>
      <c r="Z11" s="415">
        <v>839.58673027005636</v>
      </c>
      <c r="AA11" s="415">
        <v>948.49444771076764</v>
      </c>
      <c r="AB11" s="415">
        <v>1066.9660709602836</v>
      </c>
      <c r="AC11" s="415">
        <v>1088.8635118360805</v>
      </c>
      <c r="AD11" s="415">
        <v>1138.9557967670926</v>
      </c>
      <c r="AE11" s="415">
        <v>1133.3419144781108</v>
      </c>
      <c r="AF11" s="415">
        <v>1206.5928146164854</v>
      </c>
      <c r="AG11" s="415">
        <v>1290.0823327581454</v>
      </c>
      <c r="AH11" s="1446">
        <v>1553.3915068111287</v>
      </c>
      <c r="AI11" s="1450">
        <v>0</v>
      </c>
    </row>
    <row r="12" spans="1:35" ht="15">
      <c r="A12" s="90"/>
      <c r="B12" s="94" t="s">
        <v>174</v>
      </c>
      <c r="C12" s="1534">
        <v>167.82483632521624</v>
      </c>
      <c r="D12" s="415">
        <v>182.5012497929296</v>
      </c>
      <c r="E12" s="415">
        <v>197.9751026450281</v>
      </c>
      <c r="F12" s="418">
        <v>205.87143991291757</v>
      </c>
      <c r="G12" s="415">
        <v>207.12769881482888</v>
      </c>
      <c r="H12" s="415">
        <v>212.76527542488122</v>
      </c>
      <c r="I12" s="415">
        <v>223.37213957930314</v>
      </c>
      <c r="J12" s="415">
        <v>230.76730661906302</v>
      </c>
      <c r="K12" s="415">
        <v>234.7712710688194</v>
      </c>
      <c r="L12" s="415">
        <v>235.24384759867959</v>
      </c>
      <c r="M12" s="415">
        <v>241.68346844701753</v>
      </c>
      <c r="N12" s="415">
        <v>238.51302826094943</v>
      </c>
      <c r="O12" s="415">
        <v>240.2862226890266</v>
      </c>
      <c r="P12" s="415">
        <v>247.08258674537092</v>
      </c>
      <c r="Q12" s="415">
        <v>249.80233035437783</v>
      </c>
      <c r="R12" s="415">
        <v>255.8537533729469</v>
      </c>
      <c r="S12" s="415">
        <v>290.86934860729713</v>
      </c>
      <c r="T12" s="415">
        <v>936.54323769163511</v>
      </c>
      <c r="U12" s="415">
        <v>1469.4227508564977</v>
      </c>
      <c r="V12" s="415">
        <v>935.45521625928961</v>
      </c>
      <c r="W12" s="415">
        <v>1053.8623764856368</v>
      </c>
      <c r="X12" s="415">
        <v>1205.5123886268843</v>
      </c>
      <c r="Y12" s="415">
        <v>1465.1573578116593</v>
      </c>
      <c r="Z12" s="415">
        <v>1704.9015793911428</v>
      </c>
      <c r="AA12" s="415">
        <v>2064.6883913010092</v>
      </c>
      <c r="AB12" s="415">
        <v>2278.9374664456054</v>
      </c>
      <c r="AC12" s="415">
        <v>2465.1034337977671</v>
      </c>
      <c r="AD12" s="415">
        <v>2652.7450561933938</v>
      </c>
      <c r="AE12" s="415">
        <v>2676.6187407493358</v>
      </c>
      <c r="AF12" s="415">
        <v>2641.0418723852304</v>
      </c>
      <c r="AG12" s="415">
        <v>2911.7141180857939</v>
      </c>
      <c r="AH12" s="1446">
        <v>3316.1312326711522</v>
      </c>
      <c r="AI12" s="1450">
        <v>0</v>
      </c>
    </row>
    <row r="13" spans="1:35" ht="15">
      <c r="A13" s="90"/>
      <c r="B13" s="94" t="s">
        <v>175</v>
      </c>
      <c r="C13" s="1534">
        <v>3450.3953661011742</v>
      </c>
      <c r="D13" s="415">
        <v>3284.1149211099282</v>
      </c>
      <c r="E13" s="415">
        <v>3372.7430745949127</v>
      </c>
      <c r="F13" s="418">
        <v>3307.2058734403686</v>
      </c>
      <c r="G13" s="415">
        <v>3628.7444146640764</v>
      </c>
      <c r="H13" s="415">
        <v>3772.001089619584</v>
      </c>
      <c r="I13" s="415">
        <v>3903.1039545535523</v>
      </c>
      <c r="J13" s="415">
        <v>4093.5361238423752</v>
      </c>
      <c r="K13" s="415">
        <v>4298.1280453297304</v>
      </c>
      <c r="L13" s="415">
        <v>4407.6924611319819</v>
      </c>
      <c r="M13" s="415">
        <v>4461.9334379978927</v>
      </c>
      <c r="N13" s="415">
        <v>5417.7660765580304</v>
      </c>
      <c r="O13" s="415">
        <v>5464.71882466446</v>
      </c>
      <c r="P13" s="415">
        <v>5449.7762282591011</v>
      </c>
      <c r="Q13" s="415">
        <v>5698.4299732327045</v>
      </c>
      <c r="R13" s="415">
        <v>5629.9291434345496</v>
      </c>
      <c r="S13" s="415">
        <v>6163.8607114150482</v>
      </c>
      <c r="T13" s="415">
        <v>11356.420784055832</v>
      </c>
      <c r="U13" s="415">
        <v>14282.876945501679</v>
      </c>
      <c r="V13" s="415">
        <v>21498.95612866649</v>
      </c>
      <c r="W13" s="415">
        <v>23714.104171545823</v>
      </c>
      <c r="X13" s="415">
        <v>25395.378796172736</v>
      </c>
      <c r="Y13" s="415">
        <v>29965.687813535878</v>
      </c>
      <c r="Z13" s="415">
        <v>35352.939424902717</v>
      </c>
      <c r="AA13" s="415">
        <v>40453.9669458895</v>
      </c>
      <c r="AB13" s="415">
        <v>45409.497123064539</v>
      </c>
      <c r="AC13" s="415">
        <v>45803.82045510193</v>
      </c>
      <c r="AD13" s="415">
        <v>48065.275300164496</v>
      </c>
      <c r="AE13" s="415">
        <v>51636.027124811204</v>
      </c>
      <c r="AF13" s="415">
        <v>57755.288123777769</v>
      </c>
      <c r="AG13" s="415">
        <v>63760.988995620122</v>
      </c>
      <c r="AH13" s="1446">
        <v>64023.212141720229</v>
      </c>
      <c r="AI13" s="1450">
        <v>0</v>
      </c>
    </row>
    <row r="14" spans="1:35" ht="15.5" thickBot="1">
      <c r="A14" s="90"/>
      <c r="B14" s="94" t="s">
        <v>903</v>
      </c>
      <c r="C14" s="1536" t="s">
        <v>904</v>
      </c>
      <c r="D14" s="415">
        <v>312.82450424958768</v>
      </c>
      <c r="E14" s="415">
        <v>308.84480412470521</v>
      </c>
      <c r="F14" s="415">
        <v>315.63487401063338</v>
      </c>
      <c r="G14" s="415">
        <v>323.32062433113214</v>
      </c>
      <c r="H14" s="415">
        <v>322.2928382123053</v>
      </c>
      <c r="I14" s="415">
        <v>334.34904231463253</v>
      </c>
      <c r="J14" s="415">
        <v>341.33087620490119</v>
      </c>
      <c r="K14" s="415">
        <v>350.65851986179808</v>
      </c>
      <c r="L14" s="415">
        <v>374.04823211577582</v>
      </c>
      <c r="M14" s="415">
        <v>369.56590508823348</v>
      </c>
      <c r="N14" s="415">
        <v>339.54403076574278</v>
      </c>
      <c r="O14" s="415">
        <v>322.66943024384494</v>
      </c>
      <c r="P14" s="415">
        <v>310.7602154810881</v>
      </c>
      <c r="Q14" s="415">
        <v>309.57962652279218</v>
      </c>
      <c r="R14" s="415">
        <v>320.69721264083336</v>
      </c>
      <c r="S14" s="415">
        <v>306.77795959490021</v>
      </c>
      <c r="T14" s="415">
        <v>1056.8830617236854</v>
      </c>
      <c r="U14" s="415">
        <v>1443.5847721095731</v>
      </c>
      <c r="V14" s="415">
        <v>1664.5649430940507</v>
      </c>
      <c r="W14" s="415">
        <v>1763.2505433685433</v>
      </c>
      <c r="X14" s="415">
        <v>2101.4886716189435</v>
      </c>
      <c r="Y14" s="415">
        <v>2525.6185053149684</v>
      </c>
      <c r="Z14" s="415">
        <v>2841.3116324435805</v>
      </c>
      <c r="AA14" s="415">
        <v>3316.4719878958617</v>
      </c>
      <c r="AB14" s="415">
        <v>3669.4904100374447</v>
      </c>
      <c r="AC14" s="415">
        <v>4019.8496535647701</v>
      </c>
      <c r="AD14" s="415">
        <v>4425.5332669921891</v>
      </c>
      <c r="AE14" s="415">
        <v>4776.7375009978177</v>
      </c>
      <c r="AF14" s="415">
        <v>5923.5736932499412</v>
      </c>
      <c r="AG14" s="415">
        <v>4419.6231428932942</v>
      </c>
      <c r="AH14" s="1448">
        <v>5452.8511947241695</v>
      </c>
      <c r="AI14" s="1451">
        <v>0</v>
      </c>
    </row>
    <row r="15" spans="1:35" ht="15">
      <c r="A15" s="90"/>
      <c r="B15" s="417" t="s">
        <v>178</v>
      </c>
      <c r="C15" s="1535">
        <v>138469.11452540325</v>
      </c>
      <c r="D15" s="417">
        <v>107136.56240082736</v>
      </c>
      <c r="E15" s="417">
        <v>97139.532475925647</v>
      </c>
      <c r="F15" s="417">
        <v>63619.73629776638</v>
      </c>
      <c r="G15" s="417">
        <v>102299.93415925019</v>
      </c>
      <c r="H15" s="417">
        <v>100164.06044944801</v>
      </c>
      <c r="I15" s="417">
        <v>117260.28474158795</v>
      </c>
      <c r="J15" s="417">
        <v>114635.9055360701</v>
      </c>
      <c r="K15" s="417">
        <v>101507.4829335221</v>
      </c>
      <c r="L15" s="417">
        <v>114853.88108953059</v>
      </c>
      <c r="M15" s="417">
        <v>120050.3433711557</v>
      </c>
      <c r="N15" s="417">
        <v>142760.77571469601</v>
      </c>
      <c r="O15" s="417">
        <v>136084.32270875841</v>
      </c>
      <c r="P15" s="417">
        <v>137095.50923615159</v>
      </c>
      <c r="Q15" s="417">
        <v>143452.45751784596</v>
      </c>
      <c r="R15" s="417">
        <v>154930.35223337001</v>
      </c>
      <c r="S15" s="417">
        <v>167865.99069084186</v>
      </c>
      <c r="T15" s="417">
        <v>154998.21967315464</v>
      </c>
      <c r="U15" s="417">
        <v>153741.89384750839</v>
      </c>
      <c r="V15" s="417">
        <v>138230.73668574932</v>
      </c>
      <c r="W15" s="417">
        <v>148783.39477496315</v>
      </c>
      <c r="X15" s="417">
        <v>157840.48188809125</v>
      </c>
      <c r="Y15" s="417">
        <v>141713.2063972092</v>
      </c>
      <c r="Z15" s="417">
        <v>152996.1221603259</v>
      </c>
      <c r="AA15" s="417">
        <v>151869.77170685356</v>
      </c>
      <c r="AB15" s="417">
        <v>103707.16319780354</v>
      </c>
      <c r="AC15" s="417">
        <v>108211.92122020354</v>
      </c>
      <c r="AD15" s="417">
        <v>111730.16951905908</v>
      </c>
      <c r="AE15" s="417">
        <v>113794.85111251919</v>
      </c>
      <c r="AF15" s="417">
        <v>118198.92921649582</v>
      </c>
      <c r="AG15" s="417">
        <v>101199.97706504849</v>
      </c>
      <c r="AH15" s="1446">
        <v>113961.19871162588</v>
      </c>
      <c r="AI15" s="1450">
        <v>27018.758492819405</v>
      </c>
    </row>
    <row r="16" spans="1:35" ht="15">
      <c r="A16" s="90"/>
      <c r="B16" s="94" t="s">
        <v>179</v>
      </c>
      <c r="C16" s="1534">
        <v>15733.01044338192</v>
      </c>
      <c r="D16" s="415">
        <v>8345.625112425214</v>
      </c>
      <c r="E16" s="415">
        <v>6341.7335584809598</v>
      </c>
      <c r="F16" s="415">
        <v>4892.1001869009806</v>
      </c>
      <c r="G16" s="415">
        <v>5094.0456381973599</v>
      </c>
      <c r="H16" s="415">
        <v>3752.6842304431771</v>
      </c>
      <c r="I16" s="415">
        <v>19826.931446813676</v>
      </c>
      <c r="J16" s="415">
        <v>15547.481807182663</v>
      </c>
      <c r="K16" s="415">
        <v>2240.4756799655215</v>
      </c>
      <c r="L16" s="415">
        <v>2395.3100303899291</v>
      </c>
      <c r="M16" s="415">
        <v>6836.0995536417258</v>
      </c>
      <c r="N16" s="415">
        <v>4006.8549082510103</v>
      </c>
      <c r="O16" s="415">
        <v>4598.5101370490438</v>
      </c>
      <c r="P16" s="415">
        <v>1843.8794537676649</v>
      </c>
      <c r="Q16" s="415">
        <v>1824.8737818721866</v>
      </c>
      <c r="R16" s="415">
        <v>7643.5176952443953</v>
      </c>
      <c r="S16" s="415">
        <v>5200.1189440332173</v>
      </c>
      <c r="T16" s="415">
        <v>4270.4572350808667</v>
      </c>
      <c r="U16" s="415">
        <v>4367.7186885126775</v>
      </c>
      <c r="V16" s="415">
        <v>5235.4403832067601</v>
      </c>
      <c r="W16" s="415">
        <v>4296.7022320988726</v>
      </c>
      <c r="X16" s="415">
        <v>3780.4657694286366</v>
      </c>
      <c r="Y16" s="415">
        <v>3414.1280330071613</v>
      </c>
      <c r="Z16" s="415">
        <v>3836.3669133670246</v>
      </c>
      <c r="AA16" s="415">
        <v>2988.2480999556019</v>
      </c>
      <c r="AB16" s="415">
        <v>4148.2403306826827</v>
      </c>
      <c r="AC16" s="415">
        <v>5547.0887248226782</v>
      </c>
      <c r="AD16" s="415">
        <v>6730.7773940114148</v>
      </c>
      <c r="AE16" s="415">
        <v>4314.3722796952961</v>
      </c>
      <c r="AF16" s="415">
        <v>5470.7699096629112</v>
      </c>
      <c r="AG16" s="415">
        <v>3767.8492854636529</v>
      </c>
      <c r="AH16" s="1446">
        <v>6440.7634141285771</v>
      </c>
      <c r="AI16" s="1450">
        <v>0</v>
      </c>
    </row>
    <row r="17" spans="1:35" ht="15">
      <c r="A17" s="90"/>
      <c r="B17" s="94" t="s">
        <v>180</v>
      </c>
      <c r="C17" s="1534">
        <v>1471.5815400000001</v>
      </c>
      <c r="D17" s="415">
        <v>1694.57777775</v>
      </c>
      <c r="E17" s="415">
        <v>1157.79474525</v>
      </c>
      <c r="F17" s="415">
        <v>849.38653799999997</v>
      </c>
      <c r="G17" s="415">
        <v>1669.2984165000003</v>
      </c>
      <c r="H17" s="415">
        <v>1504.0682085000001</v>
      </c>
      <c r="I17" s="415">
        <v>1305.060471</v>
      </c>
      <c r="J17" s="415">
        <v>1043.6611184999999</v>
      </c>
      <c r="K17" s="415">
        <v>1342.0651529999998</v>
      </c>
      <c r="L17" s="415">
        <v>1229.00724375</v>
      </c>
      <c r="M17" s="415">
        <v>1917.5740155000001</v>
      </c>
      <c r="N17" s="415">
        <v>2217.2689110000001</v>
      </c>
      <c r="O17" s="415">
        <v>1276.0160984999998</v>
      </c>
      <c r="P17" s="415">
        <v>1923.8131770000002</v>
      </c>
      <c r="Q17" s="415">
        <v>4676.681831249999</v>
      </c>
      <c r="R17" s="415">
        <v>6498.3018457499993</v>
      </c>
      <c r="S17" s="415">
        <v>7116.4091212500007</v>
      </c>
      <c r="T17" s="415">
        <v>6647.396291250001</v>
      </c>
      <c r="U17" s="415">
        <v>3691.9700317500001</v>
      </c>
      <c r="V17" s="415">
        <v>2823.2205787499993</v>
      </c>
      <c r="W17" s="415">
        <v>3486.1852740000004</v>
      </c>
      <c r="X17" s="415">
        <v>3573.9638219999997</v>
      </c>
      <c r="Y17" s="415">
        <v>1210.3973310000001</v>
      </c>
      <c r="Z17" s="415">
        <v>1619.4926962499999</v>
      </c>
      <c r="AA17" s="415">
        <v>2179.5112267500003</v>
      </c>
      <c r="AB17" s="415">
        <v>2868.4007137500003</v>
      </c>
      <c r="AC17" s="415">
        <v>3578.6969789999998</v>
      </c>
      <c r="AD17" s="415">
        <v>1332.598839</v>
      </c>
      <c r="AE17" s="415">
        <v>2463.8233620000001</v>
      </c>
      <c r="AF17" s="415">
        <v>2105.8245780000002</v>
      </c>
      <c r="AG17" s="415">
        <v>5430.4370835</v>
      </c>
      <c r="AH17" s="1446">
        <v>5430.4370835</v>
      </c>
      <c r="AI17" s="1450">
        <v>0</v>
      </c>
    </row>
    <row r="18" spans="1:35" ht="15">
      <c r="A18" s="90"/>
      <c r="B18" s="94" t="s">
        <v>181</v>
      </c>
      <c r="C18" s="1534">
        <v>2238.6464702979652</v>
      </c>
      <c r="D18" s="415">
        <v>2759.214822105143</v>
      </c>
      <c r="E18" s="415">
        <v>2225.9173807787897</v>
      </c>
      <c r="F18" s="415">
        <v>2204.9220351144199</v>
      </c>
      <c r="G18" s="415">
        <v>1975.5527052707614</v>
      </c>
      <c r="H18" s="415">
        <v>1822.7344306386642</v>
      </c>
      <c r="I18" s="415">
        <v>2529.4459338505499</v>
      </c>
      <c r="J18" s="415">
        <v>2352.3165861009966</v>
      </c>
      <c r="K18" s="415">
        <v>1368.5267089853676</v>
      </c>
      <c r="L18" s="415">
        <v>2533.7709870552217</v>
      </c>
      <c r="M18" s="415">
        <v>1507.9349250337937</v>
      </c>
      <c r="N18" s="415">
        <v>1986.0843335050176</v>
      </c>
      <c r="O18" s="415">
        <v>2688.458312979998</v>
      </c>
      <c r="P18" s="415">
        <v>2648.9037503879404</v>
      </c>
      <c r="Q18" s="415">
        <v>3008.0937034660551</v>
      </c>
      <c r="R18" s="415">
        <v>2457.5791078046291</v>
      </c>
      <c r="S18" s="415">
        <v>3805.4628895003561</v>
      </c>
      <c r="T18" s="415">
        <v>2673.6033940162965</v>
      </c>
      <c r="U18" s="415">
        <v>1129.5097270228789</v>
      </c>
      <c r="V18" s="415">
        <v>1259.003211881899</v>
      </c>
      <c r="W18" s="415">
        <v>3941.3591688207348</v>
      </c>
      <c r="X18" s="415">
        <v>4171.4834025335413</v>
      </c>
      <c r="Y18" s="415">
        <v>4684.0317745913944</v>
      </c>
      <c r="Z18" s="415">
        <v>3217.3494606101876</v>
      </c>
      <c r="AA18" s="415">
        <v>3222.6139645635599</v>
      </c>
      <c r="AB18" s="415">
        <v>564.61973671500596</v>
      </c>
      <c r="AC18" s="415">
        <v>467.22334725076274</v>
      </c>
      <c r="AD18" s="415">
        <v>626.83890630505414</v>
      </c>
      <c r="AE18" s="415">
        <v>693.52251826449628</v>
      </c>
      <c r="AF18" s="415">
        <v>411.92944497215535</v>
      </c>
      <c r="AG18" s="415">
        <v>565.50027766432368</v>
      </c>
      <c r="AH18" s="1446">
        <v>572.6488273898658</v>
      </c>
      <c r="AI18" s="1450">
        <v>0</v>
      </c>
    </row>
    <row r="19" spans="1:35" ht="15">
      <c r="A19" s="90"/>
      <c r="B19" s="94" t="s">
        <v>182</v>
      </c>
      <c r="C19" s="1534">
        <v>37917.108619130217</v>
      </c>
      <c r="D19" s="415">
        <v>26290.817466880522</v>
      </c>
      <c r="E19" s="415">
        <v>27432.512416068297</v>
      </c>
      <c r="F19" s="415">
        <v>0</v>
      </c>
      <c r="G19" s="415">
        <v>38216.602522666966</v>
      </c>
      <c r="H19" s="415">
        <v>40046.23477649378</v>
      </c>
      <c r="I19" s="415">
        <v>39478.532518822831</v>
      </c>
      <c r="J19" s="415">
        <v>40394.639858569986</v>
      </c>
      <c r="K19" s="415">
        <v>44534.582194059876</v>
      </c>
      <c r="L19" s="415">
        <v>40667.490769732402</v>
      </c>
      <c r="M19" s="415">
        <v>38809.283343703122</v>
      </c>
      <c r="N19" s="415">
        <v>63576.905148352431</v>
      </c>
      <c r="O19" s="415">
        <v>59007.223043443155</v>
      </c>
      <c r="P19" s="415">
        <v>57425.614451475056</v>
      </c>
      <c r="Q19" s="415">
        <v>52815.327789706738</v>
      </c>
      <c r="R19" s="415">
        <v>54073.253883917758</v>
      </c>
      <c r="S19" s="415">
        <v>61718.730314365028</v>
      </c>
      <c r="T19" s="415">
        <v>51924.865577205797</v>
      </c>
      <c r="U19" s="415">
        <v>45612.881095713507</v>
      </c>
      <c r="V19" s="415">
        <v>43261.809959050413</v>
      </c>
      <c r="W19" s="415">
        <v>45055.691490310848</v>
      </c>
      <c r="X19" s="415">
        <v>45390.758356657672</v>
      </c>
      <c r="Y19" s="415">
        <v>43858.391077957371</v>
      </c>
      <c r="Z19" s="415">
        <v>45406.78230563394</v>
      </c>
      <c r="AA19" s="415">
        <v>43274.779348726865</v>
      </c>
      <c r="AB19" s="415">
        <v>16749.881981461887</v>
      </c>
      <c r="AC19" s="415">
        <v>17467.238986642635</v>
      </c>
      <c r="AD19" s="415">
        <v>18917.071154223504</v>
      </c>
      <c r="AE19" s="415">
        <v>19740.444809740271</v>
      </c>
      <c r="AF19" s="415">
        <v>20824.398265596788</v>
      </c>
      <c r="AG19" s="415">
        <v>19325.950978997145</v>
      </c>
      <c r="AH19" s="1446">
        <v>20013.156405799051</v>
      </c>
      <c r="AI19" s="1450">
        <v>0</v>
      </c>
    </row>
    <row r="20" spans="1:35" ht="15">
      <c r="A20" s="90"/>
      <c r="B20" s="94" t="s">
        <v>183</v>
      </c>
      <c r="C20" s="1534">
        <v>43756.759238037266</v>
      </c>
      <c r="D20" s="415">
        <v>35626.80128709336</v>
      </c>
      <c r="E20" s="415">
        <v>26349.011569925355</v>
      </c>
      <c r="F20" s="415">
        <v>26185.080690139876</v>
      </c>
      <c r="G20" s="415">
        <v>24022.454926314382</v>
      </c>
      <c r="H20" s="415">
        <v>22009.427549120279</v>
      </c>
      <c r="I20" s="415">
        <v>22968.011209637574</v>
      </c>
      <c r="J20" s="415">
        <v>23026.66771913207</v>
      </c>
      <c r="K20" s="415">
        <v>21652.287686824704</v>
      </c>
      <c r="L20" s="415">
        <v>22642.172396896302</v>
      </c>
      <c r="M20" s="415">
        <v>22839.539996568961</v>
      </c>
      <c r="N20" s="415">
        <v>19368.544913249345</v>
      </c>
      <c r="O20" s="415">
        <v>15685.820005613192</v>
      </c>
      <c r="P20" s="415">
        <v>18081.270139515047</v>
      </c>
      <c r="Q20" s="415">
        <v>23205.449463255325</v>
      </c>
      <c r="R20" s="415">
        <v>25544.817183341271</v>
      </c>
      <c r="S20" s="415">
        <v>23189.798732751802</v>
      </c>
      <c r="T20" s="415">
        <v>23117.01281112391</v>
      </c>
      <c r="U20" s="415">
        <v>30383.826922189735</v>
      </c>
      <c r="V20" s="415">
        <v>17429.938724221913</v>
      </c>
      <c r="W20" s="415">
        <v>23686.731041129358</v>
      </c>
      <c r="X20" s="415">
        <v>23289.722732328053</v>
      </c>
      <c r="Y20" s="415">
        <v>23093.725871419472</v>
      </c>
      <c r="Z20" s="415">
        <v>23958.222141869352</v>
      </c>
      <c r="AA20" s="415">
        <v>23532.723404430108</v>
      </c>
      <c r="AB20" s="415">
        <v>23031.624059770053</v>
      </c>
      <c r="AC20" s="415">
        <v>24383.009020256599</v>
      </c>
      <c r="AD20" s="415">
        <v>26566.196798315526</v>
      </c>
      <c r="AE20" s="415">
        <v>28302.631611487184</v>
      </c>
      <c r="AF20" s="415">
        <v>30092.256411370501</v>
      </c>
      <c r="AG20" s="415">
        <v>15435.938854235383</v>
      </c>
      <c r="AH20" s="1446">
        <v>21853.566791773017</v>
      </c>
      <c r="AI20" s="1450">
        <v>27018.758492819405</v>
      </c>
    </row>
    <row r="21" spans="1:35" ht="15.5" thickBot="1">
      <c r="A21" s="90"/>
      <c r="B21" s="97" t="s">
        <v>184</v>
      </c>
      <c r="C21" s="1534">
        <v>37352.008214555877</v>
      </c>
      <c r="D21" s="415">
        <v>32419.52593457311</v>
      </c>
      <c r="E21" s="415">
        <v>33632.56280542224</v>
      </c>
      <c r="F21" s="415">
        <v>29488.246847611103</v>
      </c>
      <c r="G21" s="415">
        <v>31321.97995030072</v>
      </c>
      <c r="H21" s="415">
        <v>31028.9112542521</v>
      </c>
      <c r="I21" s="415">
        <v>31152.303161463322</v>
      </c>
      <c r="J21" s="415">
        <v>32271.138446584377</v>
      </c>
      <c r="K21" s="415">
        <v>30369.545510686636</v>
      </c>
      <c r="L21" s="415">
        <v>45386.129661706756</v>
      </c>
      <c r="M21" s="415">
        <v>48139.911536708089</v>
      </c>
      <c r="N21" s="415">
        <v>51605.117500338187</v>
      </c>
      <c r="O21" s="415">
        <v>52828.295111173014</v>
      </c>
      <c r="P21" s="415">
        <v>55172.028264005887</v>
      </c>
      <c r="Q21" s="415">
        <v>57922.030948295665</v>
      </c>
      <c r="R21" s="415">
        <v>58712.882517311962</v>
      </c>
      <c r="S21" s="415">
        <v>66835.470688941467</v>
      </c>
      <c r="T21" s="415">
        <v>66364.884364477781</v>
      </c>
      <c r="U21" s="415">
        <v>68555.987382319596</v>
      </c>
      <c r="V21" s="415">
        <v>68221.323828638313</v>
      </c>
      <c r="W21" s="415">
        <v>68316.72556860336</v>
      </c>
      <c r="X21" s="415">
        <v>77634.087805143325</v>
      </c>
      <c r="Y21" s="415">
        <v>65452.532309233786</v>
      </c>
      <c r="Z21" s="415">
        <v>74957.908642595401</v>
      </c>
      <c r="AA21" s="415">
        <v>76671.895662427429</v>
      </c>
      <c r="AB21" s="415">
        <v>56344.396375423916</v>
      </c>
      <c r="AC21" s="415">
        <v>56768.664162230867</v>
      </c>
      <c r="AD21" s="415">
        <v>57556.686427203575</v>
      </c>
      <c r="AE21" s="415">
        <v>58280.056531331953</v>
      </c>
      <c r="AF21" s="415">
        <v>59293.750606893467</v>
      </c>
      <c r="AG21" s="415">
        <v>56674.300585187979</v>
      </c>
      <c r="AH21" s="1446">
        <v>59650.626189035393</v>
      </c>
      <c r="AI21" s="1450">
        <v>0</v>
      </c>
    </row>
    <row r="22" spans="1:35" ht="15">
      <c r="A22" s="90"/>
      <c r="B22" s="90" t="s">
        <v>185</v>
      </c>
      <c r="C22" s="1535">
        <v>18.771770940411521</v>
      </c>
      <c r="D22" s="417">
        <v>28.773184496971705</v>
      </c>
      <c r="E22" s="417">
        <v>33.221102532259032</v>
      </c>
      <c r="F22" s="417">
        <v>43.006063310884869</v>
      </c>
      <c r="G22" s="417">
        <v>51.278580063197168</v>
      </c>
      <c r="H22" s="417">
        <v>58.034419907974851</v>
      </c>
      <c r="I22" s="417">
        <v>66.3157137529153</v>
      </c>
      <c r="J22" s="417">
        <v>73.774047717331214</v>
      </c>
      <c r="K22" s="417">
        <v>82.158655152003831</v>
      </c>
      <c r="L22" s="417">
        <v>93.142193866383252</v>
      </c>
      <c r="M22" s="417">
        <v>96.774348467916212</v>
      </c>
      <c r="N22" s="417">
        <v>95.530623617711484</v>
      </c>
      <c r="O22" s="417">
        <v>110.93454374438917</v>
      </c>
      <c r="P22" s="417">
        <v>423.20360327839705</v>
      </c>
      <c r="Q22" s="417">
        <v>388.16802433499936</v>
      </c>
      <c r="R22" s="417">
        <v>330.406464881548</v>
      </c>
      <c r="S22" s="417">
        <v>317.27342876992572</v>
      </c>
      <c r="T22" s="417">
        <v>295.20919080970253</v>
      </c>
      <c r="U22" s="417">
        <v>255.85606398419324</v>
      </c>
      <c r="V22" s="417">
        <v>230.27295782943696</v>
      </c>
      <c r="W22" s="417">
        <v>228.75344450373316</v>
      </c>
      <c r="X22" s="417">
        <v>213.14650365766755</v>
      </c>
      <c r="Y22" s="417">
        <v>223.67413612375023</v>
      </c>
      <c r="Z22" s="417">
        <v>235.747263198588</v>
      </c>
      <c r="AA22" s="417">
        <v>263.89580309619953</v>
      </c>
      <c r="AB22" s="417">
        <v>256.72370263078</v>
      </c>
      <c r="AC22" s="417">
        <v>274.41111360211539</v>
      </c>
      <c r="AD22" s="417">
        <v>295.18029339760238</v>
      </c>
      <c r="AE22" s="417">
        <v>313.56078742732387</v>
      </c>
      <c r="AF22" s="417">
        <v>333.92896032406958</v>
      </c>
      <c r="AG22" s="417">
        <v>304.99110872241999</v>
      </c>
      <c r="AH22" s="1447">
        <v>347.42352305427477</v>
      </c>
      <c r="AI22" s="1449">
        <v>0</v>
      </c>
    </row>
    <row r="23" spans="1:35" ht="15">
      <c r="A23" s="90"/>
      <c r="B23" s="94" t="s">
        <v>186</v>
      </c>
      <c r="C23" s="1534">
        <v>1.7456072950259685</v>
      </c>
      <c r="D23" s="415">
        <v>0.84328303498775936</v>
      </c>
      <c r="E23" s="415">
        <v>0.75247667612398639</v>
      </c>
      <c r="F23" s="415">
        <v>0.96737451318308765</v>
      </c>
      <c r="G23" s="415">
        <v>0.93012271768894039</v>
      </c>
      <c r="H23" s="415">
        <v>0.90779432713454855</v>
      </c>
      <c r="I23" s="415">
        <v>1.0146624584889083</v>
      </c>
      <c r="J23" s="415">
        <v>1.2019786325634563</v>
      </c>
      <c r="K23" s="415">
        <v>1.497248291202719</v>
      </c>
      <c r="L23" s="415">
        <v>1.891603492771784</v>
      </c>
      <c r="M23" s="415">
        <v>2.9483991542812653</v>
      </c>
      <c r="N23" s="415">
        <v>4.1970985138651331</v>
      </c>
      <c r="O23" s="415">
        <v>5.2883005210179768</v>
      </c>
      <c r="P23" s="415">
        <v>20.099234500056244</v>
      </c>
      <c r="Q23" s="415">
        <v>17.658424633348755</v>
      </c>
      <c r="R23" s="415">
        <v>14.073130409526492</v>
      </c>
      <c r="S23" s="415">
        <v>10.994763016017364</v>
      </c>
      <c r="T23" s="415">
        <v>9.0565365539948637</v>
      </c>
      <c r="U23" s="415">
        <v>5.6236335748178741</v>
      </c>
      <c r="V23" s="415">
        <v>5.4131307121457581</v>
      </c>
      <c r="W23" s="415">
        <v>5.8535997534176412</v>
      </c>
      <c r="X23" s="415">
        <v>5.6428913431786638</v>
      </c>
      <c r="Y23" s="415">
        <v>6.2666260497941622</v>
      </c>
      <c r="Z23" s="415">
        <v>7.0171860279114622</v>
      </c>
      <c r="AA23" s="415">
        <v>6.4886260084280583</v>
      </c>
      <c r="AB23" s="415">
        <v>6.3074948993763806</v>
      </c>
      <c r="AC23" s="415">
        <v>7.4108571926166631</v>
      </c>
      <c r="AD23" s="415">
        <v>8.6446664302038485</v>
      </c>
      <c r="AE23" s="415">
        <v>9.1187629222130369</v>
      </c>
      <c r="AF23" s="415">
        <v>9.3106089107453958</v>
      </c>
      <c r="AG23" s="415">
        <v>9.4426036730099252</v>
      </c>
      <c r="AH23" s="1446">
        <v>9.4738317314647524</v>
      </c>
      <c r="AI23" s="1450">
        <v>0</v>
      </c>
    </row>
    <row r="24" spans="1:35" ht="15">
      <c r="A24" s="90"/>
      <c r="B24" s="94" t="s">
        <v>187</v>
      </c>
      <c r="C24" s="1534">
        <v>16.651816805343486</v>
      </c>
      <c r="D24" s="415">
        <v>18.453159483463036</v>
      </c>
      <c r="E24" s="415">
        <v>16.846378315472453</v>
      </c>
      <c r="F24" s="415">
        <v>20.254188542128393</v>
      </c>
      <c r="G24" s="415">
        <v>22.77549406824458</v>
      </c>
      <c r="H24" s="415">
        <v>23.098667422466573</v>
      </c>
      <c r="I24" s="415">
        <v>24.184588613020516</v>
      </c>
      <c r="J24" s="415">
        <v>25.038726993240182</v>
      </c>
      <c r="K24" s="415">
        <v>26.168864980791572</v>
      </c>
      <c r="L24" s="415">
        <v>27.435698078168773</v>
      </c>
      <c r="M24" s="415">
        <v>27.84584115813481</v>
      </c>
      <c r="N24" s="415">
        <v>27.437760197822172</v>
      </c>
      <c r="O24" s="415">
        <v>30.567347603034392</v>
      </c>
      <c r="P24" s="415">
        <v>117.92612821927897</v>
      </c>
      <c r="Q24" s="415">
        <v>81.21146980671277</v>
      </c>
      <c r="R24" s="415">
        <v>66.890962940602051</v>
      </c>
      <c r="S24" s="415">
        <v>57.181912513088768</v>
      </c>
      <c r="T24" s="415">
        <v>43.754949052131003</v>
      </c>
      <c r="U24" s="415">
        <v>36.771606518441111</v>
      </c>
      <c r="V24" s="415">
        <v>30.71553604070094</v>
      </c>
      <c r="W24" s="415">
        <v>26.014282378212872</v>
      </c>
      <c r="X24" s="415">
        <v>24.888096027274418</v>
      </c>
      <c r="Y24" s="415">
        <v>24.202179770212009</v>
      </c>
      <c r="Z24" s="415">
        <v>26.753110703819829</v>
      </c>
      <c r="AA24" s="415">
        <v>28.78107536801204</v>
      </c>
      <c r="AB24" s="415">
        <v>27.452778610725797</v>
      </c>
      <c r="AC24" s="415">
        <v>30.44552512641032</v>
      </c>
      <c r="AD24" s="415">
        <v>30.758539251469987</v>
      </c>
      <c r="AE24" s="415">
        <v>31.310631140434865</v>
      </c>
      <c r="AF24" s="415">
        <v>31.751161603384322</v>
      </c>
      <c r="AG24" s="415">
        <v>27.412305265770787</v>
      </c>
      <c r="AH24" s="1446">
        <v>29.777200383881098</v>
      </c>
      <c r="AI24" s="1450">
        <v>0</v>
      </c>
    </row>
    <row r="25" spans="1:35" ht="15.5" thickBot="1">
      <c r="A25" s="90"/>
      <c r="B25" s="97" t="s">
        <v>188</v>
      </c>
      <c r="C25" s="1537">
        <v>0.37434684004206659</v>
      </c>
      <c r="D25" s="419">
        <v>9.476741978520911</v>
      </c>
      <c r="E25" s="419">
        <v>15.622247540662594</v>
      </c>
      <c r="F25" s="419">
        <v>21.784500255573391</v>
      </c>
      <c r="G25" s="419">
        <v>27.572963277263646</v>
      </c>
      <c r="H25" s="419">
        <v>34.027958158373721</v>
      </c>
      <c r="I25" s="419">
        <v>41.116462681405864</v>
      </c>
      <c r="J25" s="419">
        <v>47.533342091527572</v>
      </c>
      <c r="K25" s="419">
        <v>54.492541880009547</v>
      </c>
      <c r="L25" s="419">
        <v>63.814892295442704</v>
      </c>
      <c r="M25" s="419">
        <v>65.980108155500147</v>
      </c>
      <c r="N25" s="419">
        <v>63.895764906024183</v>
      </c>
      <c r="O25" s="419">
        <v>75.078895620336809</v>
      </c>
      <c r="P25" s="419">
        <v>285.17824055906186</v>
      </c>
      <c r="Q25" s="419">
        <v>289.29812989493786</v>
      </c>
      <c r="R25" s="419">
        <v>249.44237153141947</v>
      </c>
      <c r="S25" s="419">
        <v>249.09675324081962</v>
      </c>
      <c r="T25" s="419">
        <v>242.39770520357663</v>
      </c>
      <c r="U25" s="419">
        <v>213.46082389093425</v>
      </c>
      <c r="V25" s="419">
        <v>194.14429107659026</v>
      </c>
      <c r="W25" s="419">
        <v>196.88556237210264</v>
      </c>
      <c r="X25" s="419">
        <v>182.61551628721446</v>
      </c>
      <c r="Y25" s="419">
        <v>193.20533030374403</v>
      </c>
      <c r="Z25" s="419">
        <v>201.97696646685671</v>
      </c>
      <c r="AA25" s="419">
        <v>228.62610171975948</v>
      </c>
      <c r="AB25" s="419">
        <v>222.96342912067783</v>
      </c>
      <c r="AC25" s="419">
        <v>236.55473128308836</v>
      </c>
      <c r="AD25" s="419">
        <v>255.77708771592856</v>
      </c>
      <c r="AE25" s="419">
        <v>273.131393364676</v>
      </c>
      <c r="AF25" s="419">
        <v>292.86718980993982</v>
      </c>
      <c r="AG25" s="419">
        <v>268.13619978363926</v>
      </c>
      <c r="AH25" s="1448">
        <v>308.17249093892889</v>
      </c>
      <c r="AI25" s="1451">
        <v>0</v>
      </c>
    </row>
    <row r="26" spans="1:35" ht="15.5" thickBot="1">
      <c r="A26" s="90"/>
      <c r="B26" s="505" t="s">
        <v>189</v>
      </c>
      <c r="C26" s="1538">
        <v>1075307.6759395895</v>
      </c>
      <c r="D26" s="526">
        <v>1083551.6420529231</v>
      </c>
      <c r="E26" s="526">
        <v>1114947.6191490199</v>
      </c>
      <c r="F26" s="526">
        <v>1087538.1038467397</v>
      </c>
      <c r="G26" s="526">
        <v>1137938.357434852</v>
      </c>
      <c r="H26" s="526">
        <v>1161027.8640148144</v>
      </c>
      <c r="I26" s="526">
        <v>1214563.5097204102</v>
      </c>
      <c r="J26" s="526">
        <v>1206026.1613281001</v>
      </c>
      <c r="K26" s="526">
        <v>1200088.8108145227</v>
      </c>
      <c r="L26" s="526">
        <v>1122345.1421033908</v>
      </c>
      <c r="M26" s="526">
        <v>1093171.5101090937</v>
      </c>
      <c r="N26" s="526">
        <v>1039509.2327076663</v>
      </c>
      <c r="O26" s="526">
        <v>975534.28911752743</v>
      </c>
      <c r="P26" s="526">
        <v>931164.69616521499</v>
      </c>
      <c r="Q26" s="526">
        <v>874002.04236319684</v>
      </c>
      <c r="R26" s="526">
        <v>827808.36907381588</v>
      </c>
      <c r="S26" s="526">
        <v>814252.08022601448</v>
      </c>
      <c r="T26" s="526">
        <v>712908.83115686767</v>
      </c>
      <c r="U26" s="526">
        <v>669010.94400051294</v>
      </c>
      <c r="V26" s="526">
        <v>600337.38828393421</v>
      </c>
      <c r="W26" s="526">
        <v>582960.70256211911</v>
      </c>
      <c r="X26" s="526">
        <v>574165.59594171762</v>
      </c>
      <c r="Y26" s="526">
        <v>519696.21403758629</v>
      </c>
      <c r="Z26" s="526">
        <v>495930.61096891842</v>
      </c>
      <c r="AA26" s="526">
        <v>465059.8717800419</v>
      </c>
      <c r="AB26" s="526">
        <v>391017.49258330918</v>
      </c>
      <c r="AC26" s="526">
        <v>379503.81363296928</v>
      </c>
      <c r="AD26" s="526">
        <v>353404.1872485138</v>
      </c>
      <c r="AE26" s="526">
        <v>321976.08933631756</v>
      </c>
      <c r="AF26" s="526">
        <v>359279.69403419143</v>
      </c>
      <c r="AG26" s="526">
        <v>301189.88319413434</v>
      </c>
      <c r="AH26" s="526">
        <v>302111.58447933366</v>
      </c>
      <c r="AI26" s="1246">
        <v>27018.758492819405</v>
      </c>
    </row>
    <row r="27" spans="1:35" ht="15">
      <c r="A27" s="90"/>
      <c r="B27" s="94" t="s">
        <v>190</v>
      </c>
      <c r="C27" s="95"/>
      <c r="D27" s="95"/>
      <c r="E27" s="95"/>
      <c r="F27" s="95"/>
      <c r="G27" s="95"/>
      <c r="H27" s="95"/>
      <c r="I27" s="95"/>
      <c r="J27" s="95"/>
      <c r="K27" s="95"/>
      <c r="L27" s="95"/>
      <c r="M27" s="95"/>
      <c r="N27" s="95"/>
      <c r="O27" s="95"/>
      <c r="P27" s="95"/>
      <c r="Q27" s="95"/>
      <c r="R27" s="95"/>
      <c r="S27" s="95"/>
      <c r="AG27" s="235"/>
    </row>
    <row r="28" spans="1:35">
      <c r="AG28" s="235"/>
    </row>
    <row r="29" spans="1:35" ht="15.5" thickBot="1">
      <c r="A29" s="90"/>
      <c r="B29" s="93" t="s">
        <v>191</v>
      </c>
      <c r="C29" s="93"/>
      <c r="D29" s="93"/>
      <c r="E29" s="93"/>
      <c r="F29" s="93"/>
      <c r="G29" s="93"/>
      <c r="H29" s="93"/>
      <c r="I29" s="93"/>
      <c r="J29" s="93"/>
      <c r="K29" s="93"/>
      <c r="L29" s="93"/>
      <c r="M29" s="93"/>
      <c r="N29" s="93"/>
      <c r="O29" s="93"/>
      <c r="P29" s="93"/>
      <c r="Q29" s="93"/>
      <c r="R29" s="93"/>
      <c r="S29" s="93"/>
      <c r="T29" s="93"/>
      <c r="AG29" s="235"/>
    </row>
    <row r="30" spans="1:35" ht="15.5" thickBot="1">
      <c r="A30" s="90"/>
      <c r="B30" s="152" t="s">
        <v>171</v>
      </c>
      <c r="C30" s="1540">
        <v>1990</v>
      </c>
      <c r="D30" s="153">
        <v>1991</v>
      </c>
      <c r="E30" s="153">
        <v>1992</v>
      </c>
      <c r="F30" s="153">
        <v>1993</v>
      </c>
      <c r="G30" s="153">
        <v>1994</v>
      </c>
      <c r="H30" s="153">
        <v>1995</v>
      </c>
      <c r="I30" s="153">
        <v>1996</v>
      </c>
      <c r="J30" s="153">
        <v>1997</v>
      </c>
      <c r="K30" s="153">
        <v>1998</v>
      </c>
      <c r="L30" s="153">
        <v>1999</v>
      </c>
      <c r="M30" s="153">
        <v>2000</v>
      </c>
      <c r="N30" s="153">
        <v>2001</v>
      </c>
      <c r="O30" s="153">
        <v>2002</v>
      </c>
      <c r="P30" s="153">
        <v>2003</v>
      </c>
      <c r="Q30" s="153">
        <v>2004</v>
      </c>
      <c r="R30" s="153">
        <v>2005</v>
      </c>
      <c r="S30" s="153">
        <v>2006</v>
      </c>
      <c r="T30" s="153">
        <v>2007</v>
      </c>
      <c r="U30" s="153">
        <v>2008</v>
      </c>
      <c r="V30" s="153">
        <v>2009</v>
      </c>
      <c r="W30" s="153">
        <v>2010</v>
      </c>
      <c r="X30" s="153">
        <v>2011</v>
      </c>
      <c r="Y30" s="153">
        <v>2012</v>
      </c>
      <c r="Z30" s="153">
        <v>2013</v>
      </c>
      <c r="AA30" s="153">
        <v>2014</v>
      </c>
      <c r="AB30" s="153">
        <v>2015</v>
      </c>
      <c r="AC30" s="153">
        <v>2016</v>
      </c>
      <c r="AD30" s="153">
        <v>2017</v>
      </c>
      <c r="AE30" s="153">
        <v>2018</v>
      </c>
      <c r="AF30" s="153">
        <v>2019</v>
      </c>
      <c r="AG30" s="153">
        <v>2020</v>
      </c>
      <c r="AH30" s="1445">
        <v>2021</v>
      </c>
      <c r="AI30" s="1445">
        <v>2022</v>
      </c>
    </row>
    <row r="31" spans="1:35" ht="15">
      <c r="A31" s="90"/>
      <c r="B31" s="90" t="s">
        <v>172</v>
      </c>
      <c r="C31" s="1534">
        <v>113958.68007839537</v>
      </c>
      <c r="D31" s="415">
        <v>110951.25830762569</v>
      </c>
      <c r="E31" s="415">
        <v>108247.93198686813</v>
      </c>
      <c r="F31" s="415">
        <v>102703.72640909156</v>
      </c>
      <c r="G31" s="415">
        <v>98544.526763376372</v>
      </c>
      <c r="H31" s="415">
        <v>96011.530910611575</v>
      </c>
      <c r="I31" s="415">
        <v>94425.758364776455</v>
      </c>
      <c r="J31" s="415">
        <v>89087.561920715947</v>
      </c>
      <c r="K31" s="415">
        <v>85439.665715443465</v>
      </c>
      <c r="L31" s="415">
        <v>71505.339091972201</v>
      </c>
      <c r="M31" s="415">
        <v>65859.859283587357</v>
      </c>
      <c r="N31" s="415">
        <v>58995.801951427056</v>
      </c>
      <c r="O31" s="415">
        <v>53186.896119418423</v>
      </c>
      <c r="P31" s="415">
        <v>48776.080398680977</v>
      </c>
      <c r="Q31" s="415">
        <v>44907.751778015569</v>
      </c>
      <c r="R31" s="415">
        <v>41421.856390696012</v>
      </c>
      <c r="S31" s="415">
        <v>39280.543379541617</v>
      </c>
      <c r="T31" s="415">
        <v>33647.697017734172</v>
      </c>
      <c r="U31" s="415">
        <v>30895.411226290074</v>
      </c>
      <c r="V31" s="415">
        <v>28276.927442803397</v>
      </c>
      <c r="W31" s="415">
        <v>26422.757289410118</v>
      </c>
      <c r="X31" s="415">
        <v>25403.43595861239</v>
      </c>
      <c r="Y31" s="415">
        <v>22942.072777672813</v>
      </c>
      <c r="Z31" s="415">
        <v>20681.303891067142</v>
      </c>
      <c r="AA31" s="415">
        <v>18831.598432506406</v>
      </c>
      <c r="AB31" s="415">
        <v>17351.554528449611</v>
      </c>
      <c r="AC31" s="415">
        <v>17210.289154373851</v>
      </c>
      <c r="AD31" s="415">
        <v>15631.603572217611</v>
      </c>
      <c r="AE31" s="415">
        <v>13786.545748489412</v>
      </c>
      <c r="AF31" s="415">
        <v>15904.705748584456</v>
      </c>
      <c r="AG31" s="415">
        <v>11896.626704104921</v>
      </c>
      <c r="AH31" s="1446">
        <v>12255.759366041257</v>
      </c>
      <c r="AI31" s="1450">
        <v>0</v>
      </c>
    </row>
    <row r="32" spans="1:35" ht="15">
      <c r="A32" s="90"/>
      <c r="B32" s="94" t="s">
        <v>173</v>
      </c>
      <c r="C32" s="1534">
        <v>70226.477943859427</v>
      </c>
      <c r="D32" s="415">
        <v>64227.340392800957</v>
      </c>
      <c r="E32" s="415">
        <v>61022.123301056185</v>
      </c>
      <c r="F32" s="415">
        <v>56981.298035228436</v>
      </c>
      <c r="G32" s="415">
        <v>54915.22517589917</v>
      </c>
      <c r="H32" s="415">
        <v>53738.062080050106</v>
      </c>
      <c r="I32" s="415">
        <v>53146.018451027448</v>
      </c>
      <c r="J32" s="415">
        <v>50299.600452834326</v>
      </c>
      <c r="K32" s="415">
        <v>48431.541386167599</v>
      </c>
      <c r="L32" s="415">
        <v>43134.457071482662</v>
      </c>
      <c r="M32" s="415">
        <v>39453.503064156364</v>
      </c>
      <c r="N32" s="415">
        <v>34977.18058802688</v>
      </c>
      <c r="O32" s="415">
        <v>30968.204010358098</v>
      </c>
      <c r="P32" s="415">
        <v>27657.196387431966</v>
      </c>
      <c r="Q32" s="415">
        <v>25575.500869604435</v>
      </c>
      <c r="R32" s="415">
        <v>23413.633477954259</v>
      </c>
      <c r="S32" s="415">
        <v>20649.55626837198</v>
      </c>
      <c r="T32" s="415">
        <v>18714.866132624265</v>
      </c>
      <c r="U32" s="415">
        <v>16993.245927878455</v>
      </c>
      <c r="V32" s="415">
        <v>20268.55927442131</v>
      </c>
      <c r="W32" s="415">
        <v>18873.598977572296</v>
      </c>
      <c r="X32" s="415">
        <v>18333.313107069735</v>
      </c>
      <c r="Y32" s="415">
        <v>16501.227952735055</v>
      </c>
      <c r="Z32" s="415">
        <v>14804.960715776706</v>
      </c>
      <c r="AA32" s="415">
        <v>13183.482522004473</v>
      </c>
      <c r="AB32" s="415">
        <v>12252.546246894375</v>
      </c>
      <c r="AC32" s="415">
        <v>11455.309198649311</v>
      </c>
      <c r="AD32" s="415">
        <v>10346.121548160219</v>
      </c>
      <c r="AE32" s="415">
        <v>9087.5833393169796</v>
      </c>
      <c r="AF32" s="415">
        <v>10292.39460058501</v>
      </c>
      <c r="AG32" s="415">
        <v>7653.2331967117934</v>
      </c>
      <c r="AH32" s="1446">
        <v>7982.8991614083698</v>
      </c>
      <c r="AI32" s="1450">
        <v>0</v>
      </c>
    </row>
    <row r="33" spans="1:35" ht="15">
      <c r="A33" s="90"/>
      <c r="B33" s="94" t="s">
        <v>174</v>
      </c>
      <c r="C33" s="1534">
        <v>37578.631255809407</v>
      </c>
      <c r="D33" s="415">
        <v>40363.300649255565</v>
      </c>
      <c r="E33" s="415">
        <v>41285.355897561218</v>
      </c>
      <c r="F33" s="415">
        <v>40336.137285619145</v>
      </c>
      <c r="G33" s="415">
        <v>38420.105223640741</v>
      </c>
      <c r="H33" s="415">
        <v>37141.517077600736</v>
      </c>
      <c r="I33" s="415">
        <v>36336.40446452373</v>
      </c>
      <c r="J33" s="415">
        <v>34372.434721542559</v>
      </c>
      <c r="K33" s="415">
        <v>32896.171379415784</v>
      </c>
      <c r="L33" s="415">
        <v>24627.827875907173</v>
      </c>
      <c r="M33" s="415">
        <v>23235.277483109581</v>
      </c>
      <c r="N33" s="415">
        <v>21130.558232909007</v>
      </c>
      <c r="O33" s="415">
        <v>19537.969752289799</v>
      </c>
      <c r="P33" s="415">
        <v>18625.740827453141</v>
      </c>
      <c r="Q33" s="415">
        <v>16970.660286494731</v>
      </c>
      <c r="R33" s="415">
        <v>15846.995107482497</v>
      </c>
      <c r="S33" s="415">
        <v>17914.623289257546</v>
      </c>
      <c r="T33" s="415">
        <v>14246.801604476748</v>
      </c>
      <c r="U33" s="415">
        <v>13272.521983126069</v>
      </c>
      <c r="V33" s="415">
        <v>7135.4459828487406</v>
      </c>
      <c r="W33" s="415">
        <v>6823.6152840787126</v>
      </c>
      <c r="X33" s="415">
        <v>6424.8079311981091</v>
      </c>
      <c r="Y33" s="415">
        <v>5808.3828093179736</v>
      </c>
      <c r="Z33" s="415">
        <v>5302.1721400390479</v>
      </c>
      <c r="AA33" s="415">
        <v>5121.6081336325624</v>
      </c>
      <c r="AB33" s="415">
        <v>4623.8396181861817</v>
      </c>
      <c r="AC33" s="415">
        <v>4513.8528642214651</v>
      </c>
      <c r="AD33" s="415">
        <v>4142.2943867848489</v>
      </c>
      <c r="AE33" s="415">
        <v>3668.1568785283416</v>
      </c>
      <c r="AF33" s="415">
        <v>4435.0687824608704</v>
      </c>
      <c r="AG33" s="415">
        <v>3926.310876973349</v>
      </c>
      <c r="AH33" s="1446">
        <v>3470.1387744240783</v>
      </c>
      <c r="AI33" s="1450">
        <v>0</v>
      </c>
    </row>
    <row r="34" spans="1:35" ht="15">
      <c r="A34" s="90"/>
      <c r="B34" s="94" t="s">
        <v>175</v>
      </c>
      <c r="C34" s="1534">
        <v>5733.9233789204427</v>
      </c>
      <c r="D34" s="415">
        <v>5937.6981565218694</v>
      </c>
      <c r="E34" s="415">
        <v>5510.1634706073401</v>
      </c>
      <c r="F34" s="415">
        <v>4962.0910837667552</v>
      </c>
      <c r="G34" s="415">
        <v>4782.5965390827178</v>
      </c>
      <c r="H34" s="415">
        <v>4705.9327972809933</v>
      </c>
      <c r="I34" s="415">
        <v>4540.1385061549472</v>
      </c>
      <c r="J34" s="415">
        <v>4036.6451921108551</v>
      </c>
      <c r="K34" s="415">
        <v>3739.6133918012351</v>
      </c>
      <c r="L34" s="415">
        <v>3351.3123264693099</v>
      </c>
      <c r="M34" s="415">
        <v>2796.9266601737459</v>
      </c>
      <c r="N34" s="415">
        <v>2549.20580943603</v>
      </c>
      <c r="O34" s="415">
        <v>2355.0884230963479</v>
      </c>
      <c r="P34" s="415">
        <v>2174.4561021052177</v>
      </c>
      <c r="Q34" s="415">
        <v>2031.9803455625076</v>
      </c>
      <c r="R34" s="415">
        <v>1829.1358931140726</v>
      </c>
      <c r="S34" s="415">
        <v>398.80324243035295</v>
      </c>
      <c r="T34" s="415">
        <v>468.4421807388411</v>
      </c>
      <c r="U34" s="415">
        <v>444.4303946011284</v>
      </c>
      <c r="V34" s="415">
        <v>622.26191923089209</v>
      </c>
      <c r="W34" s="415">
        <v>524.57698179910108</v>
      </c>
      <c r="X34" s="415">
        <v>456.91170075410361</v>
      </c>
      <c r="Y34" s="415">
        <v>440.23164568077442</v>
      </c>
      <c r="Z34" s="415">
        <v>412.47019133033751</v>
      </c>
      <c r="AA34" s="415">
        <v>387.14321905558103</v>
      </c>
      <c r="AB34" s="415">
        <v>354.83569719410087</v>
      </c>
      <c r="AC34" s="415">
        <v>1129.7241672833361</v>
      </c>
      <c r="AD34" s="415">
        <v>1045.2848833163787</v>
      </c>
      <c r="AE34" s="415">
        <v>950.34647197131528</v>
      </c>
      <c r="AF34" s="415">
        <v>1057.8846240867135</v>
      </c>
      <c r="AG34" s="415">
        <v>227.23525172227389</v>
      </c>
      <c r="AH34" s="1446">
        <v>610.11164002498333</v>
      </c>
      <c r="AI34" s="1450">
        <v>0</v>
      </c>
    </row>
    <row r="35" spans="1:35" ht="15.5" thickBot="1">
      <c r="A35" s="90"/>
      <c r="B35" s="97" t="s">
        <v>176</v>
      </c>
      <c r="C35" s="1534">
        <v>419.64749980609662</v>
      </c>
      <c r="D35" s="415">
        <v>422.91910904728184</v>
      </c>
      <c r="E35" s="415">
        <v>430.28931764339558</v>
      </c>
      <c r="F35" s="415">
        <v>424.20000447722208</v>
      </c>
      <c r="G35" s="415">
        <v>426.59982475372783</v>
      </c>
      <c r="H35" s="415">
        <v>426.01895567974208</v>
      </c>
      <c r="I35" s="415">
        <v>403.19694307033086</v>
      </c>
      <c r="J35" s="415">
        <v>378.88155422820716</v>
      </c>
      <c r="K35" s="415">
        <v>372.33955805886501</v>
      </c>
      <c r="L35" s="415">
        <v>391.74181811305687</v>
      </c>
      <c r="M35" s="415">
        <v>374.15207614766427</v>
      </c>
      <c r="N35" s="415">
        <v>338.85732105514171</v>
      </c>
      <c r="O35" s="415">
        <v>325.63393367417655</v>
      </c>
      <c r="P35" s="415">
        <v>318.68708169066031</v>
      </c>
      <c r="Q35" s="415">
        <v>329.61027635389735</v>
      </c>
      <c r="R35" s="415">
        <v>332.09191214517529</v>
      </c>
      <c r="S35" s="415">
        <v>317.56057948172929</v>
      </c>
      <c r="T35" s="415">
        <v>217.58709989431244</v>
      </c>
      <c r="U35" s="415">
        <v>185.21292068442224</v>
      </c>
      <c r="V35" s="415">
        <v>250.66026630245341</v>
      </c>
      <c r="W35" s="415">
        <v>200.96604596000992</v>
      </c>
      <c r="X35" s="415">
        <v>188.40321959044653</v>
      </c>
      <c r="Y35" s="415">
        <v>192.23036993900999</v>
      </c>
      <c r="Z35" s="415">
        <v>161.7008439210496</v>
      </c>
      <c r="AA35" s="415">
        <v>139.36455781378311</v>
      </c>
      <c r="AB35" s="415">
        <v>120.33296617495179</v>
      </c>
      <c r="AC35" s="415">
        <v>111.40292421973818</v>
      </c>
      <c r="AD35" s="415">
        <v>97.902753956166762</v>
      </c>
      <c r="AE35" s="415">
        <v>80.459058672776393</v>
      </c>
      <c r="AF35" s="415">
        <v>119.35774145186211</v>
      </c>
      <c r="AG35" s="415">
        <v>89.847378697504013</v>
      </c>
      <c r="AH35" s="1446">
        <v>192.60979018382778</v>
      </c>
      <c r="AI35" s="1450">
        <v>0</v>
      </c>
    </row>
    <row r="36" spans="1:35" ht="15">
      <c r="A36" s="90"/>
      <c r="B36" s="416" t="s">
        <v>177</v>
      </c>
      <c r="C36" s="1535">
        <v>294.6458362669303</v>
      </c>
      <c r="D36" s="417">
        <v>301.96660106965766</v>
      </c>
      <c r="E36" s="417">
        <v>309.62492754085633</v>
      </c>
      <c r="F36" s="417">
        <v>304.93049195401539</v>
      </c>
      <c r="G36" s="417">
        <v>331.62255691028184</v>
      </c>
      <c r="H36" s="417">
        <v>343.40005246383146</v>
      </c>
      <c r="I36" s="417">
        <v>355.3930854811245</v>
      </c>
      <c r="J36" s="417">
        <v>371.73649293397051</v>
      </c>
      <c r="K36" s="417">
        <v>389.16525574216553</v>
      </c>
      <c r="L36" s="417">
        <v>399.71040299533507</v>
      </c>
      <c r="M36" s="417">
        <v>404.08085134736376</v>
      </c>
      <c r="N36" s="417">
        <v>479.83003942711849</v>
      </c>
      <c r="O36" s="417">
        <v>482.63959815561418</v>
      </c>
      <c r="P36" s="417">
        <v>480.96210438766718</v>
      </c>
      <c r="Q36" s="417">
        <v>501.39852746966761</v>
      </c>
      <c r="R36" s="417">
        <v>496.8409622171493</v>
      </c>
      <c r="S36" s="417">
        <v>541.13453689444691</v>
      </c>
      <c r="T36" s="417">
        <v>670.35123528702013</v>
      </c>
      <c r="U36" s="417">
        <v>762.97861989598425</v>
      </c>
      <c r="V36" s="417">
        <v>935.89444222339364</v>
      </c>
      <c r="W36" s="417">
        <v>979.93744556360377</v>
      </c>
      <c r="X36" s="417">
        <v>1005.1361193701872</v>
      </c>
      <c r="Y36" s="417">
        <v>1111.845503777846</v>
      </c>
      <c r="Z36" s="417">
        <v>1220.7991130863638</v>
      </c>
      <c r="AA36" s="417">
        <v>1338.6241238185723</v>
      </c>
      <c r="AB36" s="417">
        <v>1430.602257512636</v>
      </c>
      <c r="AC36" s="417">
        <v>1423.3570051245204</v>
      </c>
      <c r="AD36" s="417">
        <v>1472.3765893086834</v>
      </c>
      <c r="AE36" s="417">
        <v>1516.7207348258412</v>
      </c>
      <c r="AF36" s="417">
        <v>1617.6733617969167</v>
      </c>
      <c r="AG36" s="417">
        <v>1733.8641593971618</v>
      </c>
      <c r="AH36" s="1447">
        <v>1881.9956866723719</v>
      </c>
      <c r="AI36" s="1449">
        <v>0</v>
      </c>
    </row>
    <row r="37" spans="1:35" ht="15">
      <c r="A37" s="90"/>
      <c r="B37" s="94" t="s">
        <v>173</v>
      </c>
      <c r="C37" s="1534">
        <v>3.8033085225082566</v>
      </c>
      <c r="D37" s="415">
        <v>3.3890626769808843</v>
      </c>
      <c r="E37" s="415">
        <v>3.2676173163999391</v>
      </c>
      <c r="F37" s="418">
        <v>3.0836847826607583</v>
      </c>
      <c r="G37" s="415">
        <v>2.9023499102544466</v>
      </c>
      <c r="H37" s="415">
        <v>2.7400627236178194</v>
      </c>
      <c r="I37" s="415">
        <v>2.6723235755891741</v>
      </c>
      <c r="J37" s="415">
        <v>2.5997644558039621</v>
      </c>
      <c r="K37" s="415">
        <v>2.4733086629740066</v>
      </c>
      <c r="L37" s="415">
        <v>2.4921394319973071</v>
      </c>
      <c r="M37" s="415">
        <v>2.3910205020766648</v>
      </c>
      <c r="N37" s="415">
        <v>2.086547511202375</v>
      </c>
      <c r="O37" s="415">
        <v>2.0749647933768318</v>
      </c>
      <c r="P37" s="415">
        <v>2.055954386758247</v>
      </c>
      <c r="Q37" s="415">
        <v>2.0899259340931571</v>
      </c>
      <c r="R37" s="415">
        <v>2.0948768803248274</v>
      </c>
      <c r="S37" s="415">
        <v>1.8353584160428764</v>
      </c>
      <c r="T37" s="415">
        <v>2.5732809998507369</v>
      </c>
      <c r="U37" s="415">
        <v>3.5675305345249253</v>
      </c>
      <c r="V37" s="415">
        <v>18.144593018443111</v>
      </c>
      <c r="W37" s="415">
        <v>37.838431170270567</v>
      </c>
      <c r="X37" s="415">
        <v>58.550965895215832</v>
      </c>
      <c r="Y37" s="415">
        <v>80.521544765599188</v>
      </c>
      <c r="Z37" s="415">
        <v>96.243437664012959</v>
      </c>
      <c r="AA37" s="415">
        <v>109.37531424850113</v>
      </c>
      <c r="AB37" s="415">
        <v>123.47667262967826</v>
      </c>
      <c r="AC37" s="415">
        <v>126.31828849586979</v>
      </c>
      <c r="AD37" s="415">
        <v>132.33810401948969</v>
      </c>
      <c r="AE37" s="415">
        <v>131.85131201023327</v>
      </c>
      <c r="AF37" s="415">
        <v>140.24524869037461</v>
      </c>
      <c r="AG37" s="415">
        <v>150.07329255565944</v>
      </c>
      <c r="AH37" s="1446">
        <v>181.25495390478855</v>
      </c>
      <c r="AI37" s="1450">
        <v>0</v>
      </c>
    </row>
    <row r="38" spans="1:35" ht="15">
      <c r="A38" s="90"/>
      <c r="B38" s="94" t="s">
        <v>174</v>
      </c>
      <c r="C38" s="1534">
        <v>8.5841485265732018</v>
      </c>
      <c r="D38" s="415">
        <v>9.3348390429644308</v>
      </c>
      <c r="E38" s="415">
        <v>10.126318147423977</v>
      </c>
      <c r="F38" s="418">
        <v>10.530211476967443</v>
      </c>
      <c r="G38" s="415">
        <v>10.594468432242756</v>
      </c>
      <c r="H38" s="415">
        <v>10.882827390370059</v>
      </c>
      <c r="I38" s="415">
        <v>11.425362686673296</v>
      </c>
      <c r="J38" s="415">
        <v>11.803621433341169</v>
      </c>
      <c r="K38" s="415">
        <v>12.008422023554305</v>
      </c>
      <c r="L38" s="415">
        <v>12.032594054412909</v>
      </c>
      <c r="M38" s="415">
        <v>12.361977136365267</v>
      </c>
      <c r="N38" s="415">
        <v>12.199810856047341</v>
      </c>
      <c r="O38" s="415">
        <v>12.29050878056437</v>
      </c>
      <c r="P38" s="415">
        <v>12.63813908235872</v>
      </c>
      <c r="Q38" s="415">
        <v>12.777252479428695</v>
      </c>
      <c r="R38" s="415">
        <v>13.086779454851204</v>
      </c>
      <c r="S38" s="415">
        <v>14.877807986859183</v>
      </c>
      <c r="T38" s="415">
        <v>78.578701922478942</v>
      </c>
      <c r="U38" s="415">
        <v>134.64409122805586</v>
      </c>
      <c r="V38" s="415">
        <v>87.265754099449595</v>
      </c>
      <c r="W38" s="415">
        <v>99.721008197535937</v>
      </c>
      <c r="X38" s="415">
        <v>115.89670158263189</v>
      </c>
      <c r="Y38" s="415">
        <v>143.23256793905472</v>
      </c>
      <c r="Z38" s="415">
        <v>168.46697874962203</v>
      </c>
      <c r="AA38" s="415">
        <v>205.62461884440165</v>
      </c>
      <c r="AB38" s="415">
        <v>228.25913560343716</v>
      </c>
      <c r="AC38" s="415">
        <v>247.93419327834246</v>
      </c>
      <c r="AD38" s="415">
        <v>267.6280915156737</v>
      </c>
      <c r="AE38" s="415">
        <v>270.66689174747074</v>
      </c>
      <c r="AF38" s="415">
        <v>265.91720495298949</v>
      </c>
      <c r="AG38" s="415">
        <v>294.0220194469992</v>
      </c>
      <c r="AH38" s="1446">
        <v>336.24317509269514</v>
      </c>
      <c r="AI38" s="1450">
        <v>0</v>
      </c>
    </row>
    <row r="39" spans="1:35" ht="15">
      <c r="A39" s="90"/>
      <c r="B39" s="94" t="s">
        <v>175</v>
      </c>
      <c r="C39" s="1534">
        <v>282.25837921784887</v>
      </c>
      <c r="D39" s="415">
        <v>268.6558659059076</v>
      </c>
      <c r="E39" s="415">
        <v>275.90606082603637</v>
      </c>
      <c r="F39" s="418">
        <v>270.54481313885947</v>
      </c>
      <c r="G39" s="415">
        <v>296.84816039973504</v>
      </c>
      <c r="H39" s="415">
        <v>308.56722230271072</v>
      </c>
      <c r="I39" s="415">
        <v>319.29204605208076</v>
      </c>
      <c r="J39" s="415">
        <v>334.87028267460983</v>
      </c>
      <c r="K39" s="415">
        <v>351.6068528449261</v>
      </c>
      <c r="L39" s="415">
        <v>360.56973133940971</v>
      </c>
      <c r="M39" s="415">
        <v>365.0068953721983</v>
      </c>
      <c r="N39" s="415">
        <v>443.19844814731101</v>
      </c>
      <c r="O39" s="415">
        <v>447.03940119012725</v>
      </c>
      <c r="P39" s="415">
        <v>445.8170273473728</v>
      </c>
      <c r="Q39" s="415">
        <v>466.15805948885838</v>
      </c>
      <c r="R39" s="415">
        <v>460.55437320297278</v>
      </c>
      <c r="S39" s="415">
        <v>504.23245730662518</v>
      </c>
      <c r="T39" s="415">
        <v>542.75753591519742</v>
      </c>
      <c r="U39" s="415">
        <v>574.29897706156828</v>
      </c>
      <c r="V39" s="415">
        <v>779.19855395199818</v>
      </c>
      <c r="W39" s="415">
        <v>792.54628958626211</v>
      </c>
      <c r="X39" s="415">
        <v>777.69418052749415</v>
      </c>
      <c r="Y39" s="415">
        <v>828.90430830151467</v>
      </c>
      <c r="Z39" s="415">
        <v>893.54121519932323</v>
      </c>
      <c r="AA39" s="415">
        <v>954.89787613867998</v>
      </c>
      <c r="AB39" s="415">
        <v>1006.5503979527589</v>
      </c>
      <c r="AC39" s="415">
        <v>973.07029824735685</v>
      </c>
      <c r="AD39" s="415">
        <v>991.5382342737812</v>
      </c>
      <c r="AE39" s="415">
        <v>1029.973399490272</v>
      </c>
      <c r="AF39" s="415">
        <v>1115.8761061045818</v>
      </c>
      <c r="AG39" s="415">
        <v>1219.6145302288287</v>
      </c>
      <c r="AH39" s="1446">
        <v>1282.1100716712904</v>
      </c>
      <c r="AI39" s="1450">
        <v>0</v>
      </c>
    </row>
    <row r="40" spans="1:35" ht="15.5" thickBot="1">
      <c r="A40" s="90"/>
      <c r="B40" s="94" t="s">
        <v>903</v>
      </c>
      <c r="C40" s="1536" t="s">
        <v>904</v>
      </c>
      <c r="D40" s="415">
        <v>20.586833443804704</v>
      </c>
      <c r="E40" s="415">
        <v>20.324931250996059</v>
      </c>
      <c r="F40" s="415">
        <v>20.771782555527722</v>
      </c>
      <c r="G40" s="415">
        <v>21.277578168049608</v>
      </c>
      <c r="H40" s="415">
        <v>21.209940047132896</v>
      </c>
      <c r="I40" s="415">
        <v>22.003353166781295</v>
      </c>
      <c r="J40" s="415">
        <v>22.462824370215511</v>
      </c>
      <c r="K40" s="415">
        <v>23.076672210711056</v>
      </c>
      <c r="L40" s="415">
        <v>24.615938169515154</v>
      </c>
      <c r="M40" s="415">
        <v>24.320958336723486</v>
      </c>
      <c r="N40" s="415">
        <v>22.345232912557744</v>
      </c>
      <c r="O40" s="415">
        <v>21.234723391545675</v>
      </c>
      <c r="P40" s="415">
        <v>20.450983571177364</v>
      </c>
      <c r="Q40" s="415">
        <v>20.373289567287436</v>
      </c>
      <c r="R40" s="415">
        <v>21.104932679000513</v>
      </c>
      <c r="S40" s="415">
        <v>20.18891318491967</v>
      </c>
      <c r="T40" s="415">
        <v>46.441716449493057</v>
      </c>
      <c r="U40" s="415">
        <v>50.468021071835231</v>
      </c>
      <c r="V40" s="415">
        <v>51.285541153502734</v>
      </c>
      <c r="W40" s="415">
        <v>49.831716609535249</v>
      </c>
      <c r="X40" s="415">
        <v>52.994271364845424</v>
      </c>
      <c r="Y40" s="415">
        <v>59.187082771677602</v>
      </c>
      <c r="Z40" s="415">
        <v>62.547481473405604</v>
      </c>
      <c r="AA40" s="415">
        <v>68.726314586989758</v>
      </c>
      <c r="AB40" s="415">
        <v>72.316051326761723</v>
      </c>
      <c r="AC40" s="415">
        <v>76.034225102951154</v>
      </c>
      <c r="AD40" s="415">
        <v>80.872159499738856</v>
      </c>
      <c r="AE40" s="415">
        <v>84.229131577865161</v>
      </c>
      <c r="AF40" s="415">
        <v>95.634802048970798</v>
      </c>
      <c r="AG40" s="415">
        <v>70.15431716567447</v>
      </c>
      <c r="AH40" s="1446">
        <v>82.387486003597928</v>
      </c>
      <c r="AI40" s="1450">
        <v>0</v>
      </c>
    </row>
    <row r="41" spans="1:35" ht="15">
      <c r="A41" s="90"/>
      <c r="B41" s="417" t="s">
        <v>178</v>
      </c>
      <c r="C41" s="1535">
        <v>20623.832858568003</v>
      </c>
      <c r="D41" s="417">
        <v>14923.066975062702</v>
      </c>
      <c r="E41" s="417">
        <v>12731.624681329311</v>
      </c>
      <c r="F41" s="417">
        <v>9121.9887280602034</v>
      </c>
      <c r="G41" s="417">
        <v>12682.629306975465</v>
      </c>
      <c r="H41" s="417">
        <v>12144.257668448676</v>
      </c>
      <c r="I41" s="417">
        <v>19517.771688863893</v>
      </c>
      <c r="J41" s="417">
        <v>18105.079052392986</v>
      </c>
      <c r="K41" s="417">
        <v>11645.612381809229</v>
      </c>
      <c r="L41" s="417">
        <v>13407.710895541097</v>
      </c>
      <c r="M41" s="417">
        <v>15753.609620080466</v>
      </c>
      <c r="N41" s="417">
        <v>16714.295012544022</v>
      </c>
      <c r="O41" s="417">
        <v>16478.178230246736</v>
      </c>
      <c r="P41" s="417">
        <v>15688.51778908179</v>
      </c>
      <c r="Q41" s="417">
        <v>16673.200485258199</v>
      </c>
      <c r="R41" s="417">
        <v>20177.639903916184</v>
      </c>
      <c r="S41" s="417">
        <v>18828.473163455968</v>
      </c>
      <c r="T41" s="417">
        <v>18938.529329473946</v>
      </c>
      <c r="U41" s="417">
        <v>18137.436743058832</v>
      </c>
      <c r="V41" s="417">
        <v>17581.9365199124</v>
      </c>
      <c r="W41" s="417">
        <v>18043.619663627218</v>
      </c>
      <c r="X41" s="417">
        <v>18955.990361790882</v>
      </c>
      <c r="Y41" s="417">
        <v>16747.831050404693</v>
      </c>
      <c r="Z41" s="417">
        <v>18431.22484425682</v>
      </c>
      <c r="AA41" s="417">
        <v>18184.784678278647</v>
      </c>
      <c r="AB41" s="417">
        <v>14015.70753250407</v>
      </c>
      <c r="AC41" s="417">
        <v>15125.44906024139</v>
      </c>
      <c r="AD41" s="417">
        <v>15547.963398131944</v>
      </c>
      <c r="AE41" s="417">
        <v>14848.593146980371</v>
      </c>
      <c r="AF41" s="417">
        <v>15677.523055770624</v>
      </c>
      <c r="AG41" s="417">
        <v>14145.84475734047</v>
      </c>
      <c r="AH41" s="1447">
        <v>16560.238088716782</v>
      </c>
      <c r="AI41" s="1449">
        <v>2340.4594170729069</v>
      </c>
    </row>
    <row r="42" spans="1:35" ht="15">
      <c r="A42" s="90"/>
      <c r="B42" s="94" t="s">
        <v>179</v>
      </c>
      <c r="C42" s="1534">
        <v>8601.4141094258921</v>
      </c>
      <c r="D42" s="415">
        <v>5509.9542841990515</v>
      </c>
      <c r="E42" s="415">
        <v>3866.8587425312908</v>
      </c>
      <c r="F42" s="415">
        <v>2927.8442761588749</v>
      </c>
      <c r="G42" s="415">
        <v>3029.4564830492459</v>
      </c>
      <c r="H42" s="415">
        <v>2462.2931271539228</v>
      </c>
      <c r="I42" s="415">
        <v>9735.3553374457751</v>
      </c>
      <c r="J42" s="415">
        <v>8184.6964170308856</v>
      </c>
      <c r="K42" s="415">
        <v>1765.3487563072131</v>
      </c>
      <c r="L42" s="415">
        <v>1926.5331214615926</v>
      </c>
      <c r="M42" s="415">
        <v>3892.0901896910241</v>
      </c>
      <c r="N42" s="415">
        <v>2351.4303413642192</v>
      </c>
      <c r="O42" s="415">
        <v>2765.1135921728378</v>
      </c>
      <c r="P42" s="415">
        <v>1514.7036159600027</v>
      </c>
      <c r="Q42" s="415">
        <v>1516.5403765388523</v>
      </c>
      <c r="R42" s="415">
        <v>4215.8415853945153</v>
      </c>
      <c r="S42" s="415">
        <v>3074.0606040164294</v>
      </c>
      <c r="T42" s="415">
        <v>2636.1795148442902</v>
      </c>
      <c r="U42" s="415">
        <v>2638.3899683434583</v>
      </c>
      <c r="V42" s="415">
        <v>3035.6918278385651</v>
      </c>
      <c r="W42" s="415">
        <v>2639.3445303338149</v>
      </c>
      <c r="X42" s="415">
        <v>2444.6480790577161</v>
      </c>
      <c r="Y42" s="415">
        <v>2296.4457364614336</v>
      </c>
      <c r="Z42" s="415">
        <v>2532.6617673078176</v>
      </c>
      <c r="AA42" s="415">
        <v>2168.4056920355242</v>
      </c>
      <c r="AB42" s="415">
        <v>3150.2236901854808</v>
      </c>
      <c r="AC42" s="415">
        <v>3936.0273727327644</v>
      </c>
      <c r="AD42" s="415">
        <v>4483.1477576844363</v>
      </c>
      <c r="AE42" s="415">
        <v>3218.8563394820499</v>
      </c>
      <c r="AF42" s="415">
        <v>3828.6903394452406</v>
      </c>
      <c r="AG42" s="415">
        <v>3098.7732352091562</v>
      </c>
      <c r="AH42" s="1446">
        <v>4633.7442963147496</v>
      </c>
      <c r="AI42" s="1450">
        <v>0</v>
      </c>
    </row>
    <row r="43" spans="1:35" ht="15">
      <c r="A43" s="90"/>
      <c r="B43" s="94" t="s">
        <v>180</v>
      </c>
      <c r="C43" s="1534">
        <v>305.66250000000008</v>
      </c>
      <c r="D43" s="415">
        <v>351.98109374999996</v>
      </c>
      <c r="E43" s="415">
        <v>240.48578125</v>
      </c>
      <c r="F43" s="415">
        <v>176.42624999999998</v>
      </c>
      <c r="G43" s="415">
        <v>346.73031250000003</v>
      </c>
      <c r="H43" s="415">
        <v>312.41031250000003</v>
      </c>
      <c r="I43" s="415">
        <v>271.07437499999997</v>
      </c>
      <c r="J43" s="415">
        <v>216.77906249999998</v>
      </c>
      <c r="K43" s="415">
        <v>278.760625</v>
      </c>
      <c r="L43" s="415">
        <v>255.27734374999997</v>
      </c>
      <c r="M43" s="415">
        <v>398.29968749999995</v>
      </c>
      <c r="N43" s="415">
        <v>460.549375</v>
      </c>
      <c r="O43" s="415">
        <v>265.0415625</v>
      </c>
      <c r="P43" s="415">
        <v>399.59562500000004</v>
      </c>
      <c r="Q43" s="415">
        <v>971.39453125000011</v>
      </c>
      <c r="R43" s="415">
        <v>1349.7635937499999</v>
      </c>
      <c r="S43" s="415">
        <v>1478.1507812500001</v>
      </c>
      <c r="T43" s="415">
        <v>1380.7320312500001</v>
      </c>
      <c r="U43" s="415">
        <v>766.85984374999998</v>
      </c>
      <c r="V43" s="415">
        <v>586.41171874999986</v>
      </c>
      <c r="W43" s="415">
        <v>724.11625000000015</v>
      </c>
      <c r="X43" s="415">
        <v>742.34875</v>
      </c>
      <c r="Y43" s="415">
        <v>251.41187499999995</v>
      </c>
      <c r="Z43" s="415">
        <v>336.38515625000008</v>
      </c>
      <c r="AA43" s="415">
        <v>452.70671875000005</v>
      </c>
      <c r="AB43" s="415">
        <v>595.79609374999995</v>
      </c>
      <c r="AC43" s="415">
        <v>743.33187499999997</v>
      </c>
      <c r="AD43" s="415">
        <v>276.79437499999995</v>
      </c>
      <c r="AE43" s="415">
        <v>511.76125000000013</v>
      </c>
      <c r="AF43" s="415">
        <v>437.40125</v>
      </c>
      <c r="AG43" s="415">
        <v>1127.9571875000001</v>
      </c>
      <c r="AH43" s="1446">
        <v>1127.9571875000001</v>
      </c>
      <c r="AI43" s="1450">
        <v>0</v>
      </c>
    </row>
    <row r="44" spans="1:35" ht="15">
      <c r="A44" s="90"/>
      <c r="B44" s="94" t="s">
        <v>181</v>
      </c>
      <c r="C44" s="1534">
        <v>220.11871332877328</v>
      </c>
      <c r="D44" s="415">
        <v>264.69806937075555</v>
      </c>
      <c r="E44" s="415">
        <v>217.14700003981648</v>
      </c>
      <c r="F44" s="415">
        <v>224.80632064553143</v>
      </c>
      <c r="G44" s="415">
        <v>206.80535848116253</v>
      </c>
      <c r="H44" s="415">
        <v>194.15834131943484</v>
      </c>
      <c r="I44" s="415">
        <v>259.19722354129237</v>
      </c>
      <c r="J44" s="415">
        <v>244.12936878824698</v>
      </c>
      <c r="K44" s="415">
        <v>133.62873742111952</v>
      </c>
      <c r="L44" s="415">
        <v>243.84859617669389</v>
      </c>
      <c r="M44" s="415">
        <v>148.47264688284233</v>
      </c>
      <c r="N44" s="415">
        <v>199.95599961809094</v>
      </c>
      <c r="O44" s="415">
        <v>264.90436514520223</v>
      </c>
      <c r="P44" s="415">
        <v>262.83516392826215</v>
      </c>
      <c r="Q44" s="415">
        <v>303.30194761565451</v>
      </c>
      <c r="R44" s="415">
        <v>256.20370210882987</v>
      </c>
      <c r="S44" s="415">
        <v>349.63842219774216</v>
      </c>
      <c r="T44" s="415">
        <v>282.94910713371638</v>
      </c>
      <c r="U44" s="415">
        <v>119.96727699071762</v>
      </c>
      <c r="V44" s="415">
        <v>132.88960032009322</v>
      </c>
      <c r="W44" s="415">
        <v>456.55606146390215</v>
      </c>
      <c r="X44" s="415">
        <v>480.04242015856875</v>
      </c>
      <c r="Y44" s="415">
        <v>536.81084312317182</v>
      </c>
      <c r="Z44" s="415">
        <v>369.77610805680348</v>
      </c>
      <c r="AA44" s="415">
        <v>369.07893375190849</v>
      </c>
      <c r="AB44" s="415">
        <v>53.960297439365853</v>
      </c>
      <c r="AC44" s="415">
        <v>44.850722818458451</v>
      </c>
      <c r="AD44" s="415">
        <v>59.280849365468406</v>
      </c>
      <c r="AE44" s="415">
        <v>65.19034550875358</v>
      </c>
      <c r="AF44" s="415">
        <v>39.27667619890417</v>
      </c>
      <c r="AG44" s="415">
        <v>53.246047906398282</v>
      </c>
      <c r="AH44" s="1446">
        <v>54.094204114648811</v>
      </c>
      <c r="AI44" s="1450">
        <v>0</v>
      </c>
    </row>
    <row r="45" spans="1:35" ht="15">
      <c r="A45" s="90"/>
      <c r="B45" s="94" t="s">
        <v>182</v>
      </c>
      <c r="C45" s="1534">
        <v>3339.4051035603511</v>
      </c>
      <c r="D45" s="415">
        <v>2288.6736162350503</v>
      </c>
      <c r="E45" s="415">
        <v>2385.1306659500324</v>
      </c>
      <c r="F45" s="415">
        <v>0</v>
      </c>
      <c r="G45" s="415">
        <v>3317.2137813542013</v>
      </c>
      <c r="H45" s="415">
        <v>3482.8345550187801</v>
      </c>
      <c r="I45" s="415">
        <v>3434.661323201291</v>
      </c>
      <c r="J45" s="415">
        <v>3522.8416826561302</v>
      </c>
      <c r="K45" s="415">
        <v>3841.0896995032394</v>
      </c>
      <c r="L45" s="415">
        <v>3472.8923214340662</v>
      </c>
      <c r="M45" s="415">
        <v>3319.7320946982622</v>
      </c>
      <c r="N45" s="415">
        <v>5699.0998317312933</v>
      </c>
      <c r="O45" s="415">
        <v>5303.4820540361243</v>
      </c>
      <c r="P45" s="415">
        <v>5167.2822002116118</v>
      </c>
      <c r="Q45" s="415">
        <v>4762.8750094378538</v>
      </c>
      <c r="R45" s="415">
        <v>4836.3872237806054</v>
      </c>
      <c r="S45" s="415">
        <v>4837.8237093769567</v>
      </c>
      <c r="T45" s="415">
        <v>4585.8900285759746</v>
      </c>
      <c r="U45" s="415">
        <v>4045.582737358342</v>
      </c>
      <c r="V45" s="415">
        <v>3838.2529000354994</v>
      </c>
      <c r="W45" s="415">
        <v>4056.8146441277618</v>
      </c>
      <c r="X45" s="415">
        <v>4074.848637688724</v>
      </c>
      <c r="Y45" s="415">
        <v>3955.2850662761466</v>
      </c>
      <c r="Z45" s="415">
        <v>4343.45999985458</v>
      </c>
      <c r="AA45" s="415">
        <v>3953.6712951538043</v>
      </c>
      <c r="AB45" s="415">
        <v>1485.9977379630834</v>
      </c>
      <c r="AC45" s="415">
        <v>1546.9375080787574</v>
      </c>
      <c r="AD45" s="415">
        <v>1667.0888185180088</v>
      </c>
      <c r="AE45" s="415">
        <v>1737.8625630892052</v>
      </c>
      <c r="AF45" s="415">
        <v>1830.6624445219909</v>
      </c>
      <c r="AG45" s="415">
        <v>1705.7595164269167</v>
      </c>
      <c r="AH45" s="1446">
        <v>1754.8651654460105</v>
      </c>
      <c r="AI45" s="1450">
        <v>0</v>
      </c>
    </row>
    <row r="46" spans="1:35" ht="15">
      <c r="A46" s="90"/>
      <c r="B46" s="94" t="s">
        <v>183</v>
      </c>
      <c r="C46" s="1534">
        <v>3637.9695875818552</v>
      </c>
      <c r="D46" s="415">
        <v>2730.3080149451371</v>
      </c>
      <c r="E46" s="415">
        <v>2099.2152038477052</v>
      </c>
      <c r="F46" s="415">
        <v>2360.8692768413321</v>
      </c>
      <c r="G46" s="415">
        <v>2131.9218919915484</v>
      </c>
      <c r="H46" s="415">
        <v>2070.013325382216</v>
      </c>
      <c r="I46" s="415">
        <v>2176.1387439514351</v>
      </c>
      <c r="J46" s="415">
        <v>2159.6682985906132</v>
      </c>
      <c r="K46" s="415">
        <v>2066.1803683242019</v>
      </c>
      <c r="L46" s="415">
        <v>2194.8953156297293</v>
      </c>
      <c r="M46" s="415">
        <v>2344.7231140047215</v>
      </c>
      <c r="N46" s="415">
        <v>1863.0949955066958</v>
      </c>
      <c r="O46" s="415">
        <v>1592.1287070728733</v>
      </c>
      <c r="P46" s="415">
        <v>1782.3522537808326</v>
      </c>
      <c r="Q46" s="415">
        <v>2226.3903634215435</v>
      </c>
      <c r="R46" s="415">
        <v>2535.5613109528795</v>
      </c>
      <c r="S46" s="415">
        <v>1911.6000652675016</v>
      </c>
      <c r="T46" s="415">
        <v>2165.8137426901358</v>
      </c>
      <c r="U46" s="415">
        <v>2407.7715985971381</v>
      </c>
      <c r="V46" s="415">
        <v>1847.169443170646</v>
      </c>
      <c r="W46" s="415">
        <v>1993.1432094124425</v>
      </c>
      <c r="X46" s="415">
        <v>1945.6775809462754</v>
      </c>
      <c r="Y46" s="415">
        <v>1911.8851315001768</v>
      </c>
      <c r="Z46" s="415">
        <v>1922.9489352504563</v>
      </c>
      <c r="AA46" s="415">
        <v>2105.4295512906674</v>
      </c>
      <c r="AB46" s="415">
        <v>2050.8834536144059</v>
      </c>
      <c r="AC46" s="415">
        <v>2129.166967505977</v>
      </c>
      <c r="AD46" s="415">
        <v>2264.0312829055988</v>
      </c>
      <c r="AE46" s="415">
        <v>2450.3481048141061</v>
      </c>
      <c r="AF46" s="415">
        <v>2572.0817698569904</v>
      </c>
      <c r="AG46" s="415">
        <v>1479.6495817914549</v>
      </c>
      <c r="AH46" s="1446">
        <v>1970.7497692393138</v>
      </c>
      <c r="AI46" s="1450">
        <v>2340.4594170729069</v>
      </c>
    </row>
    <row r="47" spans="1:35" ht="15.5" thickBot="1">
      <c r="A47" s="90"/>
      <c r="B47" s="97" t="s">
        <v>184</v>
      </c>
      <c r="C47" s="1534">
        <v>4519.2628446711306</v>
      </c>
      <c r="D47" s="415">
        <v>3777.4518965627071</v>
      </c>
      <c r="E47" s="415">
        <v>3922.7872877104651</v>
      </c>
      <c r="F47" s="415">
        <v>3432.0426044144647</v>
      </c>
      <c r="G47" s="415">
        <v>3650.5014795993084</v>
      </c>
      <c r="H47" s="415">
        <v>3622.548007074321</v>
      </c>
      <c r="I47" s="415">
        <v>3641.3446857240992</v>
      </c>
      <c r="J47" s="415">
        <v>3776.9642228271105</v>
      </c>
      <c r="K47" s="415">
        <v>3560.6041952534547</v>
      </c>
      <c r="L47" s="415">
        <v>5314.2641970890154</v>
      </c>
      <c r="M47" s="415">
        <v>5650.291887303616</v>
      </c>
      <c r="N47" s="415">
        <v>6140.1644693237204</v>
      </c>
      <c r="O47" s="415">
        <v>6287.5079493196999</v>
      </c>
      <c r="P47" s="415">
        <v>6561.7489302010808</v>
      </c>
      <c r="Q47" s="415">
        <v>6892.6982569942957</v>
      </c>
      <c r="R47" s="415">
        <v>6983.8824879293552</v>
      </c>
      <c r="S47" s="415">
        <v>7177.1995813473395</v>
      </c>
      <c r="T47" s="415">
        <v>7886.9649049798263</v>
      </c>
      <c r="U47" s="415">
        <v>8158.8653180191759</v>
      </c>
      <c r="V47" s="415">
        <v>8141.5210297975964</v>
      </c>
      <c r="W47" s="415">
        <v>8173.644968289298</v>
      </c>
      <c r="X47" s="415">
        <v>9268.4248939395929</v>
      </c>
      <c r="Y47" s="415">
        <v>7795.9923980437634</v>
      </c>
      <c r="Z47" s="415">
        <v>8925.9928775371627</v>
      </c>
      <c r="AA47" s="415">
        <v>9135.4924872967422</v>
      </c>
      <c r="AB47" s="415">
        <v>6678.8462595517331</v>
      </c>
      <c r="AC47" s="415">
        <v>6725.1346141054319</v>
      </c>
      <c r="AD47" s="415">
        <v>6797.6203146584339</v>
      </c>
      <c r="AE47" s="415">
        <v>6864.5745440862565</v>
      </c>
      <c r="AF47" s="415">
        <v>6969.410575747499</v>
      </c>
      <c r="AG47" s="415">
        <v>6680.4591885065438</v>
      </c>
      <c r="AH47" s="1446">
        <v>7018.8274661020578</v>
      </c>
      <c r="AI47" s="1450">
        <v>0</v>
      </c>
    </row>
    <row r="48" spans="1:35" ht="15">
      <c r="A48" s="90"/>
      <c r="B48" s="90" t="s">
        <v>185</v>
      </c>
      <c r="C48" s="1535">
        <v>0.81789983773629082</v>
      </c>
      <c r="D48" s="417">
        <v>14.388431269361996</v>
      </c>
      <c r="E48" s="417">
        <v>19.464783626578864</v>
      </c>
      <c r="F48" s="417">
        <v>26.370009075963765</v>
      </c>
      <c r="G48" s="417">
        <v>34.048562581408753</v>
      </c>
      <c r="H48" s="417">
        <v>40.414393800748122</v>
      </c>
      <c r="I48" s="417">
        <v>47.780917253069937</v>
      </c>
      <c r="J48" s="417">
        <v>54.514136186597355</v>
      </c>
      <c r="K48" s="417">
        <v>62.442944971231896</v>
      </c>
      <c r="L48" s="417">
        <v>72.391622423144028</v>
      </c>
      <c r="M48" s="417">
        <v>75.844762984620743</v>
      </c>
      <c r="N48" s="417">
        <v>75.03232255699541</v>
      </c>
      <c r="O48" s="417">
        <v>88.192944862039695</v>
      </c>
      <c r="P48" s="417">
        <v>339.10159948126147</v>
      </c>
      <c r="Q48" s="417">
        <v>323.61190588133223</v>
      </c>
      <c r="R48" s="417">
        <v>276.6005709262248</v>
      </c>
      <c r="S48" s="417">
        <v>271.05752917519271</v>
      </c>
      <c r="T48" s="417">
        <v>256.40768031345459</v>
      </c>
      <c r="U48" s="417">
        <v>223.27283434791997</v>
      </c>
      <c r="V48" s="417">
        <v>202.41266523577653</v>
      </c>
      <c r="W48" s="417">
        <v>201.56640322197242</v>
      </c>
      <c r="X48" s="417">
        <v>187.30518215712692</v>
      </c>
      <c r="Y48" s="417">
        <v>197.32209947528682</v>
      </c>
      <c r="Z48" s="417">
        <v>207.67383027289736</v>
      </c>
      <c r="AA48" s="417">
        <v>234.41831239536313</v>
      </c>
      <c r="AB48" s="417">
        <v>228.67406745480636</v>
      </c>
      <c r="AC48" s="417">
        <v>244.01101931749531</v>
      </c>
      <c r="AD48" s="417">
        <v>262.45439893765297</v>
      </c>
      <c r="AE48" s="417">
        <v>279.68828448561061</v>
      </c>
      <c r="AF48" s="417">
        <v>298.80095823678403</v>
      </c>
      <c r="AG48" s="417">
        <v>273.01653070341052</v>
      </c>
      <c r="AH48" s="1447">
        <v>312.44577780225336</v>
      </c>
      <c r="AI48" s="1449">
        <v>0</v>
      </c>
    </row>
    <row r="49" spans="1:35" ht="15">
      <c r="A49" s="90"/>
      <c r="B49" s="94" t="s">
        <v>186</v>
      </c>
      <c r="C49" s="1534">
        <v>0.13513827100325151</v>
      </c>
      <c r="D49" s="415">
        <v>0.16403886476616597</v>
      </c>
      <c r="E49" s="415">
        <v>0.146431960142336</v>
      </c>
      <c r="F49" s="415">
        <v>0.18848799056948504</v>
      </c>
      <c r="G49" s="415">
        <v>0.18270564564135777</v>
      </c>
      <c r="H49" s="415">
        <v>0.18680033135547919</v>
      </c>
      <c r="I49" s="415">
        <v>0.23897350826693975</v>
      </c>
      <c r="J49" s="415">
        <v>0.36137160610774249</v>
      </c>
      <c r="K49" s="415">
        <v>0.56853274945952736</v>
      </c>
      <c r="L49" s="415">
        <v>0.9086260491626269</v>
      </c>
      <c r="M49" s="415">
        <v>1.5693930264909082</v>
      </c>
      <c r="N49" s="415">
        <v>2.4598031041850903</v>
      </c>
      <c r="O49" s="415">
        <v>3.2308524383563402</v>
      </c>
      <c r="P49" s="415">
        <v>12.498653330589326</v>
      </c>
      <c r="Q49" s="415">
        <v>10.61845498079267</v>
      </c>
      <c r="R49" s="415">
        <v>8.0458401471916794</v>
      </c>
      <c r="S49" s="415">
        <v>6.1057837062333284</v>
      </c>
      <c r="T49" s="415">
        <v>4.939132852083314</v>
      </c>
      <c r="U49" s="415">
        <v>2.6654850056314197</v>
      </c>
      <c r="V49" s="415">
        <v>2.3657212688587048</v>
      </c>
      <c r="W49" s="415">
        <v>2.3727729223866154</v>
      </c>
      <c r="X49" s="415">
        <v>2.2963075105013888</v>
      </c>
      <c r="Y49" s="415">
        <v>2.3344692107949743</v>
      </c>
      <c r="Z49" s="415">
        <v>2.5153143659052351</v>
      </c>
      <c r="AA49" s="415">
        <v>2.3582386923211853</v>
      </c>
      <c r="AB49" s="415">
        <v>2.305696283366697</v>
      </c>
      <c r="AC49" s="415">
        <v>2.6954222935742251</v>
      </c>
      <c r="AD49" s="415">
        <v>2.951189984581005</v>
      </c>
      <c r="AE49" s="415">
        <v>3.1142377970708965</v>
      </c>
      <c r="AF49" s="415">
        <v>3.0725140911163442</v>
      </c>
      <c r="AG49" s="415">
        <v>3.0137748963449398</v>
      </c>
      <c r="AH49" s="1446">
        <v>2.9293862714543355</v>
      </c>
      <c r="AI49" s="1450">
        <v>0</v>
      </c>
    </row>
    <row r="50" spans="1:35" ht="15">
      <c r="A50" s="90"/>
      <c r="B50" s="94" t="s">
        <v>187</v>
      </c>
      <c r="C50" s="1534">
        <v>0.66730966791275281</v>
      </c>
      <c r="D50" s="415">
        <v>5.8291052533773167</v>
      </c>
      <c r="E50" s="415">
        <v>5.4061598679113851</v>
      </c>
      <c r="F50" s="415">
        <v>6.541781024179115</v>
      </c>
      <c r="G50" s="415">
        <v>8.8610208626183642</v>
      </c>
      <c r="H50" s="415">
        <v>9.3362752591046174</v>
      </c>
      <c r="I50" s="415">
        <v>10.08486169420493</v>
      </c>
      <c r="J50" s="415">
        <v>10.721427780441944</v>
      </c>
      <c r="K50" s="415">
        <v>11.517929934322758</v>
      </c>
      <c r="L50" s="415">
        <v>12.456831703762797</v>
      </c>
      <c r="M50" s="415">
        <v>12.912373174185863</v>
      </c>
      <c r="N50" s="415">
        <v>13.143769955740671</v>
      </c>
      <c r="O50" s="415">
        <v>15.132035816645757</v>
      </c>
      <c r="P50" s="415">
        <v>61.361795268046222</v>
      </c>
      <c r="Q50" s="415">
        <v>43.920436174394084</v>
      </c>
      <c r="R50" s="415">
        <v>36.55111937382604</v>
      </c>
      <c r="S50" s="415">
        <v>33.269589841672357</v>
      </c>
      <c r="T50" s="415">
        <v>26.017102871970518</v>
      </c>
      <c r="U50" s="415">
        <v>22.069780395267415</v>
      </c>
      <c r="V50" s="415">
        <v>19.475470135339076</v>
      </c>
      <c r="W50" s="415">
        <v>16.072530129483404</v>
      </c>
      <c r="X50" s="415">
        <v>15.311583573822602</v>
      </c>
      <c r="Y50" s="415">
        <v>15.643881440894544</v>
      </c>
      <c r="Z50" s="415">
        <v>17.665798809633113</v>
      </c>
      <c r="AA50" s="415">
        <v>19.812990205476318</v>
      </c>
      <c r="AB50" s="415">
        <v>19.406773954692756</v>
      </c>
      <c r="AC50" s="415">
        <v>21.664677691985926</v>
      </c>
      <c r="AD50" s="415">
        <v>21.875632703647877</v>
      </c>
      <c r="AE50" s="415">
        <v>22.674025653361184</v>
      </c>
      <c r="AF50" s="415">
        <v>23.398554650896681</v>
      </c>
      <c r="AG50" s="415">
        <v>20.639277500809019</v>
      </c>
      <c r="AH50" s="1446">
        <v>22.888540798694091</v>
      </c>
      <c r="AI50" s="1450">
        <v>0</v>
      </c>
    </row>
    <row r="51" spans="1:35" ht="15.5" thickBot="1">
      <c r="A51" s="90"/>
      <c r="B51" s="97" t="s">
        <v>188</v>
      </c>
      <c r="C51" s="1537">
        <v>1.5451898820286468E-2</v>
      </c>
      <c r="D51" s="419">
        <v>8.395287151218513</v>
      </c>
      <c r="E51" s="419">
        <v>13.912191798525145</v>
      </c>
      <c r="F51" s="419">
        <v>19.639740061215164</v>
      </c>
      <c r="G51" s="419">
        <v>25.004836073149033</v>
      </c>
      <c r="H51" s="419">
        <v>30.891318210288027</v>
      </c>
      <c r="I51" s="419">
        <v>37.457082050598061</v>
      </c>
      <c r="J51" s="419">
        <v>43.431336800047667</v>
      </c>
      <c r="K51" s="419">
        <v>50.356482287449616</v>
      </c>
      <c r="L51" s="419">
        <v>59.026164670218598</v>
      </c>
      <c r="M51" s="419">
        <v>61.36299678394397</v>
      </c>
      <c r="N51" s="419">
        <v>59.428749497069646</v>
      </c>
      <c r="O51" s="419">
        <v>69.830056607037605</v>
      </c>
      <c r="P51" s="419">
        <v>265.2411508826259</v>
      </c>
      <c r="Q51" s="419">
        <v>269.07301472614552</v>
      </c>
      <c r="R51" s="419">
        <v>232.0036114052071</v>
      </c>
      <c r="S51" s="419">
        <v>231.68215562728702</v>
      </c>
      <c r="T51" s="419">
        <v>225.45144458940075</v>
      </c>
      <c r="U51" s="419">
        <v>198.53756894702113</v>
      </c>
      <c r="V51" s="419">
        <v>180.57147383157877</v>
      </c>
      <c r="W51" s="419">
        <v>183.12110017010241</v>
      </c>
      <c r="X51" s="419">
        <v>169.69729107280293</v>
      </c>
      <c r="Y51" s="419">
        <v>179.34374882359728</v>
      </c>
      <c r="Z51" s="419">
        <v>187.49271709735902</v>
      </c>
      <c r="AA51" s="419">
        <v>212.24708349756563</v>
      </c>
      <c r="AB51" s="419">
        <v>206.96159721674692</v>
      </c>
      <c r="AC51" s="419">
        <v>219.65091933193517</v>
      </c>
      <c r="AD51" s="419">
        <v>237.6275762494241</v>
      </c>
      <c r="AE51" s="419">
        <v>253.90002103517855</v>
      </c>
      <c r="AF51" s="419">
        <v>272.32988949477101</v>
      </c>
      <c r="AG51" s="419">
        <v>249.36347830625661</v>
      </c>
      <c r="AH51" s="1448">
        <v>286.62785073210495</v>
      </c>
      <c r="AI51" s="1451">
        <v>0</v>
      </c>
    </row>
    <row r="52" spans="1:35" ht="15.5" thickBot="1">
      <c r="A52" s="90"/>
      <c r="B52" s="505" t="s">
        <v>189</v>
      </c>
      <c r="C52" s="1539">
        <v>134877.97667306804</v>
      </c>
      <c r="D52" s="504">
        <v>126190.68031502742</v>
      </c>
      <c r="E52" s="504">
        <v>121308.6463793649</v>
      </c>
      <c r="F52" s="504">
        <v>112157.01563818174</v>
      </c>
      <c r="G52" s="504">
        <v>111592.82718984352</v>
      </c>
      <c r="H52" s="504">
        <v>108539.60302532483</v>
      </c>
      <c r="I52" s="504">
        <v>114346.70405637454</v>
      </c>
      <c r="J52" s="504">
        <v>107618.8916022295</v>
      </c>
      <c r="K52" s="504">
        <v>97536.886297966077</v>
      </c>
      <c r="L52" s="504">
        <v>85385.152012931765</v>
      </c>
      <c r="M52" s="504">
        <v>82093.394517999812</v>
      </c>
      <c r="N52" s="504">
        <v>76264.959325955191</v>
      </c>
      <c r="O52" s="504">
        <v>70235.906892682804</v>
      </c>
      <c r="P52" s="504">
        <v>65284.661891631695</v>
      </c>
      <c r="Q52" s="504">
        <v>62405.96269662476</v>
      </c>
      <c r="R52" s="504">
        <v>62372.937827755573</v>
      </c>
      <c r="S52" s="504">
        <v>58921.208609067224</v>
      </c>
      <c r="T52" s="504">
        <v>53512.985262808594</v>
      </c>
      <c r="U52" s="504">
        <v>50019.099423592816</v>
      </c>
      <c r="V52" s="504">
        <v>46997.171070174969</v>
      </c>
      <c r="W52" s="504">
        <v>45647.88080182291</v>
      </c>
      <c r="X52" s="504">
        <v>45551.867621930585</v>
      </c>
      <c r="Y52" s="504">
        <v>40999.071431330638</v>
      </c>
      <c r="Z52" s="504">
        <v>40541.00167868322</v>
      </c>
      <c r="AA52" s="504">
        <v>38589.42554699898</v>
      </c>
      <c r="AB52" s="504">
        <v>33026.538385921122</v>
      </c>
      <c r="AC52" s="504">
        <v>34003.106239057262</v>
      </c>
      <c r="AD52" s="504">
        <v>32914.397958595895</v>
      </c>
      <c r="AE52" s="504">
        <v>30431.547914781237</v>
      </c>
      <c r="AF52" s="504">
        <v>33498.703124388776</v>
      </c>
      <c r="AG52" s="504">
        <v>28049.352151545962</v>
      </c>
      <c r="AH52" s="504">
        <v>31010.43891923266</v>
      </c>
      <c r="AI52" s="1247">
        <v>2340.4594170729069</v>
      </c>
    </row>
    <row r="53" spans="1:35" ht="15">
      <c r="A53" s="90"/>
      <c r="B53" s="94" t="s">
        <v>190</v>
      </c>
      <c r="C53" s="95"/>
      <c r="D53" s="95"/>
      <c r="E53" s="95"/>
      <c r="F53" s="95"/>
      <c r="G53" s="95"/>
      <c r="H53" s="95"/>
      <c r="I53" s="95"/>
      <c r="J53" s="95"/>
      <c r="K53" s="95"/>
      <c r="L53" s="95"/>
      <c r="M53" s="95"/>
      <c r="N53" s="95"/>
      <c r="O53" s="95"/>
      <c r="P53" s="95"/>
      <c r="Q53" s="95"/>
      <c r="R53" s="95"/>
      <c r="S53" s="95"/>
      <c r="AG53" s="235"/>
    </row>
    <row r="54" spans="1:35" ht="15">
      <c r="B54" s="90"/>
      <c r="C54" s="100"/>
      <c r="D54" s="100"/>
      <c r="E54" s="100"/>
      <c r="F54" s="100"/>
      <c r="G54" s="100"/>
      <c r="H54" s="100"/>
      <c r="I54" s="100"/>
      <c r="J54" s="100"/>
      <c r="K54" s="100"/>
      <c r="L54" s="90"/>
      <c r="M54" s="101"/>
      <c r="N54" s="101"/>
      <c r="O54" s="101"/>
      <c r="P54" s="101"/>
      <c r="Q54" s="101"/>
      <c r="R54" s="90"/>
      <c r="S54" s="90"/>
      <c r="AG54" s="235"/>
    </row>
    <row r="55" spans="1:35" ht="15.5" thickBot="1">
      <c r="A55" s="90"/>
      <c r="B55" s="93" t="s">
        <v>192</v>
      </c>
      <c r="C55" s="93"/>
      <c r="D55" s="93"/>
      <c r="E55" s="93"/>
      <c r="F55" s="93"/>
      <c r="G55" s="93"/>
      <c r="H55" s="93"/>
      <c r="I55" s="93"/>
      <c r="J55" s="93"/>
      <c r="K55" s="93"/>
      <c r="L55" s="93"/>
      <c r="M55" s="93"/>
      <c r="N55" s="93"/>
      <c r="O55" s="93"/>
      <c r="P55" s="93"/>
      <c r="Q55" s="93"/>
      <c r="R55" s="93"/>
      <c r="S55" s="93"/>
      <c r="T55" s="93"/>
      <c r="AG55" s="235"/>
    </row>
    <row r="56" spans="1:35" ht="15.5" thickBot="1">
      <c r="A56" s="90"/>
      <c r="B56" s="152" t="s">
        <v>171</v>
      </c>
      <c r="C56" s="1540">
        <v>1990</v>
      </c>
      <c r="D56" s="153">
        <v>1991</v>
      </c>
      <c r="E56" s="153">
        <v>1992</v>
      </c>
      <c r="F56" s="153">
        <v>1993</v>
      </c>
      <c r="G56" s="153">
        <v>1994</v>
      </c>
      <c r="H56" s="153">
        <v>1995</v>
      </c>
      <c r="I56" s="153">
        <v>1996</v>
      </c>
      <c r="J56" s="153">
        <v>1997</v>
      </c>
      <c r="K56" s="153">
        <v>1998</v>
      </c>
      <c r="L56" s="153">
        <v>1999</v>
      </c>
      <c r="M56" s="153">
        <v>2000</v>
      </c>
      <c r="N56" s="153">
        <v>2001</v>
      </c>
      <c r="O56" s="153">
        <v>2002</v>
      </c>
      <c r="P56" s="153">
        <v>2003</v>
      </c>
      <c r="Q56" s="153">
        <v>2004</v>
      </c>
      <c r="R56" s="153">
        <v>2005</v>
      </c>
      <c r="S56" s="153">
        <v>2006</v>
      </c>
      <c r="T56" s="153">
        <v>2007</v>
      </c>
      <c r="U56" s="153">
        <v>2008</v>
      </c>
      <c r="V56" s="153">
        <v>2009</v>
      </c>
      <c r="W56" s="153">
        <v>2010</v>
      </c>
      <c r="X56" s="153">
        <v>2011</v>
      </c>
      <c r="Y56" s="153">
        <v>2012</v>
      </c>
      <c r="Z56" s="153">
        <v>2013</v>
      </c>
      <c r="AA56" s="153">
        <v>2014</v>
      </c>
      <c r="AB56" s="153">
        <v>2015</v>
      </c>
      <c r="AC56" s="153">
        <v>2016</v>
      </c>
      <c r="AD56" s="153">
        <v>2017</v>
      </c>
      <c r="AE56" s="153">
        <v>2018</v>
      </c>
      <c r="AF56" s="153">
        <v>2019</v>
      </c>
      <c r="AG56" s="153">
        <v>2020</v>
      </c>
      <c r="AH56" s="1445">
        <v>2021</v>
      </c>
      <c r="AI56" s="1445">
        <v>2022</v>
      </c>
    </row>
    <row r="57" spans="1:35" ht="15">
      <c r="A57" s="90"/>
      <c r="B57" s="90" t="s">
        <v>172</v>
      </c>
      <c r="C57" s="1534">
        <v>819139.43776410189</v>
      </c>
      <c r="D57" s="415">
        <v>861563.42354847374</v>
      </c>
      <c r="E57" s="415">
        <v>905558.490031088</v>
      </c>
      <c r="F57" s="415">
        <v>917259.04536057636</v>
      </c>
      <c r="G57" s="415">
        <v>932804.48005084659</v>
      </c>
      <c r="H57" s="415">
        <v>960412.64816811052</v>
      </c>
      <c r="I57" s="415">
        <v>998277.63743380527</v>
      </c>
      <c r="J57" s="415">
        <v>997492.57082559785</v>
      </c>
      <c r="K57" s="415">
        <v>1008108.6706337911</v>
      </c>
      <c r="L57" s="415">
        <v>930808.00794195023</v>
      </c>
      <c r="M57" s="415">
        <v>902026.3135267311</v>
      </c>
      <c r="N57" s="415">
        <v>831604.54630868265</v>
      </c>
      <c r="O57" s="415">
        <v>780068.02134916815</v>
      </c>
      <c r="P57" s="415">
        <v>738806.36106886773</v>
      </c>
      <c r="Q57" s="415">
        <v>678939.00624470261</v>
      </c>
      <c r="R57" s="415">
        <v>624862.29233940342</v>
      </c>
      <c r="S57" s="415">
        <v>599976.84218307585</v>
      </c>
      <c r="T57" s="415">
        <v>510561.25361203012</v>
      </c>
      <c r="U57" s="415">
        <v>466858.05230468302</v>
      </c>
      <c r="V57" s="415">
        <v>409307.32528549462</v>
      </c>
      <c r="W57" s="415">
        <v>380639.42033575143</v>
      </c>
      <c r="X57" s="415">
        <v>361479.12442407134</v>
      </c>
      <c r="Y57" s="415">
        <v>320151.2156532958</v>
      </c>
      <c r="Z57" s="415">
        <v>281278.69828731928</v>
      </c>
      <c r="AA57" s="415">
        <v>247310.98406478864</v>
      </c>
      <c r="AB57" s="415">
        <v>217277.16008391732</v>
      </c>
      <c r="AC57" s="415">
        <v>200429.55509048922</v>
      </c>
      <c r="AD57" s="415">
        <v>169464.72444372234</v>
      </c>
      <c r="AE57" s="415">
        <v>133858.40640684517</v>
      </c>
      <c r="AF57" s="415">
        <v>157315.63360475763</v>
      </c>
      <c r="AG57" s="415">
        <v>115405.8797269012</v>
      </c>
      <c r="AH57" s="1446">
        <v>101201.61680268557</v>
      </c>
      <c r="AI57" s="1450">
        <v>0</v>
      </c>
    </row>
    <row r="58" spans="1:35" ht="15">
      <c r="A58" s="90"/>
      <c r="B58" s="94" t="s">
        <v>173</v>
      </c>
      <c r="C58" s="1534">
        <v>529244.47169100202</v>
      </c>
      <c r="D58" s="415">
        <v>519747.66438074422</v>
      </c>
      <c r="E58" s="415">
        <v>525975.99159885943</v>
      </c>
      <c r="F58" s="415">
        <v>517882.20519499655</v>
      </c>
      <c r="G58" s="415">
        <v>522134.77146200411</v>
      </c>
      <c r="H58" s="415">
        <v>532191.9137857001</v>
      </c>
      <c r="I58" s="415">
        <v>546739.87016251287</v>
      </c>
      <c r="J58" s="415">
        <v>537441.68786862446</v>
      </c>
      <c r="K58" s="415">
        <v>538167.5614758851</v>
      </c>
      <c r="L58" s="415">
        <v>481619.96676131029</v>
      </c>
      <c r="M58" s="415">
        <v>463199.55767265422</v>
      </c>
      <c r="N58" s="415">
        <v>425983.13847425667</v>
      </c>
      <c r="O58" s="415">
        <v>396569.35775598342</v>
      </c>
      <c r="P58" s="415">
        <v>368790.42604800075</v>
      </c>
      <c r="Q58" s="415">
        <v>346914.23837836873</v>
      </c>
      <c r="R58" s="415">
        <v>321706.21887545823</v>
      </c>
      <c r="S58" s="415">
        <v>287313.89641899307</v>
      </c>
      <c r="T58" s="415">
        <v>261211.2748048158</v>
      </c>
      <c r="U58" s="415">
        <v>237033.34838732865</v>
      </c>
      <c r="V58" s="415">
        <v>282343.3866281287</v>
      </c>
      <c r="W58" s="415">
        <v>261850.58669968756</v>
      </c>
      <c r="X58" s="415">
        <v>252493.40882652986</v>
      </c>
      <c r="Y58" s="415">
        <v>225345.75891464041</v>
      </c>
      <c r="Z58" s="415">
        <v>198764.97248726565</v>
      </c>
      <c r="AA58" s="415">
        <v>172509.30057279734</v>
      </c>
      <c r="AB58" s="415">
        <v>154560.46715784573</v>
      </c>
      <c r="AC58" s="415">
        <v>137961.65058622434</v>
      </c>
      <c r="AD58" s="415">
        <v>116989.5106311001</v>
      </c>
      <c r="AE58" s="415">
        <v>95593.972284806703</v>
      </c>
      <c r="AF58" s="415">
        <v>105853.25155602007</v>
      </c>
      <c r="AG58" s="415">
        <v>74103.294764733029</v>
      </c>
      <c r="AH58" s="1446">
        <v>70259.928416919429</v>
      </c>
      <c r="AI58" s="1450">
        <v>0</v>
      </c>
    </row>
    <row r="59" spans="1:35" ht="15">
      <c r="A59" s="90"/>
      <c r="B59" s="94" t="s">
        <v>174</v>
      </c>
      <c r="C59" s="1534">
        <v>277524.98391639988</v>
      </c>
      <c r="D59" s="415">
        <v>327685.57082129118</v>
      </c>
      <c r="E59" s="415">
        <v>365044.11839208408</v>
      </c>
      <c r="F59" s="415">
        <v>385105.57040671521</v>
      </c>
      <c r="G59" s="415">
        <v>395863.41739630926</v>
      </c>
      <c r="H59" s="415">
        <v>412769.42443994142</v>
      </c>
      <c r="I59" s="415">
        <v>434713.04109055491</v>
      </c>
      <c r="J59" s="415">
        <v>442084.08574454027</v>
      </c>
      <c r="K59" s="415">
        <v>449917.87432571966</v>
      </c>
      <c r="L59" s="415">
        <v>428680.74101291574</v>
      </c>
      <c r="M59" s="415">
        <v>417625.79830488545</v>
      </c>
      <c r="N59" s="415">
        <v>384202.3395302468</v>
      </c>
      <c r="O59" s="415">
        <v>360818.58281619777</v>
      </c>
      <c r="P59" s="415">
        <v>346567.68773941352</v>
      </c>
      <c r="Q59" s="415">
        <v>309314.66793868924</v>
      </c>
      <c r="R59" s="415">
        <v>282283.0533501996</v>
      </c>
      <c r="S59" s="415">
        <v>306494.30736415653</v>
      </c>
      <c r="T59" s="415">
        <v>243689.20063007684</v>
      </c>
      <c r="U59" s="415">
        <v>224476.47150709643</v>
      </c>
      <c r="V59" s="415">
        <v>119474.38659068849</v>
      </c>
      <c r="W59" s="415">
        <v>112499.85705368093</v>
      </c>
      <c r="X59" s="415">
        <v>103493.7731267654</v>
      </c>
      <c r="Y59" s="415">
        <v>89791.558383692711</v>
      </c>
      <c r="Z59" s="415">
        <v>78157.925780987323</v>
      </c>
      <c r="AA59" s="415">
        <v>71002.427081366957</v>
      </c>
      <c r="AB59" s="415">
        <v>59560.544742163089</v>
      </c>
      <c r="AC59" s="415">
        <v>53590.668914740731</v>
      </c>
      <c r="AD59" s="415">
        <v>44832.406250050823</v>
      </c>
      <c r="AE59" s="415">
        <v>32068.939386899678</v>
      </c>
      <c r="AF59" s="415">
        <v>44830.26798283177</v>
      </c>
      <c r="AG59" s="415">
        <v>39818.147629291547</v>
      </c>
      <c r="AH59" s="1446">
        <v>27206.022883702633</v>
      </c>
      <c r="AI59" s="1450">
        <v>0</v>
      </c>
    </row>
    <row r="60" spans="1:35" ht="15">
      <c r="A60" s="90"/>
      <c r="B60" s="94" t="s">
        <v>175</v>
      </c>
      <c r="C60" s="1534">
        <v>11884.06682608647</v>
      </c>
      <c r="D60" s="415">
        <v>13640.484776679121</v>
      </c>
      <c r="E60" s="415">
        <v>14040.142409421598</v>
      </c>
      <c r="F60" s="415">
        <v>13780.083023528307</v>
      </c>
      <c r="G60" s="415">
        <v>14312.325673899859</v>
      </c>
      <c r="H60" s="415">
        <v>14958.017019736553</v>
      </c>
      <c r="I60" s="415">
        <v>16351.439470435989</v>
      </c>
      <c r="J60" s="415">
        <v>17517.685741643418</v>
      </c>
      <c r="K60" s="415">
        <v>19578.99783242073</v>
      </c>
      <c r="L60" s="415">
        <v>20043.533267004372</v>
      </c>
      <c r="M60" s="415">
        <v>20756.191464015352</v>
      </c>
      <c r="N60" s="415">
        <v>21014.955827665748</v>
      </c>
      <c r="O60" s="415">
        <v>22290.349005651031</v>
      </c>
      <c r="P60" s="415">
        <v>23065.748477300953</v>
      </c>
      <c r="Q60" s="415">
        <v>22313.550453167951</v>
      </c>
      <c r="R60" s="415">
        <v>20472.654948890875</v>
      </c>
      <c r="S60" s="415">
        <v>5786.612513634569</v>
      </c>
      <c r="T60" s="415">
        <v>5398.812666786248</v>
      </c>
      <c r="U60" s="415">
        <v>5125.2030904657049</v>
      </c>
      <c r="V60" s="415">
        <v>7187.3610264363024</v>
      </c>
      <c r="W60" s="415">
        <v>6046.5206234831176</v>
      </c>
      <c r="X60" s="415">
        <v>5264.6888891100443</v>
      </c>
      <c r="Y60" s="415">
        <v>4782.0486745266189</v>
      </c>
      <c r="Z60" s="415">
        <v>4160.7843922251704</v>
      </c>
      <c r="AA60" s="415">
        <v>3631.1765411378083</v>
      </c>
      <c r="AB60" s="415">
        <v>3011.0101949961086</v>
      </c>
      <c r="AC60" s="415">
        <v>8742.8503050364379</v>
      </c>
      <c r="AD60" s="415">
        <v>7524.6792142732602</v>
      </c>
      <c r="AE60" s="415">
        <v>6098.3805833949536</v>
      </c>
      <c r="AF60" s="415">
        <v>6488.3546693965091</v>
      </c>
      <c r="AG60" s="415">
        <v>1376.2318253048606</v>
      </c>
      <c r="AH60" s="1446">
        <v>3505.6956846935914</v>
      </c>
      <c r="AI60" s="1450">
        <v>0</v>
      </c>
    </row>
    <row r="61" spans="1:35" ht="15.5" thickBot="1">
      <c r="A61" s="90"/>
      <c r="B61" s="97" t="s">
        <v>176</v>
      </c>
      <c r="C61" s="1534">
        <v>485.9153306136123</v>
      </c>
      <c r="D61" s="415">
        <v>489.70356975909419</v>
      </c>
      <c r="E61" s="415">
        <v>498.23763072294281</v>
      </c>
      <c r="F61" s="415">
        <v>491.18673533641436</v>
      </c>
      <c r="G61" s="415">
        <v>493.96551863337277</v>
      </c>
      <c r="H61" s="415">
        <v>493.29292273262422</v>
      </c>
      <c r="I61" s="415">
        <v>473.2867103014944</v>
      </c>
      <c r="J61" s="415">
        <v>449.11147078949523</v>
      </c>
      <c r="K61" s="415">
        <v>444.23699976551131</v>
      </c>
      <c r="L61" s="415">
        <v>463.76690071993801</v>
      </c>
      <c r="M61" s="415">
        <v>444.76608517605763</v>
      </c>
      <c r="N61" s="415">
        <v>404.11247651347088</v>
      </c>
      <c r="O61" s="415">
        <v>389.73177133585102</v>
      </c>
      <c r="P61" s="415">
        <v>382.49880415241506</v>
      </c>
      <c r="Q61" s="415">
        <v>396.54947447669969</v>
      </c>
      <c r="R61" s="415">
        <v>400.36516485465353</v>
      </c>
      <c r="S61" s="415">
        <v>382.02588629166019</v>
      </c>
      <c r="T61" s="415">
        <v>261.9655103511538</v>
      </c>
      <c r="U61" s="415">
        <v>223.02931979222637</v>
      </c>
      <c r="V61" s="415">
        <v>302.19104024112102</v>
      </c>
      <c r="W61" s="415">
        <v>242.45595889978549</v>
      </c>
      <c r="X61" s="415">
        <v>227.25358166605145</v>
      </c>
      <c r="Y61" s="415">
        <v>231.84968043606722</v>
      </c>
      <c r="Z61" s="415">
        <v>195.0156268410866</v>
      </c>
      <c r="AA61" s="415">
        <v>168.07986948650307</v>
      </c>
      <c r="AB61" s="415">
        <v>145.13798891240725</v>
      </c>
      <c r="AC61" s="415">
        <v>134.38528448769148</v>
      </c>
      <c r="AD61" s="415">
        <v>118.1283482981431</v>
      </c>
      <c r="AE61" s="415">
        <v>97.114151743816933</v>
      </c>
      <c r="AF61" s="415">
        <v>143.75939650927873</v>
      </c>
      <c r="AG61" s="415">
        <v>108.20550757176628</v>
      </c>
      <c r="AH61" s="1446">
        <v>229.96981736992669</v>
      </c>
      <c r="AI61" s="1450">
        <v>0</v>
      </c>
    </row>
    <row r="62" spans="1:35" ht="15">
      <c r="A62" s="90"/>
      <c r="B62" s="416" t="s">
        <v>177</v>
      </c>
      <c r="C62" s="1535">
        <v>3427.0259644814687</v>
      </c>
      <c r="D62" s="417">
        <v>3569.6580104298491</v>
      </c>
      <c r="E62" s="417">
        <v>3658.8186250647759</v>
      </c>
      <c r="F62" s="417">
        <v>3607.6592240404566</v>
      </c>
      <c r="G62" s="417">
        <v>3906.5153244053754</v>
      </c>
      <c r="H62" s="417">
        <v>4038.1900142722648</v>
      </c>
      <c r="I62" s="417">
        <v>4178.1203810064317</v>
      </c>
      <c r="J62" s="417">
        <v>4364.6125050654546</v>
      </c>
      <c r="K62" s="417">
        <v>4561.6676208716226</v>
      </c>
      <c r="L62" s="417">
        <v>4685.0613830760558</v>
      </c>
      <c r="M62" s="417">
        <v>4734.1387278044613</v>
      </c>
      <c r="N62" s="417">
        <v>5572.7480698157333</v>
      </c>
      <c r="O62" s="417">
        <v>5601.4747982824756</v>
      </c>
      <c r="P62" s="417">
        <v>5582.5797538486677</v>
      </c>
      <c r="Q62" s="417">
        <v>5813.2602708280037</v>
      </c>
      <c r="R62" s="417">
        <v>5766.6206832477492</v>
      </c>
      <c r="S62" s="417">
        <v>6270.296006890826</v>
      </c>
      <c r="T62" s="417">
        <v>12736.100427852121</v>
      </c>
      <c r="U62" s="417">
        <v>16496.751938151181</v>
      </c>
      <c r="V62" s="417">
        <v>23356.231469834132</v>
      </c>
      <c r="W62" s="417">
        <v>25906.439271926993</v>
      </c>
      <c r="X62" s="417">
        <v>28224.27104791471</v>
      </c>
      <c r="Y62" s="417">
        <v>33554.199569506905</v>
      </c>
      <c r="Z62" s="417">
        <v>39517.940253921137</v>
      </c>
      <c r="AA62" s="417">
        <v>45444.997648978569</v>
      </c>
      <c r="AB62" s="417">
        <v>50994.288812995241</v>
      </c>
      <c r="AC62" s="417">
        <v>51954.280049176021</v>
      </c>
      <c r="AD62" s="417">
        <v>54810.132830808485</v>
      </c>
      <c r="AE62" s="417">
        <v>58706.004546210628</v>
      </c>
      <c r="AF62" s="417">
        <v>65908.823142232504</v>
      </c>
      <c r="AG62" s="417">
        <v>70648.544429960195</v>
      </c>
      <c r="AH62" s="1447">
        <v>72463.590389254314</v>
      </c>
      <c r="AI62" s="1449">
        <v>0</v>
      </c>
    </row>
    <row r="63" spans="1:35" ht="15">
      <c r="A63" s="90"/>
      <c r="B63" s="94" t="s">
        <v>173</v>
      </c>
      <c r="C63" s="1534">
        <v>99.648289799500006</v>
      </c>
      <c r="D63" s="415">
        <v>88.794873670080321</v>
      </c>
      <c r="E63" s="415">
        <v>85.612953924586265</v>
      </c>
      <c r="F63" s="418">
        <v>80.793843847891623</v>
      </c>
      <c r="G63" s="415">
        <v>76.042793595364998</v>
      </c>
      <c r="H63" s="415">
        <v>71.790800755707849</v>
      </c>
      <c r="I63" s="415">
        <v>70.016006464478963</v>
      </c>
      <c r="J63" s="415">
        <v>68.114926877281803</v>
      </c>
      <c r="K63" s="415">
        <v>64.801731690467292</v>
      </c>
      <c r="L63" s="415">
        <v>65.295105792956321</v>
      </c>
      <c r="M63" s="415">
        <v>62.645747116605172</v>
      </c>
      <c r="N63" s="415">
        <v>54.668426146926755</v>
      </c>
      <c r="O63" s="415">
        <v>54.364954047381062</v>
      </c>
      <c r="P63" s="415">
        <v>53.866873364017074</v>
      </c>
      <c r="Q63" s="415">
        <v>54.756942253704196</v>
      </c>
      <c r="R63" s="415">
        <v>54.886659136243566</v>
      </c>
      <c r="S63" s="415">
        <v>48.08716575198504</v>
      </c>
      <c r="T63" s="415">
        <v>54.031298668138469</v>
      </c>
      <c r="U63" s="415">
        <v>60.278559044892013</v>
      </c>
      <c r="V63" s="415">
        <v>175.00503101925634</v>
      </c>
      <c r="W63" s="415">
        <v>317.32119492032024</v>
      </c>
      <c r="X63" s="415">
        <v>468.47634497111716</v>
      </c>
      <c r="Y63" s="415">
        <v>629.05985185664792</v>
      </c>
      <c r="Z63" s="415">
        <v>743.34329260604329</v>
      </c>
      <c r="AA63" s="415">
        <v>839.1191334622664</v>
      </c>
      <c r="AB63" s="415">
        <v>943.48939833060524</v>
      </c>
      <c r="AC63" s="415">
        <v>962.54522334021078</v>
      </c>
      <c r="AD63" s="415">
        <v>1006.617692747603</v>
      </c>
      <c r="AE63" s="415">
        <v>1001.4906024678775</v>
      </c>
      <c r="AF63" s="415">
        <v>1066.3475659261107</v>
      </c>
      <c r="AG63" s="415">
        <v>1140.0090402024859</v>
      </c>
      <c r="AH63" s="1446">
        <v>1372.1365529063401</v>
      </c>
      <c r="AI63" s="1450">
        <v>0</v>
      </c>
    </row>
    <row r="64" spans="1:35" ht="15">
      <c r="A64" s="90"/>
      <c r="B64" s="94" t="s">
        <v>174</v>
      </c>
      <c r="C64" s="1534">
        <v>159.24068779864305</v>
      </c>
      <c r="D64" s="415">
        <v>173.16641074996517</v>
      </c>
      <c r="E64" s="415">
        <v>187.8487844976041</v>
      </c>
      <c r="F64" s="418">
        <v>195.34122843595011</v>
      </c>
      <c r="G64" s="415">
        <v>196.53323038258611</v>
      </c>
      <c r="H64" s="415">
        <v>201.88244803451116</v>
      </c>
      <c r="I64" s="415">
        <v>211.94677689262986</v>
      </c>
      <c r="J64" s="415">
        <v>218.96368518572186</v>
      </c>
      <c r="K64" s="415">
        <v>222.76284904526511</v>
      </c>
      <c r="L64" s="415">
        <v>223.2112535442667</v>
      </c>
      <c r="M64" s="415">
        <v>229.32149131065228</v>
      </c>
      <c r="N64" s="415">
        <v>226.3132174049021</v>
      </c>
      <c r="O64" s="415">
        <v>227.99571390846225</v>
      </c>
      <c r="P64" s="415">
        <v>234.44444766301217</v>
      </c>
      <c r="Q64" s="415">
        <v>237.02507787494915</v>
      </c>
      <c r="R64" s="415">
        <v>242.76697391809572</v>
      </c>
      <c r="S64" s="415">
        <v>275.99154062043795</v>
      </c>
      <c r="T64" s="415">
        <v>857.9645357691561</v>
      </c>
      <c r="U64" s="415">
        <v>1334.778659628442</v>
      </c>
      <c r="V64" s="415">
        <v>848.18946215983999</v>
      </c>
      <c r="W64" s="415">
        <v>954.14136828810092</v>
      </c>
      <c r="X64" s="415">
        <v>1089.6156870442526</v>
      </c>
      <c r="Y64" s="415">
        <v>1321.9247898726046</v>
      </c>
      <c r="Z64" s="415">
        <v>1536.434600641521</v>
      </c>
      <c r="AA64" s="415">
        <v>1859.0637724566077</v>
      </c>
      <c r="AB64" s="415">
        <v>2050.6783308421682</v>
      </c>
      <c r="AC64" s="415">
        <v>2217.1692405194244</v>
      </c>
      <c r="AD64" s="415">
        <v>2385.1169646777198</v>
      </c>
      <c r="AE64" s="415">
        <v>2405.951849001865</v>
      </c>
      <c r="AF64" s="415">
        <v>2375.1246674322406</v>
      </c>
      <c r="AG64" s="415">
        <v>2617.692098638795</v>
      </c>
      <c r="AH64" s="1446">
        <v>2979.8880575784574</v>
      </c>
      <c r="AI64" s="1450">
        <v>0</v>
      </c>
    </row>
    <row r="65" spans="1:35" ht="15">
      <c r="A65" s="90"/>
      <c r="B65" s="94" t="s">
        <v>175</v>
      </c>
      <c r="C65" s="1534">
        <v>3168.1369868833253</v>
      </c>
      <c r="D65" s="415">
        <v>3015.4590552040204</v>
      </c>
      <c r="E65" s="415">
        <v>3096.8370137688767</v>
      </c>
      <c r="F65" s="418">
        <v>3036.6610603015092</v>
      </c>
      <c r="G65" s="415">
        <v>3331.8962542643417</v>
      </c>
      <c r="H65" s="415">
        <v>3463.4338673168736</v>
      </c>
      <c r="I65" s="415">
        <v>3583.8119085014714</v>
      </c>
      <c r="J65" s="415">
        <v>3758.6658411677649</v>
      </c>
      <c r="K65" s="415">
        <v>3946.521192484804</v>
      </c>
      <c r="L65" s="415">
        <v>4047.1227297925725</v>
      </c>
      <c r="M65" s="415">
        <v>4096.9265426256943</v>
      </c>
      <c r="N65" s="415">
        <v>4974.5676284107185</v>
      </c>
      <c r="O65" s="415">
        <v>5017.6794234743329</v>
      </c>
      <c r="P65" s="415">
        <v>5003.9592009117277</v>
      </c>
      <c r="Q65" s="415">
        <v>5232.2719137438462</v>
      </c>
      <c r="R65" s="415">
        <v>5169.3747702315768</v>
      </c>
      <c r="S65" s="415">
        <v>5659.6282541084229</v>
      </c>
      <c r="T65" s="415">
        <v>10813.663248140634</v>
      </c>
      <c r="U65" s="415">
        <v>13708.577968440111</v>
      </c>
      <c r="V65" s="415">
        <v>20719.757574714491</v>
      </c>
      <c r="W65" s="415">
        <v>22921.557881959561</v>
      </c>
      <c r="X65" s="415">
        <v>24617.684615645241</v>
      </c>
      <c r="Y65" s="415">
        <v>29136.783505234362</v>
      </c>
      <c r="Z65" s="415">
        <v>34459.398209703402</v>
      </c>
      <c r="AA65" s="415">
        <v>39499.069069750825</v>
      </c>
      <c r="AB65" s="415">
        <v>44402.946725111782</v>
      </c>
      <c r="AC65" s="415">
        <v>44830.75015685457</v>
      </c>
      <c r="AD65" s="415">
        <v>47073.737065890717</v>
      </c>
      <c r="AE65" s="415">
        <v>50606.05372532094</v>
      </c>
      <c r="AF65" s="415">
        <v>56639.412017673189</v>
      </c>
      <c r="AG65" s="415">
        <v>62541.374465391287</v>
      </c>
      <c r="AH65" s="1446">
        <v>62741.102070048946</v>
      </c>
      <c r="AI65" s="1450">
        <v>0</v>
      </c>
    </row>
    <row r="66" spans="1:35" ht="15.5" thickBot="1">
      <c r="A66" s="90"/>
      <c r="B66" s="94" t="s">
        <v>903</v>
      </c>
      <c r="C66" s="1536" t="s">
        <v>904</v>
      </c>
      <c r="D66" s="415">
        <v>292.23767080578295</v>
      </c>
      <c r="E66" s="415">
        <v>288.51987287370918</v>
      </c>
      <c r="F66" s="415">
        <v>294.86309145510563</v>
      </c>
      <c r="G66" s="415">
        <v>302.04304616308252</v>
      </c>
      <c r="H66" s="415">
        <v>301.08289816517237</v>
      </c>
      <c r="I66" s="415">
        <v>312.34568914785126</v>
      </c>
      <c r="J66" s="415">
        <v>318.86805183468567</v>
      </c>
      <c r="K66" s="415">
        <v>327.581847651087</v>
      </c>
      <c r="L66" s="415">
        <v>349.43229394626064</v>
      </c>
      <c r="M66" s="415">
        <v>345.24494675151004</v>
      </c>
      <c r="N66" s="415">
        <v>317.198797853185</v>
      </c>
      <c r="O66" s="415">
        <v>301.43470685229931</v>
      </c>
      <c r="P66" s="415">
        <v>290.30923190991075</v>
      </c>
      <c r="Q66" s="415">
        <v>289.2063369555047</v>
      </c>
      <c r="R66" s="415">
        <v>299.59227996183284</v>
      </c>
      <c r="S66" s="415">
        <v>286.58904640998054</v>
      </c>
      <c r="T66" s="415">
        <v>1010.4413452741924</v>
      </c>
      <c r="U66" s="415">
        <v>1393.1167510377379</v>
      </c>
      <c r="V66" s="415">
        <v>1613.2794019405478</v>
      </c>
      <c r="W66" s="415">
        <v>1713.4188267590082</v>
      </c>
      <c r="X66" s="415">
        <v>2048.4944002540979</v>
      </c>
      <c r="Y66" s="415">
        <v>2466.4314225432909</v>
      </c>
      <c r="Z66" s="415">
        <v>2778.7641509701748</v>
      </c>
      <c r="AA66" s="415">
        <v>3247.745673308872</v>
      </c>
      <c r="AB66" s="415">
        <v>3597.174358710683</v>
      </c>
      <c r="AC66" s="415">
        <v>3943.8154284618181</v>
      </c>
      <c r="AD66" s="415">
        <v>4344.6611074924504</v>
      </c>
      <c r="AE66" s="415">
        <v>4692.508369419952</v>
      </c>
      <c r="AF66" s="415">
        <v>5827.9388912009699</v>
      </c>
      <c r="AG66" s="415">
        <v>4349.4688257276202</v>
      </c>
      <c r="AH66" s="1446">
        <v>5370.463708720572</v>
      </c>
      <c r="AI66" s="1450">
        <v>0</v>
      </c>
    </row>
    <row r="67" spans="1:35" ht="15">
      <c r="A67" s="90"/>
      <c r="B67" s="417" t="s">
        <v>178</v>
      </c>
      <c r="C67" s="1535">
        <v>117845.28166683525</v>
      </c>
      <c r="D67" s="417">
        <v>92213.49542576466</v>
      </c>
      <c r="E67" s="417">
        <v>84407.907794596322</v>
      </c>
      <c r="F67" s="417">
        <v>54497.747569706175</v>
      </c>
      <c r="G67" s="417">
        <v>89617.304852274712</v>
      </c>
      <c r="H67" s="417">
        <v>88019.802780999322</v>
      </c>
      <c r="I67" s="417">
        <v>97742.513052724069</v>
      </c>
      <c r="J67" s="417">
        <v>96530.826483677112</v>
      </c>
      <c r="K67" s="417">
        <v>89861.870551712869</v>
      </c>
      <c r="L67" s="417">
        <v>101446.1701939895</v>
      </c>
      <c r="M67" s="417">
        <v>104296.73375107524</v>
      </c>
      <c r="N67" s="417">
        <v>126046.48070215197</v>
      </c>
      <c r="O67" s="417">
        <v>119606.14447851165</v>
      </c>
      <c r="P67" s="417">
        <v>121406.99144706981</v>
      </c>
      <c r="Q67" s="417">
        <v>126779.25703258779</v>
      </c>
      <c r="R67" s="417">
        <v>134752.71232945382</v>
      </c>
      <c r="S67" s="417">
        <v>149037.51752738591</v>
      </c>
      <c r="T67" s="417">
        <v>136059.69034368073</v>
      </c>
      <c r="U67" s="417">
        <v>135604.45710444957</v>
      </c>
      <c r="V67" s="417">
        <v>120648.8001658369</v>
      </c>
      <c r="W67" s="417">
        <v>130739.77511133596</v>
      </c>
      <c r="X67" s="417">
        <v>138884.49152630038</v>
      </c>
      <c r="Y67" s="417">
        <v>124965.3753468045</v>
      </c>
      <c r="Z67" s="417">
        <v>134564.89731606908</v>
      </c>
      <c r="AA67" s="417">
        <v>133684.98702857492</v>
      </c>
      <c r="AB67" s="417">
        <v>89691.45566529948</v>
      </c>
      <c r="AC67" s="417">
        <v>93086.472159962155</v>
      </c>
      <c r="AD67" s="417">
        <v>96182.206120927134</v>
      </c>
      <c r="AE67" s="417">
        <v>98946.25796553884</v>
      </c>
      <c r="AF67" s="417">
        <v>102521.40616072519</v>
      </c>
      <c r="AG67" s="417">
        <v>87054.132307708016</v>
      </c>
      <c r="AH67" s="1447">
        <v>97400.96062290913</v>
      </c>
      <c r="AI67" s="1449">
        <v>24678.299075746501</v>
      </c>
    </row>
    <row r="68" spans="1:35" ht="15">
      <c r="A68" s="90"/>
      <c r="B68" s="94" t="s">
        <v>179</v>
      </c>
      <c r="C68" s="1534">
        <v>7131.5963339560267</v>
      </c>
      <c r="D68" s="415">
        <v>2835.6708282261634</v>
      </c>
      <c r="E68" s="415">
        <v>2474.8748159496695</v>
      </c>
      <c r="F68" s="415">
        <v>1964.2559107421055</v>
      </c>
      <c r="G68" s="415">
        <v>2064.5891551481141</v>
      </c>
      <c r="H68" s="415">
        <v>1290.3911032892543</v>
      </c>
      <c r="I68" s="415">
        <v>10091.576109367901</v>
      </c>
      <c r="J68" s="415">
        <v>7362.7853901517774</v>
      </c>
      <c r="K68" s="415">
        <v>475.12692365830873</v>
      </c>
      <c r="L68" s="415">
        <v>468.77690892833635</v>
      </c>
      <c r="M68" s="415">
        <v>2944.0093639507013</v>
      </c>
      <c r="N68" s="415">
        <v>1655.4245668867916</v>
      </c>
      <c r="O68" s="415">
        <v>1833.3965448762058</v>
      </c>
      <c r="P68" s="415">
        <v>329.17583780766228</v>
      </c>
      <c r="Q68" s="415">
        <v>308.33340533333433</v>
      </c>
      <c r="R68" s="415">
        <v>3427.67610984988</v>
      </c>
      <c r="S68" s="415">
        <v>2126.058340016787</v>
      </c>
      <c r="T68" s="415">
        <v>1634.2777202365764</v>
      </c>
      <c r="U68" s="415">
        <v>1729.3287201692187</v>
      </c>
      <c r="V68" s="415">
        <v>2199.7485553681945</v>
      </c>
      <c r="W68" s="415">
        <v>1657.3577017650571</v>
      </c>
      <c r="X68" s="415">
        <v>1335.8176903709207</v>
      </c>
      <c r="Y68" s="415">
        <v>1117.6822965457275</v>
      </c>
      <c r="Z68" s="415">
        <v>1303.7051460592074</v>
      </c>
      <c r="AA68" s="415">
        <v>819.84240792007745</v>
      </c>
      <c r="AB68" s="415">
        <v>998.0166404972025</v>
      </c>
      <c r="AC68" s="415">
        <v>1611.0613520899133</v>
      </c>
      <c r="AD68" s="415">
        <v>2247.629636326978</v>
      </c>
      <c r="AE68" s="415">
        <v>1095.5159402132463</v>
      </c>
      <c r="AF68" s="415">
        <v>1642.0795702176706</v>
      </c>
      <c r="AG68" s="415">
        <v>669.07605025449709</v>
      </c>
      <c r="AH68" s="1446">
        <v>1807.0191178138273</v>
      </c>
      <c r="AI68" s="1450">
        <v>0</v>
      </c>
    </row>
    <row r="69" spans="1:35" ht="15">
      <c r="A69" s="90"/>
      <c r="B69" s="94" t="s">
        <v>180</v>
      </c>
      <c r="C69" s="1534">
        <v>1165.91904</v>
      </c>
      <c r="D69" s="415">
        <v>1342.5966840000001</v>
      </c>
      <c r="E69" s="415">
        <v>917.30896400000006</v>
      </c>
      <c r="F69" s="415">
        <v>672.96028800000011</v>
      </c>
      <c r="G69" s="415">
        <v>1322.5681040000002</v>
      </c>
      <c r="H69" s="415">
        <v>1191.6578960000002</v>
      </c>
      <c r="I69" s="415">
        <v>1033.9860959999999</v>
      </c>
      <c r="J69" s="415">
        <v>826.88205600000003</v>
      </c>
      <c r="K69" s="415">
        <v>1063.3045279999999</v>
      </c>
      <c r="L69" s="415">
        <v>973.72990000000004</v>
      </c>
      <c r="M69" s="415">
        <v>1519.2743280000002</v>
      </c>
      <c r="N69" s="415">
        <v>1756.7195360000001</v>
      </c>
      <c r="O69" s="415">
        <v>1010.9745359999998</v>
      </c>
      <c r="P69" s="415">
        <v>1524.2175520000001</v>
      </c>
      <c r="Q69" s="415">
        <v>3705.2872999999995</v>
      </c>
      <c r="R69" s="415">
        <v>5148.5382519999994</v>
      </c>
      <c r="S69" s="415">
        <v>5638.2583400000012</v>
      </c>
      <c r="T69" s="415">
        <v>5266.6642600000005</v>
      </c>
      <c r="U69" s="415">
        <v>2925.1101880000006</v>
      </c>
      <c r="V69" s="415">
        <v>2236.8088599999996</v>
      </c>
      <c r="W69" s="415">
        <v>2762.0690240000004</v>
      </c>
      <c r="X69" s="415">
        <v>2831.6150719999996</v>
      </c>
      <c r="Y69" s="415">
        <v>958.98545600000011</v>
      </c>
      <c r="Z69" s="415">
        <v>1283.10754</v>
      </c>
      <c r="AA69" s="415">
        <v>1726.8045080000002</v>
      </c>
      <c r="AB69" s="415">
        <v>2272.6046200000005</v>
      </c>
      <c r="AC69" s="415">
        <v>2835.365104</v>
      </c>
      <c r="AD69" s="415">
        <v>1055.8044640000001</v>
      </c>
      <c r="AE69" s="415">
        <v>1952.0621120000003</v>
      </c>
      <c r="AF69" s="415">
        <v>1668.4233280000001</v>
      </c>
      <c r="AG69" s="415">
        <v>4302.4798959999998</v>
      </c>
      <c r="AH69" s="1446">
        <v>4302.4798959999998</v>
      </c>
      <c r="AI69" s="1450">
        <v>0</v>
      </c>
    </row>
    <row r="70" spans="1:35" ht="15">
      <c r="A70" s="90"/>
      <c r="B70" s="94" t="s">
        <v>181</v>
      </c>
      <c r="C70" s="1534">
        <v>2018.5277569691918</v>
      </c>
      <c r="D70" s="415">
        <v>2494.5167527343879</v>
      </c>
      <c r="E70" s="415">
        <v>2008.7703807389732</v>
      </c>
      <c r="F70" s="415">
        <v>1980.1157144688887</v>
      </c>
      <c r="G70" s="415">
        <v>1768.7473467895991</v>
      </c>
      <c r="H70" s="415">
        <v>1628.5760893192294</v>
      </c>
      <c r="I70" s="415">
        <v>2270.2487103092576</v>
      </c>
      <c r="J70" s="415">
        <v>2108.1872173127499</v>
      </c>
      <c r="K70" s="415">
        <v>1234.8979715642479</v>
      </c>
      <c r="L70" s="415">
        <v>2289.9223908785279</v>
      </c>
      <c r="M70" s="415">
        <v>1359.4622781509513</v>
      </c>
      <c r="N70" s="415">
        <v>1786.1283338869266</v>
      </c>
      <c r="O70" s="415">
        <v>2423.553947834796</v>
      </c>
      <c r="P70" s="415">
        <v>2386.0685864596785</v>
      </c>
      <c r="Q70" s="415">
        <v>2704.7917558504009</v>
      </c>
      <c r="R70" s="415">
        <v>2201.3754056957991</v>
      </c>
      <c r="S70" s="415">
        <v>3455.8244673026134</v>
      </c>
      <c r="T70" s="415">
        <v>2390.65428688258</v>
      </c>
      <c r="U70" s="415">
        <v>1009.5424500321614</v>
      </c>
      <c r="V70" s="415">
        <v>1126.1136115618058</v>
      </c>
      <c r="W70" s="415">
        <v>3484.8031073568327</v>
      </c>
      <c r="X70" s="415">
        <v>3691.4409823749725</v>
      </c>
      <c r="Y70" s="415">
        <v>4147.2209314682223</v>
      </c>
      <c r="Z70" s="415">
        <v>2847.5733525533838</v>
      </c>
      <c r="AA70" s="415">
        <v>2853.5350308116517</v>
      </c>
      <c r="AB70" s="415">
        <v>510.65943927564012</v>
      </c>
      <c r="AC70" s="415">
        <v>422.37262443230429</v>
      </c>
      <c r="AD70" s="415">
        <v>567.55805693958564</v>
      </c>
      <c r="AE70" s="415">
        <v>628.33217275574259</v>
      </c>
      <c r="AF70" s="415">
        <v>372.65276877325118</v>
      </c>
      <c r="AG70" s="415">
        <v>512.25422975792537</v>
      </c>
      <c r="AH70" s="1446">
        <v>518.55462327521707</v>
      </c>
      <c r="AI70" s="1450">
        <v>0</v>
      </c>
    </row>
    <row r="71" spans="1:35" ht="15">
      <c r="A71" s="90"/>
      <c r="B71" s="94" t="s">
        <v>182</v>
      </c>
      <c r="C71" s="1534">
        <v>34577.703515569861</v>
      </c>
      <c r="D71" s="415">
        <v>24002.143850645472</v>
      </c>
      <c r="E71" s="415">
        <v>25047.381750118264</v>
      </c>
      <c r="F71" s="415">
        <v>0</v>
      </c>
      <c r="G71" s="415">
        <v>34899.388741312767</v>
      </c>
      <c r="H71" s="415">
        <v>36563.400221474993</v>
      </c>
      <c r="I71" s="415">
        <v>36043.871195621534</v>
      </c>
      <c r="J71" s="415">
        <v>36871.798175913857</v>
      </c>
      <c r="K71" s="415">
        <v>40693.492494556631</v>
      </c>
      <c r="L71" s="415">
        <v>37194.598448298333</v>
      </c>
      <c r="M71" s="415">
        <v>35489.551249004864</v>
      </c>
      <c r="N71" s="415">
        <v>57877.805316621147</v>
      </c>
      <c r="O71" s="415">
        <v>53703.74098940703</v>
      </c>
      <c r="P71" s="415">
        <v>52258.33225126344</v>
      </c>
      <c r="Q71" s="415">
        <v>48052.452780268883</v>
      </c>
      <c r="R71" s="415">
        <v>49236.866660137151</v>
      </c>
      <c r="S71" s="415">
        <v>56880.906604988078</v>
      </c>
      <c r="T71" s="415">
        <v>47338.975548629824</v>
      </c>
      <c r="U71" s="415">
        <v>41567.298358355161</v>
      </c>
      <c r="V71" s="415">
        <v>39423.557059014907</v>
      </c>
      <c r="W71" s="415">
        <v>40998.876846183091</v>
      </c>
      <c r="X71" s="415">
        <v>41315.909718968949</v>
      </c>
      <c r="Y71" s="415">
        <v>39903.10601168123</v>
      </c>
      <c r="Z71" s="415">
        <v>41063.322305779358</v>
      </c>
      <c r="AA71" s="415">
        <v>39321.108053573058</v>
      </c>
      <c r="AB71" s="415">
        <v>15263.884243498804</v>
      </c>
      <c r="AC71" s="415">
        <v>15920.301478563875</v>
      </c>
      <c r="AD71" s="415">
        <v>17249.982335705496</v>
      </c>
      <c r="AE71" s="415">
        <v>18002.582246651065</v>
      </c>
      <c r="AF71" s="415">
        <v>18993.735821074799</v>
      </c>
      <c r="AG71" s="415">
        <v>17620.19146257023</v>
      </c>
      <c r="AH71" s="1446">
        <v>18258.291240353039</v>
      </c>
      <c r="AI71" s="1450">
        <v>0</v>
      </c>
    </row>
    <row r="72" spans="1:35" ht="15">
      <c r="A72" s="90"/>
      <c r="B72" s="94" t="s">
        <v>183</v>
      </c>
      <c r="C72" s="1534">
        <v>40118.789650455416</v>
      </c>
      <c r="D72" s="415">
        <v>32896.493272148226</v>
      </c>
      <c r="E72" s="415">
        <v>24249.796366077651</v>
      </c>
      <c r="F72" s="415">
        <v>23824.211413298544</v>
      </c>
      <c r="G72" s="415">
        <v>21890.533034322834</v>
      </c>
      <c r="H72" s="415">
        <v>19939.414223738066</v>
      </c>
      <c r="I72" s="415">
        <v>20791.872465686138</v>
      </c>
      <c r="J72" s="415">
        <v>20866.999420541455</v>
      </c>
      <c r="K72" s="415">
        <v>19586.107318500504</v>
      </c>
      <c r="L72" s="415">
        <v>20447.277081266573</v>
      </c>
      <c r="M72" s="415">
        <v>20494.816882564239</v>
      </c>
      <c r="N72" s="415">
        <v>17505.449917742648</v>
      </c>
      <c r="O72" s="415">
        <v>14093.691298540316</v>
      </c>
      <c r="P72" s="415">
        <v>16298.917885734214</v>
      </c>
      <c r="Q72" s="415">
        <v>20979.059099833783</v>
      </c>
      <c r="R72" s="415">
        <v>23009.255872388392</v>
      </c>
      <c r="S72" s="415">
        <v>21278.198667484303</v>
      </c>
      <c r="T72" s="415">
        <v>20951.199068433776</v>
      </c>
      <c r="U72" s="415">
        <v>27976.055323592602</v>
      </c>
      <c r="V72" s="415">
        <v>15582.769281051264</v>
      </c>
      <c r="W72" s="415">
        <v>21693.587831716915</v>
      </c>
      <c r="X72" s="415">
        <v>21344.045151381779</v>
      </c>
      <c r="Y72" s="415">
        <v>21181.840739919298</v>
      </c>
      <c r="Z72" s="415">
        <v>22035.273206618898</v>
      </c>
      <c r="AA72" s="415">
        <v>21427.293853139439</v>
      </c>
      <c r="AB72" s="415">
        <v>20980.740606155647</v>
      </c>
      <c r="AC72" s="415">
        <v>22253.84205275062</v>
      </c>
      <c r="AD72" s="415">
        <v>24302.165515409928</v>
      </c>
      <c r="AE72" s="415">
        <v>25852.283506673077</v>
      </c>
      <c r="AF72" s="415">
        <v>27520.174641513509</v>
      </c>
      <c r="AG72" s="415">
        <v>13956.28927244393</v>
      </c>
      <c r="AH72" s="1446">
        <v>19882.817022533705</v>
      </c>
      <c r="AI72" s="1450">
        <v>24678.299075746501</v>
      </c>
    </row>
    <row r="73" spans="1:35" ht="15.5" thickBot="1">
      <c r="A73" s="90"/>
      <c r="B73" s="97" t="s">
        <v>184</v>
      </c>
      <c r="C73" s="1534">
        <v>32832.745369884746</v>
      </c>
      <c r="D73" s="415">
        <v>28642.0740380104</v>
      </c>
      <c r="E73" s="415">
        <v>29709.775517711769</v>
      </c>
      <c r="F73" s="415">
        <v>26056.204243196637</v>
      </c>
      <c r="G73" s="415">
        <v>27671.478470701411</v>
      </c>
      <c r="H73" s="415">
        <v>27406.363247177778</v>
      </c>
      <c r="I73" s="415">
        <v>27510.958475739226</v>
      </c>
      <c r="J73" s="415">
        <v>28494.174223757269</v>
      </c>
      <c r="K73" s="415">
        <v>26808.941315433178</v>
      </c>
      <c r="L73" s="415">
        <v>40071.865464617738</v>
      </c>
      <c r="M73" s="415">
        <v>42489.619649404478</v>
      </c>
      <c r="N73" s="415">
        <v>45464.953031014462</v>
      </c>
      <c r="O73" s="415">
        <v>46540.787161853317</v>
      </c>
      <c r="P73" s="415">
        <v>48610.2793338048</v>
      </c>
      <c r="Q73" s="415">
        <v>51029.332691301366</v>
      </c>
      <c r="R73" s="415">
        <v>51729.000029382609</v>
      </c>
      <c r="S73" s="415">
        <v>59658.271107594119</v>
      </c>
      <c r="T73" s="415">
        <v>58477.919459497964</v>
      </c>
      <c r="U73" s="415">
        <v>60397.122064300405</v>
      </c>
      <c r="V73" s="415">
        <v>60079.802798840719</v>
      </c>
      <c r="W73" s="415">
        <v>60143.080600314053</v>
      </c>
      <c r="X73" s="415">
        <v>68365.662911203734</v>
      </c>
      <c r="Y73" s="415">
        <v>57656.539911190033</v>
      </c>
      <c r="Z73" s="415">
        <v>66031.915765058249</v>
      </c>
      <c r="AA73" s="415">
        <v>67536.40317513069</v>
      </c>
      <c r="AB73" s="415">
        <v>49665.550115872182</v>
      </c>
      <c r="AC73" s="415">
        <v>50043.529548125436</v>
      </c>
      <c r="AD73" s="415">
        <v>50759.066112545137</v>
      </c>
      <c r="AE73" s="415">
        <v>51415.481987245701</v>
      </c>
      <c r="AF73" s="415">
        <v>52324.340031145963</v>
      </c>
      <c r="AG73" s="415">
        <v>49993.841396681441</v>
      </c>
      <c r="AH73" s="1446">
        <v>52631.798722933338</v>
      </c>
      <c r="AI73" s="1450">
        <v>0</v>
      </c>
    </row>
    <row r="74" spans="1:35" ht="15">
      <c r="A74" s="90"/>
      <c r="B74" s="90" t="s">
        <v>185</v>
      </c>
      <c r="C74" s="1535">
        <v>17.953871102675237</v>
      </c>
      <c r="D74" s="417">
        <v>14.384753227609712</v>
      </c>
      <c r="E74" s="417">
        <v>13.756318905680168</v>
      </c>
      <c r="F74" s="417">
        <v>16.636054234921104</v>
      </c>
      <c r="G74" s="417">
        <v>17.230017481788412</v>
      </c>
      <c r="H74" s="417">
        <v>17.620026107226725</v>
      </c>
      <c r="I74" s="417">
        <v>18.534796499845353</v>
      </c>
      <c r="J74" s="417">
        <v>19.259911530733859</v>
      </c>
      <c r="K74" s="417">
        <v>19.715710180771943</v>
      </c>
      <c r="L74" s="417">
        <v>20.750571443239238</v>
      </c>
      <c r="M74" s="417">
        <v>20.929585483295483</v>
      </c>
      <c r="N74" s="417">
        <v>20.498301060716084</v>
      </c>
      <c r="O74" s="417">
        <v>22.741598882349482</v>
      </c>
      <c r="P74" s="417">
        <v>84.102003797135623</v>
      </c>
      <c r="Q74" s="417">
        <v>64.556118453667125</v>
      </c>
      <c r="R74" s="417">
        <v>53.805893955323199</v>
      </c>
      <c r="S74" s="417">
        <v>46.21589959473306</v>
      </c>
      <c r="T74" s="417">
        <v>38.8015104962479</v>
      </c>
      <c r="U74" s="417">
        <v>32.583229636273266</v>
      </c>
      <c r="V74" s="417">
        <v>27.8602925936604</v>
      </c>
      <c r="W74" s="417">
        <v>27.187041281760738</v>
      </c>
      <c r="X74" s="417">
        <v>25.841321500540634</v>
      </c>
      <c r="Y74" s="417">
        <v>26.352036648463407</v>
      </c>
      <c r="Z74" s="417">
        <v>28.073432925690643</v>
      </c>
      <c r="AA74" s="417">
        <v>29.477490700836448</v>
      </c>
      <c r="AB74" s="417">
        <v>28.049635175973645</v>
      </c>
      <c r="AC74" s="417">
        <v>30.400094284620039</v>
      </c>
      <c r="AD74" s="417">
        <v>32.725894459949401</v>
      </c>
      <c r="AE74" s="417">
        <v>33.872502941713265</v>
      </c>
      <c r="AF74" s="417">
        <v>35.128002087285466</v>
      </c>
      <c r="AG74" s="417">
        <v>31.9745780190094</v>
      </c>
      <c r="AH74" s="1447">
        <v>34.977745252021386</v>
      </c>
      <c r="AI74" s="1449">
        <v>0</v>
      </c>
    </row>
    <row r="75" spans="1:35" ht="15">
      <c r="A75" s="90"/>
      <c r="B75" s="94" t="s">
        <v>186</v>
      </c>
      <c r="C75" s="1534">
        <v>1.6104690240227171</v>
      </c>
      <c r="D75" s="415">
        <v>0.67924417022159345</v>
      </c>
      <c r="E75" s="415">
        <v>0.60604471598165044</v>
      </c>
      <c r="F75" s="415">
        <v>0.77888652261360258</v>
      </c>
      <c r="G75" s="415">
        <v>0.74741707204758279</v>
      </c>
      <c r="H75" s="415">
        <v>0.72099399577906942</v>
      </c>
      <c r="I75" s="415">
        <v>0.7756889502219686</v>
      </c>
      <c r="J75" s="415">
        <v>0.84060702645571395</v>
      </c>
      <c r="K75" s="415">
        <v>0.92871554174319149</v>
      </c>
      <c r="L75" s="415">
        <v>0.98297744360915718</v>
      </c>
      <c r="M75" s="415">
        <v>1.3790061277903569</v>
      </c>
      <c r="N75" s="415">
        <v>1.7372954096800426</v>
      </c>
      <c r="O75" s="415">
        <v>2.0574480826616361</v>
      </c>
      <c r="P75" s="415">
        <v>7.6005811694669179</v>
      </c>
      <c r="Q75" s="415">
        <v>7.039969652556084</v>
      </c>
      <c r="R75" s="415">
        <v>6.0272902623348124</v>
      </c>
      <c r="S75" s="415">
        <v>4.8889793097840357</v>
      </c>
      <c r="T75" s="415">
        <v>4.1174037019115497</v>
      </c>
      <c r="U75" s="415">
        <v>2.958148569186454</v>
      </c>
      <c r="V75" s="415">
        <v>3.0474094432870538</v>
      </c>
      <c r="W75" s="415">
        <v>3.4808268310310253</v>
      </c>
      <c r="X75" s="415">
        <v>3.346583832677275</v>
      </c>
      <c r="Y75" s="415">
        <v>3.9321568389991883</v>
      </c>
      <c r="Z75" s="415">
        <v>4.5018716620062271</v>
      </c>
      <c r="AA75" s="415">
        <v>4.1303873161068729</v>
      </c>
      <c r="AB75" s="415">
        <v>4.0017986160096841</v>
      </c>
      <c r="AC75" s="415">
        <v>4.7154348990424371</v>
      </c>
      <c r="AD75" s="415">
        <v>5.6934764456228431</v>
      </c>
      <c r="AE75" s="415">
        <v>6.0045251251421403</v>
      </c>
      <c r="AF75" s="415">
        <v>6.2380948196290502</v>
      </c>
      <c r="AG75" s="415">
        <v>6.4288287766649859</v>
      </c>
      <c r="AH75" s="1446">
        <v>6.5444454600104178</v>
      </c>
      <c r="AI75" s="1450">
        <v>0</v>
      </c>
    </row>
    <row r="76" spans="1:35" ht="15">
      <c r="A76" s="90"/>
      <c r="B76" s="94" t="s">
        <v>187</v>
      </c>
      <c r="C76" s="1534">
        <v>15.984507137430736</v>
      </c>
      <c r="D76" s="415">
        <v>12.62405423008572</v>
      </c>
      <c r="E76" s="415">
        <v>11.440218447561067</v>
      </c>
      <c r="F76" s="415">
        <v>13.712407517949277</v>
      </c>
      <c r="G76" s="415">
        <v>13.914473205626217</v>
      </c>
      <c r="H76" s="415">
        <v>13.762392163361957</v>
      </c>
      <c r="I76" s="415">
        <v>14.099726918815588</v>
      </c>
      <c r="J76" s="415">
        <v>14.31729921279824</v>
      </c>
      <c r="K76" s="415">
        <v>14.650935046468812</v>
      </c>
      <c r="L76" s="415">
        <v>14.978866374405976</v>
      </c>
      <c r="M76" s="415">
        <v>14.933467983948944</v>
      </c>
      <c r="N76" s="415">
        <v>14.293990242081501</v>
      </c>
      <c r="O76" s="415">
        <v>15.435311786388636</v>
      </c>
      <c r="P76" s="415">
        <v>56.564332951232743</v>
      </c>
      <c r="Q76" s="415">
        <v>37.29103363231868</v>
      </c>
      <c r="R76" s="415">
        <v>30.339843566776</v>
      </c>
      <c r="S76" s="415">
        <v>23.912322671416415</v>
      </c>
      <c r="T76" s="415">
        <v>17.737846180160489</v>
      </c>
      <c r="U76" s="415">
        <v>14.701826123173698</v>
      </c>
      <c r="V76" s="415">
        <v>11.240065905361861</v>
      </c>
      <c r="W76" s="415">
        <v>9.9417522487294683</v>
      </c>
      <c r="X76" s="415">
        <v>9.5765124534518176</v>
      </c>
      <c r="Y76" s="415">
        <v>8.5582983293174646</v>
      </c>
      <c r="Z76" s="415">
        <v>9.0873118941867119</v>
      </c>
      <c r="AA76" s="415">
        <v>8.9680851625357239</v>
      </c>
      <c r="AB76" s="415">
        <v>8.0460046560330412</v>
      </c>
      <c r="AC76" s="415">
        <v>8.7808474344243965</v>
      </c>
      <c r="AD76" s="415">
        <v>8.8829065478221079</v>
      </c>
      <c r="AE76" s="415">
        <v>8.6366054870736821</v>
      </c>
      <c r="AF76" s="415">
        <v>8.352606952487637</v>
      </c>
      <c r="AG76" s="415">
        <v>6.7730277649617676</v>
      </c>
      <c r="AH76" s="1446">
        <v>6.8886595851870034</v>
      </c>
      <c r="AI76" s="1450">
        <v>0</v>
      </c>
    </row>
    <row r="77" spans="1:35" ht="15.5" thickBot="1">
      <c r="A77" s="90"/>
      <c r="B77" s="97" t="s">
        <v>188</v>
      </c>
      <c r="C77" s="1537">
        <v>0.35889494122178012</v>
      </c>
      <c r="D77" s="419">
        <v>1.0814548273023978</v>
      </c>
      <c r="E77" s="419">
        <v>1.7100557421374507</v>
      </c>
      <c r="F77" s="419">
        <v>2.1447601943582257</v>
      </c>
      <c r="G77" s="419">
        <v>2.5681272041146115</v>
      </c>
      <c r="H77" s="419">
        <v>3.1366399480856995</v>
      </c>
      <c r="I77" s="419">
        <v>3.6593806308077999</v>
      </c>
      <c r="J77" s="419">
        <v>4.1020052914799043</v>
      </c>
      <c r="K77" s="419">
        <v>4.1360595925599384</v>
      </c>
      <c r="L77" s="419">
        <v>4.7887276252241024</v>
      </c>
      <c r="M77" s="419">
        <v>4.6171113715561809</v>
      </c>
      <c r="N77" s="419">
        <v>4.467015408954544</v>
      </c>
      <c r="O77" s="419">
        <v>5.2488390132992118</v>
      </c>
      <c r="P77" s="419">
        <v>19.937089676435974</v>
      </c>
      <c r="Q77" s="419">
        <v>20.225115168792371</v>
      </c>
      <c r="R77" s="419">
        <v>17.438760126212387</v>
      </c>
      <c r="S77" s="419">
        <v>17.414597613532603</v>
      </c>
      <c r="T77" s="419">
        <v>16.946260614175859</v>
      </c>
      <c r="U77" s="419">
        <v>14.923254943913117</v>
      </c>
      <c r="V77" s="419">
        <v>13.572817245011485</v>
      </c>
      <c r="W77" s="419">
        <v>13.764462202000246</v>
      </c>
      <c r="X77" s="419">
        <v>12.918225214411537</v>
      </c>
      <c r="Y77" s="419">
        <v>13.861581480146754</v>
      </c>
      <c r="Z77" s="419">
        <v>14.484249369497704</v>
      </c>
      <c r="AA77" s="419">
        <v>16.379018222193846</v>
      </c>
      <c r="AB77" s="419">
        <v>16.001831903930917</v>
      </c>
      <c r="AC77" s="419">
        <v>16.903811951153205</v>
      </c>
      <c r="AD77" s="419">
        <v>18.14951146650445</v>
      </c>
      <c r="AE77" s="419">
        <v>19.231372329497436</v>
      </c>
      <c r="AF77" s="419">
        <v>20.537300315168782</v>
      </c>
      <c r="AG77" s="419">
        <v>18.77272147738265</v>
      </c>
      <c r="AH77" s="1448">
        <v>21.544640206823964</v>
      </c>
      <c r="AI77" s="1451">
        <v>0</v>
      </c>
    </row>
    <row r="78" spans="1:35" ht="15.5" thickBot="1">
      <c r="A78" s="90"/>
      <c r="B78" s="505" t="s">
        <v>189</v>
      </c>
      <c r="C78" s="1539">
        <v>940429.69926652126</v>
      </c>
      <c r="D78" s="504">
        <v>957360.96173789597</v>
      </c>
      <c r="E78" s="504">
        <v>993638.97276965482</v>
      </c>
      <c r="F78" s="504">
        <v>975381.08820855781</v>
      </c>
      <c r="G78" s="504">
        <v>1026345.5302450083</v>
      </c>
      <c r="H78" s="504">
        <v>1052488.2609894893</v>
      </c>
      <c r="I78" s="504">
        <v>1100216.8056640355</v>
      </c>
      <c r="J78" s="504">
        <v>1098407.2697258713</v>
      </c>
      <c r="K78" s="504">
        <v>1102551.9245165563</v>
      </c>
      <c r="L78" s="504">
        <v>1036959.9900904591</v>
      </c>
      <c r="M78" s="504">
        <v>1011078.1155910939</v>
      </c>
      <c r="N78" s="504">
        <v>963244.27338171098</v>
      </c>
      <c r="O78" s="504">
        <v>905298.38222484454</v>
      </c>
      <c r="P78" s="504">
        <v>865880.03427358344</v>
      </c>
      <c r="Q78" s="504">
        <v>811596.07966657192</v>
      </c>
      <c r="R78" s="504">
        <v>765435.4312460603</v>
      </c>
      <c r="S78" s="504">
        <v>755330.87161694723</v>
      </c>
      <c r="T78" s="504">
        <v>659395.84589405917</v>
      </c>
      <c r="U78" s="504">
        <v>618991.84457691992</v>
      </c>
      <c r="V78" s="504">
        <v>553340.21721375932</v>
      </c>
      <c r="W78" s="504">
        <v>537312.82176029612</v>
      </c>
      <c r="X78" s="504">
        <v>528613.72831978695</v>
      </c>
      <c r="Y78" s="504">
        <v>478697.14260625566</v>
      </c>
      <c r="Z78" s="504">
        <v>455389.60929023515</v>
      </c>
      <c r="AA78" s="504">
        <v>426470.44623304298</v>
      </c>
      <c r="AB78" s="504">
        <v>357990.95419738803</v>
      </c>
      <c r="AC78" s="504">
        <v>345500.70739391202</v>
      </c>
      <c r="AD78" s="504">
        <v>320489.78928991791</v>
      </c>
      <c r="AE78" s="504">
        <v>291544.5414215363</v>
      </c>
      <c r="AF78" s="504">
        <v>325780.99090980267</v>
      </c>
      <c r="AG78" s="504">
        <v>273140.53104258841</v>
      </c>
      <c r="AH78" s="504">
        <v>271101.14556010102</v>
      </c>
      <c r="AI78" s="1247">
        <v>24678.299075746501</v>
      </c>
    </row>
    <row r="79" spans="1:35" ht="15">
      <c r="A79" s="90"/>
      <c r="B79" s="94" t="s">
        <v>190</v>
      </c>
      <c r="C79" s="95"/>
      <c r="D79" s="95"/>
      <c r="E79" s="95"/>
      <c r="F79" s="95"/>
      <c r="G79" s="95"/>
      <c r="H79" s="95"/>
      <c r="I79" s="95"/>
      <c r="J79" s="95"/>
      <c r="K79" s="95"/>
      <c r="L79" s="95"/>
      <c r="M79" s="95"/>
      <c r="N79" s="95"/>
      <c r="O79" s="95"/>
      <c r="P79" s="95"/>
      <c r="Q79" s="95"/>
      <c r="R79" s="95"/>
      <c r="S79" s="95"/>
      <c r="AG79" s="235"/>
      <c r="AH79" s="235"/>
    </row>
    <row r="80" spans="1:35" ht="15">
      <c r="A80" s="90"/>
      <c r="B80" s="94"/>
      <c r="C80" s="96"/>
      <c r="D80" s="96"/>
      <c r="E80" s="96"/>
      <c r="F80" s="96"/>
      <c r="G80" s="96"/>
      <c r="H80" s="96"/>
      <c r="I80" s="96"/>
      <c r="J80" s="96"/>
      <c r="K80" s="96"/>
      <c r="L80" s="96"/>
      <c r="M80" s="96"/>
      <c r="N80" s="96"/>
      <c r="O80" s="96"/>
      <c r="P80" s="96"/>
      <c r="Q80" s="96"/>
      <c r="R80" s="96"/>
      <c r="S80" s="96"/>
      <c r="AG80" s="235"/>
    </row>
    <row r="81" spans="2:35" ht="15">
      <c r="B81" s="90"/>
      <c r="C81" s="90"/>
      <c r="D81" s="90"/>
      <c r="E81" s="90"/>
      <c r="F81" s="90"/>
      <c r="G81" s="90"/>
      <c r="H81" s="90"/>
      <c r="I81" s="100"/>
      <c r="J81" s="100"/>
      <c r="K81" s="100"/>
      <c r="L81" s="90"/>
      <c r="M81" s="101"/>
      <c r="N81" s="101"/>
      <c r="O81" s="101"/>
      <c r="P81" s="101"/>
      <c r="Q81" s="101"/>
      <c r="R81" s="90"/>
      <c r="S81" s="90"/>
      <c r="AG81" s="235"/>
    </row>
    <row r="82" spans="2:35" ht="25">
      <c r="B82" s="91" t="s">
        <v>193</v>
      </c>
      <c r="F82" s="1473"/>
      <c r="AG82" s="235"/>
    </row>
    <row r="83" spans="2:35">
      <c r="B83" t="s">
        <v>194</v>
      </c>
      <c r="AG83" s="235"/>
    </row>
    <row r="84" spans="2:35" ht="16.5">
      <c r="B84" s="243" t="s">
        <v>195</v>
      </c>
      <c r="C84" s="244"/>
      <c r="D84" s="245"/>
      <c r="E84" s="245"/>
      <c r="F84" s="245"/>
      <c r="G84" s="245"/>
      <c r="H84" s="245"/>
      <c r="I84" s="245"/>
      <c r="J84" s="245"/>
      <c r="K84" s="245"/>
      <c r="L84" s="245"/>
      <c r="M84" s="245"/>
      <c r="N84" s="245"/>
      <c r="O84" s="245"/>
      <c r="P84" s="245"/>
      <c r="Q84" s="245"/>
      <c r="R84" s="245"/>
      <c r="S84" s="245"/>
      <c r="T84" s="245"/>
      <c r="U84" s="245"/>
      <c r="V84" s="245"/>
      <c r="W84" s="245"/>
      <c r="X84" s="245"/>
      <c r="AG84" s="235"/>
    </row>
    <row r="85" spans="2:35" ht="15">
      <c r="B85" s="246"/>
      <c r="C85" s="247"/>
      <c r="D85" s="248"/>
      <c r="E85" s="248"/>
      <c r="F85" s="248"/>
      <c r="G85" s="248"/>
      <c r="H85" s="248"/>
      <c r="I85" s="248"/>
      <c r="J85" s="248"/>
      <c r="K85" s="248"/>
      <c r="L85" s="248"/>
      <c r="M85" s="248"/>
      <c r="N85" s="248"/>
      <c r="O85" s="248"/>
      <c r="P85" s="248"/>
      <c r="Q85" s="248"/>
      <c r="R85" s="248"/>
      <c r="S85" s="248"/>
      <c r="T85" s="248"/>
      <c r="U85" s="271"/>
      <c r="V85" s="248"/>
      <c r="W85" s="248"/>
      <c r="X85" s="248"/>
      <c r="AF85" s="90"/>
      <c r="AG85" s="235"/>
    </row>
    <row r="86" spans="2:35" ht="15">
      <c r="B86" s="249" t="s">
        <v>171</v>
      </c>
      <c r="C86" s="249">
        <v>1990</v>
      </c>
      <c r="D86" s="249">
        <v>1991</v>
      </c>
      <c r="E86" s="249">
        <v>1992</v>
      </c>
      <c r="F86" s="249">
        <v>1993</v>
      </c>
      <c r="G86" s="249">
        <v>1994</v>
      </c>
      <c r="H86" s="249">
        <v>1995</v>
      </c>
      <c r="I86" s="249">
        <v>1996</v>
      </c>
      <c r="J86" s="249">
        <v>1997</v>
      </c>
      <c r="K86" s="249">
        <v>1998</v>
      </c>
      <c r="L86" s="249">
        <v>1999</v>
      </c>
      <c r="M86" s="249">
        <v>2000</v>
      </c>
      <c r="N86" s="249">
        <v>2001</v>
      </c>
      <c r="O86" s="249">
        <v>2002</v>
      </c>
      <c r="P86" s="249">
        <v>2003</v>
      </c>
      <c r="Q86" s="249">
        <v>2004</v>
      </c>
      <c r="R86" s="249">
        <v>2005</v>
      </c>
      <c r="S86" s="249">
        <v>2006</v>
      </c>
      <c r="T86" s="249">
        <v>2007</v>
      </c>
      <c r="U86" s="249">
        <v>2008</v>
      </c>
      <c r="V86" s="249">
        <v>2009</v>
      </c>
      <c r="W86" s="249">
        <v>2010</v>
      </c>
      <c r="X86" s="249">
        <v>2011</v>
      </c>
      <c r="Y86" s="249">
        <v>2012</v>
      </c>
      <c r="Z86" s="249">
        <v>2013</v>
      </c>
      <c r="AA86" s="249">
        <v>2014</v>
      </c>
      <c r="AB86" s="249">
        <v>2015</v>
      </c>
      <c r="AC86" s="249">
        <v>2016</v>
      </c>
      <c r="AD86" s="249">
        <v>2017</v>
      </c>
      <c r="AE86" s="249">
        <v>2018</v>
      </c>
      <c r="AF86" s="249">
        <v>2019</v>
      </c>
      <c r="AG86" s="249">
        <v>2020</v>
      </c>
      <c r="AH86" s="249">
        <v>2021</v>
      </c>
      <c r="AI86" s="249">
        <v>2022</v>
      </c>
    </row>
    <row r="87" spans="2:35" ht="15">
      <c r="B87" s="4" t="s">
        <v>172</v>
      </c>
      <c r="C87" s="1541">
        <v>20321791.45535329</v>
      </c>
      <c r="D87" s="250">
        <v>20181486.615260955</v>
      </c>
      <c r="E87" s="250">
        <v>20207195.667961344</v>
      </c>
      <c r="F87" s="250">
        <v>19543984.590029698</v>
      </c>
      <c r="G87" s="250">
        <v>19226076.107329927</v>
      </c>
      <c r="H87" s="250">
        <v>19446941.789972879</v>
      </c>
      <c r="I87" s="250">
        <v>20055435.144121803</v>
      </c>
      <c r="J87" s="250">
        <v>20041157.72552244</v>
      </c>
      <c r="K87" s="250">
        <v>20499361.728179619</v>
      </c>
      <c r="L87" s="250">
        <v>20350897.081620175</v>
      </c>
      <c r="M87" s="250">
        <v>20798072.185286213</v>
      </c>
      <c r="N87" s="250">
        <v>20497428.945464261</v>
      </c>
      <c r="O87" s="250">
        <v>20563590.390246037</v>
      </c>
      <c r="P87" s="250">
        <v>21006571.274291307</v>
      </c>
      <c r="Q87" s="250">
        <v>21123345.267644774</v>
      </c>
      <c r="R87" s="250">
        <v>20950720.953052659</v>
      </c>
      <c r="S87" s="250">
        <v>19929480.809616398</v>
      </c>
      <c r="T87" s="250">
        <v>19683687.69058897</v>
      </c>
      <c r="U87" s="250">
        <v>19403366.488379214</v>
      </c>
      <c r="V87" s="250">
        <v>18319642.24882846</v>
      </c>
      <c r="W87" s="250">
        <v>17838225.810190886</v>
      </c>
      <c r="X87" s="250">
        <v>18070268.798841629</v>
      </c>
      <c r="Y87" s="250">
        <v>18432070.947482448</v>
      </c>
      <c r="Z87" s="250">
        <v>18430655.805009976</v>
      </c>
      <c r="AA87" s="250">
        <v>18846867.579833686</v>
      </c>
      <c r="AB87" s="250">
        <v>19392809.765857548</v>
      </c>
      <c r="AC87" s="250">
        <v>20975287.039482024</v>
      </c>
      <c r="AD87" s="250">
        <v>20996303.129400667</v>
      </c>
      <c r="AE87" s="250">
        <v>20229753.492093306</v>
      </c>
      <c r="AF87" s="250">
        <v>22006318.856374301</v>
      </c>
      <c r="AG87" s="250">
        <v>17549884.607563794</v>
      </c>
      <c r="AH87" s="250">
        <v>17629059.903440297</v>
      </c>
      <c r="AI87" s="1454">
        <v>0</v>
      </c>
    </row>
    <row r="88" spans="2:35" ht="15">
      <c r="B88" s="94" t="s">
        <v>173</v>
      </c>
      <c r="C88" s="1542">
        <v>13206442.013007499</v>
      </c>
      <c r="D88" s="251">
        <v>12345984.440491352</v>
      </c>
      <c r="E88" s="251">
        <v>12013789.124326257</v>
      </c>
      <c r="F88" s="251">
        <v>11389019.466280237</v>
      </c>
      <c r="G88" s="251">
        <v>11168571.621140514</v>
      </c>
      <c r="H88" s="251">
        <v>11235806.429886358</v>
      </c>
      <c r="I88" s="251">
        <v>11529361.000966799</v>
      </c>
      <c r="J88" s="251">
        <v>11452468.428736273</v>
      </c>
      <c r="K88" s="251">
        <v>11723616.533168606</v>
      </c>
      <c r="L88" s="251">
        <v>11699370.143722493</v>
      </c>
      <c r="M88" s="251">
        <v>11924351.222669777</v>
      </c>
      <c r="N88" s="251">
        <v>11606052.128386397</v>
      </c>
      <c r="O88" s="251">
        <v>11567325.988266613</v>
      </c>
      <c r="P88" s="251">
        <v>11629768.414805055</v>
      </c>
      <c r="Q88" s="251">
        <v>11710057.704113588</v>
      </c>
      <c r="R88" s="251">
        <v>11530521.859014245</v>
      </c>
      <c r="S88" s="251">
        <v>10886428.624239367</v>
      </c>
      <c r="T88" s="251">
        <v>10645092.069927333</v>
      </c>
      <c r="U88" s="251">
        <v>10332806.264722221</v>
      </c>
      <c r="V88" s="251">
        <v>13019420.416008117</v>
      </c>
      <c r="W88" s="251">
        <v>12659413.425467763</v>
      </c>
      <c r="X88" s="251">
        <v>12975348.736128733</v>
      </c>
      <c r="Y88" s="251">
        <v>13294637.997748507</v>
      </c>
      <c r="Z88" s="251">
        <v>13296466.191675201</v>
      </c>
      <c r="AA88" s="251">
        <v>13381214.95237218</v>
      </c>
      <c r="AB88" s="251">
        <v>13946798.992732141</v>
      </c>
      <c r="AC88" s="251">
        <v>14460217.814399317</v>
      </c>
      <c r="AD88" s="251">
        <v>14464628.008165704</v>
      </c>
      <c r="AE88" s="251">
        <v>13953056.111214899</v>
      </c>
      <c r="AF88" s="251">
        <v>15172814.432999795</v>
      </c>
      <c r="AG88" s="251">
        <v>11939469.116088554</v>
      </c>
      <c r="AH88" s="251">
        <v>12254084.543397302</v>
      </c>
      <c r="AI88" s="1633">
        <v>0</v>
      </c>
    </row>
    <row r="89" spans="2:35" ht="15">
      <c r="B89" s="94" t="s">
        <v>174</v>
      </c>
      <c r="C89" s="1542">
        <v>6275811.1243008785</v>
      </c>
      <c r="D89" s="251">
        <v>6950810.7676042886</v>
      </c>
      <c r="E89" s="251">
        <v>7351857.1976537686</v>
      </c>
      <c r="F89" s="251">
        <v>7385153.7103725607</v>
      </c>
      <c r="G89" s="251">
        <v>7307936.6043478893</v>
      </c>
      <c r="H89" s="251">
        <v>7467075.6800590232</v>
      </c>
      <c r="I89" s="251">
        <v>7774595.6055200407</v>
      </c>
      <c r="J89" s="251">
        <v>7858789.8086189479</v>
      </c>
      <c r="K89" s="251">
        <v>8027043.364626281</v>
      </c>
      <c r="L89" s="251">
        <v>7920842.0298737008</v>
      </c>
      <c r="M89" s="251">
        <v>8163636.8997511007</v>
      </c>
      <c r="N89" s="251">
        <v>8196560.4167700568</v>
      </c>
      <c r="O89" s="251">
        <v>8286925.7851446727</v>
      </c>
      <c r="P89" s="251">
        <v>8650263.5890273191</v>
      </c>
      <c r="Q89" s="251">
        <v>8666825.405992331</v>
      </c>
      <c r="R89" s="251">
        <v>8704286.6813081168</v>
      </c>
      <c r="S89" s="251">
        <v>8805709.7349116225</v>
      </c>
      <c r="T89" s="251">
        <v>8795563.1566508468</v>
      </c>
      <c r="U89" s="251">
        <v>8818804.5164084714</v>
      </c>
      <c r="V89" s="251">
        <v>4927695.0080136452</v>
      </c>
      <c r="W89" s="251">
        <v>4851532.0208641123</v>
      </c>
      <c r="X89" s="251">
        <v>4779777.7162566856</v>
      </c>
      <c r="Y89" s="251">
        <v>4800117.4705085661</v>
      </c>
      <c r="Z89" s="251">
        <v>4797332.1480159126</v>
      </c>
      <c r="AA89" s="251">
        <v>5120224.4773301072</v>
      </c>
      <c r="AB89" s="251">
        <v>5099024.7478076946</v>
      </c>
      <c r="AC89" s="251">
        <v>5454654.7850766471</v>
      </c>
      <c r="AD89" s="251">
        <v>5457122.0979850218</v>
      </c>
      <c r="AE89" s="251">
        <v>5221161.706084922</v>
      </c>
      <c r="AF89" s="251">
        <v>5663266.269339961</v>
      </c>
      <c r="AG89" s="251">
        <v>5304537.4269485511</v>
      </c>
      <c r="AH89" s="251">
        <v>5061680.8712241519</v>
      </c>
      <c r="AI89" s="1633">
        <v>0</v>
      </c>
    </row>
    <row r="90" spans="2:35" ht="15">
      <c r="B90" s="94" t="s">
        <v>175</v>
      </c>
      <c r="C90" s="1542">
        <v>806291.99292100593</v>
      </c>
      <c r="D90" s="251">
        <v>851158.01231893629</v>
      </c>
      <c r="E90" s="251">
        <v>807338.53615478938</v>
      </c>
      <c r="F90" s="251">
        <v>736176.12964418624</v>
      </c>
      <c r="G90" s="251">
        <v>715873.46968311409</v>
      </c>
      <c r="H90" s="251">
        <v>710422.46169776237</v>
      </c>
      <c r="I90" s="251">
        <v>716657.02952396905</v>
      </c>
      <c r="J90" s="251">
        <v>695142.50369217922</v>
      </c>
      <c r="K90" s="251">
        <v>713181.82847271534</v>
      </c>
      <c r="L90" s="251">
        <v>695084.07015485142</v>
      </c>
      <c r="M90" s="251">
        <v>674966.33694298123</v>
      </c>
      <c r="N90" s="251">
        <v>662617.51252508198</v>
      </c>
      <c r="O90" s="251">
        <v>677723.51974075218</v>
      </c>
      <c r="P90" s="251">
        <v>694688.81388698122</v>
      </c>
      <c r="Q90" s="251">
        <v>713440.57371300168</v>
      </c>
      <c r="R90" s="251">
        <v>682959.03121074126</v>
      </c>
      <c r="S90" s="251">
        <v>198739.50530896449</v>
      </c>
      <c r="T90" s="251">
        <v>201235.30835393147</v>
      </c>
      <c r="U90" s="251">
        <v>207056.54873528102</v>
      </c>
      <c r="V90" s="251">
        <v>307555.70431760931</v>
      </c>
      <c r="W90" s="251">
        <v>271343.92398310039</v>
      </c>
      <c r="X90" s="251">
        <v>258316.66895603156</v>
      </c>
      <c r="Y90" s="251">
        <v>270909.23519158748</v>
      </c>
      <c r="Z90" s="251">
        <v>273671.44330466277</v>
      </c>
      <c r="AA90" s="251">
        <v>282990.10459195555</v>
      </c>
      <c r="AB90" s="251">
        <v>285334.38801711594</v>
      </c>
      <c r="AC90" s="251">
        <v>995106.5957352143</v>
      </c>
      <c r="AD90" s="251">
        <v>1009219.0974504292</v>
      </c>
      <c r="AE90" s="251">
        <v>994778.25436944189</v>
      </c>
      <c r="AF90" s="251">
        <v>1106076.8491068194</v>
      </c>
      <c r="AG90" s="251">
        <v>252058.72226908471</v>
      </c>
      <c r="AH90" s="251">
        <v>257682.27245066446</v>
      </c>
      <c r="AI90" s="1633">
        <v>0</v>
      </c>
    </row>
    <row r="91" spans="2:35" ht="15">
      <c r="B91" s="94" t="s">
        <v>176</v>
      </c>
      <c r="C91" s="1542">
        <v>33246.325123907751</v>
      </c>
      <c r="D91" s="251">
        <v>33533.394846380332</v>
      </c>
      <c r="E91" s="251">
        <v>34210.809826531186</v>
      </c>
      <c r="F91" s="251">
        <v>33635.283732714415</v>
      </c>
      <c r="G91" s="251">
        <v>33694.412158410523</v>
      </c>
      <c r="H91" s="251">
        <v>33637.218329739982</v>
      </c>
      <c r="I91" s="251">
        <v>34821.508110995499</v>
      </c>
      <c r="J91" s="251">
        <v>34756.98447503733</v>
      </c>
      <c r="K91" s="251">
        <v>35520.001912016021</v>
      </c>
      <c r="L91" s="251">
        <v>35600.837869124582</v>
      </c>
      <c r="M91" s="251">
        <v>35117.725922353755</v>
      </c>
      <c r="N91" s="251">
        <v>32198.887782726018</v>
      </c>
      <c r="O91" s="251">
        <v>31615.097093999269</v>
      </c>
      <c r="P91" s="251">
        <v>31850.456571952305</v>
      </c>
      <c r="Q91" s="251">
        <v>33021.583825856404</v>
      </c>
      <c r="R91" s="251">
        <v>32953.381519553302</v>
      </c>
      <c r="S91" s="251">
        <v>38602.94515644238</v>
      </c>
      <c r="T91" s="251">
        <v>41797.155656860057</v>
      </c>
      <c r="U91" s="251">
        <v>44699.158513240516</v>
      </c>
      <c r="V91" s="251">
        <v>64971.120489087574</v>
      </c>
      <c r="W91" s="251">
        <v>55936.439875910408</v>
      </c>
      <c r="X91" s="251">
        <v>56825.677500179598</v>
      </c>
      <c r="Y91" s="251">
        <v>66406.244033788549</v>
      </c>
      <c r="Z91" s="251">
        <v>63186.022014200636</v>
      </c>
      <c r="AA91" s="251">
        <v>62438.045539442559</v>
      </c>
      <c r="AB91" s="251">
        <v>61651.637300598653</v>
      </c>
      <c r="AC91" s="251">
        <v>65307.844270844027</v>
      </c>
      <c r="AD91" s="251">
        <v>65333.925799513381</v>
      </c>
      <c r="AE91" s="251">
        <v>60757.420424042808</v>
      </c>
      <c r="AF91" s="251">
        <v>64161.304927725942</v>
      </c>
      <c r="AG91" s="251">
        <v>53819.342257602839</v>
      </c>
      <c r="AH91" s="251">
        <v>55612.216368179295</v>
      </c>
      <c r="AI91" s="1633">
        <v>0</v>
      </c>
    </row>
    <row r="92" spans="2:35" ht="15">
      <c r="B92" s="4" t="s">
        <v>177</v>
      </c>
      <c r="C92" s="1541">
        <v>4065897.0013008779</v>
      </c>
      <c r="D92" s="250">
        <v>4059780.8003856596</v>
      </c>
      <c r="E92" s="250">
        <v>4138208.1619948703</v>
      </c>
      <c r="F92" s="250">
        <v>4045337.6948698731</v>
      </c>
      <c r="G92" s="250">
        <v>4358796.1704053273</v>
      </c>
      <c r="H92" s="250">
        <v>4475855.9908522638</v>
      </c>
      <c r="I92" s="250">
        <v>4591619.5796408057</v>
      </c>
      <c r="J92" s="250">
        <v>4761631.3445693599</v>
      </c>
      <c r="K92" s="250">
        <v>4944210.9538163096</v>
      </c>
      <c r="L92" s="250">
        <v>5015019.6203761529</v>
      </c>
      <c r="M92" s="250">
        <v>5093808.251495949</v>
      </c>
      <c r="N92" s="250">
        <v>6006080.9664407335</v>
      </c>
      <c r="O92" s="250">
        <v>6024331.1488684928</v>
      </c>
      <c r="P92" s="250">
        <v>5994227.7536338065</v>
      </c>
      <c r="Q92" s="250">
        <v>6240363.224545816</v>
      </c>
      <c r="R92" s="250">
        <v>6165878.4538003271</v>
      </c>
      <c r="S92" s="250">
        <v>6686619.8396340618</v>
      </c>
      <c r="T92" s="250">
        <v>6814417.4801985174</v>
      </c>
      <c r="U92" s="250">
        <v>6877058.2515139608</v>
      </c>
      <c r="V92" s="250">
        <v>8584686.0270753782</v>
      </c>
      <c r="W92" s="250">
        <v>8459282.5203050375</v>
      </c>
      <c r="X92" s="250">
        <v>8029716.4690006627</v>
      </c>
      <c r="Y92" s="250">
        <v>8171689.0074821254</v>
      </c>
      <c r="Z92" s="250">
        <v>8375482.8306949576</v>
      </c>
      <c r="AA92" s="250">
        <v>8596764.4275800847</v>
      </c>
      <c r="AB92" s="250">
        <v>8671182.9729658496</v>
      </c>
      <c r="AC92" s="250">
        <v>8165047.9589113854</v>
      </c>
      <c r="AD92" s="250">
        <v>8141585.0607060287</v>
      </c>
      <c r="AE92" s="250">
        <v>8207176.4668503273</v>
      </c>
      <c r="AF92" s="250">
        <v>8645169.3212562241</v>
      </c>
      <c r="AG92" s="250">
        <v>9155688.5982721224</v>
      </c>
      <c r="AH92" s="250">
        <v>9306513.0589644909</v>
      </c>
      <c r="AI92" s="1454">
        <v>0</v>
      </c>
    </row>
    <row r="93" spans="2:35" ht="15">
      <c r="B93" s="94" t="s">
        <v>173</v>
      </c>
      <c r="C93" s="1542">
        <v>108672.74154222694</v>
      </c>
      <c r="D93" s="251">
        <v>95985.037238104676</v>
      </c>
      <c r="E93" s="251">
        <v>91757.556617451308</v>
      </c>
      <c r="F93" s="251">
        <v>85902.725132732769</v>
      </c>
      <c r="G93" s="251">
        <v>80249.600070125773</v>
      </c>
      <c r="H93" s="251">
        <v>75213.367957091643</v>
      </c>
      <c r="I93" s="251">
        <v>72855.930534132014</v>
      </c>
      <c r="J93" s="251">
        <v>70453.108094640033</v>
      </c>
      <c r="K93" s="251">
        <v>66691.834624916388</v>
      </c>
      <c r="L93" s="251">
        <v>72292.000160581432</v>
      </c>
      <c r="M93" s="251">
        <v>69803.183838631259</v>
      </c>
      <c r="N93" s="251">
        <v>60503.894495485729</v>
      </c>
      <c r="O93" s="251">
        <v>59628.87939649076</v>
      </c>
      <c r="P93" s="251">
        <v>58640.247802911035</v>
      </c>
      <c r="Q93" s="251">
        <v>59285.36754643132</v>
      </c>
      <c r="R93" s="251">
        <v>58915.490747024174</v>
      </c>
      <c r="S93" s="251">
        <v>49214.233304815767</v>
      </c>
      <c r="T93" s="251">
        <v>51584.785765505534</v>
      </c>
      <c r="U93" s="251">
        <v>49993.81146045561</v>
      </c>
      <c r="V93" s="251">
        <v>62421.194452786462</v>
      </c>
      <c r="W93" s="251">
        <v>60834.816541440276</v>
      </c>
      <c r="X93" s="251">
        <v>61340.096465040631</v>
      </c>
      <c r="Y93" s="251">
        <v>62394.415125053143</v>
      </c>
      <c r="Z93" s="251">
        <v>62394.707721778992</v>
      </c>
      <c r="AA93" s="251">
        <v>62599.423061620648</v>
      </c>
      <c r="AB93" s="251">
        <v>65228.610435707225</v>
      </c>
      <c r="AC93" s="251">
        <v>62899.882998126181</v>
      </c>
      <c r="AD93" s="251">
        <v>63364.044335994287</v>
      </c>
      <c r="AE93" s="251">
        <v>61138.828581435737</v>
      </c>
      <c r="AF93" s="251">
        <v>66558.450884167018</v>
      </c>
      <c r="AG93" s="251">
        <v>69729.215660790738</v>
      </c>
      <c r="AH93" s="251">
        <v>75198.900176949232</v>
      </c>
      <c r="AI93" s="1633">
        <v>0</v>
      </c>
    </row>
    <row r="94" spans="2:35" ht="15">
      <c r="B94" s="94" t="s">
        <v>174</v>
      </c>
      <c r="C94" s="1542">
        <v>161787.25929718139</v>
      </c>
      <c r="D94" s="251">
        <v>176877.92533487119</v>
      </c>
      <c r="E94" s="251">
        <v>192815.61615714116</v>
      </c>
      <c r="F94" s="251">
        <v>201401.57721706547</v>
      </c>
      <c r="G94" s="251">
        <v>203451.23206209176</v>
      </c>
      <c r="H94" s="251">
        <v>209752.98291769947</v>
      </c>
      <c r="I94" s="251">
        <v>220933.67073557773</v>
      </c>
      <c r="J94" s="251">
        <v>228919.65725337635</v>
      </c>
      <c r="K94" s="251">
        <v>233501.82521719096</v>
      </c>
      <c r="L94" s="251">
        <v>235936.21062774796</v>
      </c>
      <c r="M94" s="251">
        <v>245580.04081221911</v>
      </c>
      <c r="N94" s="251">
        <v>242622.57948625745</v>
      </c>
      <c r="O94" s="251">
        <v>244733.02558001169</v>
      </c>
      <c r="P94" s="251">
        <v>252035.64474757534</v>
      </c>
      <c r="Q94" s="251">
        <v>255260.69449412881</v>
      </c>
      <c r="R94" s="251">
        <v>261351.68995860589</v>
      </c>
      <c r="S94" s="251">
        <v>296727.37961984816</v>
      </c>
      <c r="T94" s="251">
        <v>377329.39635611634</v>
      </c>
      <c r="U94" s="251">
        <v>379675.00637709937</v>
      </c>
      <c r="V94" s="251">
        <v>212522.51496249283</v>
      </c>
      <c r="W94" s="251">
        <v>213203.07813783718</v>
      </c>
      <c r="X94" s="251">
        <v>209460.05370962669</v>
      </c>
      <c r="Y94" s="251">
        <v>210242.79809606803</v>
      </c>
      <c r="Z94" s="251">
        <v>211202.48116260837</v>
      </c>
      <c r="AA94" s="251">
        <v>225687.65621767187</v>
      </c>
      <c r="AB94" s="251">
        <v>224706.90295369056</v>
      </c>
      <c r="AC94" s="251">
        <v>223699.07840731138</v>
      </c>
      <c r="AD94" s="251">
        <v>225252.09485262985</v>
      </c>
      <c r="AE94" s="251">
        <v>215625.93061931961</v>
      </c>
      <c r="AF94" s="251">
        <v>234520.99113469629</v>
      </c>
      <c r="AG94" s="251">
        <v>242338.81972375794</v>
      </c>
      <c r="AH94" s="251">
        <v>206062.54837926387</v>
      </c>
      <c r="AI94" s="1633">
        <v>0</v>
      </c>
    </row>
    <row r="95" spans="2:35" ht="15">
      <c r="B95" s="94" t="s">
        <v>175</v>
      </c>
      <c r="C95" s="1542">
        <v>3795437.0004614694</v>
      </c>
      <c r="D95" s="251">
        <v>3584179.8455011533</v>
      </c>
      <c r="E95" s="251">
        <v>3654662.7846187432</v>
      </c>
      <c r="F95" s="251">
        <v>3556003.9093165654</v>
      </c>
      <c r="G95" s="251">
        <v>3869578.5480346689</v>
      </c>
      <c r="H95" s="251">
        <v>3987526.3138795411</v>
      </c>
      <c r="I95" s="251">
        <v>4088481.2694561505</v>
      </c>
      <c r="J95" s="251">
        <v>4250133.3958195848</v>
      </c>
      <c r="K95" s="251">
        <v>4427557.2258972479</v>
      </c>
      <c r="L95" s="251">
        <v>4480292.4883251442</v>
      </c>
      <c r="M95" s="251">
        <v>4553243.0646551466</v>
      </c>
      <c r="N95" s="251">
        <v>5497170.716488976</v>
      </c>
      <c r="O95" s="251">
        <v>5525123.9140064316</v>
      </c>
      <c r="P95" s="251">
        <v>5496342.4395313328</v>
      </c>
      <c r="Q95" s="251">
        <v>5739598.8666534144</v>
      </c>
      <c r="R95" s="251">
        <v>5653321.2901270827</v>
      </c>
      <c r="S95" s="251">
        <v>6158115.4590882827</v>
      </c>
      <c r="T95" s="251">
        <v>5993040.5923178857</v>
      </c>
      <c r="U95" s="251">
        <v>6043798.8110788669</v>
      </c>
      <c r="V95" s="251">
        <v>7915382.3617771361</v>
      </c>
      <c r="W95" s="251">
        <v>7813297.2267078841</v>
      </c>
      <c r="X95" s="251">
        <v>7381627.725064368</v>
      </c>
      <c r="Y95" s="251">
        <v>7491293.7440042719</v>
      </c>
      <c r="Z95" s="251">
        <v>7684002.7766308533</v>
      </c>
      <c r="AA95" s="251">
        <v>7864315.7571807187</v>
      </c>
      <c r="AB95" s="251">
        <v>7927876.5159498556</v>
      </c>
      <c r="AC95" s="251">
        <v>7414365.3883709563</v>
      </c>
      <c r="AD95" s="251">
        <v>7371153.4608560335</v>
      </c>
      <c r="AE95" s="251">
        <v>7441286.2643308826</v>
      </c>
      <c r="AF95" s="251">
        <v>7827183.2331602573</v>
      </c>
      <c r="AG95" s="251">
        <v>8470197.190801749</v>
      </c>
      <c r="AH95" s="251">
        <v>8606586.6260673758</v>
      </c>
      <c r="AI95" s="1633">
        <v>0</v>
      </c>
    </row>
    <row r="96" spans="2:35" ht="15">
      <c r="B96" s="94" t="s">
        <v>903</v>
      </c>
      <c r="C96" s="1553" t="s">
        <v>904</v>
      </c>
      <c r="D96" s="251">
        <v>202737.99231153011</v>
      </c>
      <c r="E96" s="251">
        <v>198972.20460153473</v>
      </c>
      <c r="F96" s="251">
        <v>202029.48320350953</v>
      </c>
      <c r="G96" s="251">
        <v>205516.79023844088</v>
      </c>
      <c r="H96" s="251">
        <v>203363.32609793131</v>
      </c>
      <c r="I96" s="251">
        <v>209348.70891494543</v>
      </c>
      <c r="J96" s="251">
        <v>212125.18340175913</v>
      </c>
      <c r="K96" s="251">
        <v>216460.06807695422</v>
      </c>
      <c r="L96" s="251">
        <v>226498.92126267939</v>
      </c>
      <c r="M96" s="251">
        <v>225181.96218995165</v>
      </c>
      <c r="N96" s="251">
        <v>205783.77597001352</v>
      </c>
      <c r="O96" s="251">
        <v>194845.32988555956</v>
      </c>
      <c r="P96" s="251">
        <v>187209.42155198753</v>
      </c>
      <c r="Q96" s="251">
        <v>186218.29585184125</v>
      </c>
      <c r="R96" s="251">
        <v>192289.98296761391</v>
      </c>
      <c r="S96" s="251">
        <v>182562.76762111479</v>
      </c>
      <c r="T96" s="251">
        <v>392462.70575900993</v>
      </c>
      <c r="U96" s="251">
        <v>403590.62259753916</v>
      </c>
      <c r="V96" s="251">
        <v>394359.95588296303</v>
      </c>
      <c r="W96" s="251">
        <v>371947.39891787537</v>
      </c>
      <c r="X96" s="251">
        <v>377288.59376162721</v>
      </c>
      <c r="Y96" s="251">
        <v>407758.05025673175</v>
      </c>
      <c r="Z96" s="251">
        <v>417882.86517971696</v>
      </c>
      <c r="AA96" s="251">
        <v>444161.59112007322</v>
      </c>
      <c r="AB96" s="251">
        <v>453370.94362659741</v>
      </c>
      <c r="AC96" s="251">
        <v>464083.60913499154</v>
      </c>
      <c r="AD96" s="251">
        <v>481815.46066137165</v>
      </c>
      <c r="AE96" s="251">
        <v>489125.44331868913</v>
      </c>
      <c r="AF96" s="251">
        <v>516906.64607710356</v>
      </c>
      <c r="AG96" s="251">
        <v>373423.37208582408</v>
      </c>
      <c r="AH96" s="251">
        <v>418664.98434090154</v>
      </c>
      <c r="AI96" s="1633">
        <v>0</v>
      </c>
    </row>
    <row r="97" spans="2:35" ht="15">
      <c r="B97" s="4" t="s">
        <v>178</v>
      </c>
      <c r="C97" s="1541">
        <v>7961910.2670841943</v>
      </c>
      <c r="D97" s="250">
        <v>6170344.1554712811</v>
      </c>
      <c r="E97" s="250">
        <v>5085536.1091833562</v>
      </c>
      <c r="F97" s="250">
        <v>3878766.6564042317</v>
      </c>
      <c r="G97" s="250">
        <v>5045139.9909966271</v>
      </c>
      <c r="H97" s="250">
        <v>4757559.4780014073</v>
      </c>
      <c r="I97" s="250">
        <v>6043209.7979636267</v>
      </c>
      <c r="J97" s="250">
        <v>5722462.6288476624</v>
      </c>
      <c r="K97" s="250">
        <v>4723861.3722849619</v>
      </c>
      <c r="L97" s="250">
        <v>5103146.1141512785</v>
      </c>
      <c r="M97" s="250">
        <v>5508455.3874537423</v>
      </c>
      <c r="N97" s="250">
        <v>5767228.1725658104</v>
      </c>
      <c r="O97" s="250">
        <v>5235594.2362628607</v>
      </c>
      <c r="P97" s="250">
        <v>5341133.3882646523</v>
      </c>
      <c r="Q97" s="250">
        <v>6005399.3432151992</v>
      </c>
      <c r="R97" s="250">
        <v>6874045.8113817815</v>
      </c>
      <c r="S97" s="250">
        <v>6590961.9299721532</v>
      </c>
      <c r="T97" s="250">
        <v>6509265.8190550748</v>
      </c>
      <c r="U97" s="250">
        <v>6767307.1689116266</v>
      </c>
      <c r="V97" s="250">
        <v>5314540.3976813629</v>
      </c>
      <c r="W97" s="250">
        <v>6049463.7981930785</v>
      </c>
      <c r="X97" s="250">
        <v>6204982.564783819</v>
      </c>
      <c r="Y97" s="250">
        <v>5631381.6258654837</v>
      </c>
      <c r="Z97" s="250">
        <v>5944178.9981704485</v>
      </c>
      <c r="AA97" s="250">
        <v>5898131.9181788359</v>
      </c>
      <c r="AB97" s="250">
        <v>4669936.1888088491</v>
      </c>
      <c r="AC97" s="250">
        <v>5004406.5053236773</v>
      </c>
      <c r="AD97" s="250">
        <v>5175064.0359424055</v>
      </c>
      <c r="AE97" s="250">
        <v>5333006.9794986406</v>
      </c>
      <c r="AF97" s="250">
        <v>5617839.8986560581</v>
      </c>
      <c r="AG97" s="250">
        <v>4212809.344854421</v>
      </c>
      <c r="AH97" s="250">
        <v>5148077.6299947407</v>
      </c>
      <c r="AI97" s="1454">
        <v>2704237.1516854782</v>
      </c>
    </row>
    <row r="98" spans="2:35" ht="15">
      <c r="B98" s="94" t="s">
        <v>196</v>
      </c>
      <c r="C98" s="1542">
        <v>4318852.8218846787</v>
      </c>
      <c r="D98" s="251">
        <v>3517961.1286898605</v>
      </c>
      <c r="E98" s="251">
        <v>2603058.0693594348</v>
      </c>
      <c r="F98" s="251">
        <v>2564482.5653851223</v>
      </c>
      <c r="G98" s="251">
        <v>2356686.2722062799</v>
      </c>
      <c r="H98" s="251">
        <v>2150584.9673003443</v>
      </c>
      <c r="I98" s="251">
        <v>2283929.3078787876</v>
      </c>
      <c r="J98" s="251">
        <v>2291560.358383751</v>
      </c>
      <c r="K98" s="251">
        <v>2152034.8987829788</v>
      </c>
      <c r="L98" s="251">
        <v>2247698.5902903508</v>
      </c>
      <c r="M98" s="251">
        <v>2256940.1729133204</v>
      </c>
      <c r="N98" s="251">
        <v>1923869.3857588684</v>
      </c>
      <c r="O98" s="251">
        <v>1551469.8965750788</v>
      </c>
      <c r="P98" s="251">
        <v>1792592.7511047272</v>
      </c>
      <c r="Q98" s="251">
        <v>2305445.5405147215</v>
      </c>
      <c r="R98" s="251">
        <v>2531149.7473105914</v>
      </c>
      <c r="S98" s="251">
        <v>2328703.4040939105</v>
      </c>
      <c r="T98" s="251">
        <v>2300785.1361884931</v>
      </c>
      <c r="U98" s="251">
        <v>3058793.4893651498</v>
      </c>
      <c r="V98" s="251">
        <v>1717800.5424757202</v>
      </c>
      <c r="W98" s="251">
        <v>2375391.0565995187</v>
      </c>
      <c r="X98" s="251">
        <v>2336691.1111806622</v>
      </c>
      <c r="Y98" s="251">
        <v>2318406.0209191605</v>
      </c>
      <c r="Z98" s="251">
        <v>2409985.9523507538</v>
      </c>
      <c r="AA98" s="251">
        <v>2350027.0586761241</v>
      </c>
      <c r="AB98" s="251">
        <v>2300755.5590372835</v>
      </c>
      <c r="AC98" s="251">
        <v>2439083.4265656085</v>
      </c>
      <c r="AD98" s="251">
        <v>2661889.7365818587</v>
      </c>
      <c r="AE98" s="251">
        <v>2832841.6004345235</v>
      </c>
      <c r="AF98" s="251">
        <v>3014597.074854699</v>
      </c>
      <c r="AG98" s="251">
        <v>1533654.042751191</v>
      </c>
      <c r="AH98" s="251">
        <v>2181111.2863087771</v>
      </c>
      <c r="AI98" s="1633">
        <v>2704237.1516854782</v>
      </c>
    </row>
    <row r="99" spans="2:35" ht="15">
      <c r="B99" s="94" t="s">
        <v>179</v>
      </c>
      <c r="C99" s="1542">
        <v>1246879.1414406491</v>
      </c>
      <c r="D99" s="251">
        <v>676186.13876177953</v>
      </c>
      <c r="E99" s="251">
        <v>508419.83716437756</v>
      </c>
      <c r="F99" s="251">
        <v>385937.9224849809</v>
      </c>
      <c r="G99" s="251">
        <v>399306.42148367024</v>
      </c>
      <c r="H99" s="251">
        <v>297625.44777190784</v>
      </c>
      <c r="I99" s="251">
        <v>1476298.5760491746</v>
      </c>
      <c r="J99" s="251">
        <v>1130485.266252402</v>
      </c>
      <c r="K99" s="251">
        <v>181711.63470574442</v>
      </c>
      <c r="L99" s="251">
        <v>195310.38253581728</v>
      </c>
      <c r="M99" s="251">
        <v>531283.52766475396</v>
      </c>
      <c r="N99" s="251">
        <v>299820.81979557511</v>
      </c>
      <c r="O99" s="251">
        <v>349845.21745623235</v>
      </c>
      <c r="P99" s="251">
        <v>148129.59826082748</v>
      </c>
      <c r="Q99" s="251">
        <v>143682.27979437244</v>
      </c>
      <c r="R99" s="251">
        <v>582296.46061686776</v>
      </c>
      <c r="S99" s="251">
        <v>397023.58718876319</v>
      </c>
      <c r="T99" s="251">
        <v>327316.206499113</v>
      </c>
      <c r="U99" s="251">
        <v>329210.3784581346</v>
      </c>
      <c r="V99" s="251">
        <v>390250.65726388595</v>
      </c>
      <c r="W99" s="251">
        <v>318189.05978131259</v>
      </c>
      <c r="X99" s="251">
        <v>272861.33443447622</v>
      </c>
      <c r="Y99" s="251">
        <v>243496.58269460901</v>
      </c>
      <c r="Z99" s="251">
        <v>270351.21747872868</v>
      </c>
      <c r="AA99" s="251">
        <v>203736.81528118346</v>
      </c>
      <c r="AB99" s="251">
        <v>274493.20855014626</v>
      </c>
      <c r="AC99" s="251">
        <v>373176.23508729838</v>
      </c>
      <c r="AD99" s="251">
        <v>458227.97425789386</v>
      </c>
      <c r="AE99" s="251">
        <v>283243.02043600107</v>
      </c>
      <c r="AF99" s="251">
        <v>361969.81753449386</v>
      </c>
      <c r="AG99" s="251">
        <v>237705.75243350148</v>
      </c>
      <c r="AH99" s="251">
        <v>425848.14575873764</v>
      </c>
      <c r="AI99" s="1633">
        <v>0</v>
      </c>
    </row>
    <row r="100" spans="2:35" ht="15">
      <c r="B100" s="94" t="s">
        <v>180</v>
      </c>
      <c r="C100" s="1542">
        <v>139714.70857142858</v>
      </c>
      <c r="D100" s="251">
        <v>160886.38919047624</v>
      </c>
      <c r="E100" s="251">
        <v>109923.20236507939</v>
      </c>
      <c r="F100" s="251">
        <v>80642.349333333346</v>
      </c>
      <c r="G100" s="251">
        <v>158486.31926984127</v>
      </c>
      <c r="H100" s="251">
        <v>142799.05374603174</v>
      </c>
      <c r="I100" s="251">
        <v>123904.88628571428</v>
      </c>
      <c r="J100" s="251">
        <v>99087.141999999993</v>
      </c>
      <c r="K100" s="251">
        <v>127418.18012698412</v>
      </c>
      <c r="L100" s="251">
        <v>116684.2503968254</v>
      </c>
      <c r="M100" s="251">
        <v>184043.82961904767</v>
      </c>
      <c r="N100" s="251">
        <v>212494.66996825396</v>
      </c>
      <c r="O100" s="251">
        <v>122288.55885714285</v>
      </c>
      <c r="P100" s="251">
        <v>184461.53733333337</v>
      </c>
      <c r="Q100" s="251">
        <v>448855.91230158735</v>
      </c>
      <c r="R100" s="251">
        <v>623078.56233333342</v>
      </c>
      <c r="S100" s="251">
        <v>681004.82039682532</v>
      </c>
      <c r="T100" s="251">
        <v>633619.44642857159</v>
      </c>
      <c r="U100" s="251">
        <v>351912.82500000007</v>
      </c>
      <c r="V100" s="251">
        <v>268839.19944444444</v>
      </c>
      <c r="W100" s="251">
        <v>332133.6452063492</v>
      </c>
      <c r="X100" s="251">
        <v>340159.96876190475</v>
      </c>
      <c r="Y100" s="251">
        <v>115202.26247619047</v>
      </c>
      <c r="Z100" s="251">
        <v>154215.05611111113</v>
      </c>
      <c r="AA100" s="251">
        <v>207542.42788888889</v>
      </c>
      <c r="AB100" s="251">
        <v>273028.59402992961</v>
      </c>
      <c r="AC100" s="251">
        <v>340513.41559114994</v>
      </c>
      <c r="AD100" s="251">
        <v>126747.92532798729</v>
      </c>
      <c r="AE100" s="251">
        <v>234519.81854299919</v>
      </c>
      <c r="AF100" s="251">
        <v>200443.58923322358</v>
      </c>
      <c r="AG100" s="251">
        <v>516774.51469214814</v>
      </c>
      <c r="AH100" s="251">
        <v>516774.51469214814</v>
      </c>
      <c r="AI100" s="1633">
        <v>0</v>
      </c>
    </row>
    <row r="101" spans="2:35" ht="15">
      <c r="B101" s="94" t="s">
        <v>131</v>
      </c>
      <c r="C101" s="1542">
        <v>2256463.5951874391</v>
      </c>
      <c r="D101" s="251">
        <v>1815310.4988291648</v>
      </c>
      <c r="E101" s="251">
        <v>1864135.0002944637</v>
      </c>
      <c r="F101" s="251">
        <v>847703.81920079491</v>
      </c>
      <c r="G101" s="251">
        <v>2130660.9780368358</v>
      </c>
      <c r="H101" s="251">
        <v>2166550.0091831237</v>
      </c>
      <c r="I101" s="251">
        <v>2159077.0277499505</v>
      </c>
      <c r="J101" s="251">
        <v>2201329.8622115096</v>
      </c>
      <c r="K101" s="251">
        <v>2262696.6586692543</v>
      </c>
      <c r="L101" s="251">
        <v>2543452.8909282857</v>
      </c>
      <c r="M101" s="251">
        <v>2536187.8572566202</v>
      </c>
      <c r="N101" s="251">
        <v>3331043.2970431126</v>
      </c>
      <c r="O101" s="251">
        <v>3211990.5633744067</v>
      </c>
      <c r="P101" s="251">
        <v>3215949.5015657637</v>
      </c>
      <c r="Q101" s="251">
        <v>3107415.6106045172</v>
      </c>
      <c r="R101" s="251">
        <v>3137521.0411209888</v>
      </c>
      <c r="S101" s="251">
        <v>3184230.1182926539</v>
      </c>
      <c r="T101" s="251">
        <v>3247545.0299388976</v>
      </c>
      <c r="U101" s="251">
        <v>3027390.4760883427</v>
      </c>
      <c r="V101" s="251">
        <v>2937649.998497312</v>
      </c>
      <c r="W101" s="251">
        <v>3023750.0366058978</v>
      </c>
      <c r="X101" s="251">
        <v>3255270.150406776</v>
      </c>
      <c r="Y101" s="251">
        <v>2954276.7597755236</v>
      </c>
      <c r="Z101" s="251">
        <v>3109626.7722298549</v>
      </c>
      <c r="AA101" s="251">
        <v>3136825.616332639</v>
      </c>
      <c r="AB101" s="251">
        <v>1821658.82719149</v>
      </c>
      <c r="AC101" s="251">
        <v>1851633.4280796207</v>
      </c>
      <c r="AD101" s="251">
        <v>1928198.399774665</v>
      </c>
      <c r="AE101" s="251">
        <v>1982402.5400851169</v>
      </c>
      <c r="AF101" s="251">
        <v>2040829.4170336414</v>
      </c>
      <c r="AG101" s="251">
        <v>1924675.0349775804</v>
      </c>
      <c r="AH101" s="251">
        <v>2024343.6832350777</v>
      </c>
      <c r="AI101" s="1633">
        <v>0</v>
      </c>
    </row>
    <row r="102" spans="2:35" ht="15">
      <c r="B102" s="4" t="s">
        <v>185</v>
      </c>
      <c r="C102" s="1541">
        <v>2636.3779977279887</v>
      </c>
      <c r="D102" s="250">
        <v>3233.1176276116171</v>
      </c>
      <c r="E102" s="250">
        <v>3046.4837947328201</v>
      </c>
      <c r="F102" s="250">
        <v>3689.9416369891596</v>
      </c>
      <c r="G102" s="250">
        <v>3802.1401099295185</v>
      </c>
      <c r="H102" s="250">
        <v>3849.9187489445012</v>
      </c>
      <c r="I102" s="250">
        <v>4040.6979905687303</v>
      </c>
      <c r="J102" s="250">
        <v>4232.1943016223513</v>
      </c>
      <c r="K102" s="250">
        <v>4482.4836720095864</v>
      </c>
      <c r="L102" s="250">
        <v>4753.362050376827</v>
      </c>
      <c r="M102" s="250">
        <v>4851.3203073570339</v>
      </c>
      <c r="N102" s="250">
        <v>4738.3661647604877</v>
      </c>
      <c r="O102" s="250">
        <v>5275.4655821884389</v>
      </c>
      <c r="P102" s="250">
        <v>19517.114292806458</v>
      </c>
      <c r="Q102" s="250">
        <v>15306.998302297216</v>
      </c>
      <c r="R102" s="250">
        <v>12722.344783025907</v>
      </c>
      <c r="S102" s="250">
        <v>11060.018683508177</v>
      </c>
      <c r="T102" s="250">
        <v>9388.4514556773393</v>
      </c>
      <c r="U102" s="250">
        <v>7876.2076518126851</v>
      </c>
      <c r="V102" s="250">
        <v>6712.6898969192171</v>
      </c>
      <c r="W102" s="250">
        <v>6472.2064881046563</v>
      </c>
      <c r="X102" s="250">
        <v>6047.4702950391647</v>
      </c>
      <c r="Y102" s="250">
        <v>5988.4207802979345</v>
      </c>
      <c r="Z102" s="250">
        <v>6281.89715313132</v>
      </c>
      <c r="AA102" s="250">
        <v>6831.5731392709467</v>
      </c>
      <c r="AB102" s="250">
        <v>6468.4899248297552</v>
      </c>
      <c r="AC102" s="250">
        <v>6859.4081340025796</v>
      </c>
      <c r="AD102" s="250">
        <v>7191.3479441889604</v>
      </c>
      <c r="AE102" s="250">
        <v>7539.1851673378596</v>
      </c>
      <c r="AF102" s="250">
        <v>7909.552171555898</v>
      </c>
      <c r="AG102" s="250">
        <v>7110.6559295755833</v>
      </c>
      <c r="AH102" s="250">
        <v>7991.7323161059376</v>
      </c>
      <c r="AI102" s="1454">
        <v>0</v>
      </c>
    </row>
    <row r="103" spans="2:35" ht="15">
      <c r="B103" s="94" t="s">
        <v>186</v>
      </c>
      <c r="C103" s="1542">
        <v>148.21316134896631</v>
      </c>
      <c r="D103" s="251">
        <v>150.7486423790927</v>
      </c>
      <c r="E103" s="251">
        <v>136.08344192139714</v>
      </c>
      <c r="F103" s="251">
        <v>171.1488536353956</v>
      </c>
      <c r="G103" s="251">
        <v>164.73377305370721</v>
      </c>
      <c r="H103" s="251">
        <v>157.20947034182689</v>
      </c>
      <c r="I103" s="251">
        <v>167.34798828058192</v>
      </c>
      <c r="J103" s="251">
        <v>179.11132816862803</v>
      </c>
      <c r="K103" s="251">
        <v>197.17324152934125</v>
      </c>
      <c r="L103" s="251">
        <v>204.73601233495211</v>
      </c>
      <c r="M103" s="251">
        <v>257.91889929074097</v>
      </c>
      <c r="N103" s="251">
        <v>331.14017252148233</v>
      </c>
      <c r="O103" s="251">
        <v>393.93655324581459</v>
      </c>
      <c r="P103" s="251">
        <v>1456.16468221271</v>
      </c>
      <c r="Q103" s="251">
        <v>1273.5062497075044</v>
      </c>
      <c r="R103" s="251">
        <v>1011.884331138192</v>
      </c>
      <c r="S103" s="251">
        <v>747.14692946905666</v>
      </c>
      <c r="T103" s="251">
        <v>525.94131217170866</v>
      </c>
      <c r="U103" s="251">
        <v>267.17181065741249</v>
      </c>
      <c r="V103" s="251">
        <v>248.18834140810483</v>
      </c>
      <c r="W103" s="251">
        <v>219.13559892002854</v>
      </c>
      <c r="X103" s="251">
        <v>177.56922812456432</v>
      </c>
      <c r="Y103" s="251">
        <v>127.77915519781416</v>
      </c>
      <c r="Z103" s="251">
        <v>133.43967948465263</v>
      </c>
      <c r="AA103" s="251">
        <v>176.92721764752542</v>
      </c>
      <c r="AB103" s="251">
        <v>137.79957681309389</v>
      </c>
      <c r="AC103" s="251">
        <v>145.28052981514315</v>
      </c>
      <c r="AD103" s="251">
        <v>145.58827501670964</v>
      </c>
      <c r="AE103" s="251">
        <v>153.97489280285649</v>
      </c>
      <c r="AF103" s="251">
        <v>147.52832392470555</v>
      </c>
      <c r="AG103" s="251">
        <v>139.7637076043502</v>
      </c>
      <c r="AH103" s="251">
        <v>130.31946192667763</v>
      </c>
      <c r="AI103" s="1633">
        <v>0</v>
      </c>
    </row>
    <row r="104" spans="2:35" ht="15">
      <c r="B104" s="94" t="s">
        <v>187</v>
      </c>
      <c r="C104" s="1542">
        <v>2488.1647621481206</v>
      </c>
      <c r="D104" s="251">
        <v>2886.6374871219832</v>
      </c>
      <c r="E104" s="251">
        <v>2588.0155636310701</v>
      </c>
      <c r="F104" s="251">
        <v>3065.3768931404074</v>
      </c>
      <c r="G104" s="251">
        <v>3063.3368745001931</v>
      </c>
      <c r="H104" s="251">
        <v>2991.2384516610032</v>
      </c>
      <c r="I104" s="251">
        <v>3030.6260439935863</v>
      </c>
      <c r="J104" s="251">
        <v>3074.0725905580616</v>
      </c>
      <c r="K104" s="251">
        <v>3141.95201371126</v>
      </c>
      <c r="L104" s="251">
        <v>3207.6298515617009</v>
      </c>
      <c r="M104" s="251">
        <v>3194.5125479555986</v>
      </c>
      <c r="N104" s="251">
        <v>3052.3714503401256</v>
      </c>
      <c r="O104" s="251">
        <v>3289.5458531942286</v>
      </c>
      <c r="P104" s="251">
        <v>12013.99117695665</v>
      </c>
      <c r="Q104" s="251">
        <v>7899.1749217519146</v>
      </c>
      <c r="R104" s="251">
        <v>6421.250274837178</v>
      </c>
      <c r="S104" s="251">
        <v>5030.9901145132735</v>
      </c>
      <c r="T104" s="251">
        <v>3722.6760351895045</v>
      </c>
      <c r="U104" s="251">
        <v>3082.7833236141246</v>
      </c>
      <c r="V104" s="251">
        <v>2347.8394428386505</v>
      </c>
      <c r="W104" s="251">
        <v>2078.2824848750834</v>
      </c>
      <c r="X104" s="251">
        <v>2003.3126455371739</v>
      </c>
      <c r="Y104" s="251">
        <v>1777.0359920363092</v>
      </c>
      <c r="Z104" s="251">
        <v>1879.2068262508658</v>
      </c>
      <c r="AA104" s="251">
        <v>1821.4993282251969</v>
      </c>
      <c r="AB104" s="251">
        <v>1618.3093847814969</v>
      </c>
      <c r="AC104" s="251">
        <v>1711.7668057584997</v>
      </c>
      <c r="AD104" s="251">
        <v>1632.1644011025953</v>
      </c>
      <c r="AE104" s="251">
        <v>1598.7578642838107</v>
      </c>
      <c r="AF104" s="251">
        <v>1554.3525528671973</v>
      </c>
      <c r="AG104" s="251">
        <v>1286.2992418881872</v>
      </c>
      <c r="AH104" s="251">
        <v>1326.8811891935247</v>
      </c>
      <c r="AI104" s="1633">
        <v>0</v>
      </c>
    </row>
    <row r="105" spans="2:35" ht="15">
      <c r="B105" s="94" t="s">
        <v>188</v>
      </c>
      <c r="C105" s="1542">
        <v>7.4230901594963468E-5</v>
      </c>
      <c r="D105" s="251">
        <v>195.73149811054091</v>
      </c>
      <c r="E105" s="251">
        <v>322.38478918035304</v>
      </c>
      <c r="F105" s="251">
        <v>453.41589021335699</v>
      </c>
      <c r="G105" s="251">
        <v>574.06946237561817</v>
      </c>
      <c r="H105" s="251">
        <v>701.47082694167091</v>
      </c>
      <c r="I105" s="251">
        <v>842.72395829456207</v>
      </c>
      <c r="J105" s="251">
        <v>979.01038289566134</v>
      </c>
      <c r="K105" s="251">
        <v>1143.3584167689851</v>
      </c>
      <c r="L105" s="251">
        <v>1340.9961864801735</v>
      </c>
      <c r="M105" s="251">
        <v>1398.8888601106939</v>
      </c>
      <c r="N105" s="251">
        <v>1354.8545418988799</v>
      </c>
      <c r="O105" s="251">
        <v>1591.9831757483958</v>
      </c>
      <c r="P105" s="251">
        <v>6046.9584336370999</v>
      </c>
      <c r="Q105" s="251">
        <v>6134.3171308377978</v>
      </c>
      <c r="R105" s="251">
        <v>5289.210177050536</v>
      </c>
      <c r="S105" s="251">
        <v>5281.8816395258455</v>
      </c>
      <c r="T105" s="251">
        <v>5139.8341083161249</v>
      </c>
      <c r="U105" s="251">
        <v>4526.2525175411474</v>
      </c>
      <c r="V105" s="251">
        <v>4116.6621126724613</v>
      </c>
      <c r="W105" s="251">
        <v>4174.7884043095446</v>
      </c>
      <c r="X105" s="251">
        <v>3866.5884213774266</v>
      </c>
      <c r="Y105" s="251">
        <v>4083.6056330638116</v>
      </c>
      <c r="Z105" s="251">
        <v>4269.2506473958019</v>
      </c>
      <c r="AA105" s="251">
        <v>4833.1465933982245</v>
      </c>
      <c r="AB105" s="251">
        <v>4712.3809632351649</v>
      </c>
      <c r="AC105" s="251">
        <v>5002.3607984289365</v>
      </c>
      <c r="AD105" s="251">
        <v>5413.5952680696555</v>
      </c>
      <c r="AE105" s="251">
        <v>5786.4524102511923</v>
      </c>
      <c r="AF105" s="251">
        <v>6207.6712947639953</v>
      </c>
      <c r="AG105" s="251">
        <v>5684.5929800830454</v>
      </c>
      <c r="AH105" s="251">
        <v>6534.531664985735</v>
      </c>
      <c r="AI105" s="1633">
        <v>0</v>
      </c>
    </row>
    <row r="106" spans="2:35" ht="15">
      <c r="B106" s="257" t="s">
        <v>189</v>
      </c>
      <c r="C106" s="1543">
        <v>32352235.101736091</v>
      </c>
      <c r="D106" s="258">
        <v>30414844.688745506</v>
      </c>
      <c r="E106" s="258">
        <v>29433986.422934305</v>
      </c>
      <c r="F106" s="258">
        <v>27471778.882940792</v>
      </c>
      <c r="G106" s="258">
        <v>28633814.408841815</v>
      </c>
      <c r="H106" s="258">
        <v>28684207.177575495</v>
      </c>
      <c r="I106" s="258">
        <v>30694305.219716806</v>
      </c>
      <c r="J106" s="258">
        <v>30529483.893241085</v>
      </c>
      <c r="K106" s="258">
        <v>30171916.5379529</v>
      </c>
      <c r="L106" s="258">
        <v>30473816.17819798</v>
      </c>
      <c r="M106" s="258">
        <v>31405187.14454326</v>
      </c>
      <c r="N106" s="258">
        <v>32275476.450635564</v>
      </c>
      <c r="O106" s="258">
        <v>31828791.240959581</v>
      </c>
      <c r="P106" s="258">
        <v>32361449.530482572</v>
      </c>
      <c r="Q106" s="258">
        <v>33384414.833708085</v>
      </c>
      <c r="R106" s="258">
        <v>34003367.563017793</v>
      </c>
      <c r="S106" s="258">
        <v>33218122.59790612</v>
      </c>
      <c r="T106" s="258">
        <v>33016759.441298243</v>
      </c>
      <c r="U106" s="258">
        <v>33055608.116456617</v>
      </c>
      <c r="V106" s="258">
        <v>32225581.363482118</v>
      </c>
      <c r="W106" s="258">
        <v>32353444.335177109</v>
      </c>
      <c r="X106" s="258">
        <v>32311015.30292115</v>
      </c>
      <c r="Y106" s="258">
        <v>32241130.001610357</v>
      </c>
      <c r="Z106" s="258">
        <v>32756599.531028517</v>
      </c>
      <c r="AA106" s="258">
        <v>33348595.498731881</v>
      </c>
      <c r="AB106" s="258">
        <v>32740397.417557079</v>
      </c>
      <c r="AC106" s="258">
        <v>34151600.911851093</v>
      </c>
      <c r="AD106" s="258">
        <v>34320143.573993295</v>
      </c>
      <c r="AE106" s="258">
        <v>33777476.12360961</v>
      </c>
      <c r="AF106" s="258">
        <v>36277237.628458142</v>
      </c>
      <c r="AG106" s="258">
        <v>30925493.206619915</v>
      </c>
      <c r="AH106" s="258">
        <v>32091642.324715637</v>
      </c>
      <c r="AI106" s="1634">
        <v>2704237.1516854782</v>
      </c>
    </row>
    <row r="107" spans="2:35">
      <c r="B107" s="115"/>
      <c r="C107" s="895"/>
      <c r="D107" s="254">
        <v>2</v>
      </c>
      <c r="E107" s="254">
        <v>3</v>
      </c>
      <c r="F107" s="254">
        <v>4</v>
      </c>
      <c r="G107" s="254">
        <v>5</v>
      </c>
      <c r="H107" s="254">
        <v>6</v>
      </c>
      <c r="I107" s="254">
        <v>7</v>
      </c>
      <c r="J107" s="254">
        <v>8</v>
      </c>
      <c r="K107" s="254">
        <v>9</v>
      </c>
      <c r="L107" s="254">
        <v>10</v>
      </c>
      <c r="M107" s="254">
        <v>11</v>
      </c>
      <c r="N107" s="254">
        <v>12</v>
      </c>
      <c r="O107" s="254">
        <v>13</v>
      </c>
      <c r="P107" s="254">
        <v>14</v>
      </c>
      <c r="Q107" s="254">
        <v>15</v>
      </c>
      <c r="R107" s="254">
        <v>16</v>
      </c>
      <c r="S107" s="254">
        <v>17</v>
      </c>
      <c r="T107" s="254">
        <v>18</v>
      </c>
      <c r="U107" s="254">
        <v>19</v>
      </c>
      <c r="V107" s="254">
        <v>20</v>
      </c>
      <c r="W107" s="254">
        <v>21</v>
      </c>
      <c r="X107" s="254">
        <v>22</v>
      </c>
      <c r="Y107">
        <v>23</v>
      </c>
      <c r="Z107">
        <v>24</v>
      </c>
      <c r="AA107">
        <v>25</v>
      </c>
      <c r="AB107">
        <v>26</v>
      </c>
      <c r="AC107">
        <v>27</v>
      </c>
      <c r="AD107">
        <v>28</v>
      </c>
      <c r="AE107">
        <v>29</v>
      </c>
      <c r="AF107">
        <v>30</v>
      </c>
      <c r="AG107" s="235">
        <v>31</v>
      </c>
      <c r="AH107">
        <v>32</v>
      </c>
      <c r="AI107">
        <v>33</v>
      </c>
    </row>
    <row r="108" spans="2:35" ht="15">
      <c r="B108" s="249" t="s">
        <v>197</v>
      </c>
      <c r="C108" s="249">
        <v>1990</v>
      </c>
      <c r="D108" s="249">
        <v>1991</v>
      </c>
      <c r="E108" s="249">
        <v>1992</v>
      </c>
      <c r="F108" s="249">
        <v>1993</v>
      </c>
      <c r="G108" s="249">
        <v>1994</v>
      </c>
      <c r="H108" s="249">
        <v>1995</v>
      </c>
      <c r="I108" s="249">
        <v>1996</v>
      </c>
      <c r="J108" s="249">
        <v>1997</v>
      </c>
      <c r="K108" s="249">
        <v>1998</v>
      </c>
      <c r="L108" s="249">
        <v>1999</v>
      </c>
      <c r="M108" s="249">
        <v>2000</v>
      </c>
      <c r="N108" s="249">
        <v>2001</v>
      </c>
      <c r="O108" s="249">
        <v>2002</v>
      </c>
      <c r="P108" s="249">
        <v>2003</v>
      </c>
      <c r="Q108" s="249">
        <v>2004</v>
      </c>
      <c r="R108" s="249">
        <v>2005</v>
      </c>
      <c r="S108" s="249">
        <v>2006</v>
      </c>
      <c r="T108" s="249">
        <v>2007</v>
      </c>
      <c r="U108" s="249">
        <v>2008</v>
      </c>
      <c r="V108" s="249">
        <v>2009</v>
      </c>
      <c r="W108" s="249">
        <v>2010</v>
      </c>
      <c r="X108" s="249">
        <v>2011</v>
      </c>
      <c r="Y108" s="249">
        <v>2012</v>
      </c>
      <c r="Z108" s="249">
        <v>2013</v>
      </c>
      <c r="AA108" s="249">
        <v>2014</v>
      </c>
      <c r="AB108" s="249">
        <v>2015</v>
      </c>
      <c r="AC108" s="249">
        <v>2016</v>
      </c>
      <c r="AD108" s="249">
        <v>2017</v>
      </c>
      <c r="AE108" s="249">
        <v>2018</v>
      </c>
      <c r="AF108" s="249">
        <v>2019</v>
      </c>
      <c r="AG108" s="249">
        <v>2020</v>
      </c>
      <c r="AH108" s="249">
        <v>2021</v>
      </c>
      <c r="AI108" s="249">
        <v>2022</v>
      </c>
    </row>
    <row r="109" spans="2:35" ht="15">
      <c r="B109" s="94" t="s">
        <v>198</v>
      </c>
      <c r="C109" s="1542">
        <v>20321791.45535329</v>
      </c>
      <c r="D109" s="251">
        <v>20181486.615260955</v>
      </c>
      <c r="E109" s="251">
        <v>20207195.667961344</v>
      </c>
      <c r="F109" s="251">
        <v>19543984.590029698</v>
      </c>
      <c r="G109" s="251">
        <v>19226076.107329927</v>
      </c>
      <c r="H109" s="251">
        <v>19446941.789972879</v>
      </c>
      <c r="I109" s="251">
        <v>20055435.144121803</v>
      </c>
      <c r="J109" s="251">
        <v>20041157.72552244</v>
      </c>
      <c r="K109" s="251">
        <v>20499361.728179619</v>
      </c>
      <c r="L109" s="251">
        <v>20350897.081620175</v>
      </c>
      <c r="M109" s="251">
        <v>20798072.185286213</v>
      </c>
      <c r="N109" s="251">
        <v>20497428.945464261</v>
      </c>
      <c r="O109" s="251">
        <v>20563590.390246037</v>
      </c>
      <c r="P109" s="251">
        <v>21006571.274291307</v>
      </c>
      <c r="Q109" s="251">
        <v>21123345.267644774</v>
      </c>
      <c r="R109" s="251">
        <v>20950720.953052659</v>
      </c>
      <c r="S109" s="251">
        <v>19929480.809616398</v>
      </c>
      <c r="T109" s="251">
        <v>19683687.69058897</v>
      </c>
      <c r="U109" s="251">
        <v>19403366.488379214</v>
      </c>
      <c r="V109" s="251">
        <v>18319642.24882846</v>
      </c>
      <c r="W109" s="251">
        <v>17838225.810190886</v>
      </c>
      <c r="X109" s="251">
        <v>18070268.798841629</v>
      </c>
      <c r="Y109" s="251">
        <v>18432070.947482448</v>
      </c>
      <c r="Z109" s="251">
        <v>18430655.805009976</v>
      </c>
      <c r="AA109" s="251">
        <v>18846867.579833686</v>
      </c>
      <c r="AB109" s="251">
        <v>19392809.765857548</v>
      </c>
      <c r="AC109" s="251">
        <v>20975287.039482024</v>
      </c>
      <c r="AD109" s="251">
        <v>20996303.129400667</v>
      </c>
      <c r="AE109" s="251">
        <v>20229753.492093306</v>
      </c>
      <c r="AF109" s="251">
        <v>22006318.856374301</v>
      </c>
      <c r="AG109" s="251">
        <v>17549884.607563794</v>
      </c>
      <c r="AH109" s="251">
        <v>17629059.903440297</v>
      </c>
      <c r="AI109" s="1633">
        <v>0</v>
      </c>
    </row>
    <row r="110" spans="2:35" ht="15">
      <c r="B110" s="94" t="s">
        <v>199</v>
      </c>
      <c r="C110" s="1542">
        <v>4065897.0013008779</v>
      </c>
      <c r="D110" s="251">
        <v>3857042.8080741293</v>
      </c>
      <c r="E110" s="251">
        <v>3939235.9573933356</v>
      </c>
      <c r="F110" s="251">
        <v>3843308.2116663638</v>
      </c>
      <c r="G110" s="251">
        <v>4153279.3801668864</v>
      </c>
      <c r="H110" s="251">
        <v>4272492.664754332</v>
      </c>
      <c r="I110" s="251">
        <v>4382270.8707258599</v>
      </c>
      <c r="J110" s="251">
        <v>4549506.1611676011</v>
      </c>
      <c r="K110" s="251">
        <v>4727750.8857393553</v>
      </c>
      <c r="L110" s="251">
        <v>4788520.6991134733</v>
      </c>
      <c r="M110" s="251">
        <v>4868626.2893059971</v>
      </c>
      <c r="N110" s="251">
        <v>5800297.1904707197</v>
      </c>
      <c r="O110" s="251">
        <v>5829485.8189829336</v>
      </c>
      <c r="P110" s="251">
        <v>5807018.332081819</v>
      </c>
      <c r="Q110" s="251">
        <v>6054144.9286939744</v>
      </c>
      <c r="R110" s="251">
        <v>5973588.4708327129</v>
      </c>
      <c r="S110" s="251">
        <v>6504057.0720129469</v>
      </c>
      <c r="T110" s="251">
        <v>6421954.7744395072</v>
      </c>
      <c r="U110" s="251">
        <v>6473467.6289164219</v>
      </c>
      <c r="V110" s="251">
        <v>8190326.0711924154</v>
      </c>
      <c r="W110" s="251">
        <v>8087335.1213871613</v>
      </c>
      <c r="X110" s="251">
        <v>7652427.8752390351</v>
      </c>
      <c r="Y110" s="251">
        <v>7763930.9572253935</v>
      </c>
      <c r="Z110" s="251">
        <v>7957599.965515241</v>
      </c>
      <c r="AA110" s="251">
        <v>8152602.8364600111</v>
      </c>
      <c r="AB110" s="251">
        <v>8217812.029339253</v>
      </c>
      <c r="AC110" s="251">
        <v>7700964.3497763937</v>
      </c>
      <c r="AD110" s="251">
        <v>7659769.6000446575</v>
      </c>
      <c r="AE110" s="251">
        <v>7718051.0235316381</v>
      </c>
      <c r="AF110" s="251">
        <v>8128262.6751791202</v>
      </c>
      <c r="AG110" s="251">
        <v>8782265.2261862978</v>
      </c>
      <c r="AH110" s="251">
        <v>8887848.0746235885</v>
      </c>
      <c r="AI110" s="1633">
        <v>0</v>
      </c>
    </row>
    <row r="111" spans="2:35" ht="15">
      <c r="B111" s="94" t="s">
        <v>200</v>
      </c>
      <c r="C111" s="1542">
        <v>8.5338568749348251E-5</v>
      </c>
      <c r="D111" s="251">
        <v>203.54025409738648</v>
      </c>
      <c r="E111" s="251">
        <v>335.18090945787077</v>
      </c>
      <c r="F111" s="251">
        <v>471.38997585662889</v>
      </c>
      <c r="G111" s="251">
        <v>698.05961260409049</v>
      </c>
      <c r="H111" s="251">
        <v>850.32010236591884</v>
      </c>
      <c r="I111" s="251">
        <v>1021.0249978817183</v>
      </c>
      <c r="J111" s="251">
        <v>1191.2385018449309</v>
      </c>
      <c r="K111" s="251">
        <v>1400.9795175958498</v>
      </c>
      <c r="L111" s="251">
        <v>1662.8565997575286</v>
      </c>
      <c r="M111" s="251">
        <v>1789.8470464547777</v>
      </c>
      <c r="N111" s="251">
        <v>1837.6036421425549</v>
      </c>
      <c r="O111" s="251">
        <v>2202.7205573611986</v>
      </c>
      <c r="P111" s="251">
        <v>8614.5207500771921</v>
      </c>
      <c r="Q111" s="251">
        <v>8114.4697482232586</v>
      </c>
      <c r="R111" s="251">
        <v>6876.978935008643</v>
      </c>
      <c r="S111" s="251">
        <v>6704.1798325186774</v>
      </c>
      <c r="T111" s="251">
        <v>6278.1621982163606</v>
      </c>
      <c r="U111" s="251">
        <v>5369.6575393155381</v>
      </c>
      <c r="V111" s="251">
        <v>4787.4816590359169</v>
      </c>
      <c r="W111" s="251">
        <v>4790.9399217198225</v>
      </c>
      <c r="X111" s="251">
        <v>4450.0545943688448</v>
      </c>
      <c r="Y111" s="251">
        <v>4691.1399212008828</v>
      </c>
      <c r="Z111" s="251">
        <v>4962.0422382815777</v>
      </c>
      <c r="AA111" s="251">
        <v>5630.0562624400591</v>
      </c>
      <c r="AB111" s="251">
        <v>5506.7300112612775</v>
      </c>
      <c r="AC111" s="251">
        <v>5909.1902378049472</v>
      </c>
      <c r="AD111" s="251">
        <v>6328.6821988323063</v>
      </c>
      <c r="AE111" s="251">
        <v>6750.022148486868</v>
      </c>
      <c r="AF111" s="251">
        <v>7202.8440952280271</v>
      </c>
      <c r="AG111" s="251">
        <v>6578.5376675247226</v>
      </c>
      <c r="AH111" s="251">
        <v>7522.7338446600352</v>
      </c>
      <c r="AI111" s="1633">
        <v>0</v>
      </c>
    </row>
    <row r="112" spans="2:35" ht="15">
      <c r="B112" s="94" t="s">
        <v>201</v>
      </c>
      <c r="C112" s="1542">
        <v>3.0500087160554492E-3</v>
      </c>
      <c r="D112" s="251">
        <v>0</v>
      </c>
      <c r="E112" s="251">
        <v>0.26063386197163529</v>
      </c>
      <c r="F112" s="251">
        <v>0.51391568049097658</v>
      </c>
      <c r="G112" s="251">
        <v>0.76607916306407364</v>
      </c>
      <c r="H112" s="251">
        <v>1.0159510680764194</v>
      </c>
      <c r="I112" s="251">
        <v>1.2647146144363759</v>
      </c>
      <c r="J112" s="251">
        <v>1.5345612290226553</v>
      </c>
      <c r="K112" s="251">
        <v>2.0647001976696897</v>
      </c>
      <c r="L112" s="251">
        <v>3.1139539882035399</v>
      </c>
      <c r="M112" s="251">
        <v>3.4691764949217463</v>
      </c>
      <c r="N112" s="251">
        <v>4.5573822706750384</v>
      </c>
      <c r="O112" s="251">
        <v>4.5620828130907425</v>
      </c>
      <c r="P112" s="251">
        <v>18.266770857968059</v>
      </c>
      <c r="Q112" s="251">
        <v>47.202982330054503</v>
      </c>
      <c r="R112" s="251">
        <v>40.756275676206286</v>
      </c>
      <c r="S112" s="251">
        <v>45.439344755024969</v>
      </c>
      <c r="T112" s="251">
        <v>34.254393908413157</v>
      </c>
      <c r="U112" s="251">
        <v>38.341362993488843</v>
      </c>
      <c r="V112" s="251">
        <v>142.21197768726111</v>
      </c>
      <c r="W112" s="251">
        <v>45.949344187975328</v>
      </c>
      <c r="X112" s="251">
        <v>46.749473655081246</v>
      </c>
      <c r="Y112" s="251">
        <v>45.948711822428905</v>
      </c>
      <c r="Z112" s="251">
        <v>44.410809573975499</v>
      </c>
      <c r="AA112" s="251">
        <v>41.073342396567384</v>
      </c>
      <c r="AB112" s="251">
        <v>42.121748100415878</v>
      </c>
      <c r="AC112" s="251">
        <v>36.286087431799366</v>
      </c>
      <c r="AD112" s="251">
        <v>36.55230855897814</v>
      </c>
      <c r="AE112" s="251">
        <v>35.069574241158151</v>
      </c>
      <c r="AF112" s="251">
        <v>31.978416779146798</v>
      </c>
      <c r="AG112" s="251">
        <v>23.708869422138545</v>
      </c>
      <c r="AH112" s="251">
        <v>19.709805269442445</v>
      </c>
      <c r="AI112" s="1633">
        <v>0</v>
      </c>
    </row>
    <row r="113" spans="2:35" ht="15">
      <c r="B113" s="94" t="s">
        <v>202</v>
      </c>
      <c r="C113" s="1542">
        <v>2636.3748623807037</v>
      </c>
      <c r="D113" s="251">
        <v>3029.5773735142302</v>
      </c>
      <c r="E113" s="251">
        <v>2711.0422514129777</v>
      </c>
      <c r="F113" s="251">
        <v>3218.0377454520403</v>
      </c>
      <c r="G113" s="251">
        <v>3103.3144181623638</v>
      </c>
      <c r="H113" s="251">
        <v>2998.5826955105058</v>
      </c>
      <c r="I113" s="251">
        <v>3018.4082780725757</v>
      </c>
      <c r="J113" s="251">
        <v>3039.4212385483979</v>
      </c>
      <c r="K113" s="251">
        <v>3079.4394542160671</v>
      </c>
      <c r="L113" s="251">
        <v>3087.3914966310945</v>
      </c>
      <c r="M113" s="251">
        <v>3058.0040844073337</v>
      </c>
      <c r="N113" s="251">
        <v>2896.2051403472578</v>
      </c>
      <c r="O113" s="251">
        <v>3068.1829420141494</v>
      </c>
      <c r="P113" s="251">
        <v>10884.326771871298</v>
      </c>
      <c r="Q113" s="251">
        <v>7145.3255717439033</v>
      </c>
      <c r="R113" s="251">
        <v>5804.6095723410563</v>
      </c>
      <c r="S113" s="251">
        <v>4310.3995062344738</v>
      </c>
      <c r="T113" s="251">
        <v>3076.0348635525643</v>
      </c>
      <c r="U113" s="251">
        <v>2468.2087495036581</v>
      </c>
      <c r="V113" s="251">
        <v>1782.996260196039</v>
      </c>
      <c r="W113" s="251">
        <v>1635.3172221968584</v>
      </c>
      <c r="X113" s="251">
        <v>1550.666227015239</v>
      </c>
      <c r="Y113" s="251">
        <v>1251.3321472746234</v>
      </c>
      <c r="Z113" s="251">
        <v>1275.4441052757672</v>
      </c>
      <c r="AA113" s="251">
        <v>1160.4435344343203</v>
      </c>
      <c r="AB113" s="251">
        <v>919.63816546806231</v>
      </c>
      <c r="AC113" s="251">
        <v>913.93180876583233</v>
      </c>
      <c r="AD113" s="251">
        <v>826.11343679767651</v>
      </c>
      <c r="AE113" s="251">
        <v>754.09344460983357</v>
      </c>
      <c r="AF113" s="251">
        <v>674.72965954872484</v>
      </c>
      <c r="AG113" s="251">
        <v>508.40939262872212</v>
      </c>
      <c r="AH113" s="251">
        <v>449.28866617645923</v>
      </c>
      <c r="AI113" s="1633">
        <v>0</v>
      </c>
    </row>
    <row r="114" spans="2:35" ht="15">
      <c r="B114" s="249" t="s">
        <v>189</v>
      </c>
      <c r="C114" s="1544">
        <v>24390324.834651895</v>
      </c>
      <c r="D114" s="253">
        <v>24041762.540962696</v>
      </c>
      <c r="E114" s="253">
        <v>24149478.109149415</v>
      </c>
      <c r="F114" s="253">
        <v>23390982.743333053</v>
      </c>
      <c r="G114" s="253">
        <v>23383157.627606746</v>
      </c>
      <c r="H114" s="253">
        <v>23723284.373476155</v>
      </c>
      <c r="I114" s="253">
        <v>24441746.712838233</v>
      </c>
      <c r="J114" s="253">
        <v>24594896.080991667</v>
      </c>
      <c r="K114" s="253">
        <v>25231595.097590987</v>
      </c>
      <c r="L114" s="253">
        <v>25144171.142784029</v>
      </c>
      <c r="M114" s="253">
        <v>25671549.794899564</v>
      </c>
      <c r="N114" s="253">
        <v>26302464.502099741</v>
      </c>
      <c r="O114" s="253">
        <v>26398351.674811158</v>
      </c>
      <c r="P114" s="253">
        <v>26833106.720665928</v>
      </c>
      <c r="Q114" s="253">
        <v>27192797.19464105</v>
      </c>
      <c r="R114" s="253">
        <v>26937031.768668395</v>
      </c>
      <c r="S114" s="253">
        <v>26444597.900312852</v>
      </c>
      <c r="T114" s="253">
        <v>26115030.916484155</v>
      </c>
      <c r="U114" s="253">
        <v>25884710.32494745</v>
      </c>
      <c r="V114" s="253">
        <v>26516681.009917796</v>
      </c>
      <c r="W114" s="253">
        <v>25932033.13806615</v>
      </c>
      <c r="X114" s="253">
        <v>25728744.144375701</v>
      </c>
      <c r="Y114" s="253">
        <v>26201990.325488139</v>
      </c>
      <c r="Z114" s="253">
        <v>26394537.667678345</v>
      </c>
      <c r="AA114" s="253">
        <v>27006301.989432968</v>
      </c>
      <c r="AB114" s="253">
        <v>27617090.285121631</v>
      </c>
      <c r="AC114" s="253">
        <v>28683110.79739242</v>
      </c>
      <c r="AD114" s="253">
        <v>28663264.077389516</v>
      </c>
      <c r="AE114" s="253">
        <v>27955343.700792279</v>
      </c>
      <c r="AF114" s="253">
        <v>30142491.083724976</v>
      </c>
      <c r="AG114" s="253">
        <v>26339260.489679668</v>
      </c>
      <c r="AH114" s="253">
        <v>26524899.710379992</v>
      </c>
      <c r="AI114" s="1453">
        <v>0</v>
      </c>
    </row>
    <row r="115" spans="2:35">
      <c r="B115" s="11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255"/>
      <c r="AB115" s="255"/>
      <c r="AC115" s="255"/>
      <c r="AD115" s="255"/>
      <c r="AE115" s="255"/>
      <c r="AF115" s="255"/>
      <c r="AG115" s="255"/>
      <c r="AH115" s="1452"/>
      <c r="AI115" s="1635"/>
    </row>
    <row r="116" spans="2:35" ht="15">
      <c r="B116" s="249" t="s">
        <v>203</v>
      </c>
      <c r="C116" s="249">
        <v>1990</v>
      </c>
      <c r="D116" s="249">
        <v>1991</v>
      </c>
      <c r="E116" s="249">
        <v>1992</v>
      </c>
      <c r="F116" s="249">
        <v>1993</v>
      </c>
      <c r="G116" s="249">
        <v>1994</v>
      </c>
      <c r="H116" s="249">
        <v>1995</v>
      </c>
      <c r="I116" s="249">
        <v>1996</v>
      </c>
      <c r="J116" s="249">
        <v>1997</v>
      </c>
      <c r="K116" s="249">
        <v>1998</v>
      </c>
      <c r="L116" s="249">
        <v>1999</v>
      </c>
      <c r="M116" s="249">
        <v>2000</v>
      </c>
      <c r="N116" s="249">
        <v>2001</v>
      </c>
      <c r="O116" s="249">
        <v>2002</v>
      </c>
      <c r="P116" s="249">
        <v>2003</v>
      </c>
      <c r="Q116" s="249">
        <v>2004</v>
      </c>
      <c r="R116" s="249">
        <v>2005</v>
      </c>
      <c r="S116" s="249">
        <v>2006</v>
      </c>
      <c r="T116" s="249">
        <v>2007</v>
      </c>
      <c r="U116" s="249">
        <v>2008</v>
      </c>
      <c r="V116" s="249">
        <v>2009</v>
      </c>
      <c r="W116" s="249">
        <v>2010</v>
      </c>
      <c r="X116" s="249">
        <v>2011</v>
      </c>
      <c r="Y116" s="249">
        <v>2012</v>
      </c>
      <c r="Z116" s="249">
        <v>2013</v>
      </c>
      <c r="AA116" s="249">
        <v>2014</v>
      </c>
      <c r="AB116" s="249">
        <v>2015</v>
      </c>
      <c r="AC116" s="249">
        <v>2016</v>
      </c>
      <c r="AD116" s="249">
        <v>2017</v>
      </c>
      <c r="AE116" s="249">
        <v>2018</v>
      </c>
      <c r="AF116" s="249">
        <v>2019</v>
      </c>
      <c r="AG116" s="249">
        <v>2020</v>
      </c>
      <c r="AH116" s="249">
        <v>2021</v>
      </c>
      <c r="AI116" s="249">
        <v>2022</v>
      </c>
    </row>
    <row r="117" spans="2:35" ht="15">
      <c r="B117" s="94" t="s">
        <v>204</v>
      </c>
      <c r="C117" s="1542">
        <v>4113047.6877383376</v>
      </c>
      <c r="D117" s="251">
        <v>2961504.2994215679</v>
      </c>
      <c r="E117" s="251">
        <v>2399189.9596033371</v>
      </c>
      <c r="F117" s="251">
        <v>2379510.6294095125</v>
      </c>
      <c r="G117" s="251">
        <v>2284385.6060477435</v>
      </c>
      <c r="H117" s="251">
        <v>2116564.8895564419</v>
      </c>
      <c r="I117" s="251">
        <v>2250710.0472080559</v>
      </c>
      <c r="J117" s="251">
        <v>2260328.9132617996</v>
      </c>
      <c r="K117" s="251">
        <v>2121816.6396366372</v>
      </c>
      <c r="L117" s="251">
        <v>2214194.5902903508</v>
      </c>
      <c r="M117" s="251">
        <v>2216456.1729133204</v>
      </c>
      <c r="N117" s="251">
        <v>1895949.3857588684</v>
      </c>
      <c r="O117" s="251">
        <v>1524596.8965750788</v>
      </c>
      <c r="P117" s="251">
        <v>1764323.7511047272</v>
      </c>
      <c r="Q117" s="251">
        <v>2272290.5405147215</v>
      </c>
      <c r="R117" s="251">
        <v>2490316.7473105914</v>
      </c>
      <c r="S117" s="251">
        <v>2311602.4040939105</v>
      </c>
      <c r="T117" s="251">
        <v>2270422.1361884931</v>
      </c>
      <c r="U117" s="251">
        <v>3041343.4893651498</v>
      </c>
      <c r="V117" s="251">
        <v>1683947.5424757202</v>
      </c>
      <c r="W117" s="251">
        <v>2355847.0565995187</v>
      </c>
      <c r="X117" s="251">
        <v>2318194.1111806622</v>
      </c>
      <c r="Y117" s="251">
        <v>2300956.0209191605</v>
      </c>
      <c r="Z117" s="251">
        <v>2394978.9523507538</v>
      </c>
      <c r="AA117" s="251">
        <v>2324201.0586761241</v>
      </c>
      <c r="AB117" s="251">
        <v>2275976.5590372835</v>
      </c>
      <c r="AC117" s="251">
        <v>2415002.4265656085</v>
      </c>
      <c r="AD117" s="251">
        <v>2638506.7365818587</v>
      </c>
      <c r="AE117" s="251">
        <v>2805968.6004345235</v>
      </c>
      <c r="AF117" s="251">
        <v>2987724.074854699</v>
      </c>
      <c r="AG117" s="251">
        <v>1511667.042751191</v>
      </c>
      <c r="AH117" s="251">
        <v>2156332.2863087771</v>
      </c>
      <c r="AI117" s="1633">
        <v>2678518.4512100425</v>
      </c>
    </row>
    <row r="118" spans="2:35" ht="15">
      <c r="B118" s="94" t="s">
        <v>205</v>
      </c>
      <c r="C118" s="1542">
        <v>171952.13414634144</v>
      </c>
      <c r="D118" s="251">
        <v>540751.82926829252</v>
      </c>
      <c r="E118" s="251">
        <v>188163.10975609752</v>
      </c>
      <c r="F118" s="251">
        <v>155306.9359756097</v>
      </c>
      <c r="G118" s="251">
        <v>46823.666158536573</v>
      </c>
      <c r="H118" s="251">
        <v>4704.0777439024378</v>
      </c>
      <c r="I118" s="251">
        <v>1809.2606707317068</v>
      </c>
      <c r="J118" s="251">
        <v>868.44512195121922</v>
      </c>
      <c r="K118" s="251">
        <v>-144.74085365853654</v>
      </c>
      <c r="L118" s="251">
        <v>0</v>
      </c>
      <c r="M118" s="251">
        <v>0</v>
      </c>
      <c r="N118" s="251">
        <v>0</v>
      </c>
      <c r="O118" s="251">
        <v>0</v>
      </c>
      <c r="P118" s="251">
        <v>0</v>
      </c>
      <c r="Q118" s="251">
        <v>0</v>
      </c>
      <c r="R118" s="251">
        <v>0</v>
      </c>
      <c r="S118" s="251">
        <v>0</v>
      </c>
      <c r="T118" s="251">
        <v>0</v>
      </c>
      <c r="U118" s="251">
        <v>0</v>
      </c>
      <c r="V118" s="251">
        <v>0</v>
      </c>
      <c r="W118" s="251">
        <v>0</v>
      </c>
      <c r="X118" s="251">
        <v>0</v>
      </c>
      <c r="Y118" s="251">
        <v>0</v>
      </c>
      <c r="Z118" s="251">
        <v>0</v>
      </c>
      <c r="AA118" s="251">
        <v>0</v>
      </c>
      <c r="AB118" s="251">
        <v>0</v>
      </c>
      <c r="AC118" s="251">
        <v>0</v>
      </c>
      <c r="AD118" s="251">
        <v>0</v>
      </c>
      <c r="AE118" s="251">
        <v>0</v>
      </c>
      <c r="AF118" s="251">
        <v>0</v>
      </c>
      <c r="AG118" s="251">
        <v>0</v>
      </c>
      <c r="AH118" s="251">
        <v>0</v>
      </c>
      <c r="AI118" s="1633">
        <v>0</v>
      </c>
    </row>
    <row r="119" spans="2:35" ht="15">
      <c r="B119" s="94" t="s">
        <v>206</v>
      </c>
      <c r="C119" s="1542">
        <v>33852.999999999993</v>
      </c>
      <c r="D119" s="251">
        <v>15704.999999999996</v>
      </c>
      <c r="E119" s="251">
        <v>15704.999999999996</v>
      </c>
      <c r="F119" s="251">
        <v>29664.999999999993</v>
      </c>
      <c r="G119" s="251">
        <v>25476.999999999989</v>
      </c>
      <c r="H119" s="251">
        <v>29315.999999999993</v>
      </c>
      <c r="I119" s="251">
        <v>31409.999999999993</v>
      </c>
      <c r="J119" s="251">
        <v>30362.999999999989</v>
      </c>
      <c r="K119" s="251">
        <v>30362.999999999989</v>
      </c>
      <c r="L119" s="251">
        <v>33503.999999999993</v>
      </c>
      <c r="M119" s="251">
        <v>40483.999999999985</v>
      </c>
      <c r="N119" s="251">
        <v>27919.999999999985</v>
      </c>
      <c r="O119" s="251">
        <v>26872.999999999993</v>
      </c>
      <c r="P119" s="251">
        <v>28268.999999999985</v>
      </c>
      <c r="Q119" s="251">
        <v>33154.999999999985</v>
      </c>
      <c r="R119" s="251">
        <v>40832.999999999985</v>
      </c>
      <c r="S119" s="251">
        <v>17100.999999999993</v>
      </c>
      <c r="T119" s="251">
        <v>30362.999999999989</v>
      </c>
      <c r="U119" s="251">
        <v>17449.999999999996</v>
      </c>
      <c r="V119" s="251">
        <v>33852.999999999993</v>
      </c>
      <c r="W119" s="251">
        <v>19543.999999999993</v>
      </c>
      <c r="X119" s="251">
        <v>18496.999999999993</v>
      </c>
      <c r="Y119" s="251">
        <v>17449.999999999996</v>
      </c>
      <c r="Z119" s="251">
        <v>15006.999999999993</v>
      </c>
      <c r="AA119" s="251">
        <v>25825.999999999993</v>
      </c>
      <c r="AB119" s="251">
        <v>24778.999999999993</v>
      </c>
      <c r="AC119" s="251">
        <v>24080.999999999993</v>
      </c>
      <c r="AD119" s="251">
        <v>23382.999999999993</v>
      </c>
      <c r="AE119" s="251">
        <v>26872.999999999993</v>
      </c>
      <c r="AF119" s="251">
        <v>26872.999999999993</v>
      </c>
      <c r="AG119" s="251">
        <v>21986.999999999993</v>
      </c>
      <c r="AH119" s="251">
        <v>24778.999999999993</v>
      </c>
      <c r="AI119" s="1633">
        <v>25718.700475435809</v>
      </c>
    </row>
    <row r="120" spans="2:35" ht="15">
      <c r="B120" s="94" t="s">
        <v>198</v>
      </c>
      <c r="C120" s="1542">
        <v>1087952.7218348845</v>
      </c>
      <c r="D120" s="251">
        <v>1043933.7375193168</v>
      </c>
      <c r="E120" s="251">
        <v>899952.7248256217</v>
      </c>
      <c r="F120" s="251">
        <v>704405.69343707454</v>
      </c>
      <c r="G120" s="251">
        <v>791987.49440966698</v>
      </c>
      <c r="H120" s="251">
        <v>790894.10590297775</v>
      </c>
      <c r="I120" s="251">
        <v>773167.24893819808</v>
      </c>
      <c r="J120" s="251">
        <v>797023.13039284595</v>
      </c>
      <c r="K120" s="251">
        <v>735757.40361272497</v>
      </c>
      <c r="L120" s="251">
        <v>984557.67034063663</v>
      </c>
      <c r="M120" s="251">
        <v>1037950.5295115409</v>
      </c>
      <c r="N120" s="251">
        <v>1126865.0725393542</v>
      </c>
      <c r="O120" s="251">
        <v>1166907.4865154091</v>
      </c>
      <c r="P120" s="251">
        <v>1205891.0208315258</v>
      </c>
      <c r="Q120" s="251">
        <v>1215304.7495160094</v>
      </c>
      <c r="R120" s="251">
        <v>1225186.2202983834</v>
      </c>
      <c r="S120" s="251">
        <v>1237969.606119819</v>
      </c>
      <c r="T120" s="251">
        <v>1282277.0670637304</v>
      </c>
      <c r="U120" s="251">
        <v>1251282.8268804655</v>
      </c>
      <c r="V120" s="251">
        <v>1239395.8657750841</v>
      </c>
      <c r="W120" s="251">
        <v>1321913.1554960585</v>
      </c>
      <c r="X120" s="251">
        <v>1431826.8117058764</v>
      </c>
      <c r="Y120" s="251">
        <v>1250746.0698150434</v>
      </c>
      <c r="Z120" s="251">
        <v>1424089.0592854721</v>
      </c>
      <c r="AA120" s="251">
        <v>1371715.1338282824</v>
      </c>
      <c r="AB120" s="251">
        <v>1010708.8807213925</v>
      </c>
      <c r="AC120" s="251">
        <v>1045081.1688828121</v>
      </c>
      <c r="AD120" s="251">
        <v>1055495.0638620607</v>
      </c>
      <c r="AE120" s="251">
        <v>1035822.613155137</v>
      </c>
      <c r="AF120" s="251">
        <v>1052916.9371980887</v>
      </c>
      <c r="AG120" s="251">
        <v>1039913.0019752037</v>
      </c>
      <c r="AH120" s="251">
        <v>1129620.3764769332</v>
      </c>
      <c r="AI120" s="1633">
        <v>0</v>
      </c>
    </row>
    <row r="121" spans="2:35" ht="15">
      <c r="B121" s="94" t="s">
        <v>207</v>
      </c>
      <c r="C121" s="1542">
        <v>1909892.2902979651</v>
      </c>
      <c r="D121" s="251">
        <v>1400620.9799287703</v>
      </c>
      <c r="E121" s="251">
        <v>1379420.3763316325</v>
      </c>
      <c r="F121" s="251">
        <v>446922.10958203464</v>
      </c>
      <c r="G121" s="251">
        <v>1724535.532114014</v>
      </c>
      <c r="H121" s="251">
        <v>1722085.3285314187</v>
      </c>
      <c r="I121" s="251">
        <v>2040494.4336799751</v>
      </c>
      <c r="J121" s="251">
        <v>1982053.9880710659</v>
      </c>
      <c r="K121" s="251">
        <v>1821898.9578892579</v>
      </c>
      <c r="L121" s="251">
        <v>1860970.7751202916</v>
      </c>
      <c r="M121" s="251">
        <v>1958975.0060955477</v>
      </c>
      <c r="N121" s="251">
        <v>2580932.9761342537</v>
      </c>
      <c r="O121" s="251">
        <v>2368903.0142390397</v>
      </c>
      <c r="P121" s="251">
        <v>2339343.2568617323</v>
      </c>
      <c r="Q121" s="251">
        <v>2483704.3790511345</v>
      </c>
      <c r="R121" s="251">
        <v>2812580.0987061402</v>
      </c>
      <c r="S121" s="251">
        <v>2847634.85682509</v>
      </c>
      <c r="T121" s="251">
        <v>2793476.9000695185</v>
      </c>
      <c r="U121" s="251">
        <v>2314112.7214660118</v>
      </c>
      <c r="V121" s="251">
        <v>2169353.8368972247</v>
      </c>
      <c r="W121" s="251">
        <v>2218015.8591641672</v>
      </c>
      <c r="X121" s="251">
        <v>2337273.8578972807</v>
      </c>
      <c r="Y121" s="251">
        <v>1984766.2561979461</v>
      </c>
      <c r="Z121" s="251">
        <v>2017053.5844008895</v>
      </c>
      <c r="AA121" s="251">
        <v>2131990.0414077621</v>
      </c>
      <c r="AB121" s="251">
        <v>1317850.7613168403</v>
      </c>
      <c r="AC121" s="251">
        <v>1425774.4965419234</v>
      </c>
      <c r="AD121" s="251">
        <v>1301808.0034984853</v>
      </c>
      <c r="AE121" s="251">
        <v>1412385.6885756468</v>
      </c>
      <c r="AF121" s="251">
        <v>1450662.7655366033</v>
      </c>
      <c r="AG121" s="251">
        <v>1633101.9182613594</v>
      </c>
      <c r="AH121" s="251">
        <v>1734376.4866756967</v>
      </c>
      <c r="AI121" s="1633">
        <v>0</v>
      </c>
    </row>
    <row r="122" spans="2:35" ht="15">
      <c r="B122" s="94" t="s">
        <v>208</v>
      </c>
      <c r="C122" s="1542">
        <v>645212.43306666671</v>
      </c>
      <c r="D122" s="251">
        <v>207828.30933333334</v>
      </c>
      <c r="E122" s="251">
        <v>203104.93866666668</v>
      </c>
      <c r="F122" s="251">
        <v>162956.288</v>
      </c>
      <c r="G122" s="251">
        <v>171930.69226666668</v>
      </c>
      <c r="H122" s="251">
        <v>93995.076266666671</v>
      </c>
      <c r="I122" s="251">
        <v>945618.80746666656</v>
      </c>
      <c r="J122" s="251">
        <v>651825.152</v>
      </c>
      <c r="K122" s="251">
        <v>14170.112000000001</v>
      </c>
      <c r="L122" s="251">
        <v>9919.0784000000021</v>
      </c>
      <c r="M122" s="251">
        <v>254589.67893333334</v>
      </c>
      <c r="N122" s="251">
        <v>135560.73813333336</v>
      </c>
      <c r="O122" s="251">
        <v>148313.83893333332</v>
      </c>
      <c r="P122" s="251">
        <v>3306.3594666666668</v>
      </c>
      <c r="Q122" s="251">
        <v>944.67413333333354</v>
      </c>
      <c r="R122" s="251">
        <v>305129.74506666668</v>
      </c>
      <c r="S122" s="251">
        <v>176654.06293333333</v>
      </c>
      <c r="T122" s="251">
        <v>132726.71573333335</v>
      </c>
      <c r="U122" s="251">
        <v>143118.1312</v>
      </c>
      <c r="V122" s="251">
        <v>187990.15253333334</v>
      </c>
      <c r="W122" s="251">
        <v>134143.72693333335</v>
      </c>
      <c r="X122" s="251">
        <v>99190.784</v>
      </c>
      <c r="Y122" s="251">
        <v>77463.278933333349</v>
      </c>
      <c r="Z122" s="251">
        <v>93050.402133333322</v>
      </c>
      <c r="AA122" s="251">
        <v>44399.684266666663</v>
      </c>
      <c r="AB122" s="251">
        <v>40620.987733333335</v>
      </c>
      <c r="AC122" s="251">
        <v>94467.41333333333</v>
      </c>
      <c r="AD122" s="251">
        <v>155871.23200000002</v>
      </c>
      <c r="AE122" s="251">
        <v>51957.077333333335</v>
      </c>
      <c r="AF122" s="251">
        <v>99663.121066666674</v>
      </c>
      <c r="AG122" s="251">
        <v>6140.3818666666675</v>
      </c>
      <c r="AH122" s="251">
        <v>102969.48053333334</v>
      </c>
      <c r="AI122" s="1633">
        <v>0</v>
      </c>
    </row>
    <row r="123" spans="2:35" ht="15">
      <c r="B123" s="249" t="s">
        <v>189</v>
      </c>
      <c r="C123" s="1544">
        <v>7961910.2670841953</v>
      </c>
      <c r="D123" s="253">
        <v>6170344.1554712811</v>
      </c>
      <c r="E123" s="253">
        <v>5085536.1091833552</v>
      </c>
      <c r="F123" s="253">
        <v>3878766.6564042321</v>
      </c>
      <c r="G123" s="253">
        <v>5045139.9909966271</v>
      </c>
      <c r="H123" s="253">
        <v>4757559.4780014073</v>
      </c>
      <c r="I123" s="253">
        <v>6043209.7979636276</v>
      </c>
      <c r="J123" s="253">
        <v>5722462.6288476633</v>
      </c>
      <c r="K123" s="253">
        <v>4723861.3722849619</v>
      </c>
      <c r="L123" s="253">
        <v>5103146.1141512794</v>
      </c>
      <c r="M123" s="253">
        <v>5508455.3874537423</v>
      </c>
      <c r="N123" s="253">
        <v>5767228.1725658104</v>
      </c>
      <c r="O123" s="253">
        <v>5235594.2362628616</v>
      </c>
      <c r="P123" s="253">
        <v>5341133.3882646514</v>
      </c>
      <c r="Q123" s="253">
        <v>6005399.3432151983</v>
      </c>
      <c r="R123" s="253">
        <v>6874045.8113817815</v>
      </c>
      <c r="S123" s="253">
        <v>6590961.9299721532</v>
      </c>
      <c r="T123" s="253">
        <v>6509265.8190550758</v>
      </c>
      <c r="U123" s="253">
        <v>6767307.1689116275</v>
      </c>
      <c r="V123" s="253">
        <v>5314540.3976813629</v>
      </c>
      <c r="W123" s="253">
        <v>6049463.7981930776</v>
      </c>
      <c r="X123" s="253">
        <v>6204982.564783819</v>
      </c>
      <c r="Y123" s="253">
        <v>5631381.6258654837</v>
      </c>
      <c r="Z123" s="253">
        <v>5944178.9981704494</v>
      </c>
      <c r="AA123" s="253">
        <v>5898131.918178835</v>
      </c>
      <c r="AB123" s="253">
        <v>4669936.18880885</v>
      </c>
      <c r="AC123" s="253">
        <v>5004406.5053236773</v>
      </c>
      <c r="AD123" s="253">
        <v>5175064.0359424045</v>
      </c>
      <c r="AE123" s="253">
        <v>5333006.9794986406</v>
      </c>
      <c r="AF123" s="253">
        <v>5617839.8986560572</v>
      </c>
      <c r="AG123" s="253">
        <v>4212809.344854421</v>
      </c>
      <c r="AH123" s="253">
        <v>5148077.6299947407</v>
      </c>
      <c r="AI123" s="1453">
        <v>2704237.1516854782</v>
      </c>
    </row>
    <row r="124" spans="2:35">
      <c r="B124" s="256"/>
      <c r="C124" s="252"/>
      <c r="D124" s="255"/>
      <c r="E124" s="255"/>
      <c r="F124" s="255"/>
      <c r="G124" s="255"/>
      <c r="H124" s="255"/>
      <c r="I124" s="255"/>
      <c r="J124" s="255"/>
      <c r="K124" s="255"/>
      <c r="L124" s="255"/>
      <c r="M124" s="255"/>
      <c r="N124" s="255"/>
      <c r="O124" s="255"/>
      <c r="P124" s="255"/>
      <c r="Q124" s="255"/>
      <c r="R124" s="255"/>
      <c r="S124" s="255"/>
      <c r="T124" s="255"/>
      <c r="U124" s="255"/>
      <c r="V124" s="255"/>
      <c r="W124" s="255"/>
      <c r="X124" s="255"/>
      <c r="AI124" s="234"/>
    </row>
    <row r="127" spans="2:35" ht="16.5">
      <c r="B127" s="243" t="s">
        <v>209</v>
      </c>
    </row>
    <row r="128" spans="2:35" ht="15">
      <c r="B128" s="259" t="s">
        <v>210</v>
      </c>
      <c r="AC128" s="234"/>
      <c r="AE128" s="234"/>
    </row>
    <row r="129" spans="1:35" ht="15">
      <c r="B129" s="273"/>
      <c r="C129" s="249">
        <v>1990</v>
      </c>
      <c r="D129" s="249">
        <v>1991</v>
      </c>
      <c r="E129" s="249">
        <v>1992</v>
      </c>
      <c r="F129" s="249">
        <v>1993</v>
      </c>
      <c r="G129" s="249">
        <v>1994</v>
      </c>
      <c r="H129" s="249">
        <v>1995</v>
      </c>
      <c r="I129" s="249">
        <v>1996</v>
      </c>
      <c r="J129" s="249">
        <v>1997</v>
      </c>
      <c r="K129" s="249">
        <v>1998</v>
      </c>
      <c r="L129" s="249">
        <v>1999</v>
      </c>
      <c r="M129" s="249">
        <v>2000</v>
      </c>
      <c r="N129" s="249">
        <v>2001</v>
      </c>
      <c r="O129" s="249">
        <v>2002</v>
      </c>
      <c r="P129" s="249">
        <v>2003</v>
      </c>
      <c r="Q129" s="249">
        <v>2004</v>
      </c>
      <c r="R129" s="249">
        <v>2005</v>
      </c>
      <c r="S129" s="249">
        <v>2006</v>
      </c>
      <c r="T129" s="249">
        <v>2007</v>
      </c>
      <c r="U129" s="249">
        <v>2008</v>
      </c>
      <c r="V129" s="249">
        <v>2009</v>
      </c>
      <c r="W129" s="249">
        <v>2010</v>
      </c>
      <c r="X129" s="249">
        <v>2011</v>
      </c>
      <c r="Y129" s="249">
        <v>2012</v>
      </c>
      <c r="Z129" s="249">
        <v>2013</v>
      </c>
      <c r="AA129" s="249">
        <v>2014</v>
      </c>
      <c r="AB129" s="249">
        <v>2015</v>
      </c>
      <c r="AC129" s="249">
        <v>2016</v>
      </c>
      <c r="AD129" s="249">
        <v>2017</v>
      </c>
      <c r="AE129" s="249">
        <v>2018</v>
      </c>
      <c r="AF129" s="249">
        <v>2019</v>
      </c>
      <c r="AG129" s="249">
        <v>2020</v>
      </c>
      <c r="AH129" s="249">
        <v>2021</v>
      </c>
      <c r="AI129" s="249">
        <v>2022</v>
      </c>
    </row>
    <row r="130" spans="1:35" ht="15">
      <c r="A130" s="235"/>
      <c r="B130" s="272" t="s">
        <v>211</v>
      </c>
      <c r="C130" s="420">
        <f>CO2_FFC!C20</f>
        <v>28.506437825265561</v>
      </c>
      <c r="D130" s="274">
        <f>CO2_FFC!D20</f>
        <v>26.924606252648253</v>
      </c>
      <c r="E130" s="274">
        <f>CO2_FFC!E20</f>
        <v>26.448466366325668</v>
      </c>
      <c r="F130" s="274">
        <f>CO2_FFC!F20</f>
        <v>26.684940195948617</v>
      </c>
      <c r="G130" s="274">
        <f>CO2_FFC!G20</f>
        <v>26.904845065360281</v>
      </c>
      <c r="H130" s="274">
        <f>CO2_FFC!H20</f>
        <v>27.543957964998537</v>
      </c>
      <c r="I130" s="274">
        <f>CO2_FFC!I20</f>
        <v>28.348712325078182</v>
      </c>
      <c r="J130" s="274">
        <f>CO2_FFC!J20</f>
        <v>28.691676822505464</v>
      </c>
      <c r="K130" s="274">
        <f>CO2_FFC!K20</f>
        <v>28.98102039463458</v>
      </c>
      <c r="L130" s="274">
        <f>CO2_FFC!L20</f>
        <v>29.667708078894691</v>
      </c>
      <c r="M130" s="274">
        <f>CO2_FFC!M20</f>
        <v>30.840346353806449</v>
      </c>
      <c r="N130" s="274">
        <f>CO2_FFC!N20</f>
        <v>30.391075770329753</v>
      </c>
      <c r="O130" s="274">
        <f>CO2_FFC!O20</f>
        <v>30.599206279874757</v>
      </c>
      <c r="P130" s="274">
        <f>CO2_FFC!P20</f>
        <v>31.044336567887118</v>
      </c>
      <c r="Q130" s="274">
        <f>CO2_FFC!Q20</f>
        <v>32.341144579996183</v>
      </c>
      <c r="R130" s="274">
        <f>CO2_FFC!R20</f>
        <v>32.347883053926061</v>
      </c>
      <c r="S130" s="274">
        <f>CO2_FFC!S20</f>
        <v>31.473855031392308</v>
      </c>
      <c r="T130" s="274">
        <f>CO2_FFC!T20</f>
        <v>31.828916188486346</v>
      </c>
      <c r="U130" s="274">
        <f>CO2_FFC!U20</f>
        <v>30.871216525399529</v>
      </c>
      <c r="V130" s="274">
        <f>CO2_FFC!V20</f>
        <v>28.987244396457257</v>
      </c>
      <c r="W130" s="274">
        <f>CO2_FFC!W20</f>
        <v>29.194372528968803</v>
      </c>
      <c r="X130" s="274">
        <f>CO2_FFC!X20</f>
        <v>29.139892806651648</v>
      </c>
      <c r="Y130" s="274">
        <f>CO2_FFC!Y20</f>
        <v>28.60906538035595</v>
      </c>
      <c r="Z130" s="274">
        <f>CO2_FFC!Z20</f>
        <v>29.873225105712574</v>
      </c>
      <c r="AA130" s="274">
        <f>CO2_FFC!AA20</f>
        <v>28.061539553056065</v>
      </c>
      <c r="AB130" s="274">
        <f>CO2_FFC!AB20</f>
        <v>28.545017287030312</v>
      </c>
      <c r="AC130" s="274">
        <f>CO2_FFC!AC20</f>
        <v>28.891424634303558</v>
      </c>
      <c r="AD130" s="274">
        <f>CO2_FFC!AD20</f>
        <v>28.332334902786233</v>
      </c>
      <c r="AE130" s="274">
        <f>CO2_FFC!AE20</f>
        <v>29.002637465691354</v>
      </c>
      <c r="AF130" s="274">
        <f>CO2_FFC!AF20</f>
        <v>28.718318898688366</v>
      </c>
      <c r="AG130" s="274">
        <f>CO2_FFC!AG20</f>
        <v>22.642037334535477</v>
      </c>
      <c r="AH130" s="274">
        <f>CO2_FFC!AH20</f>
        <v>25.3046622669575</v>
      </c>
      <c r="AI130" s="1640">
        <f>CO2_FFC!AI20</f>
        <v>25.915363713573509</v>
      </c>
    </row>
    <row r="131" spans="1:35" ht="15">
      <c r="B131" s="506" t="s">
        <v>212</v>
      </c>
      <c r="C131" s="507">
        <f t="shared" ref="C131:Y131" si="0">C106/1000000</f>
        <v>32.352235101736092</v>
      </c>
      <c r="D131" s="508">
        <f t="shared" si="0"/>
        <v>30.414844688745507</v>
      </c>
      <c r="E131" s="508">
        <f t="shared" si="0"/>
        <v>29.433986422934304</v>
      </c>
      <c r="F131" s="508">
        <f t="shared" si="0"/>
        <v>27.471778882940793</v>
      </c>
      <c r="G131" s="508">
        <f t="shared" si="0"/>
        <v>28.633814408841815</v>
      </c>
      <c r="H131" s="508">
        <f t="shared" si="0"/>
        <v>28.684207177575495</v>
      </c>
      <c r="I131" s="508">
        <f t="shared" si="0"/>
        <v>30.694305219716806</v>
      </c>
      <c r="J131" s="508">
        <f t="shared" si="0"/>
        <v>30.529483893241085</v>
      </c>
      <c r="K131" s="508">
        <f t="shared" si="0"/>
        <v>30.1719165379529</v>
      </c>
      <c r="L131" s="508">
        <f t="shared" si="0"/>
        <v>30.473816178197978</v>
      </c>
      <c r="M131" s="508">
        <f t="shared" si="0"/>
        <v>31.405187144543259</v>
      </c>
      <c r="N131" s="508">
        <f t="shared" si="0"/>
        <v>32.275476450635566</v>
      </c>
      <c r="O131" s="508">
        <f t="shared" si="0"/>
        <v>31.828791240959582</v>
      </c>
      <c r="P131" s="508">
        <f t="shared" si="0"/>
        <v>32.361449530482574</v>
      </c>
      <c r="Q131" s="508">
        <f t="shared" si="0"/>
        <v>33.384414833708085</v>
      </c>
      <c r="R131" s="508">
        <f t="shared" si="0"/>
        <v>34.00336756301779</v>
      </c>
      <c r="S131" s="508">
        <f t="shared" si="0"/>
        <v>33.218122597906117</v>
      </c>
      <c r="T131" s="508">
        <f t="shared" si="0"/>
        <v>33.016759441298241</v>
      </c>
      <c r="U131" s="508">
        <f t="shared" si="0"/>
        <v>33.055608116456618</v>
      </c>
      <c r="V131" s="508">
        <f t="shared" si="0"/>
        <v>32.225581363482121</v>
      </c>
      <c r="W131" s="508">
        <f t="shared" si="0"/>
        <v>32.353444335177109</v>
      </c>
      <c r="X131" s="508">
        <f t="shared" si="0"/>
        <v>32.311015302921149</v>
      </c>
      <c r="Y131" s="508">
        <f t="shared" si="0"/>
        <v>32.241130001610358</v>
      </c>
      <c r="Z131" s="508">
        <f t="shared" ref="Z131:AF131" si="1">Z106/1000000</f>
        <v>32.756599531028513</v>
      </c>
      <c r="AA131" s="508">
        <f t="shared" si="1"/>
        <v>33.348595498731882</v>
      </c>
      <c r="AB131" s="508">
        <f t="shared" si="1"/>
        <v>32.740397417557077</v>
      </c>
      <c r="AC131" s="508">
        <f t="shared" si="1"/>
        <v>34.151600911851091</v>
      </c>
      <c r="AD131" s="508">
        <f t="shared" si="1"/>
        <v>34.320143573993299</v>
      </c>
      <c r="AE131" s="508">
        <f t="shared" si="1"/>
        <v>33.77747612360961</v>
      </c>
      <c r="AF131" s="508">
        <f t="shared" si="1"/>
        <v>36.277237628458145</v>
      </c>
      <c r="AG131" s="508">
        <f>AG106/1000000</f>
        <v>30.925493206619915</v>
      </c>
      <c r="AH131" s="508">
        <f t="shared" ref="AH131" si="2">AH106/1000000</f>
        <v>32.091642324715636</v>
      </c>
      <c r="AI131" s="1641"/>
    </row>
    <row r="132" spans="1:35" ht="15.5" thickBot="1">
      <c r="B132" s="509" t="s">
        <v>213</v>
      </c>
      <c r="C132" s="510">
        <f t="shared" ref="C132:X132" si="3">C130-C131</f>
        <v>-3.845797276470531</v>
      </c>
      <c r="D132" s="186">
        <f t="shared" si="3"/>
        <v>-3.490238436097254</v>
      </c>
      <c r="E132" s="186">
        <f t="shared" si="3"/>
        <v>-2.9855200566086353</v>
      </c>
      <c r="F132" s="186">
        <f t="shared" si="3"/>
        <v>-0.78683868699217641</v>
      </c>
      <c r="G132" s="186">
        <f t="shared" si="3"/>
        <v>-1.7289693434815341</v>
      </c>
      <c r="H132" s="186">
        <f t="shared" si="3"/>
        <v>-1.1402492125769577</v>
      </c>
      <c r="I132" s="186">
        <f t="shared" si="3"/>
        <v>-2.3455928946386244</v>
      </c>
      <c r="J132" s="186">
        <f t="shared" si="3"/>
        <v>-1.8378070707356216</v>
      </c>
      <c r="K132" s="186">
        <f t="shared" si="3"/>
        <v>-1.1908961433183194</v>
      </c>
      <c r="L132" s="186">
        <f t="shared" si="3"/>
        <v>-0.80610809930328742</v>
      </c>
      <c r="M132" s="186">
        <f t="shared" si="3"/>
        <v>-0.56484079073680959</v>
      </c>
      <c r="N132" s="186">
        <f t="shared" si="3"/>
        <v>-1.8844006803058129</v>
      </c>
      <c r="O132" s="186">
        <f t="shared" si="3"/>
        <v>-1.2295849610848251</v>
      </c>
      <c r="P132" s="186">
        <f t="shared" si="3"/>
        <v>-1.3171129625954556</v>
      </c>
      <c r="Q132" s="186">
        <f t="shared" si="3"/>
        <v>-1.0432702537119027</v>
      </c>
      <c r="R132" s="186">
        <f t="shared" si="3"/>
        <v>-1.6554845090917283</v>
      </c>
      <c r="S132" s="186">
        <f t="shared" si="3"/>
        <v>-1.744267566513809</v>
      </c>
      <c r="T132" s="186">
        <f t="shared" si="3"/>
        <v>-1.187843252811895</v>
      </c>
      <c r="U132" s="186">
        <f t="shared" si="3"/>
        <v>-2.1843915910570892</v>
      </c>
      <c r="V132" s="186">
        <f t="shared" si="3"/>
        <v>-3.2383369670248641</v>
      </c>
      <c r="W132" s="186">
        <f t="shared" si="3"/>
        <v>-3.1590718062083063</v>
      </c>
      <c r="X132" s="186">
        <f t="shared" si="3"/>
        <v>-3.1711224962695006</v>
      </c>
      <c r="Y132" s="186">
        <f t="shared" ref="Y132:AE132" si="4">Y130-Y131</f>
        <v>-3.6320646212544077</v>
      </c>
      <c r="Z132" s="186">
        <f t="shared" si="4"/>
        <v>-2.8833744253159388</v>
      </c>
      <c r="AA132" s="186">
        <f t="shared" si="4"/>
        <v>-5.2870559456758173</v>
      </c>
      <c r="AB132" s="186">
        <f t="shared" si="4"/>
        <v>-4.1953801305267646</v>
      </c>
      <c r="AC132" s="186">
        <f t="shared" si="4"/>
        <v>-5.2601762775475329</v>
      </c>
      <c r="AD132" s="186">
        <f t="shared" si="4"/>
        <v>-5.9878086712070662</v>
      </c>
      <c r="AE132" s="186">
        <f t="shared" si="4"/>
        <v>-4.7748386579182558</v>
      </c>
      <c r="AF132" s="186">
        <f t="shared" ref="AF132" si="5">AF130-AF131</f>
        <v>-7.5589187297697791</v>
      </c>
      <c r="AG132" s="186">
        <f>AG130-AG131</f>
        <v>-8.2834558720844385</v>
      </c>
      <c r="AH132" s="186">
        <f t="shared" ref="AH132" si="6">AH130-AH131</f>
        <v>-6.7869800577581358</v>
      </c>
      <c r="AI132" s="1628"/>
    </row>
    <row r="134" spans="1:35" ht="15">
      <c r="B134" s="4"/>
      <c r="C134" s="4"/>
      <c r="D134" s="4"/>
      <c r="E134" s="4"/>
      <c r="F134" s="4"/>
      <c r="G134" s="4"/>
      <c r="H134" s="4"/>
      <c r="I134" s="4"/>
      <c r="J134" s="4"/>
      <c r="K134" s="4"/>
      <c r="L134" s="4"/>
      <c r="M134" s="4"/>
      <c r="N134" s="4"/>
      <c r="O134" s="4"/>
      <c r="P134" s="4"/>
      <c r="Q134" s="4"/>
      <c r="R134" s="4"/>
      <c r="S134" s="4"/>
      <c r="T134" s="4"/>
      <c r="U134" s="4"/>
      <c r="V134" s="277"/>
      <c r="W134" s="4"/>
    </row>
    <row r="135" spans="1:35" ht="15">
      <c r="B135" s="4"/>
      <c r="C135" s="250"/>
      <c r="D135" s="250"/>
      <c r="E135" s="250"/>
      <c r="F135" s="250"/>
      <c r="G135" s="250"/>
      <c r="H135" s="250"/>
      <c r="I135" s="250"/>
      <c r="J135" s="250"/>
      <c r="K135" s="250"/>
      <c r="L135" s="250"/>
      <c r="M135" s="250"/>
      <c r="N135" s="250"/>
      <c r="O135" s="250"/>
      <c r="P135" s="250"/>
      <c r="Q135" s="250"/>
      <c r="R135" s="250"/>
      <c r="S135" s="250"/>
      <c r="T135" s="250"/>
      <c r="U135" s="250"/>
      <c r="V135" s="250"/>
      <c r="W135" s="250"/>
    </row>
    <row r="137" spans="1:35" ht="15">
      <c r="B137" s="275"/>
    </row>
    <row r="150" spans="33:33" ht="15">
      <c r="AG150" s="94"/>
    </row>
  </sheetData>
  <phoneticPr fontId="43" type="noConversion"/>
  <conditionalFormatting sqref="H2">
    <cfRule type="cellIs" dxfId="30" priority="1" stopIfTrue="1" operator="equal">
      <formula>0</formula>
    </cfRule>
    <cfRule type="cellIs" dxfId="29" priority="2" stopIfTrue="1" operator="notEqual">
      <formula>0</formula>
    </cfRule>
  </conditionalFormatting>
  <conditionalFormatting sqref="H1:I1">
    <cfRule type="cellIs" dxfId="28" priority="3" stopIfTrue="1" operator="equal">
      <formula>0</formula>
    </cfRule>
    <cfRule type="cellIs" dxfId="27" priority="4" stopIfTrue="1" operator="notEqual">
      <formula>0</formula>
    </cfRule>
  </conditionalFormatting>
  <pageMargins left="0" right="0" top="0" bottom="0" header="0.3" footer="0.2"/>
  <pageSetup scale="38" fitToHeight="2" orientation="landscape" r:id="rId1"/>
  <headerFooter>
    <oddFooter>&amp;L&amp;F &amp;A&amp;R Page &amp;P of &amp;N</oddFooter>
  </headerFooter>
  <rowBreaks count="1" manualBreakCount="1">
    <brk id="80"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8 G G 2 W N Y x P F m l A A A A 9 w A A A B I A H A B D b 2 5 m a W c v U G F j a 2 F n Z S 5 4 b W w g o h g A K K A U A A A A A A A A A A A A A A A A A A A A A A A A A A A A h Y 8 x D o I w G I W v Q r r T l m q C I a U M r p K Y E I 1 r U y o 0 w o + h x X I 3 B 4 / k F c Q o 6 u b 4 v v c N 7 9 2 v N 5 6 N b R N c d G 9 N B y m K M E W B B t W V B q o U D e 4 Y r l A m + F a q k 6 x 0 M M l g k 9 G W K a q d O y e E e O + x X + C u r w i j N C K H f F O o W r c S f W T z X w 4 N W C d B a S T 4 / j V G M B y x G E c x X W L K y U x 5 b u B r s G n w s / 2 B f D 0 0 b u i 1 0 B D u C k 7 m y M n 7 h H g A U E s D B B Q A A g A I A P B h t 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Y b Z Y K I p H u A 4 A A A A R A A A A E w A c A E Z v c m 1 1 b G F z L 1 N l Y 3 R p b 2 4 x L m 0 g o h g A K K A U A A A A A A A A A A A A A A A A A A A A A A A A A A A A K 0 5 N L s n M z 1 M I h t C G 1 g B Q S w E C L Q A U A A I A C A D w Y b Z Y 1 j E 8 W a U A A A D 3 A A A A E g A A A A A A A A A A A A A A A A A A A A A A Q 2 9 u Z m l n L 1 B h Y 2 t h Z 2 U u e G 1 s U E s B A i 0 A F A A C A A g A 8 G G 2 W A / K 6 a u k A A A A 6 Q A A A B M A A A A A A A A A A A A A A A A A 8 Q A A A F t D b 2 5 0 Z W 5 0 X 1 R 5 c G V z X S 5 4 b W x Q S w E C L Q A U A A I A C A D w Y b Z 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y I e C q 3 m E k e + d q G z I N D Q Z g A A A A A C A A A A A A A D Z g A A w A A A A B A A A A D V D O V W e 9 r D w t u I / n 5 g I / j 9 A A A A A A S A A A C g A A A A E A A A A D 5 1 p H a x h Y P R A J L 7 I W 3 K 8 f V Q A A A A h / 1 h j u M o s 4 c 6 U l G T j O J n i B a v z 8 J L o J z t I Q g i 6 F p n h 5 t I F H t V 9 v k o w h J s f 6 9 z 1 i c c k G U S H t G 2 2 N p W F i 6 Y F C c g X S U W H 2 R 6 N v F R c w L h Y Z O O F r 8 U A A A A k c 5 p P c N 9 p w V I Y w g H u w C S T k n X d Q 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a879d21d2b9e9c0e07b106d81c6e0e71">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0c74a8daa34b45c016813c22833d1624"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2D864EC1-B6E5-4E94-A47F-32868D41E641}">
  <ds:schemaRefs>
    <ds:schemaRef ds:uri="http://schemas.microsoft.com/DataMashup"/>
  </ds:schemaRefs>
</ds:datastoreItem>
</file>

<file path=customXml/itemProps2.xml><?xml version="1.0" encoding="utf-8"?>
<ds:datastoreItem xmlns:ds="http://schemas.openxmlformats.org/officeDocument/2006/customXml" ds:itemID="{2C1569F2-0AAA-4289-AB45-682B11383A82}">
  <ds:schemaRefs>
    <ds:schemaRef ds:uri="http://schemas.microsoft.com/sharepoint/v3/contenttype/forms"/>
  </ds:schemaRefs>
</ds:datastoreItem>
</file>

<file path=customXml/itemProps3.xml><?xml version="1.0" encoding="utf-8"?>
<ds:datastoreItem xmlns:ds="http://schemas.openxmlformats.org/officeDocument/2006/customXml" ds:itemID="{2AA253D2-24E4-4DDA-ABE5-B1199C08F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83EFA9-C92D-4AAF-A0F1-CFA7EC8C8D87}">
  <ds:schemaRefs>
    <ds:schemaRef ds:uri="http://schemas.microsoft.com/office/2006/metadata/properties"/>
    <ds:schemaRef ds:uri="http://schemas.microsoft.com/office/infopath/2007/PartnerControls"/>
    <ds:schemaRef ds:uri="97c241f7-0c18-4008-861b-5a676167a037"/>
    <ds:schemaRef ds:uri="7b83dbe2-6fd2-449a-a932-0d75829bf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7</vt:i4>
      </vt:variant>
    </vt:vector>
  </HeadingPairs>
  <TitlesOfParts>
    <vt:vector size="29" baseType="lpstr">
      <vt:lpstr>1990-2021 Sectors</vt:lpstr>
      <vt:lpstr>Summary</vt:lpstr>
      <vt:lpstr>Summary by Gas</vt:lpstr>
      <vt:lpstr>Process</vt:lpstr>
      <vt:lpstr>Sector Sublimits</vt:lpstr>
      <vt:lpstr>Sublimit Graphs</vt:lpstr>
      <vt:lpstr>CO2_FFC</vt:lpstr>
      <vt:lpstr>Stationary</vt:lpstr>
      <vt:lpstr>Mobile</vt:lpstr>
      <vt:lpstr>NG Sum&amp;Distribution&amp;PostMeter</vt:lpstr>
      <vt:lpstr>NG Transmission &amp; Storage</vt:lpstr>
      <vt:lpstr>Indust. Proc.</vt:lpstr>
      <vt:lpstr>Agriculture</vt:lpstr>
      <vt:lpstr>Solid Waste</vt:lpstr>
      <vt:lpstr>Wastewater</vt:lpstr>
      <vt:lpstr>ElecImport</vt:lpstr>
      <vt:lpstr>EIA Adjust</vt:lpstr>
      <vt:lpstr>Biogenic Summary</vt:lpstr>
      <vt:lpstr>Biogenic Graphs</vt:lpstr>
      <vt:lpstr>Biogenic Combustion</vt:lpstr>
      <vt:lpstr>NWL</vt:lpstr>
      <vt:lpstr>1990-2021 Total</vt:lpstr>
      <vt:lpstr>Mobile!Print_Area</vt:lpstr>
      <vt:lpstr>'NG Sum&amp;Distribution&amp;PostMeter'!Print_Area</vt:lpstr>
      <vt:lpstr>'NG Transmission &amp; Storage'!Print_Area</vt:lpstr>
      <vt:lpstr>Process!Print_Area</vt:lpstr>
      <vt:lpstr>'Solid Waste'!Print_Area</vt:lpstr>
      <vt:lpstr>Summary!Print_Area</vt:lpstr>
      <vt:lpstr>Wastewater!Print_Area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2018-12-20T16:06:19Z</dcterms:created>
  <dcterms:modified xsi:type="dcterms:W3CDTF">2024-06-27T18:32:20Z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